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2.xml" ContentType="application/vnd.openxmlformats-officedocument.drawing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Historis_IW\Samarinda\"/>
    </mc:Choice>
  </mc:AlternateContent>
  <bookViews>
    <workbookView xWindow="0" yWindow="0" windowWidth="20490" windowHeight="7755" tabRatio="917" firstSheet="8" activeTab="12"/>
  </bookViews>
  <sheets>
    <sheet name="4A_DOC" sheetId="21" r:id="rId1"/>
    <sheet name="4B_CH4 emissions" sheetId="1" r:id="rId2"/>
    <sheet name="4B_N2O emission" sheetId="2" r:id="rId3"/>
    <sheet name="4C1_Amount_Waste_OpenBurned" sheetId="4" r:id="rId4"/>
    <sheet name="4C2_CO2_OpenBurning" sheetId="5" r:id="rId5"/>
    <sheet name="4C2_CH4_OpenBurning" sheetId="8" r:id="rId6"/>
    <sheet name="4C2_N2O_OpenBurning" sheetId="10" r:id="rId7"/>
    <sheet name="4D1_TOW_DomesticWastewater" sheetId="11" r:id="rId8"/>
    <sheet name="4D1_CH4_EF_DomesticWastewater" sheetId="12" r:id="rId9"/>
    <sheet name="4D1_CH4_Domestic_Wastewater" sheetId="13" r:id="rId10"/>
    <sheet name="4D1_N_effluent" sheetId="17" r:id="rId11"/>
    <sheet name="4D1_Indirect_N2O" sheetId="18" r:id="rId12"/>
    <sheet name="REKAPITULASI" sheetId="22" r:id="rId13"/>
  </sheets>
  <externalReferences>
    <externalReference r:id="rId14"/>
  </externalReferences>
  <definedNames>
    <definedName name="_xlnm.Print_Area" localSheetId="2">'4B_N2O emission'!$A$2:$E$41</definedName>
    <definedName name="_xlnm.Print_Area" localSheetId="3">'4C1_Amount_Waste_OpenBurned'!$A$2:$G$33</definedName>
    <definedName name="_xlnm.Print_Area" localSheetId="5">'4C2_CH4_OpenBurning'!$A$2:$D$34</definedName>
    <definedName name="_xlnm.Print_Area" localSheetId="4">'4C2_CO2_OpenBurning'!$A$2:$I$29</definedName>
    <definedName name="_xlnm.Print_Area" localSheetId="6">'4C2_N2O_OpenBurning'!$A$2:$D$35</definedName>
    <definedName name="_xlnm.Print_Area" localSheetId="9">'4D1_CH4_Domestic_Wastewater'!$A$2:$I$27</definedName>
    <definedName name="_xlnm.Print_Area" localSheetId="8">'4D1_CH4_EF_DomesticWastewater'!$A$2:$D$26</definedName>
    <definedName name="_xlnm.Print_Area" localSheetId="11">'4D1_Indirect_N2O'!$A$2:$F$22</definedName>
    <definedName name="_xlnm.Print_Area" localSheetId="10">'4D1_N_effluent'!$A$2:$H$22</definedName>
    <definedName name="_xlnm.Print_Area" localSheetId="7">'4D1_TOW_DomesticWastewater'!$A$2:$E$34</definedName>
  </definedNames>
  <calcPr calcId="152511"/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21" i="1"/>
  <c r="C22" i="1"/>
  <c r="C12" i="1"/>
  <c r="A44" i="22" l="1"/>
  <c r="A45" i="22"/>
  <c r="A46" i="22"/>
  <c r="A47" i="22"/>
  <c r="A48" i="22"/>
  <c r="A49" i="22"/>
  <c r="A50" i="22"/>
  <c r="A51" i="22"/>
  <c r="A52" i="22"/>
  <c r="A53" i="22"/>
  <c r="A43" i="22"/>
  <c r="A24" i="22"/>
  <c r="A25" i="22"/>
  <c r="A26" i="22"/>
  <c r="A27" i="22"/>
  <c r="A28" i="22"/>
  <c r="A29" i="22"/>
  <c r="A30" i="22"/>
  <c r="A31" i="22"/>
  <c r="A32" i="22"/>
  <c r="A33" i="22"/>
  <c r="A23" i="22"/>
  <c r="A7" i="22"/>
  <c r="A8" i="22"/>
  <c r="A9" i="22"/>
  <c r="A10" i="22"/>
  <c r="A11" i="22"/>
  <c r="A12" i="22"/>
  <c r="A13" i="22"/>
  <c r="A14" i="22"/>
  <c r="A15" i="22"/>
  <c r="A16" i="22"/>
  <c r="A6" i="22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11" i="18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12" i="17"/>
  <c r="E310" i="13"/>
  <c r="E309" i="13"/>
  <c r="E308" i="13"/>
  <c r="E307" i="13"/>
  <c r="E305" i="13"/>
  <c r="E304" i="13"/>
  <c r="E303" i="13"/>
  <c r="E302" i="13"/>
  <c r="E300" i="13"/>
  <c r="E299" i="13"/>
  <c r="E298" i="13"/>
  <c r="E297" i="13"/>
  <c r="E282" i="13"/>
  <c r="E281" i="13"/>
  <c r="E280" i="13"/>
  <c r="E279" i="13"/>
  <c r="E277" i="13"/>
  <c r="E276" i="13"/>
  <c r="E275" i="13"/>
  <c r="E274" i="13"/>
  <c r="E272" i="13"/>
  <c r="E271" i="13"/>
  <c r="E270" i="13"/>
  <c r="E269" i="13"/>
  <c r="E254" i="13"/>
  <c r="E253" i="13"/>
  <c r="E252" i="13"/>
  <c r="E251" i="13"/>
  <c r="E249" i="13"/>
  <c r="E248" i="13"/>
  <c r="E247" i="13"/>
  <c r="E246" i="13"/>
  <c r="E244" i="13"/>
  <c r="E243" i="13"/>
  <c r="E242" i="13"/>
  <c r="E241" i="13"/>
  <c r="E226" i="13"/>
  <c r="E225" i="13"/>
  <c r="E224" i="13"/>
  <c r="E223" i="13"/>
  <c r="E221" i="13"/>
  <c r="E220" i="13"/>
  <c r="E219" i="13"/>
  <c r="E218" i="13"/>
  <c r="E216" i="13"/>
  <c r="E215" i="13"/>
  <c r="E214" i="13"/>
  <c r="E213" i="13"/>
  <c r="E198" i="13"/>
  <c r="E197" i="13"/>
  <c r="E196" i="13"/>
  <c r="E195" i="13"/>
  <c r="E193" i="13"/>
  <c r="E192" i="13"/>
  <c r="E191" i="13"/>
  <c r="E190" i="13"/>
  <c r="E188" i="13"/>
  <c r="E187" i="13"/>
  <c r="E186" i="13"/>
  <c r="E185" i="13"/>
  <c r="E170" i="13"/>
  <c r="E169" i="13"/>
  <c r="E168" i="13"/>
  <c r="E167" i="13"/>
  <c r="E165" i="13"/>
  <c r="E164" i="13"/>
  <c r="E163" i="13"/>
  <c r="E162" i="13"/>
  <c r="E160" i="13"/>
  <c r="E159" i="13"/>
  <c r="E158" i="13"/>
  <c r="E157" i="13"/>
  <c r="E142" i="13"/>
  <c r="E141" i="13"/>
  <c r="E140" i="13"/>
  <c r="E139" i="13"/>
  <c r="E137" i="13"/>
  <c r="E136" i="13"/>
  <c r="E135" i="13"/>
  <c r="E134" i="13"/>
  <c r="E132" i="13"/>
  <c r="E131" i="13"/>
  <c r="E130" i="13"/>
  <c r="E129" i="13"/>
  <c r="E114" i="13"/>
  <c r="E113" i="13"/>
  <c r="E112" i="13"/>
  <c r="E111" i="13"/>
  <c r="E109" i="13"/>
  <c r="E108" i="13"/>
  <c r="E107" i="13"/>
  <c r="E106" i="13"/>
  <c r="E104" i="13"/>
  <c r="E103" i="13"/>
  <c r="E102" i="13"/>
  <c r="E101" i="13"/>
  <c r="E86" i="13"/>
  <c r="E85" i="13"/>
  <c r="E84" i="13"/>
  <c r="E83" i="13"/>
  <c r="E81" i="13"/>
  <c r="E80" i="13"/>
  <c r="E79" i="13"/>
  <c r="E78" i="13"/>
  <c r="E76" i="13"/>
  <c r="E75" i="13"/>
  <c r="E74" i="13"/>
  <c r="E73" i="13"/>
  <c r="E58" i="13"/>
  <c r="E57" i="13"/>
  <c r="E56" i="13"/>
  <c r="E55" i="13"/>
  <c r="E53" i="13"/>
  <c r="E52" i="13"/>
  <c r="E51" i="13"/>
  <c r="E50" i="13"/>
  <c r="E48" i="13"/>
  <c r="E47" i="13"/>
  <c r="E46" i="13"/>
  <c r="E45" i="13"/>
  <c r="E25" i="13"/>
  <c r="E24" i="13"/>
  <c r="E23" i="13"/>
  <c r="E22" i="13"/>
  <c r="E20" i="13"/>
  <c r="E19" i="13"/>
  <c r="E18" i="13"/>
  <c r="E17" i="13"/>
  <c r="E15" i="13"/>
  <c r="E14" i="13"/>
  <c r="E13" i="13"/>
  <c r="E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12" i="13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12" i="11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12" i="10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11" i="8"/>
  <c r="H327" i="5"/>
  <c r="H326" i="5"/>
  <c r="H325" i="5"/>
  <c r="H324" i="5"/>
  <c r="F324" i="5"/>
  <c r="H323" i="5"/>
  <c r="F323" i="5"/>
  <c r="H322" i="5"/>
  <c r="F322" i="5"/>
  <c r="H321" i="5"/>
  <c r="H320" i="5"/>
  <c r="F320" i="5"/>
  <c r="H319" i="5"/>
  <c r="H297" i="5"/>
  <c r="H296" i="5"/>
  <c r="H295" i="5"/>
  <c r="H294" i="5"/>
  <c r="F294" i="5"/>
  <c r="H293" i="5"/>
  <c r="F293" i="5"/>
  <c r="H292" i="5"/>
  <c r="F292" i="5"/>
  <c r="H291" i="5"/>
  <c r="H290" i="5"/>
  <c r="F290" i="5"/>
  <c r="H289" i="5"/>
  <c r="H267" i="5"/>
  <c r="H266" i="5"/>
  <c r="H265" i="5"/>
  <c r="H264" i="5"/>
  <c r="F264" i="5"/>
  <c r="H263" i="5"/>
  <c r="F263" i="5"/>
  <c r="H262" i="5"/>
  <c r="F262" i="5"/>
  <c r="H261" i="5"/>
  <c r="H260" i="5"/>
  <c r="F260" i="5"/>
  <c r="H259" i="5"/>
  <c r="H237" i="5"/>
  <c r="H236" i="5"/>
  <c r="H235" i="5"/>
  <c r="H234" i="5"/>
  <c r="F234" i="5"/>
  <c r="H233" i="5"/>
  <c r="F233" i="5"/>
  <c r="H232" i="5"/>
  <c r="F232" i="5"/>
  <c r="H231" i="5"/>
  <c r="H230" i="5"/>
  <c r="F230" i="5"/>
  <c r="H229" i="5"/>
  <c r="H207" i="5"/>
  <c r="H206" i="5"/>
  <c r="H205" i="5"/>
  <c r="H204" i="5"/>
  <c r="F204" i="5"/>
  <c r="H203" i="5"/>
  <c r="F203" i="5"/>
  <c r="H202" i="5"/>
  <c r="F202" i="5"/>
  <c r="H201" i="5"/>
  <c r="H200" i="5"/>
  <c r="F200" i="5"/>
  <c r="H199" i="5"/>
  <c r="H177" i="5"/>
  <c r="H176" i="5"/>
  <c r="H175" i="5"/>
  <c r="H174" i="5"/>
  <c r="F174" i="5"/>
  <c r="H173" i="5"/>
  <c r="F173" i="5"/>
  <c r="H172" i="5"/>
  <c r="F172" i="5"/>
  <c r="H171" i="5"/>
  <c r="H170" i="5"/>
  <c r="F170" i="5"/>
  <c r="H169" i="5"/>
  <c r="H147" i="5"/>
  <c r="H146" i="5"/>
  <c r="H145" i="5"/>
  <c r="H144" i="5"/>
  <c r="F144" i="5"/>
  <c r="H143" i="5"/>
  <c r="F143" i="5"/>
  <c r="H142" i="5"/>
  <c r="F142" i="5"/>
  <c r="H141" i="5"/>
  <c r="H140" i="5"/>
  <c r="F140" i="5"/>
  <c r="H139" i="5"/>
  <c r="H116" i="5"/>
  <c r="H115" i="5"/>
  <c r="H114" i="5"/>
  <c r="H113" i="5"/>
  <c r="F113" i="5"/>
  <c r="H112" i="5"/>
  <c r="F112" i="5"/>
  <c r="H111" i="5"/>
  <c r="F111" i="5"/>
  <c r="H110" i="5"/>
  <c r="H109" i="5"/>
  <c r="F109" i="5"/>
  <c r="H108" i="5"/>
  <c r="H85" i="5"/>
  <c r="H84" i="5"/>
  <c r="H83" i="5"/>
  <c r="H82" i="5"/>
  <c r="F82" i="5"/>
  <c r="H81" i="5"/>
  <c r="F81" i="5"/>
  <c r="H80" i="5"/>
  <c r="F80" i="5"/>
  <c r="H79" i="5"/>
  <c r="H78" i="5"/>
  <c r="F78" i="5"/>
  <c r="H77" i="5"/>
  <c r="K24" i="5"/>
  <c r="K25" i="5"/>
  <c r="K26" i="5"/>
  <c r="K27" i="5"/>
  <c r="K28" i="5"/>
  <c r="K29" i="5"/>
  <c r="K30" i="5"/>
  <c r="K31" i="5"/>
  <c r="K32" i="5"/>
  <c r="K33" i="5"/>
  <c r="K14" i="5"/>
  <c r="K15" i="5"/>
  <c r="K16" i="5"/>
  <c r="K17" i="5"/>
  <c r="K18" i="5"/>
  <c r="K19" i="5"/>
  <c r="K20" i="5"/>
  <c r="K21" i="5"/>
  <c r="K22" i="5"/>
  <c r="K23" i="5"/>
  <c r="K13" i="5"/>
  <c r="H55" i="5"/>
  <c r="H54" i="5"/>
  <c r="H53" i="5"/>
  <c r="H52" i="5"/>
  <c r="F52" i="5"/>
  <c r="H51" i="5"/>
  <c r="F51" i="5"/>
  <c r="H50" i="5"/>
  <c r="F50" i="5"/>
  <c r="H49" i="5"/>
  <c r="H48" i="5"/>
  <c r="F48" i="5"/>
  <c r="H47" i="5"/>
  <c r="A24" i="4"/>
  <c r="A25" i="4"/>
  <c r="A26" i="4"/>
  <c r="A27" i="4"/>
  <c r="A28" i="4"/>
  <c r="A29" i="4"/>
  <c r="A30" i="4"/>
  <c r="A31" i="4"/>
  <c r="A32" i="4"/>
  <c r="A13" i="4"/>
  <c r="A14" i="4"/>
  <c r="A15" i="4"/>
  <c r="A16" i="4"/>
  <c r="A17" i="4"/>
  <c r="A18" i="4"/>
  <c r="A19" i="4"/>
  <c r="A20" i="4"/>
  <c r="A21" i="4"/>
  <c r="A22" i="4"/>
  <c r="A23" i="4"/>
  <c r="A12" i="4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12" i="17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12" i="11"/>
  <c r="C11" i="8"/>
  <c r="B63" i="22" l="1"/>
  <c r="C63" i="22" s="1"/>
  <c r="B54" i="22"/>
  <c r="C54" i="22" s="1"/>
  <c r="B55" i="22"/>
  <c r="C55" i="22" s="1"/>
  <c r="B56" i="22"/>
  <c r="C56" i="22" s="1"/>
  <c r="B57" i="22"/>
  <c r="C57" i="22" s="1"/>
  <c r="B58" i="22"/>
  <c r="C58" i="22" s="1"/>
  <c r="B59" i="22"/>
  <c r="C59" i="22" s="1"/>
  <c r="B60" i="22"/>
  <c r="C60" i="22" s="1"/>
  <c r="B61" i="22"/>
  <c r="C61" i="22" s="1"/>
  <c r="B62" i="22"/>
  <c r="C62" i="22" s="1"/>
  <c r="D22" i="18"/>
  <c r="D23" i="18"/>
  <c r="D24" i="18"/>
  <c r="D25" i="18"/>
  <c r="D26" i="18"/>
  <c r="D27" i="18"/>
  <c r="D28" i="18"/>
  <c r="D29" i="18"/>
  <c r="D30" i="18"/>
  <c r="D31" i="18"/>
  <c r="B28" i="18"/>
  <c r="F28" i="18" s="1"/>
  <c r="G28" i="18" s="1"/>
  <c r="D60" i="22" s="1"/>
  <c r="E60" i="22" s="1"/>
  <c r="B31" i="18"/>
  <c r="F31" i="18" s="1"/>
  <c r="G31" i="18" s="1"/>
  <c r="D63" i="22" s="1"/>
  <c r="E63" i="22" s="1"/>
  <c r="H23" i="17"/>
  <c r="B22" i="18" s="1"/>
  <c r="F22" i="18" s="1"/>
  <c r="G22" i="18" s="1"/>
  <c r="D54" i="22" s="1"/>
  <c r="E54" i="22" s="1"/>
  <c r="H24" i="17"/>
  <c r="B23" i="18" s="1"/>
  <c r="F23" i="18" s="1"/>
  <c r="G23" i="18" s="1"/>
  <c r="D55" i="22" s="1"/>
  <c r="E55" i="22" s="1"/>
  <c r="H25" i="17"/>
  <c r="B24" i="18" s="1"/>
  <c r="F24" i="18" s="1"/>
  <c r="G24" i="18" s="1"/>
  <c r="D56" i="22" s="1"/>
  <c r="E56" i="22" s="1"/>
  <c r="H26" i="17"/>
  <c r="B25" i="18" s="1"/>
  <c r="F25" i="18" s="1"/>
  <c r="G25" i="18" s="1"/>
  <c r="D57" i="22" s="1"/>
  <c r="E57" i="22" s="1"/>
  <c r="H27" i="17"/>
  <c r="B26" i="18" s="1"/>
  <c r="F26" i="18" s="1"/>
  <c r="G26" i="18" s="1"/>
  <c r="D58" i="22" s="1"/>
  <c r="E58" i="22" s="1"/>
  <c r="H28" i="17"/>
  <c r="B27" i="18" s="1"/>
  <c r="F27" i="18" s="1"/>
  <c r="G27" i="18" s="1"/>
  <c r="D59" i="22" s="1"/>
  <c r="E59" i="22" s="1"/>
  <c r="H29" i="17"/>
  <c r="H30" i="17"/>
  <c r="B29" i="18" s="1"/>
  <c r="F29" i="18" s="1"/>
  <c r="G29" i="18" s="1"/>
  <c r="D61" i="22" s="1"/>
  <c r="E61" i="22" s="1"/>
  <c r="H31" i="17"/>
  <c r="B30" i="18" s="1"/>
  <c r="F30" i="18" s="1"/>
  <c r="G30" i="18" s="1"/>
  <c r="D62" i="22" s="1"/>
  <c r="E62" i="22" s="1"/>
  <c r="H32" i="17"/>
  <c r="E21" i="2"/>
  <c r="D15" i="22" s="1"/>
  <c r="E22" i="2"/>
  <c r="D16" i="22" s="1"/>
  <c r="E29" i="2"/>
  <c r="E30" i="2"/>
  <c r="C14" i="2"/>
  <c r="C15" i="2"/>
  <c r="C16" i="2"/>
  <c r="C17" i="2"/>
  <c r="C18" i="2"/>
  <c r="C19" i="2"/>
  <c r="C20" i="2"/>
  <c r="C21" i="2"/>
  <c r="C22" i="2"/>
  <c r="C23" i="2"/>
  <c r="E23" i="2" s="1"/>
  <c r="C24" i="2"/>
  <c r="E24" i="2" s="1"/>
  <c r="C25" i="2"/>
  <c r="E25" i="2" s="1"/>
  <c r="C26" i="2"/>
  <c r="E26" i="2" s="1"/>
  <c r="C27" i="2"/>
  <c r="E27" i="2" s="1"/>
  <c r="C28" i="2"/>
  <c r="E28" i="2" s="1"/>
  <c r="C29" i="2"/>
  <c r="C30" i="2"/>
  <c r="C31" i="2"/>
  <c r="C32" i="2"/>
  <c r="B31" i="2"/>
  <c r="B3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G23" i="1"/>
  <c r="G29" i="1"/>
  <c r="G30" i="1"/>
  <c r="G31" i="1"/>
  <c r="E14" i="1"/>
  <c r="E15" i="1"/>
  <c r="E16" i="1"/>
  <c r="E17" i="1"/>
  <c r="E18" i="1"/>
  <c r="E19" i="1"/>
  <c r="E20" i="1"/>
  <c r="E21" i="1"/>
  <c r="E22" i="1"/>
  <c r="G22" i="1" s="1"/>
  <c r="B16" i="22" s="1"/>
  <c r="E23" i="1"/>
  <c r="E24" i="1"/>
  <c r="G24" i="1" s="1"/>
  <c r="E25" i="1"/>
  <c r="G25" i="1" s="1"/>
  <c r="E26" i="1"/>
  <c r="G26" i="1" s="1"/>
  <c r="E27" i="1"/>
  <c r="G27" i="1" s="1"/>
  <c r="E28" i="1"/>
  <c r="G28" i="1" s="1"/>
  <c r="E29" i="1"/>
  <c r="E30" i="1"/>
  <c r="E31" i="1"/>
  <c r="E32" i="1"/>
  <c r="M25" i="13"/>
  <c r="M26" i="13"/>
  <c r="E23" i="11"/>
  <c r="M23" i="13" s="1"/>
  <c r="E24" i="11"/>
  <c r="M24" i="13" s="1"/>
  <c r="E25" i="11"/>
  <c r="E26" i="11"/>
  <c r="E27" i="11"/>
  <c r="M27" i="13" s="1"/>
  <c r="E28" i="11"/>
  <c r="M28" i="13" s="1"/>
  <c r="E29" i="11"/>
  <c r="M29" i="13" s="1"/>
  <c r="E30" i="11"/>
  <c r="M30" i="13" s="1"/>
  <c r="E31" i="11"/>
  <c r="M31" i="13" s="1"/>
  <c r="E32" i="11"/>
  <c r="M32" i="13" s="1"/>
  <c r="C23" i="11"/>
  <c r="C24" i="11"/>
  <c r="C25" i="11"/>
  <c r="C26" i="11"/>
  <c r="C27" i="11"/>
  <c r="C28" i="11"/>
  <c r="C29" i="11"/>
  <c r="C30" i="11"/>
  <c r="C31" i="11"/>
  <c r="C32" i="11"/>
  <c r="D23" i="10"/>
  <c r="D25" i="10"/>
  <c r="D26" i="10"/>
  <c r="D31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B23" i="10"/>
  <c r="B25" i="10"/>
  <c r="B26" i="10"/>
  <c r="B28" i="10"/>
  <c r="D28" i="10" s="1"/>
  <c r="B29" i="10"/>
  <c r="D29" i="10" s="1"/>
  <c r="B31" i="10"/>
  <c r="C20" i="8"/>
  <c r="C22" i="8"/>
  <c r="C23" i="8"/>
  <c r="C24" i="8"/>
  <c r="C25" i="8"/>
  <c r="C26" i="8"/>
  <c r="C27" i="8"/>
  <c r="C28" i="8"/>
  <c r="C29" i="8"/>
  <c r="C30" i="8"/>
  <c r="C31" i="8"/>
  <c r="L24" i="5"/>
  <c r="L25" i="5"/>
  <c r="L26" i="5"/>
  <c r="L32" i="5"/>
  <c r="G22" i="4"/>
  <c r="L23" i="5" s="1"/>
  <c r="G23" i="4"/>
  <c r="B22" i="8" s="1"/>
  <c r="D22" i="8" s="1"/>
  <c r="G24" i="4"/>
  <c r="B23" i="8" s="1"/>
  <c r="D23" i="8" s="1"/>
  <c r="G25" i="4"/>
  <c r="B24" i="8" s="1"/>
  <c r="D24" i="8" s="1"/>
  <c r="G26" i="4"/>
  <c r="L27" i="5" s="1"/>
  <c r="G27" i="4"/>
  <c r="B27" i="10" s="1"/>
  <c r="D27" i="10" s="1"/>
  <c r="G28" i="4"/>
  <c r="B27" i="8" s="1"/>
  <c r="D27" i="8" s="1"/>
  <c r="G29" i="4"/>
  <c r="L30" i="5" s="1"/>
  <c r="G30" i="4"/>
  <c r="B30" i="10" s="1"/>
  <c r="D30" i="10" s="1"/>
  <c r="G31" i="4"/>
  <c r="B30" i="8" s="1"/>
  <c r="D30" i="8" s="1"/>
  <c r="C322" i="5" l="1"/>
  <c r="I322" i="5" s="1"/>
  <c r="C326" i="5"/>
  <c r="I326" i="5" s="1"/>
  <c r="C321" i="5"/>
  <c r="I321" i="5" s="1"/>
  <c r="C320" i="5"/>
  <c r="I320" i="5" s="1"/>
  <c r="C327" i="5"/>
  <c r="I327" i="5" s="1"/>
  <c r="C319" i="5"/>
  <c r="I319" i="5" s="1"/>
  <c r="C325" i="5"/>
  <c r="I325" i="5" s="1"/>
  <c r="C324" i="5"/>
  <c r="I324" i="5" s="1"/>
  <c r="C323" i="5"/>
  <c r="I323" i="5" s="1"/>
  <c r="B28" i="8"/>
  <c r="D28" i="8" s="1"/>
  <c r="L31" i="5"/>
  <c r="B26" i="8"/>
  <c r="D26" i="8" s="1"/>
  <c r="B25" i="8"/>
  <c r="D25" i="8" s="1"/>
  <c r="L29" i="5"/>
  <c r="B24" i="10"/>
  <c r="D24" i="10" s="1"/>
  <c r="B29" i="8"/>
  <c r="D29" i="8" s="1"/>
  <c r="L28" i="5"/>
  <c r="B21" i="8"/>
  <c r="B22" i="10"/>
  <c r="D22" i="10" s="1"/>
  <c r="F58" i="22"/>
  <c r="F57" i="22"/>
  <c r="F62" i="22"/>
  <c r="F54" i="22"/>
  <c r="F61" i="22"/>
  <c r="F63" i="22"/>
  <c r="F56" i="22"/>
  <c r="F55" i="22"/>
  <c r="F60" i="22"/>
  <c r="F59" i="22"/>
  <c r="E32" i="2"/>
  <c r="E16" i="22" s="1"/>
  <c r="E31" i="2"/>
  <c r="E15" i="22" s="1"/>
  <c r="E20" i="2"/>
  <c r="D14" i="22" s="1"/>
  <c r="E14" i="22" s="1"/>
  <c r="E18" i="2"/>
  <c r="D12" i="22" s="1"/>
  <c r="E12" i="22" s="1"/>
  <c r="E17" i="2"/>
  <c r="D11" i="22" s="1"/>
  <c r="E11" i="22" s="1"/>
  <c r="E16" i="2"/>
  <c r="D10" i="22" s="1"/>
  <c r="E10" i="22" s="1"/>
  <c r="E14" i="2"/>
  <c r="D8" i="22" s="1"/>
  <c r="E8" i="22" s="1"/>
  <c r="C13" i="2"/>
  <c r="E13" i="2" s="1"/>
  <c r="D7" i="22" s="1"/>
  <c r="E7" i="22" s="1"/>
  <c r="C12" i="2"/>
  <c r="E12" i="2" s="1"/>
  <c r="D6" i="22" s="1"/>
  <c r="E6" i="22" s="1"/>
  <c r="G12" i="4"/>
  <c r="B11" i="8" s="1"/>
  <c r="D12" i="18"/>
  <c r="D13" i="18"/>
  <c r="D14" i="18"/>
  <c r="D15" i="18"/>
  <c r="D16" i="18"/>
  <c r="D17" i="18"/>
  <c r="D18" i="18"/>
  <c r="D19" i="18"/>
  <c r="D20" i="18"/>
  <c r="D21" i="18"/>
  <c r="H13" i="17"/>
  <c r="B12" i="18" s="1"/>
  <c r="F12" i="18" s="1"/>
  <c r="G12" i="18" s="1"/>
  <c r="D44" i="22" s="1"/>
  <c r="E44" i="22" s="1"/>
  <c r="C13" i="11"/>
  <c r="H14" i="17"/>
  <c r="B13" i="18" s="1"/>
  <c r="F13" i="18" s="1"/>
  <c r="G13" i="18" s="1"/>
  <c r="D45" i="22" s="1"/>
  <c r="E45" i="22" s="1"/>
  <c r="C14" i="11"/>
  <c r="H15" i="17"/>
  <c r="B14" i="18" s="1"/>
  <c r="F14" i="18" s="1"/>
  <c r="G14" i="18" s="1"/>
  <c r="D46" i="22" s="1"/>
  <c r="E46" i="22" s="1"/>
  <c r="C15" i="11"/>
  <c r="H16" i="17"/>
  <c r="B15" i="18" s="1"/>
  <c r="F15" i="18" s="1"/>
  <c r="G15" i="18" s="1"/>
  <c r="D47" i="22" s="1"/>
  <c r="E47" i="22" s="1"/>
  <c r="C16" i="11"/>
  <c r="E17" i="11"/>
  <c r="M17" i="13" s="1"/>
  <c r="C17" i="11"/>
  <c r="C18" i="11"/>
  <c r="H19" i="17"/>
  <c r="B18" i="18" s="1"/>
  <c r="F18" i="18" s="1"/>
  <c r="G18" i="18" s="1"/>
  <c r="D50" i="22" s="1"/>
  <c r="E50" i="22" s="1"/>
  <c r="C19" i="11"/>
  <c r="H20" i="17"/>
  <c r="B19" i="18" s="1"/>
  <c r="F19" i="18" s="1"/>
  <c r="G19" i="18" s="1"/>
  <c r="D51" i="22" s="1"/>
  <c r="E51" i="22" s="1"/>
  <c r="C20" i="11"/>
  <c r="H21" i="17"/>
  <c r="B20" i="18" s="1"/>
  <c r="F20" i="18" s="1"/>
  <c r="G20" i="18" s="1"/>
  <c r="D52" i="22" s="1"/>
  <c r="E52" i="22" s="1"/>
  <c r="C21" i="11"/>
  <c r="H22" i="17"/>
  <c r="B21" i="18" s="1"/>
  <c r="F21" i="18" s="1"/>
  <c r="G21" i="18" s="1"/>
  <c r="D53" i="22" s="1"/>
  <c r="E53" i="22" s="1"/>
  <c r="C22" i="11"/>
  <c r="C12" i="11"/>
  <c r="C13" i="10"/>
  <c r="C12" i="10"/>
  <c r="C12" i="8"/>
  <c r="C13" i="8"/>
  <c r="C14" i="8"/>
  <c r="C15" i="8"/>
  <c r="C16" i="8"/>
  <c r="C17" i="8"/>
  <c r="C18" i="8"/>
  <c r="C19" i="8"/>
  <c r="C21" i="8"/>
  <c r="G13" i="4"/>
  <c r="B12" i="8" s="1"/>
  <c r="G14" i="4"/>
  <c r="G15" i="4"/>
  <c r="G16" i="4"/>
  <c r="G17" i="4"/>
  <c r="G18" i="4"/>
  <c r="G19" i="4"/>
  <c r="G20" i="4"/>
  <c r="G21" i="4"/>
  <c r="G32" i="4"/>
  <c r="H12" i="17"/>
  <c r="B11" i="18" s="1"/>
  <c r="F11" i="18" s="1"/>
  <c r="G11" i="18" s="1"/>
  <c r="D43" i="22" s="1"/>
  <c r="E43" i="22" s="1"/>
  <c r="E15" i="2"/>
  <c r="D9" i="22" s="1"/>
  <c r="E9" i="22" s="1"/>
  <c r="E19" i="2"/>
  <c r="D13" i="22" s="1"/>
  <c r="E13" i="22" s="1"/>
  <c r="E13" i="1"/>
  <c r="G13" i="1" s="1"/>
  <c r="B7" i="22" s="1"/>
  <c r="C7" i="22" s="1"/>
  <c r="G14" i="1"/>
  <c r="B8" i="22" s="1"/>
  <c r="C8" i="22" s="1"/>
  <c r="G15" i="1"/>
  <c r="B9" i="22" s="1"/>
  <c r="C9" i="22" s="1"/>
  <c r="G18" i="1"/>
  <c r="B12" i="22" s="1"/>
  <c r="C12" i="22" s="1"/>
  <c r="G19" i="1"/>
  <c r="B13" i="22" s="1"/>
  <c r="C13" i="22" s="1"/>
  <c r="B13" i="2"/>
  <c r="B12" i="2"/>
  <c r="B47" i="21"/>
  <c r="D47" i="21"/>
  <c r="B46" i="21"/>
  <c r="D46" i="21" s="1"/>
  <c r="B45" i="21"/>
  <c r="D45" i="21"/>
  <c r="B44" i="21"/>
  <c r="B42" i="21"/>
  <c r="D42" i="21" s="1"/>
  <c r="B40" i="21"/>
  <c r="B39" i="21"/>
  <c r="B36" i="21"/>
  <c r="B35" i="21"/>
  <c r="D35" i="21"/>
  <c r="B34" i="21"/>
  <c r="B33" i="21"/>
  <c r="D33" i="21" s="1"/>
  <c r="B32" i="21"/>
  <c r="D32" i="21" s="1"/>
  <c r="B31" i="21"/>
  <c r="D31" i="21" s="1"/>
  <c r="B30" i="21"/>
  <c r="B29" i="21"/>
  <c r="D29" i="21" s="1"/>
  <c r="D37" i="21" s="1"/>
  <c r="B28" i="21"/>
  <c r="D40" i="21"/>
  <c r="D41" i="21"/>
  <c r="D43" i="21"/>
  <c r="D36" i="21"/>
  <c r="D34" i="21"/>
  <c r="D30" i="21"/>
  <c r="D28" i="21"/>
  <c r="B25" i="21"/>
  <c r="D25" i="21" s="1"/>
  <c r="D17" i="21"/>
  <c r="D24" i="21"/>
  <c r="D23" i="21"/>
  <c r="D22" i="21"/>
  <c r="D21" i="21"/>
  <c r="D20" i="21"/>
  <c r="D19" i="21"/>
  <c r="D18" i="21"/>
  <c r="D26" i="21" s="1"/>
  <c r="D11" i="18"/>
  <c r="D18" i="12"/>
  <c r="D19" i="12"/>
  <c r="D20" i="12"/>
  <c r="D21" i="12"/>
  <c r="D22" i="12"/>
  <c r="D23" i="12"/>
  <c r="D24" i="12"/>
  <c r="D25" i="12"/>
  <c r="D26" i="12"/>
  <c r="D17" i="12"/>
  <c r="D14" i="12"/>
  <c r="D15" i="12"/>
  <c r="D13" i="12"/>
  <c r="H21" i="5"/>
  <c r="H20" i="5"/>
  <c r="H19" i="5"/>
  <c r="H18" i="5"/>
  <c r="F18" i="5"/>
  <c r="H17" i="5"/>
  <c r="F17" i="5"/>
  <c r="H16" i="5"/>
  <c r="F16" i="5"/>
  <c r="H15" i="5"/>
  <c r="H14" i="5"/>
  <c r="F14" i="5"/>
  <c r="H13" i="5"/>
  <c r="E14" i="11"/>
  <c r="M14" i="13" s="1"/>
  <c r="G32" i="1"/>
  <c r="C16" i="22" s="1"/>
  <c r="G21" i="1"/>
  <c r="E12" i="1"/>
  <c r="G20" i="1"/>
  <c r="B14" i="22" s="1"/>
  <c r="C14" i="22" s="1"/>
  <c r="G17" i="1"/>
  <c r="B11" i="22" s="1"/>
  <c r="C11" i="22" s="1"/>
  <c r="G16" i="1"/>
  <c r="B10" i="22" s="1"/>
  <c r="C10" i="22" s="1"/>
  <c r="B15" i="22" l="1"/>
  <c r="C15" i="22" s="1"/>
  <c r="F15" i="22" s="1"/>
  <c r="G12" i="1"/>
  <c r="B6" i="22" s="1"/>
  <c r="C6" i="22" s="1"/>
  <c r="F6" i="22" s="1"/>
  <c r="B12" i="10"/>
  <c r="D12" i="10" s="1"/>
  <c r="D23" i="22" s="1"/>
  <c r="E23" i="22" s="1"/>
  <c r="F159" i="13"/>
  <c r="I159" i="13" s="1"/>
  <c r="J159" i="13" s="1"/>
  <c r="F167" i="13"/>
  <c r="I167" i="13" s="1"/>
  <c r="J167" i="13" s="1"/>
  <c r="F160" i="13"/>
  <c r="I160" i="13" s="1"/>
  <c r="J160" i="13" s="1"/>
  <c r="F168" i="13"/>
  <c r="I168" i="13" s="1"/>
  <c r="J168" i="13" s="1"/>
  <c r="F163" i="13"/>
  <c r="I163" i="13" s="1"/>
  <c r="J163" i="13" s="1"/>
  <c r="F161" i="13"/>
  <c r="I161" i="13" s="1"/>
  <c r="J161" i="13" s="1"/>
  <c r="F169" i="13"/>
  <c r="I169" i="13" s="1"/>
  <c r="J169" i="13" s="1"/>
  <c r="F171" i="13"/>
  <c r="I171" i="13" s="1"/>
  <c r="J171" i="13" s="1"/>
  <c r="F164" i="13"/>
  <c r="I164" i="13" s="1"/>
  <c r="J164" i="13" s="1"/>
  <c r="F162" i="13"/>
  <c r="I162" i="13" s="1"/>
  <c r="J162" i="13" s="1"/>
  <c r="F170" i="13"/>
  <c r="I170" i="13" s="1"/>
  <c r="J170" i="13" s="1"/>
  <c r="F157" i="13"/>
  <c r="I157" i="13" s="1"/>
  <c r="F158" i="13"/>
  <c r="I158" i="13" s="1"/>
  <c r="J158" i="13" s="1"/>
  <c r="F166" i="13"/>
  <c r="I166" i="13" s="1"/>
  <c r="J166" i="13" s="1"/>
  <c r="F165" i="13"/>
  <c r="I165" i="13" s="1"/>
  <c r="J165" i="13" s="1"/>
  <c r="I329" i="5"/>
  <c r="M23" i="5" s="1"/>
  <c r="F33" i="22" s="1"/>
  <c r="F81" i="13"/>
  <c r="I81" i="13" s="1"/>
  <c r="J81" i="13" s="1"/>
  <c r="F85" i="13"/>
  <c r="I85" i="13" s="1"/>
  <c r="J85" i="13" s="1"/>
  <c r="F74" i="13"/>
  <c r="I74" i="13" s="1"/>
  <c r="J74" i="13" s="1"/>
  <c r="F82" i="13"/>
  <c r="I82" i="13" s="1"/>
  <c r="J82" i="13" s="1"/>
  <c r="F75" i="13"/>
  <c r="I75" i="13" s="1"/>
  <c r="J75" i="13" s="1"/>
  <c r="F83" i="13"/>
  <c r="I83" i="13" s="1"/>
  <c r="J83" i="13" s="1"/>
  <c r="F77" i="13"/>
  <c r="I77" i="13" s="1"/>
  <c r="J77" i="13" s="1"/>
  <c r="F76" i="13"/>
  <c r="I76" i="13" s="1"/>
  <c r="J76" i="13" s="1"/>
  <c r="F84" i="13"/>
  <c r="I84" i="13" s="1"/>
  <c r="J84" i="13" s="1"/>
  <c r="F78" i="13"/>
  <c r="I78" i="13" s="1"/>
  <c r="J78" i="13" s="1"/>
  <c r="F86" i="13"/>
  <c r="I86" i="13" s="1"/>
  <c r="J86" i="13" s="1"/>
  <c r="F73" i="13"/>
  <c r="I73" i="13" s="1"/>
  <c r="F87" i="13"/>
  <c r="I87" i="13" s="1"/>
  <c r="J87" i="13" s="1"/>
  <c r="F79" i="13"/>
  <c r="I79" i="13" s="1"/>
  <c r="J79" i="13" s="1"/>
  <c r="F80" i="13"/>
  <c r="I80" i="13" s="1"/>
  <c r="J80" i="13" s="1"/>
  <c r="B31" i="8"/>
  <c r="D31" i="8" s="1"/>
  <c r="L33" i="5"/>
  <c r="B32" i="10"/>
  <c r="D32" i="10" s="1"/>
  <c r="L18" i="5"/>
  <c r="B17" i="10"/>
  <c r="D17" i="10" s="1"/>
  <c r="D28" i="22" s="1"/>
  <c r="E28" i="22" s="1"/>
  <c r="B16" i="8"/>
  <c r="D16" i="8" s="1"/>
  <c r="B28" i="22" s="1"/>
  <c r="C28" i="22" s="1"/>
  <c r="B16" i="10"/>
  <c r="D16" i="10" s="1"/>
  <c r="D27" i="22" s="1"/>
  <c r="E27" i="22" s="1"/>
  <c r="B15" i="8"/>
  <c r="D15" i="8" s="1"/>
  <c r="B27" i="22" s="1"/>
  <c r="C27" i="22" s="1"/>
  <c r="L17" i="5"/>
  <c r="L21" i="5"/>
  <c r="B20" i="10"/>
  <c r="D20" i="10" s="1"/>
  <c r="D31" i="22" s="1"/>
  <c r="E31" i="22" s="1"/>
  <c r="B19" i="8"/>
  <c r="D19" i="8" s="1"/>
  <c r="B31" i="22" s="1"/>
  <c r="C31" i="22" s="1"/>
  <c r="L20" i="5"/>
  <c r="B19" i="10"/>
  <c r="D19" i="10" s="1"/>
  <c r="D30" i="22" s="1"/>
  <c r="E30" i="22" s="1"/>
  <c r="B18" i="8"/>
  <c r="D18" i="8" s="1"/>
  <c r="B30" i="22" s="1"/>
  <c r="C30" i="22" s="1"/>
  <c r="L13" i="5"/>
  <c r="L15" i="5"/>
  <c r="B14" i="10"/>
  <c r="D14" i="10" s="1"/>
  <c r="D25" i="22" s="1"/>
  <c r="E25" i="22" s="1"/>
  <c r="B13" i="8"/>
  <c r="D13" i="8" s="1"/>
  <c r="B25" i="22" s="1"/>
  <c r="C25" i="22" s="1"/>
  <c r="L19" i="5"/>
  <c r="B18" i="10"/>
  <c r="D18" i="10" s="1"/>
  <c r="D29" i="22" s="1"/>
  <c r="E29" i="22" s="1"/>
  <c r="B17" i="8"/>
  <c r="D17" i="8" s="1"/>
  <c r="B29" i="22" s="1"/>
  <c r="C29" i="22" s="1"/>
  <c r="L16" i="5"/>
  <c r="B15" i="10"/>
  <c r="D15" i="10" s="1"/>
  <c r="D26" i="22" s="1"/>
  <c r="E26" i="22" s="1"/>
  <c r="B14" i="8"/>
  <c r="D14" i="8" s="1"/>
  <c r="B26" i="22" s="1"/>
  <c r="C26" i="22" s="1"/>
  <c r="L22" i="5"/>
  <c r="B20" i="8"/>
  <c r="D20" i="8" s="1"/>
  <c r="B32" i="22" s="1"/>
  <c r="C32" i="22" s="1"/>
  <c r="B21" i="10"/>
  <c r="D21" i="10" s="1"/>
  <c r="D32" i="22" s="1"/>
  <c r="E32" i="22" s="1"/>
  <c r="F8" i="22"/>
  <c r="F14" i="22"/>
  <c r="F12" i="22"/>
  <c r="D11" i="8"/>
  <c r="B23" i="22" s="1"/>
  <c r="C23" i="22" s="1"/>
  <c r="D12" i="8"/>
  <c r="B24" i="22" s="1"/>
  <c r="C24" i="22" s="1"/>
  <c r="H17" i="17"/>
  <c r="B16" i="18" s="1"/>
  <c r="F16" i="18" s="1"/>
  <c r="G16" i="18" s="1"/>
  <c r="D48" i="22" s="1"/>
  <c r="E48" i="22" s="1"/>
  <c r="E15" i="11"/>
  <c r="M15" i="13" s="1"/>
  <c r="E16" i="11"/>
  <c r="M16" i="13" s="1"/>
  <c r="E21" i="11"/>
  <c r="M21" i="13" s="1"/>
  <c r="E20" i="11"/>
  <c r="M20" i="13" s="1"/>
  <c r="E12" i="11"/>
  <c r="M12" i="13" s="1"/>
  <c r="E13" i="11"/>
  <c r="M13" i="13" s="1"/>
  <c r="E19" i="11"/>
  <c r="M19" i="13" s="1"/>
  <c r="F9" i="22"/>
  <c r="F10" i="22"/>
  <c r="F11" i="22"/>
  <c r="F16" i="22"/>
  <c r="F7" i="22"/>
  <c r="D33" i="22"/>
  <c r="E33" i="22" s="1"/>
  <c r="D21" i="8"/>
  <c r="B33" i="22" s="1"/>
  <c r="C33" i="22" s="1"/>
  <c r="H18" i="17"/>
  <c r="B17" i="18" s="1"/>
  <c r="F17" i="18" s="1"/>
  <c r="G17" i="18" s="1"/>
  <c r="D49" i="22" s="1"/>
  <c r="E49" i="22" s="1"/>
  <c r="E18" i="11"/>
  <c r="M18" i="13" s="1"/>
  <c r="B13" i="10"/>
  <c r="D44" i="21"/>
  <c r="E22" i="11"/>
  <c r="M22" i="13" s="1"/>
  <c r="F13" i="22"/>
  <c r="D39" i="21"/>
  <c r="D48" i="21" s="1"/>
  <c r="L14" i="5"/>
  <c r="C48" i="5" l="1"/>
  <c r="I48" i="5" s="1"/>
  <c r="C55" i="5"/>
  <c r="I55" i="5" s="1"/>
  <c r="C47" i="5"/>
  <c r="I47" i="5" s="1"/>
  <c r="C54" i="5"/>
  <c r="I54" i="5" s="1"/>
  <c r="C53" i="5"/>
  <c r="I53" i="5" s="1"/>
  <c r="C52" i="5"/>
  <c r="I52" i="5" s="1"/>
  <c r="C51" i="5"/>
  <c r="I51" i="5" s="1"/>
  <c r="C50" i="5"/>
  <c r="I50" i="5" s="1"/>
  <c r="C49" i="5"/>
  <c r="I49" i="5" s="1"/>
  <c r="F273" i="13"/>
  <c r="I273" i="13" s="1"/>
  <c r="J273" i="13" s="1"/>
  <c r="F281" i="13"/>
  <c r="I281" i="13" s="1"/>
  <c r="J281" i="13" s="1"/>
  <c r="F274" i="13"/>
  <c r="I274" i="13" s="1"/>
  <c r="J274" i="13" s="1"/>
  <c r="F282" i="13"/>
  <c r="I282" i="13" s="1"/>
  <c r="J282" i="13" s="1"/>
  <c r="F270" i="13"/>
  <c r="I270" i="13" s="1"/>
  <c r="J270" i="13" s="1"/>
  <c r="F275" i="13"/>
  <c r="I275" i="13" s="1"/>
  <c r="J275" i="13" s="1"/>
  <c r="F283" i="13"/>
  <c r="I283" i="13" s="1"/>
  <c r="J283" i="13" s="1"/>
  <c r="F276" i="13"/>
  <c r="I276" i="13" s="1"/>
  <c r="J276" i="13" s="1"/>
  <c r="F269" i="13"/>
  <c r="I269" i="13" s="1"/>
  <c r="F277" i="13"/>
  <c r="I277" i="13" s="1"/>
  <c r="J277" i="13" s="1"/>
  <c r="F278" i="13"/>
  <c r="I278" i="13" s="1"/>
  <c r="J278" i="13" s="1"/>
  <c r="F279" i="13"/>
  <c r="I279" i="13" s="1"/>
  <c r="J279" i="13" s="1"/>
  <c r="F280" i="13"/>
  <c r="I280" i="13" s="1"/>
  <c r="J280" i="13" s="1"/>
  <c r="F272" i="13"/>
  <c r="I272" i="13" s="1"/>
  <c r="J272" i="13" s="1"/>
  <c r="F271" i="13"/>
  <c r="I271" i="13" s="1"/>
  <c r="J271" i="13" s="1"/>
  <c r="C17" i="5"/>
  <c r="C21" i="5"/>
  <c r="I21" i="5" s="1"/>
  <c r="C16" i="5"/>
  <c r="I16" i="5" s="1"/>
  <c r="C13" i="5"/>
  <c r="C15" i="5"/>
  <c r="I15" i="5" s="1"/>
  <c r="C14" i="5"/>
  <c r="C19" i="5"/>
  <c r="I19" i="5" s="1"/>
  <c r="C18" i="5"/>
  <c r="I18" i="5" s="1"/>
  <c r="C20" i="5"/>
  <c r="I20" i="5" s="1"/>
  <c r="C113" i="5"/>
  <c r="I113" i="5" s="1"/>
  <c r="C112" i="5"/>
  <c r="I112" i="5" s="1"/>
  <c r="C109" i="5"/>
  <c r="I109" i="5" s="1"/>
  <c r="C111" i="5"/>
  <c r="I111" i="5" s="1"/>
  <c r="C110" i="5"/>
  <c r="I110" i="5" s="1"/>
  <c r="C116" i="5"/>
  <c r="I116" i="5" s="1"/>
  <c r="C115" i="5"/>
  <c r="I115" i="5" s="1"/>
  <c r="C114" i="5"/>
  <c r="I114" i="5" s="1"/>
  <c r="C108" i="5"/>
  <c r="I108" i="5" s="1"/>
  <c r="C230" i="5"/>
  <c r="I230" i="5" s="1"/>
  <c r="C233" i="5"/>
  <c r="I233" i="5" s="1"/>
  <c r="C237" i="5"/>
  <c r="I237" i="5" s="1"/>
  <c r="C229" i="5"/>
  <c r="I229" i="5" s="1"/>
  <c r="C236" i="5"/>
  <c r="I236" i="5" s="1"/>
  <c r="C234" i="5"/>
  <c r="I234" i="5" s="1"/>
  <c r="C235" i="5"/>
  <c r="I235" i="5" s="1"/>
  <c r="C232" i="5"/>
  <c r="I232" i="5" s="1"/>
  <c r="C231" i="5"/>
  <c r="I231" i="5" s="1"/>
  <c r="J73" i="13"/>
  <c r="J88" i="13" s="1"/>
  <c r="N14" i="13" s="1"/>
  <c r="B45" i="22" s="1"/>
  <c r="I88" i="13"/>
  <c r="I172" i="13"/>
  <c r="J157" i="13"/>
  <c r="J172" i="13" s="1"/>
  <c r="N17" i="13" s="1"/>
  <c r="B48" i="22" s="1"/>
  <c r="F219" i="13"/>
  <c r="I219" i="13" s="1"/>
  <c r="J219" i="13" s="1"/>
  <c r="F227" i="13"/>
  <c r="I227" i="13" s="1"/>
  <c r="J227" i="13" s="1"/>
  <c r="F220" i="13"/>
  <c r="I220" i="13" s="1"/>
  <c r="J220" i="13" s="1"/>
  <c r="F213" i="13"/>
  <c r="I213" i="13" s="1"/>
  <c r="F223" i="13"/>
  <c r="I223" i="13" s="1"/>
  <c r="J223" i="13" s="1"/>
  <c r="F221" i="13"/>
  <c r="I221" i="13" s="1"/>
  <c r="J221" i="13" s="1"/>
  <c r="F215" i="13"/>
  <c r="I215" i="13" s="1"/>
  <c r="J215" i="13" s="1"/>
  <c r="F216" i="13"/>
  <c r="I216" i="13" s="1"/>
  <c r="J216" i="13" s="1"/>
  <c r="F224" i="13"/>
  <c r="I224" i="13" s="1"/>
  <c r="J224" i="13" s="1"/>
  <c r="F214" i="13"/>
  <c r="I214" i="13" s="1"/>
  <c r="J214" i="13" s="1"/>
  <c r="F222" i="13"/>
  <c r="I222" i="13" s="1"/>
  <c r="J222" i="13" s="1"/>
  <c r="F217" i="13"/>
  <c r="I217" i="13" s="1"/>
  <c r="J217" i="13" s="1"/>
  <c r="F218" i="13"/>
  <c r="I218" i="13" s="1"/>
  <c r="J218" i="13" s="1"/>
  <c r="F225" i="13"/>
  <c r="I225" i="13" s="1"/>
  <c r="J225" i="13" s="1"/>
  <c r="F226" i="13"/>
  <c r="I226" i="13" s="1"/>
  <c r="J226" i="13" s="1"/>
  <c r="F301" i="13"/>
  <c r="I301" i="13" s="1"/>
  <c r="J301" i="13" s="1"/>
  <c r="F309" i="13"/>
  <c r="I309" i="13" s="1"/>
  <c r="J309" i="13" s="1"/>
  <c r="F302" i="13"/>
  <c r="I302" i="13" s="1"/>
  <c r="J302" i="13" s="1"/>
  <c r="F310" i="13"/>
  <c r="I310" i="13" s="1"/>
  <c r="J310" i="13" s="1"/>
  <c r="F306" i="13"/>
  <c r="I306" i="13" s="1"/>
  <c r="J306" i="13" s="1"/>
  <c r="F303" i="13"/>
  <c r="I303" i="13" s="1"/>
  <c r="J303" i="13" s="1"/>
  <c r="F311" i="13"/>
  <c r="I311" i="13" s="1"/>
  <c r="J311" i="13" s="1"/>
  <c r="F305" i="13"/>
  <c r="I305" i="13" s="1"/>
  <c r="J305" i="13" s="1"/>
  <c r="F304" i="13"/>
  <c r="I304" i="13" s="1"/>
  <c r="J304" i="13" s="1"/>
  <c r="F297" i="13"/>
  <c r="I297" i="13" s="1"/>
  <c r="F298" i="13"/>
  <c r="I298" i="13" s="1"/>
  <c r="J298" i="13" s="1"/>
  <c r="F308" i="13"/>
  <c r="I308" i="13" s="1"/>
  <c r="J308" i="13" s="1"/>
  <c r="F299" i="13"/>
  <c r="I299" i="13" s="1"/>
  <c r="J299" i="13" s="1"/>
  <c r="F300" i="13"/>
  <c r="I300" i="13" s="1"/>
  <c r="J300" i="13" s="1"/>
  <c r="F307" i="13"/>
  <c r="I307" i="13" s="1"/>
  <c r="J307" i="13" s="1"/>
  <c r="F52" i="13"/>
  <c r="I52" i="13" s="1"/>
  <c r="J52" i="13" s="1"/>
  <c r="F45" i="13"/>
  <c r="I45" i="13" s="1"/>
  <c r="F57" i="13"/>
  <c r="I57" i="13" s="1"/>
  <c r="J57" i="13" s="1"/>
  <c r="F53" i="13"/>
  <c r="I53" i="13" s="1"/>
  <c r="J53" i="13" s="1"/>
  <c r="F46" i="13"/>
  <c r="I46" i="13" s="1"/>
  <c r="J46" i="13" s="1"/>
  <c r="F54" i="13"/>
  <c r="I54" i="13" s="1"/>
  <c r="J54" i="13" s="1"/>
  <c r="F49" i="13"/>
  <c r="I49" i="13" s="1"/>
  <c r="J49" i="13" s="1"/>
  <c r="F47" i="13"/>
  <c r="I47" i="13" s="1"/>
  <c r="J47" i="13" s="1"/>
  <c r="F55" i="13"/>
  <c r="I55" i="13" s="1"/>
  <c r="J55" i="13" s="1"/>
  <c r="F48" i="13"/>
  <c r="I48" i="13" s="1"/>
  <c r="J48" i="13" s="1"/>
  <c r="F56" i="13"/>
  <c r="I56" i="13" s="1"/>
  <c r="J56" i="13" s="1"/>
  <c r="F51" i="13"/>
  <c r="I51" i="13" s="1"/>
  <c r="J51" i="13" s="1"/>
  <c r="F58" i="13"/>
  <c r="I58" i="13" s="1"/>
  <c r="J58" i="13" s="1"/>
  <c r="F59" i="13"/>
  <c r="I59" i="13" s="1"/>
  <c r="J59" i="13" s="1"/>
  <c r="F50" i="13"/>
  <c r="I50" i="13" s="1"/>
  <c r="J50" i="13" s="1"/>
  <c r="C204" i="5"/>
  <c r="I204" i="5" s="1"/>
  <c r="C200" i="5"/>
  <c r="I200" i="5" s="1"/>
  <c r="C207" i="5"/>
  <c r="I207" i="5" s="1"/>
  <c r="C203" i="5"/>
  <c r="I203" i="5" s="1"/>
  <c r="C202" i="5"/>
  <c r="I202" i="5" s="1"/>
  <c r="C199" i="5"/>
  <c r="I199" i="5" s="1"/>
  <c r="C201" i="5"/>
  <c r="I201" i="5" s="1"/>
  <c r="C205" i="5"/>
  <c r="I205" i="5" s="1"/>
  <c r="C206" i="5"/>
  <c r="I206" i="5" s="1"/>
  <c r="C176" i="5"/>
  <c r="I176" i="5" s="1"/>
  <c r="C172" i="5"/>
  <c r="I172" i="5" s="1"/>
  <c r="C175" i="5"/>
  <c r="I175" i="5" s="1"/>
  <c r="C174" i="5"/>
  <c r="I174" i="5" s="1"/>
  <c r="C173" i="5"/>
  <c r="I173" i="5" s="1"/>
  <c r="C171" i="5"/>
  <c r="I171" i="5" s="1"/>
  <c r="C170" i="5"/>
  <c r="I170" i="5" s="1"/>
  <c r="C169" i="5"/>
  <c r="I169" i="5" s="1"/>
  <c r="C177" i="5"/>
  <c r="I177" i="5" s="1"/>
  <c r="C85" i="5"/>
  <c r="I85" i="5" s="1"/>
  <c r="C77" i="5"/>
  <c r="I77" i="5" s="1"/>
  <c r="C84" i="5"/>
  <c r="I84" i="5" s="1"/>
  <c r="C83" i="5"/>
  <c r="I83" i="5" s="1"/>
  <c r="C81" i="5"/>
  <c r="I81" i="5" s="1"/>
  <c r="C82" i="5"/>
  <c r="I82" i="5" s="1"/>
  <c r="C78" i="5"/>
  <c r="I78" i="5" s="1"/>
  <c r="C80" i="5"/>
  <c r="I80" i="5" s="1"/>
  <c r="C79" i="5"/>
  <c r="I79" i="5" s="1"/>
  <c r="F188" i="13"/>
  <c r="I188" i="13" s="1"/>
  <c r="J188" i="13" s="1"/>
  <c r="F196" i="13"/>
  <c r="I196" i="13" s="1"/>
  <c r="J196" i="13" s="1"/>
  <c r="F189" i="13"/>
  <c r="I189" i="13" s="1"/>
  <c r="J189" i="13" s="1"/>
  <c r="F197" i="13"/>
  <c r="I197" i="13" s="1"/>
  <c r="J197" i="13" s="1"/>
  <c r="F192" i="13"/>
  <c r="I192" i="13" s="1"/>
  <c r="J192" i="13" s="1"/>
  <c r="F185" i="13"/>
  <c r="I185" i="13" s="1"/>
  <c r="F190" i="13"/>
  <c r="I190" i="13" s="1"/>
  <c r="J190" i="13" s="1"/>
  <c r="F198" i="13"/>
  <c r="I198" i="13" s="1"/>
  <c r="J198" i="13" s="1"/>
  <c r="F191" i="13"/>
  <c r="I191" i="13" s="1"/>
  <c r="J191" i="13" s="1"/>
  <c r="F199" i="13"/>
  <c r="I199" i="13" s="1"/>
  <c r="J199" i="13" s="1"/>
  <c r="F193" i="13"/>
  <c r="I193" i="13" s="1"/>
  <c r="J193" i="13" s="1"/>
  <c r="F186" i="13"/>
  <c r="I186" i="13" s="1"/>
  <c r="J186" i="13" s="1"/>
  <c r="F194" i="13"/>
  <c r="I194" i="13" s="1"/>
  <c r="J194" i="13" s="1"/>
  <c r="F187" i="13"/>
  <c r="I187" i="13" s="1"/>
  <c r="J187" i="13" s="1"/>
  <c r="F195" i="13"/>
  <c r="I195" i="13" s="1"/>
  <c r="J195" i="13" s="1"/>
  <c r="F132" i="13"/>
  <c r="I132" i="13" s="1"/>
  <c r="J132" i="13" s="1"/>
  <c r="F140" i="13"/>
  <c r="I140" i="13" s="1"/>
  <c r="J140" i="13" s="1"/>
  <c r="F129" i="13"/>
  <c r="I129" i="13" s="1"/>
  <c r="F137" i="13"/>
  <c r="I137" i="13" s="1"/>
  <c r="J137" i="13" s="1"/>
  <c r="F133" i="13"/>
  <c r="I133" i="13" s="1"/>
  <c r="J133" i="13" s="1"/>
  <c r="F141" i="13"/>
  <c r="I141" i="13" s="1"/>
  <c r="J141" i="13" s="1"/>
  <c r="F134" i="13"/>
  <c r="I134" i="13" s="1"/>
  <c r="J134" i="13" s="1"/>
  <c r="F142" i="13"/>
  <c r="I142" i="13" s="1"/>
  <c r="J142" i="13" s="1"/>
  <c r="F135" i="13"/>
  <c r="I135" i="13" s="1"/>
  <c r="J135" i="13" s="1"/>
  <c r="F143" i="13"/>
  <c r="I143" i="13" s="1"/>
  <c r="J143" i="13" s="1"/>
  <c r="F136" i="13"/>
  <c r="I136" i="13" s="1"/>
  <c r="J136" i="13" s="1"/>
  <c r="F130" i="13"/>
  <c r="I130" i="13" s="1"/>
  <c r="J130" i="13" s="1"/>
  <c r="F131" i="13"/>
  <c r="I131" i="13" s="1"/>
  <c r="J131" i="13" s="1"/>
  <c r="F138" i="13"/>
  <c r="I138" i="13" s="1"/>
  <c r="J138" i="13" s="1"/>
  <c r="F139" i="13"/>
  <c r="I139" i="13" s="1"/>
  <c r="J139" i="13" s="1"/>
  <c r="F102" i="13"/>
  <c r="I102" i="13" s="1"/>
  <c r="J102" i="13" s="1"/>
  <c r="F110" i="13"/>
  <c r="I110" i="13" s="1"/>
  <c r="J110" i="13" s="1"/>
  <c r="F103" i="13"/>
  <c r="I103" i="13" s="1"/>
  <c r="J103" i="13" s="1"/>
  <c r="F111" i="13"/>
  <c r="I111" i="13" s="1"/>
  <c r="J111" i="13" s="1"/>
  <c r="F106" i="13"/>
  <c r="I106" i="13" s="1"/>
  <c r="J106" i="13" s="1"/>
  <c r="F114" i="13"/>
  <c r="I114" i="13" s="1"/>
  <c r="J114" i="13" s="1"/>
  <c r="F104" i="13"/>
  <c r="I104" i="13" s="1"/>
  <c r="J104" i="13" s="1"/>
  <c r="F112" i="13"/>
  <c r="I112" i="13" s="1"/>
  <c r="J112" i="13" s="1"/>
  <c r="F107" i="13"/>
  <c r="I107" i="13" s="1"/>
  <c r="J107" i="13" s="1"/>
  <c r="F105" i="13"/>
  <c r="I105" i="13" s="1"/>
  <c r="J105" i="13" s="1"/>
  <c r="F113" i="13"/>
  <c r="I113" i="13" s="1"/>
  <c r="J113" i="13" s="1"/>
  <c r="F115" i="13"/>
  <c r="I115" i="13" s="1"/>
  <c r="J115" i="13" s="1"/>
  <c r="F108" i="13"/>
  <c r="I108" i="13" s="1"/>
  <c r="J108" i="13" s="1"/>
  <c r="F109" i="13"/>
  <c r="I109" i="13" s="1"/>
  <c r="J109" i="13" s="1"/>
  <c r="F101" i="13"/>
  <c r="I101" i="13" s="1"/>
  <c r="C141" i="5"/>
  <c r="I141" i="5" s="1"/>
  <c r="C140" i="5"/>
  <c r="I140" i="5" s="1"/>
  <c r="C147" i="5"/>
  <c r="I147" i="5" s="1"/>
  <c r="C139" i="5"/>
  <c r="I139" i="5" s="1"/>
  <c r="C145" i="5"/>
  <c r="I145" i="5" s="1"/>
  <c r="C146" i="5"/>
  <c r="I146" i="5" s="1"/>
  <c r="C144" i="5"/>
  <c r="I144" i="5" s="1"/>
  <c r="C143" i="5"/>
  <c r="I143" i="5" s="1"/>
  <c r="C142" i="5"/>
  <c r="I142" i="5" s="1"/>
  <c r="F15" i="13"/>
  <c r="I15" i="13" s="1"/>
  <c r="J15" i="13" s="1"/>
  <c r="F23" i="13"/>
  <c r="I23" i="13" s="1"/>
  <c r="J23" i="13" s="1"/>
  <c r="F19" i="13"/>
  <c r="I19" i="13" s="1"/>
  <c r="F20" i="13"/>
  <c r="I20" i="13" s="1"/>
  <c r="J20" i="13" s="1"/>
  <c r="F16" i="13"/>
  <c r="F24" i="13"/>
  <c r="I24" i="13" s="1"/>
  <c r="J24" i="13" s="1"/>
  <c r="F17" i="13"/>
  <c r="I17" i="13" s="1"/>
  <c r="J17" i="13" s="1"/>
  <c r="F25" i="13"/>
  <c r="I25" i="13" s="1"/>
  <c r="J25" i="13" s="1"/>
  <c r="F18" i="13"/>
  <c r="I18" i="13" s="1"/>
  <c r="J18" i="13" s="1"/>
  <c r="F26" i="13"/>
  <c r="I26" i="13" s="1"/>
  <c r="J26" i="13" s="1"/>
  <c r="F12" i="13"/>
  <c r="I12" i="13" s="1"/>
  <c r="J12" i="13" s="1"/>
  <c r="F22" i="13"/>
  <c r="I22" i="13" s="1"/>
  <c r="J22" i="13" s="1"/>
  <c r="F13" i="13"/>
  <c r="I13" i="13" s="1"/>
  <c r="J13" i="13" s="1"/>
  <c r="F14" i="13"/>
  <c r="F21" i="13"/>
  <c r="I21" i="13" s="1"/>
  <c r="J21" i="13" s="1"/>
  <c r="F248" i="13"/>
  <c r="I248" i="13" s="1"/>
  <c r="J248" i="13" s="1"/>
  <c r="F241" i="13"/>
  <c r="I241" i="13" s="1"/>
  <c r="F244" i="13"/>
  <c r="I244" i="13" s="1"/>
  <c r="J244" i="13" s="1"/>
  <c r="F249" i="13"/>
  <c r="I249" i="13" s="1"/>
  <c r="J249" i="13" s="1"/>
  <c r="F242" i="13"/>
  <c r="I242" i="13" s="1"/>
  <c r="J242" i="13" s="1"/>
  <c r="F250" i="13"/>
  <c r="I250" i="13" s="1"/>
  <c r="J250" i="13" s="1"/>
  <c r="F243" i="13"/>
  <c r="I243" i="13" s="1"/>
  <c r="J243" i="13" s="1"/>
  <c r="F251" i="13"/>
  <c r="I251" i="13" s="1"/>
  <c r="J251" i="13" s="1"/>
  <c r="F252" i="13"/>
  <c r="I252" i="13" s="1"/>
  <c r="J252" i="13" s="1"/>
  <c r="F245" i="13"/>
  <c r="I245" i="13" s="1"/>
  <c r="J245" i="13" s="1"/>
  <c r="F253" i="13"/>
  <c r="I253" i="13" s="1"/>
  <c r="J253" i="13" s="1"/>
  <c r="F247" i="13"/>
  <c r="I247" i="13" s="1"/>
  <c r="J247" i="13" s="1"/>
  <c r="F254" i="13"/>
  <c r="I254" i="13" s="1"/>
  <c r="J254" i="13" s="1"/>
  <c r="F255" i="13"/>
  <c r="I255" i="13" s="1"/>
  <c r="J255" i="13" s="1"/>
  <c r="F246" i="13"/>
  <c r="I246" i="13" s="1"/>
  <c r="J246" i="13" s="1"/>
  <c r="C293" i="5"/>
  <c r="I293" i="5" s="1"/>
  <c r="C296" i="5"/>
  <c r="I296" i="5" s="1"/>
  <c r="C292" i="5"/>
  <c r="I292" i="5" s="1"/>
  <c r="C291" i="5"/>
  <c r="I291" i="5" s="1"/>
  <c r="C289" i="5"/>
  <c r="I289" i="5" s="1"/>
  <c r="C290" i="5"/>
  <c r="I290" i="5" s="1"/>
  <c r="C297" i="5"/>
  <c r="I297" i="5" s="1"/>
  <c r="C294" i="5"/>
  <c r="I294" i="5" s="1"/>
  <c r="C295" i="5"/>
  <c r="I295" i="5" s="1"/>
  <c r="C267" i="5"/>
  <c r="I267" i="5" s="1"/>
  <c r="C259" i="5"/>
  <c r="I259" i="5" s="1"/>
  <c r="C266" i="5"/>
  <c r="I266" i="5" s="1"/>
  <c r="C265" i="5"/>
  <c r="I265" i="5" s="1"/>
  <c r="C262" i="5"/>
  <c r="I262" i="5" s="1"/>
  <c r="C264" i="5"/>
  <c r="I264" i="5" s="1"/>
  <c r="C263" i="5"/>
  <c r="I263" i="5" s="1"/>
  <c r="C261" i="5"/>
  <c r="I261" i="5" s="1"/>
  <c r="C260" i="5"/>
  <c r="I260" i="5" s="1"/>
  <c r="I13" i="5"/>
  <c r="I17" i="5"/>
  <c r="I14" i="5"/>
  <c r="D13" i="10"/>
  <c r="D24" i="22" s="1"/>
  <c r="E24" i="22" s="1"/>
  <c r="I16" i="13"/>
  <c r="J16" i="13" s="1"/>
  <c r="G33" i="22"/>
  <c r="I14" i="13"/>
  <c r="J14" i="13" s="1"/>
  <c r="C45" i="22" s="1"/>
  <c r="F45" i="22" s="1"/>
  <c r="I179" i="5" l="1"/>
  <c r="M18" i="5" s="1"/>
  <c r="F28" i="22" s="1"/>
  <c r="G28" i="22" s="1"/>
  <c r="C48" i="22"/>
  <c r="F48" i="22" s="1"/>
  <c r="I299" i="5"/>
  <c r="M22" i="5" s="1"/>
  <c r="F32" i="22" s="1"/>
  <c r="G32" i="22" s="1"/>
  <c r="J129" i="13"/>
  <c r="J144" i="13" s="1"/>
  <c r="N16" i="13" s="1"/>
  <c r="B47" i="22" s="1"/>
  <c r="C47" i="22" s="1"/>
  <c r="F47" i="22" s="1"/>
  <c r="I144" i="13"/>
  <c r="I269" i="5"/>
  <c r="M21" i="5" s="1"/>
  <c r="F31" i="22" s="1"/>
  <c r="G31" i="22" s="1"/>
  <c r="J241" i="13"/>
  <c r="J256" i="13" s="1"/>
  <c r="N20" i="13" s="1"/>
  <c r="B51" i="22" s="1"/>
  <c r="C51" i="22" s="1"/>
  <c r="F51" i="22" s="1"/>
  <c r="I256" i="13"/>
  <c r="I87" i="5"/>
  <c r="M15" i="5" s="1"/>
  <c r="F25" i="22" s="1"/>
  <c r="G25" i="22" s="1"/>
  <c r="J45" i="13"/>
  <c r="J60" i="13" s="1"/>
  <c r="N13" i="13" s="1"/>
  <c r="B44" i="22" s="1"/>
  <c r="C44" i="22" s="1"/>
  <c r="F44" i="22" s="1"/>
  <c r="I60" i="13"/>
  <c r="I239" i="5"/>
  <c r="M20" i="5" s="1"/>
  <c r="F30" i="22" s="1"/>
  <c r="G30" i="22" s="1"/>
  <c r="I200" i="13"/>
  <c r="J185" i="13"/>
  <c r="J200" i="13" s="1"/>
  <c r="N18" i="13" s="1"/>
  <c r="B49" i="22" s="1"/>
  <c r="C49" i="22" s="1"/>
  <c r="F49" i="22" s="1"/>
  <c r="I116" i="13"/>
  <c r="J101" i="13"/>
  <c r="J116" i="13" s="1"/>
  <c r="N15" i="13" s="1"/>
  <c r="B46" i="22" s="1"/>
  <c r="C46" i="22" s="1"/>
  <c r="F46" i="22" s="1"/>
  <c r="I228" i="13"/>
  <c r="J213" i="13"/>
  <c r="J228" i="13" s="1"/>
  <c r="N19" i="13" s="1"/>
  <c r="B50" i="22" s="1"/>
  <c r="I209" i="5"/>
  <c r="M19" i="5" s="1"/>
  <c r="F29" i="22" s="1"/>
  <c r="G29" i="22" s="1"/>
  <c r="I118" i="5"/>
  <c r="M16" i="5" s="1"/>
  <c r="F26" i="22" s="1"/>
  <c r="G26" i="22" s="1"/>
  <c r="I57" i="5"/>
  <c r="M14" i="5" s="1"/>
  <c r="F24" i="22" s="1"/>
  <c r="G24" i="22" s="1"/>
  <c r="I149" i="5"/>
  <c r="M17" i="5" s="1"/>
  <c r="F27" i="22" s="1"/>
  <c r="G27" i="22" s="1"/>
  <c r="I284" i="13"/>
  <c r="J269" i="13"/>
  <c r="J284" i="13" s="1"/>
  <c r="N21" i="13" s="1"/>
  <c r="B52" i="22" s="1"/>
  <c r="C52" i="22" s="1"/>
  <c r="F52" i="22" s="1"/>
  <c r="J297" i="13"/>
  <c r="J312" i="13" s="1"/>
  <c r="N22" i="13" s="1"/>
  <c r="B53" i="22" s="1"/>
  <c r="C53" i="22" s="1"/>
  <c r="F53" i="22" s="1"/>
  <c r="I312" i="13"/>
  <c r="I23" i="5"/>
  <c r="M13" i="5" s="1"/>
  <c r="F23" i="22" s="1"/>
  <c r="G23" i="22" s="1"/>
  <c r="J19" i="13"/>
  <c r="I27" i="13"/>
  <c r="C50" i="22" l="1"/>
  <c r="F50" i="22" s="1"/>
  <c r="J27" i="13"/>
  <c r="N12" i="13" s="1"/>
  <c r="B43" i="22" s="1"/>
  <c r="C43" i="22" s="1"/>
  <c r="F43" i="22" s="1"/>
</calcChain>
</file>

<file path=xl/comments1.xml><?xml version="1.0" encoding="utf-8"?>
<comments xmlns="http://schemas.openxmlformats.org/spreadsheetml/2006/main">
  <authors>
    <author>T- Force 6100 AM2</author>
  </authors>
  <commentList>
    <comment ref="C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2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3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</commentList>
</comments>
</file>

<file path=xl/comments10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 xml:space="preserve">malahayati:
</t>
        </r>
        <r>
          <rPr>
            <sz val="8"/>
            <color indexed="81"/>
            <rFont val="Tahoma"/>
            <family val="2"/>
          </rPr>
          <t xml:space="preserve">Isi dengan data dari BPS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Volume 5
IPCC 2006</t>
        </r>
      </text>
    </comment>
    <comment ref="E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Deafult value for developing
 country</t>
        </r>
      </text>
    </comment>
    <comment ref="F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6.3.1.3
Volume 6
IPCC 2006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Default = 0
From Equation 6.8
Volume 6
IPCC 2006</t>
        </r>
      </text>
    </comment>
  </commentList>
</comments>
</file>

<file path=xl/comments11.xml><?xml version="1.0" encoding="utf-8"?>
<comments xmlns="http://schemas.openxmlformats.org/spreadsheetml/2006/main">
  <authors>
    <author>T- Force 6100 AM2</author>
  </authors>
  <commentList>
    <comment ref="C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6.11, Chapter 6
Volume 5
IPCC 2006</t>
        </r>
      </text>
    </comment>
  </commentList>
</comments>
</file>

<file path=xl/comments2.xml><?xml version="1.0" encoding="utf-8"?>
<comments xmlns="http://schemas.openxmlformats.org/spreadsheetml/2006/main">
  <authors>
    <author>T- Force 6100 AM2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 Table 4.1, Volume 5, IPCC 2006</t>
        </r>
      </text>
    </comment>
  </commentList>
</comments>
</file>

<file path=xl/comments3.xml><?xml version="1.0" encoding="utf-8"?>
<comments xmlns="http://schemas.openxmlformats.org/spreadsheetml/2006/main">
  <authors>
    <author>T- Force 6100 AM2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4.1 
Volume 5
IPCC 2006
wet weight basis</t>
        </r>
      </text>
    </comment>
  </commentList>
</comments>
</file>

<file path=xl/comments4.xml><?xml version="1.0" encoding="utf-8"?>
<comments xmlns="http://schemas.openxmlformats.org/spreadsheetml/2006/main">
  <authors>
    <author>GIGABYTE</author>
    <author>T- Force 6100 AM2</author>
  </authors>
  <commentLis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7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0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5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8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</commentList>
</comments>
</file>

<file path=xl/comments5.xml><?xml version="1.0" encoding="utf-8"?>
<comments xmlns="http://schemas.openxmlformats.org/spreadsheetml/2006/main">
  <authors>
    <author>GIGABYTE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6.xml><?xml version="1.0" encoding="utf-8"?>
<comments xmlns="http://schemas.openxmlformats.org/spreadsheetml/2006/main">
  <authors>
    <author>GIGABYTE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7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6.4 
IPCC 2006
Volume 5
Asia, Middle East and Latin America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6.2.2.3
Volume 6
IPCC 2006
"Uncollected"</t>
        </r>
      </text>
    </comment>
  </commentList>
</comments>
</file>

<file path=xl/comments8.xml><?xml version="1.0" encoding="utf-8"?>
<comments xmlns="http://schemas.openxmlformats.org/spreadsheetml/2006/main">
  <authors>
    <author>T- Force 6100 AM2</author>
  </authors>
  <commentList>
    <comment ref="B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6.2
Volume 6
IPCC 2006</t>
        </r>
      </text>
    </comment>
    <comment ref="C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6.3
Volume 6
IPCC 2006</t>
        </r>
      </text>
    </comment>
  </commentList>
</comments>
</file>

<file path=xl/comments9.xml><?xml version="1.0" encoding="utf-8"?>
<comments xmlns="http://schemas.openxmlformats.org/spreadsheetml/2006/main">
  <authors>
    <author>T- Force 6100 AM2</author>
    <author>Indra Budhi K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7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7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7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7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7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8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0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0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0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0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0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1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4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5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5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5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7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8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8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8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8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8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1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1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1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1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4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4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4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4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4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5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6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6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7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8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8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9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9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9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1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</commentList>
</comments>
</file>

<file path=xl/sharedStrings.xml><?xml version="1.0" encoding="utf-8"?>
<sst xmlns="http://schemas.openxmlformats.org/spreadsheetml/2006/main" count="1742" uniqueCount="307">
  <si>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</si>
  <si>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</si>
  <si>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</si>
  <si>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</si>
  <si>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</si>
  <si>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</si>
  <si>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</si>
  <si>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</si>
  <si>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</si>
  <si>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</si>
  <si>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</si>
  <si>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</si>
  <si>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</si>
  <si>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</si>
  <si>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</si>
  <si>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</si>
  <si>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</si>
  <si>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</si>
  <si>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</si>
  <si>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</si>
  <si>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</si>
  <si>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</si>
  <si>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</si>
  <si>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</si>
  <si>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</si>
  <si>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</si>
  <si>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</si>
  <si>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</si>
  <si>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</si>
  <si>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</si>
  <si>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</si>
  <si>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</si>
  <si>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</si>
  <si>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</si>
  <si>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 xml:space="preserve">Incineration and Open Burning of Waste </t>
  </si>
  <si>
    <t>4C1</t>
  </si>
  <si>
    <t xml:space="preserve">A                               </t>
  </si>
  <si>
    <t xml:space="preserve">(Wet Weight) </t>
  </si>
  <si>
    <t>Conversion Factor</t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</si>
  <si>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</si>
  <si>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</si>
  <si>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</si>
  <si>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</si>
  <si>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</si>
  <si>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</si>
  <si>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</si>
  <si>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</si>
  <si>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Textiles</t>
  </si>
  <si>
    <t>Other (specify)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</si>
  <si>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</si>
  <si>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</si>
  <si>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</si>
  <si>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</si>
  <si>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</si>
  <si>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</si>
  <si>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</si>
  <si>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</si>
  <si>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</si>
  <si>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</si>
  <si>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</si>
  <si>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</si>
  <si>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</si>
  <si>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</si>
  <si>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</si>
  <si>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</si>
  <si>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</si>
  <si>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</si>
  <si>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</si>
  <si>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</si>
  <si>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</si>
  <si>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</si>
  <si>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</si>
  <si>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</si>
  <si>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F = A x B x C x D x E</t>
  </si>
  <si>
    <t xml:space="preserve">Number of days by year   
365        </t>
  </si>
  <si>
    <t>Incineration and Open Burning of Waste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</si>
  <si>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</si>
  <si>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</si>
  <si>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</si>
  <si>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</si>
  <si>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</si>
  <si>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</si>
  <si>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</si>
  <si>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</si>
  <si>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</si>
  <si>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</si>
  <si>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</si>
  <si>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</si>
  <si>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</si>
  <si>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</si>
  <si>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</si>
  <si>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</si>
  <si>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</si>
  <si>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r>
      <t xml:space="preserve">F = (A x B x C x D) </t>
    </r>
    <r>
      <rPr>
        <vertAlign val="superscript"/>
        <sz val="10"/>
        <rFont val="Arial"/>
        <family val="2"/>
      </rPr>
      <t>4</t>
    </r>
  </si>
  <si>
    <t xml:space="preserve">L=  F x G x H x I x J x K 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</si>
  <si>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</si>
  <si>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</si>
  <si>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</si>
  <si>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t xml:space="preserve">Methane Emissions       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</si>
  <si>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</si>
  <si>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</si>
  <si>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</si>
  <si>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</si>
  <si>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</si>
  <si>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</si>
  <si>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weight instead.</t>
    </r>
  </si>
  <si>
    <r>
      <t>3 Factor of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as emission factor is given in kg /Gg waste incinerated on a wet weight basis.</t>
    </r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</si>
  <si>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</si>
  <si>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t xml:space="preserve">Nitrous Oxide Emission Factor           </t>
  </si>
  <si>
    <t xml:space="preserve">Nitrous Oxide Emissions       </t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</si>
  <si>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</si>
  <si>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</si>
  <si>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</si>
  <si>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</si>
  <si>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-6      3</t>
    </r>
  </si>
  <si>
    <t>2 If the total amount of waste is expressed in terms of dry waste, a fraction of dry matter should not be applied.</t>
  </si>
  <si>
    <r>
      <t xml:space="preserve">Total Amount of Waste Open-burned    
     (Wet Weight) </t>
    </r>
    <r>
      <rPr>
        <vertAlign val="superscript"/>
        <sz val="10"/>
        <rFont val="Arial"/>
        <family val="2"/>
      </rPr>
      <t>1,2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</si>
  <si>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</si>
  <si>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</si>
  <si>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</si>
  <si>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</si>
  <si>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</si>
  <si>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</si>
  <si>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</si>
  <si>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</si>
  <si>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</si>
  <si>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</si>
  <si>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</si>
  <si>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</si>
  <si>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r>
      <t xml:space="preserve">(kg BOD/cap.yr) </t>
    </r>
    <r>
      <rPr>
        <vertAlign val="superscript"/>
        <sz val="10"/>
        <rFont val="Arial"/>
        <family val="2"/>
      </rPr>
      <t>1</t>
    </r>
  </si>
  <si>
    <t>(kg BOD/yr)</t>
  </si>
  <si>
    <t>D = A x B x C</t>
  </si>
  <si>
    <t>1 g BOD/cap.day x 0.001 x 365 = kg BOD/cap.yr</t>
  </si>
  <si>
    <t>2 Correction factor for additional industrial BOD discharged into sewers, (for collected the default is 1.25, for uncollected the default is 1.00).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</si>
  <si>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</si>
  <si>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</si>
  <si>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</si>
  <si>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</si>
  <si>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</si>
  <si>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</si>
  <si>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</si>
  <si>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</si>
  <si>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</si>
  <si>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</si>
  <si>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</si>
  <si>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</si>
  <si>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</si>
  <si>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</si>
  <si>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</si>
  <si>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</si>
  <si>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</si>
  <si>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</si>
  <si>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</si>
  <si>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</si>
  <si>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</si>
  <si>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</si>
  <si>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</si>
  <si>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</si>
  <si>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</si>
  <si>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</si>
  <si>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</si>
  <si>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</si>
  <si>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</si>
  <si>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</si>
  <si>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</si>
  <si>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</si>
  <si>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</si>
  <si>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</si>
  <si>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</si>
  <si>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</si>
  <si>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</si>
  <si>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</si>
  <si>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</si>
  <si>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</si>
  <si>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</si>
  <si>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</si>
  <si>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</si>
  <si>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</si>
  <si>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</si>
  <si>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</si>
  <si>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</si>
  <si>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</si>
  <si>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</si>
  <si>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</si>
  <si>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</si>
  <si>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</si>
  <si>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</si>
  <si>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</si>
  <si>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</si>
  <si>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</si>
  <si>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</si>
  <si>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</si>
  <si>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</si>
  <si>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</si>
  <si>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</si>
  <si>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</si>
  <si>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</si>
  <si>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</si>
  <si>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r>
      <t xml:space="preserve">E=  A x B  x C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</si>
  <si>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</si>
  <si>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only once (either for total MSW or the components).</t>
    </r>
  </si>
  <si>
    <t>Municipal Solid Waste</t>
  </si>
  <si>
    <r>
      <t>E = (C - D) x10</t>
    </r>
    <r>
      <rPr>
        <vertAlign val="superscript"/>
        <sz val="10"/>
        <color indexed="10"/>
        <rFont val="GillSans"/>
      </rPr>
      <t>- 3</t>
    </r>
  </si>
  <si>
    <t>Food waste</t>
  </si>
  <si>
    <t>Paper/cardboard</t>
  </si>
  <si>
    <t>Wood</t>
  </si>
  <si>
    <t>Rubber/Leather</t>
  </si>
  <si>
    <t>Plastic</t>
  </si>
  <si>
    <t>Metal</t>
  </si>
  <si>
    <t>Glass</t>
  </si>
  <si>
    <t>Other</t>
  </si>
  <si>
    <t>Treated System</t>
  </si>
  <si>
    <t>Sea, river and lake discharge</t>
  </si>
  <si>
    <t>Stagnant sewer</t>
  </si>
  <si>
    <t>Flowing sewer (open or closed)</t>
  </si>
  <si>
    <t>Untreated System</t>
  </si>
  <si>
    <t>centralized, aerobic treatment plant</t>
  </si>
  <si>
    <t>centralized, aerobic treatment plant (not well managed)</t>
  </si>
  <si>
    <t>Anaerobic digester for sludge</t>
  </si>
  <si>
    <t>Anaerobic shallow lagoon</t>
  </si>
  <si>
    <t>Anaerobic deep lagoon</t>
  </si>
  <si>
    <t>Septic system</t>
  </si>
  <si>
    <t>Latrine (dry climate, ground water table lower than latrine, communal)</t>
  </si>
  <si>
    <t>Latrine (wet climate/flush water use, ground water table higher than latrine)</t>
  </si>
  <si>
    <t>Latrine (regular sediment removal for fertilizer)</t>
  </si>
  <si>
    <t>Septic tank</t>
  </si>
  <si>
    <t>Latrine</t>
  </si>
  <si>
    <t xml:space="preserve">Other </t>
  </si>
  <si>
    <t>Sewer</t>
  </si>
  <si>
    <t>None</t>
  </si>
  <si>
    <t xml:space="preserve"> C = A x B x (10^(-3))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</si>
  <si>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</si>
  <si>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</si>
  <si>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t>Solid Waste Disposal</t>
  </si>
  <si>
    <t>4A</t>
  </si>
  <si>
    <t>DOC</t>
  </si>
  <si>
    <t>(Gg C/Gg waste)</t>
  </si>
  <si>
    <t>W i</t>
  </si>
  <si>
    <t>DOC i</t>
  </si>
  <si>
    <t>TOTAL</t>
  </si>
  <si>
    <t>1 of 2  Estimation of DOC Factor</t>
  </si>
  <si>
    <t>Jakarta</t>
  </si>
  <si>
    <t>Study of JICA (Jakarta, Surabaya, Medan, Makassar)</t>
  </si>
  <si>
    <t>Bandung, Study of ITB</t>
  </si>
  <si>
    <t>Total Organically degradable material in wastewater</t>
  </si>
  <si>
    <r>
      <t>Latrine (</t>
    </r>
    <r>
      <rPr>
        <i/>
        <sz val="10"/>
        <rFont val="Arial"/>
        <family val="2"/>
      </rPr>
      <t>dry climate, ground water table lower than latrine, small family 3-5 persons</t>
    </r>
    <r>
      <rPr>
        <sz val="10"/>
        <rFont val="Arial"/>
        <family val="2"/>
      </rPr>
      <t>)</t>
    </r>
  </si>
  <si>
    <r>
      <t>Anaerobic digestion at biogas facilities</t>
    </r>
    <r>
      <rPr>
        <b/>
        <vertAlign val="superscript"/>
        <sz val="10"/>
        <color indexed="51"/>
        <rFont val="Arial"/>
        <family val="2"/>
      </rPr>
      <t>2</t>
    </r>
  </si>
  <si>
    <t>tahun</t>
  </si>
  <si>
    <t>pehitungan ini dibuat per tahun</t>
  </si>
  <si>
    <t>Rekapitulasi emisi CO2 (Gg CO2)</t>
  </si>
  <si>
    <t>Methane Emission factor        =</t>
  </si>
  <si>
    <t>gram/t MSW wet weight</t>
  </si>
  <si>
    <t>g N2O/kg dry matter</t>
  </si>
  <si>
    <t>Nitrous Oxide emission factor value =</t>
  </si>
  <si>
    <t>Degradable Organic component =</t>
  </si>
  <si>
    <t>gram/(person.day)</t>
  </si>
  <si>
    <t>Nilai TOW</t>
  </si>
  <si>
    <t>Rekapitulasi emisi CH4 (Gg CH4)</t>
  </si>
  <si>
    <t>untuk komposting isi dengan 0</t>
  </si>
  <si>
    <t>Tahun</t>
  </si>
  <si>
    <r>
      <t>Emisi CH</t>
    </r>
    <r>
      <rPr>
        <vertAlign val="subscript"/>
        <sz val="9"/>
        <rFont val="Calibri"/>
        <family val="2"/>
      </rPr>
      <t>4</t>
    </r>
  </si>
  <si>
    <r>
      <t>Emisi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</si>
  <si>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r>
      <t>Gg CH</t>
    </r>
    <r>
      <rPr>
        <vertAlign val="subscript"/>
        <sz val="9"/>
        <rFont val="Calibri"/>
        <family val="2"/>
      </rPr>
      <t>4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</si>
  <si>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CH</t>
    </r>
    <r>
      <rPr>
        <vertAlign val="subscript"/>
        <sz val="9"/>
        <rFont val="Calibri"/>
        <family val="2"/>
      </rPr>
      <t>4</t>
    </r>
    <r>
      <rPr>
        <sz val="9"/>
        <rFont val="Calibri"/>
        <family val="2"/>
      </rPr>
      <t>)</t>
    </r>
  </si>
  <si>
    <r>
      <t>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</si>
  <si>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O)</t>
    </r>
  </si>
  <si>
    <t>B = A x 21</t>
  </si>
  <si>
    <t>D = C x 310</t>
  </si>
  <si>
    <t>E = B+D</t>
  </si>
  <si>
    <t xml:space="preserve"> Emisi GRK Dari Pembakaran Sampah</t>
  </si>
  <si>
    <t xml:space="preserve"> Emisi GRK dari komposting </t>
  </si>
  <si>
    <t>Rekapitulasi   BaU Baseline Emisi GRK dari Pengomposan Sampah</t>
  </si>
  <si>
    <r>
      <t>Emisi CH</t>
    </r>
    <r>
      <rPr>
        <vertAlign val="subscript"/>
        <sz val="9"/>
        <color indexed="9"/>
        <rFont val="Calibri"/>
        <family val="2"/>
      </rPr>
      <t>4</t>
    </r>
  </si>
  <si>
    <r>
      <t>Emisi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</si>
  <si>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r>
      <t>Emisi CO</t>
    </r>
    <r>
      <rPr>
        <vertAlign val="subscript"/>
        <sz val="9"/>
        <color indexed="9"/>
        <rFont val="Calibri"/>
        <family val="2"/>
      </rPr>
      <t>2</t>
    </r>
  </si>
  <si>
    <r>
      <t>Total 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</si>
  <si>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CH</t>
    </r>
    <r>
      <rPr>
        <vertAlign val="subscript"/>
        <sz val="9"/>
        <color indexed="9"/>
        <rFont val="Calibri"/>
        <family val="2"/>
      </rPr>
      <t>4</t>
    </r>
  </si>
  <si>
    <r>
      <t>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</si>
  <si>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</si>
  <si>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r>
      <t>Gg CO</t>
    </r>
    <r>
      <rPr>
        <vertAlign val="subscript"/>
        <sz val="9"/>
        <color indexed="9"/>
        <rFont val="Calibri"/>
        <family val="2"/>
      </rPr>
      <t>2</t>
    </r>
  </si>
  <si>
    <t>Rekapitulasi   BaU Baseline Emisi GRK dari Pengelolaan Air Limbah Domestik</t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</si>
  <si>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perjum-lahan)</t>
    </r>
  </si>
  <si>
    <t xml:space="preserve"> Rekapitulasi BaU Baseline Emisi GRK dari Aktifitas Pembakaran Terbuka </t>
  </si>
  <si>
    <t>Jumlah sampah yang dibakar</t>
  </si>
  <si>
    <t>perhitungan ini dibuat per tahun</t>
  </si>
  <si>
    <t>SUB TOTAL PADA TAHUN 2000</t>
  </si>
  <si>
    <t>SUB TOTAL PADA TAHUN 2001</t>
  </si>
  <si>
    <t>SUB TOTAL PADA TAHUN 2002</t>
  </si>
  <si>
    <t>SUB TOTAL PADA TAHUN 2003</t>
  </si>
  <si>
    <t>SUB TOTAL PADA TAHUN 2004</t>
  </si>
  <si>
    <t>SUB TOTAL PADA TAHUN 2005</t>
  </si>
  <si>
    <t>SUB TOTAL PADA TAHUN 2006</t>
  </si>
  <si>
    <t>SUB TOTAL PADA TAHUN 2007</t>
  </si>
  <si>
    <t>SUB TOTAL PADA TAHUN 2008</t>
  </si>
  <si>
    <t>SUB TOTAL PADA TAHUN 2009</t>
  </si>
  <si>
    <t>SUB TOTAL PADA TAHUN 2010</t>
  </si>
  <si>
    <t>Total 2000</t>
  </si>
  <si>
    <t>Total 2001</t>
  </si>
  <si>
    <t>Total 2002</t>
  </si>
  <si>
    <t>Total 2003</t>
  </si>
  <si>
    <t>Total 2004</t>
  </si>
  <si>
    <t>Total 2005</t>
  </si>
  <si>
    <t>Total 2006</t>
  </si>
  <si>
    <t>Total 2007</t>
  </si>
  <si>
    <t>Total 2008</t>
  </si>
  <si>
    <t>Total 2009</t>
  </si>
  <si>
    <t>Total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</si>
</sst>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0.000"/>
    <numFmt numFmtId="165" formatCode="#,##0.000"/>
    <numFmt numFmtId="166" formatCode="_-* #,##0.000_-;\-* #,##0.000_-;_-* &quot;-&quot;??_-;_-@_-"/>
    <numFmt numFmtId="167" formatCode="0.0000000"/>
    <numFmt numFmtId="168" formatCode="_-* #,##0_-;\-* #,##0_-;_-* &quot;-&quot;??_-;_-@_-"/>
    <numFmt numFmtId="169" formatCode="_-* #,##0.0000_-;\-* #,##0.0000_-;_-* &quot;-&quot;??_-;_-@_-"/>
    <numFmt numFmtId="170" formatCode="0.00000"/>
  </numFmts>
  <fonts count="65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vertAlign val="superscript"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0"/>
      <name val="GillSans"/>
    </font>
    <font>
      <vertAlign val="superscript"/>
      <sz val="10"/>
      <color indexed="10"/>
      <name val="GillSans"/>
    </font>
    <font>
      <sz val="10"/>
      <color indexed="18"/>
      <name val="GillSan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10"/>
      <name val="GillSans"/>
      <charset val="1"/>
    </font>
    <font>
      <i/>
      <sz val="10"/>
      <name val="Arial"/>
      <family val="2"/>
    </font>
    <font>
      <b/>
      <vertAlign val="superscript"/>
      <sz val="10"/>
      <color indexed="51"/>
      <name val="Arial"/>
      <family val="2"/>
    </font>
    <font>
      <sz val="11"/>
      <name val="Arial"/>
      <family val="2"/>
    </font>
    <font>
      <sz val="9"/>
      <name val="Calibri"/>
      <family val="2"/>
    </font>
    <font>
      <vertAlign val="subscript"/>
      <sz val="9"/>
      <name val="Calibri"/>
      <family val="2"/>
    </font>
    <font>
      <sz val="10"/>
      <name val="Calibri"/>
      <family val="2"/>
    </font>
    <font>
      <sz val="9"/>
      <color indexed="9"/>
      <name val="Calibri"/>
      <family val="2"/>
    </font>
    <font>
      <vertAlign val="subscript"/>
      <sz val="9"/>
      <color indexed="9"/>
      <name val="Calibri"/>
      <family val="2"/>
    </font>
    <font>
      <b/>
      <sz val="9"/>
      <name val="Calibri"/>
      <family val="2"/>
    </font>
    <font>
      <b/>
      <sz val="10"/>
      <color rgb="FFFFC000"/>
      <name val="Arial"/>
      <family val="2"/>
    </font>
    <font>
      <sz val="10"/>
      <color rgb="FFFF0000"/>
      <name val="GillSans"/>
    </font>
    <font>
      <sz val="9"/>
      <color theme="0"/>
      <name val="Calibri"/>
      <family val="2"/>
    </font>
    <font>
      <sz val="10"/>
      <color rgb="FF000000"/>
      <name val="Calibri"/>
      <family val="2"/>
    </font>
    <font>
      <b/>
      <sz val="10"/>
      <color rgb="FF00B050"/>
      <name val="Arial"/>
      <family val="2"/>
    </font>
    <font>
      <b/>
      <sz val="10"/>
      <color rgb="FFC00000"/>
      <name val="Arial"/>
      <family val="2"/>
    </font>
    <font>
      <b/>
      <sz val="10"/>
      <color rgb="FF0070C0"/>
      <name val="Arial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theme="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43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1" applyNumberFormat="0" applyAlignment="0" applyProtection="0"/>
    <xf numFmtId="0" fontId="30" fillId="21" borderId="2" applyNumberFormat="0" applyAlignment="0" applyProtection="0"/>
    <xf numFmtId="43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3" fillId="0" borderId="3" applyNumberFormat="0" applyFill="0" applyAlignment="0" applyProtection="0"/>
    <xf numFmtId="0" fontId="34" fillId="0" borderId="4" applyNumberFormat="0" applyFill="0" applyAlignment="0" applyProtection="0"/>
    <xf numFmtId="0" fontId="35" fillId="0" borderId="5" applyNumberFormat="0" applyFill="0" applyAlignment="0" applyProtection="0"/>
    <xf numFmtId="0" fontId="35" fillId="0" borderId="0" applyNumberFormat="0" applyFill="0" applyBorder="0" applyAlignment="0" applyProtection="0"/>
    <xf numFmtId="0" fontId="36" fillId="7" borderId="1" applyNumberFormat="0" applyAlignment="0" applyProtection="0"/>
    <xf numFmtId="0" fontId="37" fillId="0" borderId="6" applyNumberFormat="0" applyFill="0" applyAlignment="0" applyProtection="0"/>
    <xf numFmtId="0" fontId="38" fillId="22" borderId="0" applyNumberFormat="0" applyBorder="0" applyAlignment="0" applyProtection="0"/>
    <xf numFmtId="0" fontId="7" fillId="23" borderId="7" applyNumberFormat="0" applyFont="0" applyAlignment="0" applyProtection="0"/>
    <xf numFmtId="0" fontId="39" fillId="20" borderId="8" applyNumberForma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0" borderId="0" applyNumberFormat="0" applyFill="0" applyBorder="0" applyAlignment="0" applyProtection="0"/>
  </cellStyleXfs>
  <cellXfs count="275">
    <xf numFmtId="0" fontId="0" fillId="0" borderId="0" xfId="0"/>
    <xf numFmtId="0" fontId="8" fillId="0" borderId="15" xfId="0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/>
    </xf>
    <xf numFmtId="0" fontId="2" fillId="0" borderId="14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7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165" fontId="7" fillId="0" borderId="21" xfId="0" applyNumberFormat="1" applyFont="1" applyBorder="1" applyAlignment="1">
      <alignment vertical="center" wrapText="1"/>
    </xf>
    <xf numFmtId="165" fontId="7" fillId="0" borderId="12" xfId="0" applyNumberFormat="1" applyFont="1" applyBorder="1" applyAlignment="1">
      <alignment vertical="center" wrapText="1"/>
    </xf>
    <xf numFmtId="0" fontId="0" fillId="27" borderId="14" xfId="0" applyFill="1" applyBorder="1"/>
    <xf numFmtId="0" fontId="0" fillId="27" borderId="0" xfId="0" applyFill="1"/>
    <xf numFmtId="0" fontId="19" fillId="0" borderId="12" xfId="0" applyNumberFormat="1" applyFont="1" applyBorder="1" applyAlignment="1" applyProtection="1">
      <alignment horizontal="center" vertical="center"/>
    </xf>
    <xf numFmtId="0" fontId="19" fillId="0" borderId="17" xfId="0" quotePrefix="1" applyNumberFormat="1" applyFont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9" fillId="0" borderId="17" xfId="0" applyNumberFormat="1" applyFont="1" applyBorder="1" applyAlignment="1" applyProtection="1">
      <alignment horizontal="center" vertical="top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2" xfId="0" applyNumberFormat="1" applyBorder="1"/>
    <xf numFmtId="165" fontId="7" fillId="0" borderId="19" xfId="0" applyNumberFormat="1" applyFont="1" applyBorder="1" applyAlignment="1">
      <alignment vertical="top" wrapText="1"/>
    </xf>
    <xf numFmtId="0" fontId="0" fillId="0" borderId="15" xfId="0" applyBorder="1" applyAlignment="1">
      <alignment vertical="center"/>
    </xf>
    <xf numFmtId="165" fontId="2" fillId="0" borderId="12" xfId="0" applyNumberFormat="1" applyFont="1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1" xfId="0" applyBorder="1"/>
    <xf numFmtId="2" fontId="7" fillId="0" borderId="12" xfId="0" applyNumberFormat="1" applyFont="1" applyBorder="1" applyAlignment="1">
      <alignment vertical="center" wrapText="1"/>
    </xf>
    <xf numFmtId="2" fontId="7" fillId="0" borderId="21" xfId="0" applyNumberFormat="1" applyFont="1" applyBorder="1" applyAlignment="1">
      <alignment vertical="center" wrapText="1"/>
    </xf>
    <xf numFmtId="165" fontId="1" fillId="0" borderId="12" xfId="0" applyNumberFormat="1" applyFont="1" applyBorder="1"/>
    <xf numFmtId="165" fontId="2" fillId="0" borderId="12" xfId="0" applyNumberFormat="1" applyFont="1" applyFill="1" applyBorder="1"/>
    <xf numFmtId="0" fontId="55" fillId="0" borderId="12" xfId="0" applyFont="1" applyBorder="1" applyAlignment="1">
      <alignment vertical="center" wrapText="1"/>
    </xf>
    <xf numFmtId="0" fontId="7" fillId="28" borderId="21" xfId="0" applyFont="1" applyFill="1" applyBorder="1" applyAlignment="1">
      <alignment vertical="center" wrapText="1"/>
    </xf>
    <xf numFmtId="2" fontId="7" fillId="28" borderId="16" xfId="0" applyNumberFormat="1" applyFont="1" applyFill="1" applyBorder="1" applyAlignment="1">
      <alignment vertical="center" wrapText="1"/>
    </xf>
    <xf numFmtId="0" fontId="7" fillId="28" borderId="12" xfId="0" applyFont="1" applyFill="1" applyBorder="1" applyAlignment="1">
      <alignment vertical="center" wrapText="1"/>
    </xf>
    <xf numFmtId="2" fontId="7" fillId="28" borderId="15" xfId="0" applyNumberFormat="1" applyFont="1" applyFill="1" applyBorder="1" applyAlignment="1">
      <alignment vertical="center" wrapText="1"/>
    </xf>
    <xf numFmtId="2" fontId="7" fillId="28" borderId="12" xfId="0" applyNumberFormat="1" applyFont="1" applyFill="1" applyBorder="1" applyAlignment="1">
      <alignment vertical="center" wrapText="1"/>
    </xf>
    <xf numFmtId="0" fontId="7" fillId="30" borderId="16" xfId="0" applyFont="1" applyFill="1" applyBorder="1" applyAlignment="1">
      <alignment vertical="center" wrapText="1"/>
    </xf>
    <xf numFmtId="0" fontId="7" fillId="30" borderId="15" xfId="0" applyFont="1" applyFill="1" applyBorder="1" applyAlignment="1">
      <alignment vertical="center" wrapText="1"/>
    </xf>
    <xf numFmtId="0" fontId="7" fillId="30" borderId="12" xfId="0" applyFont="1" applyFill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5" fillId="24" borderId="10" xfId="0" applyFont="1" applyFill="1" applyBorder="1" applyAlignment="1">
      <alignment horizontal="center" vertical="center" wrapText="1"/>
    </xf>
    <xf numFmtId="0" fontId="5" fillId="24" borderId="11" xfId="0" applyFont="1" applyFill="1" applyBorder="1" applyAlignment="1">
      <alignment horizontal="center" vertical="center" wrapText="1"/>
    </xf>
    <xf numFmtId="0" fontId="6" fillId="24" borderId="11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justify" vertical="center" wrapText="1"/>
    </xf>
    <xf numFmtId="0" fontId="8" fillId="25" borderId="12" xfId="0" applyFont="1" applyFill="1" applyBorder="1" applyAlignment="1">
      <alignment horizontal="justify" vertical="center" wrapText="1"/>
    </xf>
    <xf numFmtId="0" fontId="8" fillId="0" borderId="12" xfId="0" applyFont="1" applyBorder="1" applyAlignment="1">
      <alignment horizontal="justify" vertical="center" wrapText="1"/>
    </xf>
    <xf numFmtId="164" fontId="8" fillId="28" borderId="12" xfId="0" applyNumberFormat="1" applyFont="1" applyFill="1" applyBorder="1" applyAlignment="1">
      <alignment horizontal="right" vertical="center" wrapText="1"/>
    </xf>
    <xf numFmtId="0" fontId="8" fillId="0" borderId="12" xfId="0" applyFont="1" applyBorder="1" applyAlignment="1">
      <alignment horizontal="right" vertical="center" wrapText="1"/>
    </xf>
    <xf numFmtId="164" fontId="8" fillId="0" borderId="12" xfId="0" applyNumberFormat="1" applyFont="1" applyBorder="1" applyAlignment="1">
      <alignment horizontal="right" vertical="center" wrapText="1"/>
    </xf>
    <xf numFmtId="0" fontId="56" fillId="25" borderId="12" xfId="0" applyFont="1" applyFill="1" applyBorder="1" applyAlignment="1">
      <alignment horizontal="justify" vertical="center" wrapText="1"/>
    </xf>
    <xf numFmtId="0" fontId="8" fillId="28" borderId="12" xfId="0" applyFont="1" applyFill="1" applyBorder="1" applyAlignment="1">
      <alignment horizontal="right" vertical="center" wrapText="1"/>
    </xf>
    <xf numFmtId="166" fontId="2" fillId="0" borderId="12" xfId="28" applyNumberFormat="1" applyFont="1" applyBorder="1" applyAlignment="1">
      <alignment vertical="center" wrapText="1"/>
    </xf>
    <xf numFmtId="0" fontId="5" fillId="24" borderId="12" xfId="0" applyFont="1" applyFill="1" applyBorder="1" applyAlignment="1">
      <alignment horizontal="center"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23" fillId="0" borderId="13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right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3" xfId="0" applyFont="1" applyBorder="1" applyAlignment="1">
      <alignment vertical="center" wrapText="1"/>
    </xf>
    <xf numFmtId="0" fontId="7" fillId="28" borderId="15" xfId="0" applyFont="1" applyFill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0" fontId="7" fillId="28" borderId="21" xfId="0" applyFont="1" applyFill="1" applyBorder="1" applyAlignment="1">
      <alignment horizontal="center" vertical="center" wrapText="1"/>
    </xf>
    <xf numFmtId="0" fontId="7" fillId="28" borderId="15" xfId="0" applyFont="1" applyFill="1" applyBorder="1" applyAlignment="1">
      <alignment horizontal="center" vertical="center" wrapText="1"/>
    </xf>
    <xf numFmtId="0" fontId="7" fillId="28" borderId="12" xfId="0" applyFont="1" applyFill="1" applyBorder="1" applyAlignment="1">
      <alignment horizontal="center" vertical="center" wrapText="1"/>
    </xf>
    <xf numFmtId="168" fontId="7" fillId="28" borderId="12" xfId="28" applyNumberFormat="1" applyFont="1" applyFill="1" applyBorder="1" applyAlignment="1">
      <alignment vertical="center" wrapText="1"/>
    </xf>
    <xf numFmtId="168" fontId="7" fillId="28" borderId="15" xfId="28" applyNumberFormat="1" applyFont="1" applyFill="1" applyBorder="1" applyAlignment="1">
      <alignment vertical="center" wrapText="1"/>
    </xf>
    <xf numFmtId="43" fontId="7" fillId="0" borderId="14" xfId="28" applyNumberFormat="1" applyFont="1" applyBorder="1" applyAlignment="1">
      <alignment vertical="center" wrapText="1"/>
    </xf>
    <xf numFmtId="43" fontId="7" fillId="0" borderId="12" xfId="28" applyNumberFormat="1" applyFont="1" applyBorder="1" applyAlignment="1">
      <alignment vertical="center" wrapText="1"/>
    </xf>
    <xf numFmtId="43" fontId="7" fillId="0" borderId="15" xfId="28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26" borderId="12" xfId="0" applyFont="1" applyFill="1" applyBorder="1" applyAlignment="1">
      <alignment horizontal="center" vertical="center" wrapText="1"/>
    </xf>
    <xf numFmtId="164" fontId="7" fillId="28" borderId="12" xfId="0" applyNumberFormat="1" applyFont="1" applyFill="1" applyBorder="1" applyAlignment="1">
      <alignment vertical="center" wrapText="1"/>
    </xf>
    <xf numFmtId="164" fontId="7" fillId="0" borderId="12" xfId="0" applyNumberFormat="1" applyFont="1" applyBorder="1" applyAlignment="1">
      <alignment horizontal="right" vertical="center" wrapText="1"/>
    </xf>
    <xf numFmtId="2" fontId="7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horizontal="center" vertical="center"/>
    </xf>
    <xf numFmtId="0" fontId="2" fillId="0" borderId="1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43" fontId="0" fillId="0" borderId="12" xfId="28" applyFont="1" applyBorder="1" applyAlignment="1">
      <alignment horizontal="center" vertical="center"/>
    </xf>
    <xf numFmtId="43" fontId="2" fillId="0" borderId="12" xfId="28" applyFont="1" applyBorder="1" applyAlignment="1">
      <alignment vertical="center" wrapText="1"/>
    </xf>
    <xf numFmtId="43" fontId="0" fillId="0" borderId="12" xfId="28" applyFont="1" applyBorder="1" applyAlignment="1">
      <alignment vertical="center"/>
    </xf>
    <xf numFmtId="1" fontId="64" fillId="34" borderId="12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7" fillId="0" borderId="21" xfId="0" applyNumberFormat="1" applyFont="1" applyBorder="1" applyAlignment="1">
      <alignment horizontal="right" vertical="center" wrapText="1"/>
    </xf>
    <xf numFmtId="164" fontId="7" fillId="0" borderId="15" xfId="0" applyNumberFormat="1" applyFont="1" applyBorder="1" applyAlignment="1">
      <alignment horizontal="right" vertical="center" wrapText="1"/>
    </xf>
    <xf numFmtId="43" fontId="7" fillId="0" borderId="21" xfId="28" applyFont="1" applyBorder="1" applyAlignment="1">
      <alignment horizontal="center" vertical="center" wrapText="1"/>
    </xf>
    <xf numFmtId="43" fontId="7" fillId="0" borderId="12" xfId="28" applyFont="1" applyBorder="1" applyAlignment="1">
      <alignment horizontal="center" vertical="center" wrapText="1"/>
    </xf>
    <xf numFmtId="43" fontId="7" fillId="0" borderId="15" xfId="28" applyFont="1" applyBorder="1" applyAlignment="1">
      <alignment horizontal="center" vertical="center" wrapText="1"/>
    </xf>
    <xf numFmtId="167" fontId="7" fillId="0" borderId="12" xfId="0" applyNumberFormat="1" applyFont="1" applyBorder="1" applyAlignment="1">
      <alignment horizontal="right" vertical="center" wrapText="1"/>
    </xf>
    <xf numFmtId="167" fontId="7" fillId="0" borderId="15" xfId="0" applyNumberFormat="1" applyFont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7" fillId="29" borderId="15" xfId="0" applyFont="1" applyFill="1" applyBorder="1" applyAlignment="1">
      <alignment vertical="center" wrapText="1"/>
    </xf>
    <xf numFmtId="3" fontId="7" fillId="0" borderId="15" xfId="0" applyNumberFormat="1" applyFont="1" applyBorder="1" applyAlignment="1">
      <alignment vertical="center" wrapText="1"/>
    </xf>
    <xf numFmtId="168" fontId="7" fillId="0" borderId="12" xfId="28" applyNumberFormat="1" applyFont="1" applyFill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0" fillId="26" borderId="12" xfId="0" applyFill="1" applyBorder="1" applyAlignment="1">
      <alignment vertical="center"/>
    </xf>
    <xf numFmtId="3" fontId="0" fillId="0" borderId="12" xfId="0" applyNumberFormat="1" applyBorder="1" applyAlignment="1">
      <alignment horizontal="center" vertical="center"/>
    </xf>
    <xf numFmtId="165" fontId="7" fillId="0" borderId="12" xfId="0" applyNumberFormat="1" applyFont="1" applyBorder="1" applyAlignment="1">
      <alignment horizontal="right" vertical="center" wrapText="1"/>
    </xf>
    <xf numFmtId="165" fontId="2" fillId="0" borderId="12" xfId="0" applyNumberFormat="1" applyFont="1" applyBorder="1" applyAlignment="1">
      <alignment horizontal="right" vertical="center" wrapText="1"/>
    </xf>
    <xf numFmtId="1" fontId="64" fillId="34" borderId="17" xfId="0" applyNumberFormat="1" applyFont="1" applyFill="1" applyBorder="1" applyAlignment="1">
      <alignment vertical="center" wrapText="1"/>
    </xf>
    <xf numFmtId="1" fontId="64" fillId="34" borderId="17" xfId="0" applyNumberFormat="1" applyFont="1" applyFill="1" applyBorder="1" applyAlignment="1">
      <alignment wrapText="1"/>
    </xf>
    <xf numFmtId="0" fontId="3" fillId="24" borderId="12" xfId="0" applyFont="1" applyFill="1" applyBorder="1" applyAlignment="1">
      <alignment horizontal="right" vertical="center" wrapText="1"/>
    </xf>
    <xf numFmtId="3" fontId="0" fillId="0" borderId="12" xfId="0" applyNumberFormat="1" applyFill="1" applyBorder="1" applyAlignment="1">
      <alignment vertical="center"/>
    </xf>
    <xf numFmtId="164" fontId="45" fillId="28" borderId="12" xfId="0" applyNumberFormat="1" applyFont="1" applyFill="1" applyBorder="1" applyAlignment="1">
      <alignment vertical="center" wrapText="1"/>
    </xf>
    <xf numFmtId="3" fontId="8" fillId="0" borderId="12" xfId="0" applyNumberFormat="1" applyFont="1" applyBorder="1" applyAlignment="1">
      <alignment horizontal="right" vertical="center" wrapText="1"/>
    </xf>
    <xf numFmtId="0" fontId="8" fillId="0" borderId="22" xfId="0" applyFont="1" applyBorder="1" applyAlignment="1">
      <alignment horizontal="center" vertical="center" wrapText="1"/>
    </xf>
    <xf numFmtId="165" fontId="8" fillId="0" borderId="21" xfId="0" applyNumberFormat="1" applyFont="1" applyBorder="1" applyAlignment="1">
      <alignment vertical="center" wrapText="1"/>
    </xf>
    <xf numFmtId="165" fontId="8" fillId="0" borderId="21" xfId="0" applyNumberFormat="1" applyFont="1" applyBorder="1" applyAlignment="1">
      <alignment horizontal="right" vertical="center" wrapText="1"/>
    </xf>
    <xf numFmtId="165" fontId="8" fillId="0" borderId="21" xfId="0" applyNumberFormat="1" applyFont="1" applyBorder="1" applyAlignment="1">
      <alignment horizontal="center" vertical="center" wrapText="1"/>
    </xf>
    <xf numFmtId="164" fontId="2" fillId="0" borderId="17" xfId="0" applyNumberFormat="1" applyFont="1" applyBorder="1" applyAlignment="1">
      <alignment vertical="center"/>
    </xf>
    <xf numFmtId="165" fontId="8" fillId="0" borderId="12" xfId="0" applyNumberFormat="1" applyFont="1" applyBorder="1" applyAlignment="1">
      <alignment vertical="center" wrapText="1"/>
    </xf>
    <xf numFmtId="165" fontId="8" fillId="0" borderId="12" xfId="0" applyNumberFormat="1" applyFont="1" applyBorder="1" applyAlignment="1">
      <alignment horizontal="right" vertical="center" wrapText="1"/>
    </xf>
    <xf numFmtId="165" fontId="8" fillId="0" borderId="12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/>
    </xf>
    <xf numFmtId="165" fontId="8" fillId="0" borderId="15" xfId="0" applyNumberFormat="1" applyFont="1" applyBorder="1" applyAlignment="1">
      <alignment vertical="center" wrapText="1"/>
    </xf>
    <xf numFmtId="0" fontId="59" fillId="0" borderId="0" xfId="0" applyFont="1" applyAlignment="1">
      <alignment vertical="center"/>
    </xf>
    <xf numFmtId="0" fontId="57" fillId="34" borderId="11" xfId="0" applyFont="1" applyFill="1" applyBorder="1" applyAlignment="1">
      <alignment horizontal="center" vertical="center" wrapText="1"/>
    </xf>
    <xf numFmtId="0" fontId="49" fillId="0" borderId="12" xfId="0" applyFont="1" applyBorder="1" applyAlignment="1">
      <alignment horizontal="center" vertical="center"/>
    </xf>
    <xf numFmtId="2" fontId="19" fillId="0" borderId="12" xfId="0" applyNumberFormat="1" applyFont="1" applyBorder="1" applyAlignment="1">
      <alignment vertical="center" wrapText="1"/>
    </xf>
    <xf numFmtId="2" fontId="19" fillId="0" borderId="12" xfId="0" applyNumberFormat="1" applyFont="1" applyBorder="1" applyAlignment="1">
      <alignment vertical="center"/>
    </xf>
    <xf numFmtId="0" fontId="60" fillId="0" borderId="0" xfId="0" applyFont="1" applyAlignment="1">
      <alignment vertical="center"/>
    </xf>
    <xf numFmtId="0" fontId="57" fillId="32" borderId="11" xfId="0" applyFont="1" applyFill="1" applyBorder="1" applyAlignment="1">
      <alignment horizontal="center" vertical="center" wrapText="1"/>
    </xf>
    <xf numFmtId="0" fontId="19" fillId="0" borderId="12" xfId="0" applyFont="1" applyBorder="1" applyAlignment="1">
      <alignment vertical="center"/>
    </xf>
    <xf numFmtId="0" fontId="51" fillId="0" borderId="0" xfId="0" applyFont="1" applyBorder="1" applyAlignment="1">
      <alignment horizontal="center" vertical="center"/>
    </xf>
    <xf numFmtId="0" fontId="48" fillId="0" borderId="0" xfId="0" applyFont="1" applyBorder="1" applyAlignment="1">
      <alignment vertical="center" wrapText="1"/>
    </xf>
    <xf numFmtId="0" fontId="48" fillId="0" borderId="0" xfId="0" applyFont="1" applyBorder="1" applyAlignment="1">
      <alignment vertical="center"/>
    </xf>
    <xf numFmtId="0" fontId="61" fillId="0" borderId="0" xfId="0" applyFont="1" applyAlignment="1">
      <alignment vertical="center"/>
    </xf>
    <xf numFmtId="0" fontId="49" fillId="31" borderId="25" xfId="0" applyFont="1" applyFill="1" applyBorder="1" applyAlignment="1">
      <alignment horizontal="center" vertical="center" wrapText="1"/>
    </xf>
    <xf numFmtId="0" fontId="49" fillId="31" borderId="24" xfId="0" applyFont="1" applyFill="1" applyBorder="1" applyAlignment="1">
      <alignment horizontal="center" vertical="center" wrapText="1"/>
    </xf>
    <xf numFmtId="0" fontId="54" fillId="35" borderId="24" xfId="0" applyFont="1" applyFill="1" applyBorder="1" applyAlignment="1">
      <alignment horizontal="center" vertical="center" wrapText="1"/>
    </xf>
    <xf numFmtId="0" fontId="49" fillId="33" borderId="23" xfId="0" applyFont="1" applyFill="1" applyBorder="1" applyAlignment="1">
      <alignment horizontal="center" vertical="center" wrapText="1"/>
    </xf>
    <xf numFmtId="0" fontId="49" fillId="31" borderId="23" xfId="0" applyFont="1" applyFill="1" applyBorder="1" applyAlignment="1">
      <alignment horizontal="center" vertical="center" wrapText="1"/>
    </xf>
    <xf numFmtId="0" fontId="49" fillId="35" borderId="23" xfId="0" applyFont="1" applyFill="1" applyBorder="1" applyAlignment="1">
      <alignment horizontal="center" vertical="center" wrapText="1"/>
    </xf>
    <xf numFmtId="0" fontId="58" fillId="33" borderId="23" xfId="0" applyFont="1" applyFill="1" applyBorder="1" applyAlignment="1">
      <alignment horizontal="center" vertical="center" wrapText="1"/>
    </xf>
    <xf numFmtId="0" fontId="58" fillId="31" borderId="27" xfId="0" applyFont="1" applyFill="1" applyBorder="1" applyAlignment="1">
      <alignment horizontal="center" vertical="center" wrapText="1"/>
    </xf>
    <xf numFmtId="0" fontId="58" fillId="31" borderId="23" xfId="0" applyFont="1" applyFill="1" applyBorder="1" applyAlignment="1">
      <alignment horizontal="center" vertical="center" wrapText="1"/>
    </xf>
    <xf numFmtId="0" fontId="62" fillId="35" borderId="23" xfId="0" applyFont="1" applyFill="1" applyBorder="1" applyAlignment="1">
      <alignment horizontal="center" vertical="center" wrapText="1"/>
    </xf>
    <xf numFmtId="0" fontId="58" fillId="33" borderId="11" xfId="0" applyFont="1" applyFill="1" applyBorder="1" applyAlignment="1">
      <alignment horizontal="center" vertical="center" wrapText="1"/>
    </xf>
    <xf numFmtId="0" fontId="58" fillId="31" borderId="28" xfId="0" applyFont="1" applyFill="1" applyBorder="1" applyAlignment="1">
      <alignment horizontal="center" vertical="center" wrapText="1"/>
    </xf>
    <xf numFmtId="0" fontId="58" fillId="31" borderId="11" xfId="0" applyFont="1" applyFill="1" applyBorder="1" applyAlignment="1">
      <alignment horizontal="center" vertical="center" wrapText="1"/>
    </xf>
    <xf numFmtId="0" fontId="62" fillId="35" borderId="11" xfId="0" applyFont="1" applyFill="1" applyBorder="1" applyAlignment="1">
      <alignment horizontal="center" vertical="center" wrapText="1"/>
    </xf>
    <xf numFmtId="0" fontId="63" fillId="0" borderId="12" xfId="0" applyFont="1" applyBorder="1" applyAlignment="1">
      <alignment horizontal="right" vertical="center" wrapText="1"/>
    </xf>
    <xf numFmtId="2" fontId="63" fillId="0" borderId="12" xfId="0" applyNumberFormat="1" applyFont="1" applyBorder="1" applyAlignment="1">
      <alignment horizontal="right" vertical="center" wrapText="1"/>
    </xf>
    <xf numFmtId="0" fontId="57" fillId="32" borderId="23" xfId="0" applyFont="1" applyFill="1" applyBorder="1" applyAlignment="1">
      <alignment horizontal="center" vertical="center"/>
    </xf>
    <xf numFmtId="169" fontId="19" fillId="0" borderId="12" xfId="28" applyNumberFormat="1" applyFont="1" applyBorder="1" applyAlignment="1">
      <alignment vertical="center" wrapText="1"/>
    </xf>
    <xf numFmtId="164" fontId="19" fillId="0" borderId="12" xfId="0" applyNumberFormat="1" applyFont="1" applyBorder="1" applyAlignment="1">
      <alignment vertical="center" wrapText="1"/>
    </xf>
    <xf numFmtId="170" fontId="19" fillId="0" borderId="12" xfId="0" applyNumberFormat="1" applyFont="1" applyBorder="1" applyAlignment="1">
      <alignment vertical="center" wrapText="1"/>
    </xf>
    <xf numFmtId="166" fontId="19" fillId="0" borderId="12" xfId="28" applyNumberFormat="1" applyFont="1" applyBorder="1" applyAlignment="1">
      <alignment vertical="center"/>
    </xf>
    <xf numFmtId="169" fontId="8" fillId="28" borderId="12" xfId="28" applyNumberFormat="1" applyFont="1" applyFill="1" applyBorder="1" applyAlignment="1">
      <alignment horizontal="right" vertical="center" wrapText="1"/>
    </xf>
    <xf numFmtId="43" fontId="1" fillId="0" borderId="12" xfId="28" applyFont="1" applyBorder="1" applyAlignment="1">
      <alignment vertical="center"/>
    </xf>
    <xf numFmtId="165" fontId="0" fillId="0" borderId="12" xfId="0" applyNumberFormat="1" applyBorder="1" applyAlignment="1">
      <alignment vertical="center"/>
    </xf>
    <xf numFmtId="168" fontId="0" fillId="36" borderId="12" xfId="28" applyNumberFormat="1" applyFont="1" applyFill="1" applyBorder="1" applyAlignment="1">
      <alignment horizontal="right" vertical="center" wrapText="1"/>
    </xf>
    <xf numFmtId="168" fontId="0" fillId="36" borderId="12" xfId="28" applyNumberFormat="1" applyFont="1" applyFill="1" applyBorder="1" applyAlignment="1">
      <alignment horizontal="left" vertical="center"/>
    </xf>
    <xf numFmtId="168" fontId="0" fillId="0" borderId="12" xfId="28" applyNumberFormat="1" applyFont="1" applyBorder="1"/>
    <xf numFmtId="0" fontId="2" fillId="25" borderId="19" xfId="0" applyFont="1" applyFill="1" applyBorder="1" applyAlignment="1">
      <alignment horizontal="left"/>
    </xf>
    <xf numFmtId="0" fontId="2" fillId="25" borderId="29" xfId="0" applyFont="1" applyFill="1" applyBorder="1" applyAlignment="1">
      <alignment horizontal="left"/>
    </xf>
    <xf numFmtId="0" fontId="2" fillId="25" borderId="20" xfId="0" applyFont="1" applyFill="1" applyBorder="1" applyAlignment="1">
      <alignment horizontal="left"/>
    </xf>
    <xf numFmtId="165" fontId="2" fillId="25" borderId="12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right" wrapText="1" indent="1"/>
    </xf>
    <xf numFmtId="0" fontId="2" fillId="0" borderId="12" xfId="0" applyFont="1" applyBorder="1" applyAlignment="1">
      <alignment horizontal="left" wrapText="1" indent="1"/>
    </xf>
    <xf numFmtId="0" fontId="2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3" fillId="0" borderId="12" xfId="0" applyFont="1" applyBorder="1" applyAlignment="1">
      <alignment horizontal="righ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25" borderId="19" xfId="0" applyFont="1" applyFill="1" applyBorder="1" applyAlignment="1">
      <alignment horizontal="right" vertical="center" wrapText="1"/>
    </xf>
    <xf numFmtId="0" fontId="2" fillId="25" borderId="29" xfId="0" applyFont="1" applyFill="1" applyBorder="1" applyAlignment="1">
      <alignment horizontal="right" vertical="center" wrapText="1"/>
    </xf>
    <xf numFmtId="0" fontId="2" fillId="25" borderId="20" xfId="0" applyFont="1" applyFill="1" applyBorder="1" applyAlignment="1">
      <alignment horizontal="right" vertical="center" wrapText="1"/>
    </xf>
    <xf numFmtId="0" fontId="2" fillId="0" borderId="38" xfId="0" applyFont="1" applyBorder="1" applyAlignment="1">
      <alignment vertical="center" wrapText="1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12" fillId="0" borderId="30" xfId="0" applyFon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6" fillId="24" borderId="10" xfId="0" applyFont="1" applyFill="1" applyBorder="1" applyAlignment="1">
      <alignment horizontal="center" vertical="center" wrapText="1"/>
    </xf>
    <xf numFmtId="0" fontId="6" fillId="24" borderId="33" xfId="0" applyFont="1" applyFill="1" applyBorder="1" applyAlignment="1">
      <alignment horizontal="center" vertical="center" wrapText="1"/>
    </xf>
    <xf numFmtId="0" fontId="6" fillId="24" borderId="34" xfId="0" applyFont="1" applyFill="1" applyBorder="1" applyAlignment="1">
      <alignment horizontal="center" vertical="center" wrapText="1"/>
    </xf>
    <xf numFmtId="0" fontId="12" fillId="0" borderId="22" xfId="0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8" xfId="0" applyBorder="1" applyAlignment="1">
      <alignment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12" fillId="0" borderId="12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4" fillId="26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12" fillId="0" borderId="15" xfId="0" applyFont="1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2" xfId="0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0" fillId="0" borderId="14" xfId="0" applyBorder="1" applyAlignment="1">
      <alignment vertical="center"/>
    </xf>
    <xf numFmtId="0" fontId="1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7" fillId="0" borderId="12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 wrapText="1"/>
    </xf>
    <xf numFmtId="1" fontId="64" fillId="34" borderId="12" xfId="0" applyNumberFormat="1" applyFont="1" applyFill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2" fillId="26" borderId="12" xfId="0" applyFont="1" applyFill="1" applyBorder="1" applyAlignment="1">
      <alignment horizontal="center" vertical="center" wrapText="1"/>
    </xf>
    <xf numFmtId="0" fontId="2" fillId="25" borderId="19" xfId="0" applyFont="1" applyFill="1" applyBorder="1" applyAlignment="1">
      <alignment horizontal="left" vertical="center" wrapText="1"/>
    </xf>
    <xf numFmtId="0" fontId="2" fillId="25" borderId="29" xfId="0" applyFont="1" applyFill="1" applyBorder="1" applyAlignment="1">
      <alignment horizontal="left" vertical="center" wrapText="1"/>
    </xf>
    <xf numFmtId="0" fontId="2" fillId="25" borderId="20" xfId="0" applyFont="1" applyFill="1" applyBorder="1" applyAlignment="1">
      <alignment horizontal="left" vertical="center" wrapText="1"/>
    </xf>
    <xf numFmtId="0" fontId="2" fillId="25" borderId="41" xfId="0" applyFont="1" applyFill="1" applyBorder="1" applyAlignment="1">
      <alignment horizontal="left" vertical="center" wrapText="1"/>
    </xf>
    <xf numFmtId="0" fontId="2" fillId="25" borderId="42" xfId="0" applyFont="1" applyFill="1" applyBorder="1" applyAlignment="1">
      <alignment horizontal="left" vertical="center" wrapText="1"/>
    </xf>
    <xf numFmtId="0" fontId="2" fillId="25" borderId="40" xfId="0" applyFont="1" applyFill="1" applyBorder="1" applyAlignment="1">
      <alignment horizontal="left" vertical="center" wrapText="1"/>
    </xf>
    <xf numFmtId="1" fontId="64" fillId="34" borderId="14" xfId="0" applyNumberFormat="1" applyFont="1" applyFill="1" applyBorder="1" applyAlignment="1">
      <alignment horizontal="center" vertical="center" wrapText="1"/>
    </xf>
    <xf numFmtId="1" fontId="64" fillId="34" borderId="17" xfId="0" applyNumberFormat="1" applyFont="1" applyFill="1" applyBorder="1" applyAlignment="1">
      <alignment horizontal="center" vertical="center" wrapText="1"/>
    </xf>
    <xf numFmtId="1" fontId="64" fillId="34" borderId="15" xfId="0" applyNumberFormat="1" applyFont="1" applyFill="1" applyBorder="1" applyAlignment="1">
      <alignment horizontal="center" vertical="center" wrapText="1"/>
    </xf>
    <xf numFmtId="0" fontId="2" fillId="25" borderId="12" xfId="0" applyFont="1" applyFill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0" fillId="0" borderId="12" xfId="0" applyBorder="1" applyAlignment="1">
      <alignment horizontal="right"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0" fillId="0" borderId="12" xfId="0" applyBorder="1" applyAlignment="1">
      <alignment horizontal="left" vertical="center"/>
    </xf>
    <xf numFmtId="0" fontId="2" fillId="0" borderId="0" xfId="0" applyFont="1" applyBorder="1" applyAlignment="1">
      <alignment horizontal="right" vertical="center" wrapText="1"/>
    </xf>
    <xf numFmtId="0" fontId="6" fillId="24" borderId="12" xfId="0" applyFont="1" applyFill="1" applyBorder="1" applyAlignment="1">
      <alignment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49" fillId="35" borderId="27" xfId="0" applyFont="1" applyFill="1" applyBorder="1" applyAlignment="1">
      <alignment horizontal="center" vertical="center" wrapText="1"/>
    </xf>
    <xf numFmtId="0" fontId="49" fillId="35" borderId="28" xfId="0" applyFont="1" applyFill="1" applyBorder="1" applyAlignment="1">
      <alignment horizontal="center" vertical="center" wrapText="1"/>
    </xf>
    <xf numFmtId="0" fontId="49" fillId="33" borderId="25" xfId="0" applyFont="1" applyFill="1" applyBorder="1" applyAlignment="1">
      <alignment horizontal="center" vertical="center"/>
    </xf>
    <xf numFmtId="0" fontId="49" fillId="33" borderId="24" xfId="0" applyFont="1" applyFill="1" applyBorder="1" applyAlignment="1">
      <alignment horizontal="center" vertical="center"/>
    </xf>
    <xf numFmtId="0" fontId="58" fillId="33" borderId="27" xfId="0" applyFont="1" applyFill="1" applyBorder="1" applyAlignment="1">
      <alignment horizontal="center" vertical="center" wrapText="1"/>
    </xf>
    <xf numFmtId="0" fontId="58" fillId="33" borderId="28" xfId="0" applyFont="1" applyFill="1" applyBorder="1" applyAlignment="1">
      <alignment horizontal="center" vertical="center" wrapText="1"/>
    </xf>
    <xf numFmtId="0" fontId="57" fillId="34" borderId="27" xfId="0" applyFont="1" applyFill="1" applyBorder="1" applyAlignment="1">
      <alignment horizontal="center" vertical="center" wrapText="1"/>
    </xf>
    <xf numFmtId="0" fontId="57" fillId="34" borderId="28" xfId="0" applyFont="1" applyFill="1" applyBorder="1" applyAlignment="1">
      <alignment horizontal="center" vertical="center" wrapText="1"/>
    </xf>
    <xf numFmtId="0" fontId="57" fillId="32" borderId="27" xfId="0" applyFont="1" applyFill="1" applyBorder="1" applyAlignment="1">
      <alignment horizontal="center" vertical="center" wrapText="1"/>
    </xf>
    <xf numFmtId="0" fontId="57" fillId="32" borderId="28" xfId="0" applyFont="1" applyFill="1" applyBorder="1" applyAlignment="1">
      <alignment horizontal="center" vertical="center" wrapText="1"/>
    </xf>
    <xf numFmtId="0" fontId="57" fillId="34" borderId="27" xfId="0" applyFont="1" applyFill="1" applyBorder="1" applyAlignment="1">
      <alignment horizontal="center" vertical="center"/>
    </xf>
    <xf numFmtId="0" fontId="57" fillId="34" borderId="28" xfId="0" applyFont="1" applyFill="1" applyBorder="1" applyAlignment="1">
      <alignment horizontal="center" vertical="center"/>
    </xf>
    <xf numFmtId="0" fontId="57" fillId="34" borderId="25" xfId="0" applyFont="1" applyFill="1" applyBorder="1" applyAlignment="1">
      <alignment horizontal="center" vertical="center"/>
    </xf>
    <xf numFmtId="0" fontId="57" fillId="34" borderId="26" xfId="0" applyFont="1" applyFill="1" applyBorder="1" applyAlignment="1">
      <alignment horizontal="center" vertical="center"/>
    </xf>
    <xf numFmtId="0" fontId="57" fillId="34" borderId="24" xfId="0" applyFont="1" applyFill="1" applyBorder="1" applyAlignment="1">
      <alignment horizontal="center" vertical="center"/>
    </xf>
    <xf numFmtId="0" fontId="57" fillId="32" borderId="27" xfId="0" applyFont="1" applyFill="1" applyBorder="1" applyAlignment="1">
      <alignment horizontal="center" vertical="center"/>
    </xf>
    <xf numFmtId="0" fontId="57" fillId="32" borderId="28" xfId="0" applyFont="1" applyFill="1" applyBorder="1" applyAlignment="1">
      <alignment horizontal="center" vertical="center"/>
    </xf>
    <xf numFmtId="0" fontId="57" fillId="32" borderId="25" xfId="0" applyFont="1" applyFill="1" applyBorder="1" applyAlignment="1">
      <alignment horizontal="center" vertical="center"/>
    </xf>
    <xf numFmtId="0" fontId="57" fillId="32" borderId="26" xfId="0" applyFont="1" applyFill="1" applyBorder="1" applyAlignment="1">
      <alignment horizontal="center" vertical="center"/>
    </xf>
    <xf numFmtId="0" fontId="57" fillId="32" borderId="24" xfId="0" applyFont="1" applyFill="1" applyBorder="1" applyAlignment="1">
      <alignment horizontal="center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29</xdr:row>
      <xdr:rowOff>57150</xdr:rowOff>
    </xdr:from>
    <xdr:to>
      <xdr:col>5</xdr:col>
      <xdr:colOff>742950</xdr:colOff>
      <xdr:row>31</xdr:row>
      <xdr:rowOff>85725</xdr:rowOff>
    </xdr:to>
    <xdr:sp macro="" textlink="">
      <xdr:nvSpPr>
        <xdr:cNvPr id="2" name="Up Arrow 1">
          <a:extLst>
            <a:ext uri="{FF2B5EF4-FFF2-40B4-BE49-F238E27FC236}">
              <a16:creationId xmlns:a16="http://schemas.microsoft.com/office/drawing/2014/main" xmlns="" id="{70F5B018-3675-4F43-AF95-40606019B04C}"/>
            </a:ext>
          </a:extLst>
        </xdr:cNvPr>
        <xdr:cNvSpPr/>
      </xdr:nvSpPr>
      <xdr:spPr>
        <a:xfrm>
          <a:off x="5476875" y="5219700"/>
          <a:ext cx="381000" cy="3524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30</xdr:row>
      <xdr:rowOff>66675</xdr:rowOff>
    </xdr:from>
    <xdr:to>
      <xdr:col>3</xdr:col>
      <xdr:colOff>638175</xdr:colOff>
      <xdr:row>31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1042B5CC-E64E-4B4C-A337-E8B9754C3DE4}"/>
            </a:ext>
          </a:extLst>
        </xdr:cNvPr>
        <xdr:cNvSpPr txBox="1"/>
      </xdr:nvSpPr>
      <xdr:spPr>
        <a:xfrm>
          <a:off x="2019300" y="6448425"/>
          <a:ext cx="142875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contoh pengisian</a:t>
          </a:r>
        </a:p>
      </xdr:txBody>
    </xdr:sp>
    <xdr:clientData/>
  </xdr:twoCellAnchor>
  <xdr:twoCellAnchor>
    <xdr:from>
      <xdr:col>2</xdr:col>
      <xdr:colOff>704850</xdr:colOff>
      <xdr:row>27</xdr:row>
      <xdr:rowOff>123825</xdr:rowOff>
    </xdr:from>
    <xdr:to>
      <xdr:col>3</xdr:col>
      <xdr:colOff>104775</xdr:colOff>
      <xdr:row>29</xdr:row>
      <xdr:rowOff>123825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xmlns="" id="{A3EA279C-DD6F-446A-BAAB-BCD07F66F161}"/>
            </a:ext>
          </a:extLst>
        </xdr:cNvPr>
        <xdr:cNvSpPr/>
      </xdr:nvSpPr>
      <xdr:spPr>
        <a:xfrm>
          <a:off x="2638425" y="5267325"/>
          <a:ext cx="276225" cy="3238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5</xdr:col>
      <xdr:colOff>409575</xdr:colOff>
      <xdr:row>27</xdr:row>
      <xdr:rowOff>104774</xdr:rowOff>
    </xdr:from>
    <xdr:to>
      <xdr:col>5</xdr:col>
      <xdr:colOff>828675</xdr:colOff>
      <xdr:row>30</xdr:row>
      <xdr:rowOff>133350</xdr:rowOff>
    </xdr:to>
    <xdr:sp macro="" textlink="">
      <xdr:nvSpPr>
        <xdr:cNvPr id="4" name="Up Arrow 3">
          <a:extLst>
            <a:ext uri="{FF2B5EF4-FFF2-40B4-BE49-F238E27FC236}">
              <a16:creationId xmlns:a16="http://schemas.microsoft.com/office/drawing/2014/main" xmlns="" id="{B37E1307-68CB-4469-A154-3B40CDF969E8}"/>
            </a:ext>
          </a:extLst>
        </xdr:cNvPr>
        <xdr:cNvSpPr/>
      </xdr:nvSpPr>
      <xdr:spPr>
        <a:xfrm>
          <a:off x="4819650" y="5876924"/>
          <a:ext cx="419100" cy="51435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ARINDA_Hitungan%20BaU-skenario-Rekap%20Emi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Frksi pengelolaan smph Mitigasi"/>
      <sheetName val="Rekapitulasi BaU Emisi GRK"/>
      <sheetName val="Rekap Emisi GRK dari Sawit"/>
      <sheetName val="Rekaptlasi Mitigasi Emisi GRK"/>
    </sheetNames>
    <sheetDataSet>
      <sheetData sheetId="0"/>
      <sheetData sheetId="1">
        <row r="30">
          <cell r="D30">
            <v>1.54876887</v>
          </cell>
        </row>
        <row r="31">
          <cell r="D31">
            <v>1.57977864</v>
          </cell>
        </row>
        <row r="32">
          <cell r="D32">
            <v>1.6158106800000001</v>
          </cell>
        </row>
        <row r="33">
          <cell r="D33">
            <v>1.66756887</v>
          </cell>
        </row>
        <row r="34">
          <cell r="D34">
            <v>1.68695109</v>
          </cell>
        </row>
        <row r="35">
          <cell r="D35">
            <v>1.7338444199999998</v>
          </cell>
        </row>
        <row r="36">
          <cell r="D36">
            <v>1.7538414300000003</v>
          </cell>
        </row>
        <row r="37">
          <cell r="D37">
            <v>1.7733127500000001</v>
          </cell>
        </row>
        <row r="38">
          <cell r="D38">
            <v>1.7920653299999998</v>
          </cell>
        </row>
        <row r="39">
          <cell r="D39">
            <v>1.8098586000000001</v>
          </cell>
        </row>
        <row r="40">
          <cell r="D40">
            <v>2.1606750000000003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M48"/>
  <sheetViews>
    <sheetView topLeftCell="A31" zoomScale="115" zoomScaleNormal="115" workbookViewId="0">
      <selection activeCell="B17" sqref="B17"/>
    </sheetView>
  </sheetViews>
  <sheetFormatPr defaultRowHeight="12.75"/>
  <cols>
    <col min="1" max="1" width="16.5703125" customWidth="1"/>
    <col min="2" max="2" width="12.7109375" customWidth="1"/>
    <col min="3" max="3" width="15.42578125" customWidth="1"/>
    <col min="4" max="4" width="17" customWidth="1"/>
    <col min="5" max="5" width="3.28515625" hidden="1" customWidth="1"/>
    <col min="6" max="6" width="9.140625" hidden="1" customWidth="1"/>
    <col min="7" max="7" width="23.28515625" hidden="1" customWidth="1"/>
    <col min="13" max="13" width="10" bestFit="1" customWidth="1"/>
  </cols>
  <sheetData>
    <row r="2" spans="1:7">
      <c r="A2" s="178" t="s">
        <v>0</v>
      </c>
      <c r="B2" s="178"/>
      <c r="C2" s="179" t="s">
        <v>1</v>
      </c>
      <c r="D2" s="179"/>
      <c r="E2" s="179"/>
      <c r="F2" s="179"/>
      <c r="G2" s="179"/>
    </row>
    <row r="3" spans="1:7">
      <c r="A3" s="178" t="s">
        <v>2</v>
      </c>
      <c r="B3" s="178"/>
      <c r="C3" s="179" t="s">
        <v>233</v>
      </c>
      <c r="D3" s="179"/>
      <c r="E3" s="179"/>
      <c r="F3" s="179"/>
      <c r="G3" s="179"/>
    </row>
    <row r="4" spans="1:7">
      <c r="A4" s="178" t="s">
        <v>4</v>
      </c>
      <c r="B4" s="178"/>
      <c r="C4" s="179" t="s">
        <v>234</v>
      </c>
      <c r="D4" s="179"/>
      <c r="E4" s="179"/>
      <c r="F4" s="179"/>
      <c r="G4" s="179"/>
    </row>
    <row r="5" spans="1:7">
      <c r="A5" s="178" t="s">
        <v>6</v>
      </c>
      <c r="B5" s="178"/>
      <c r="C5" s="179" t="s">
        <v>240</v>
      </c>
      <c r="D5" s="179"/>
      <c r="E5" s="179"/>
      <c r="F5" s="179"/>
      <c r="G5" s="179"/>
    </row>
    <row r="6" spans="1:7">
      <c r="A6" s="16"/>
      <c r="B6" s="17"/>
      <c r="C6" s="17"/>
      <c r="D6" s="17"/>
      <c r="E6" s="17"/>
      <c r="F6" s="17"/>
      <c r="G6" s="17"/>
    </row>
    <row r="7" spans="1:7">
      <c r="B7" s="18" t="s">
        <v>11</v>
      </c>
      <c r="C7" s="28" t="s">
        <v>12</v>
      </c>
      <c r="D7" s="28" t="s">
        <v>13</v>
      </c>
    </row>
    <row r="8" spans="1:7">
      <c r="A8" s="180" t="s">
        <v>84</v>
      </c>
      <c r="B8" s="27" t="s">
        <v>237</v>
      </c>
      <c r="C8" s="21" t="s">
        <v>238</v>
      </c>
      <c r="D8" s="21" t="s">
        <v>235</v>
      </c>
      <c r="E8" s="25"/>
      <c r="F8" s="20"/>
      <c r="G8" s="26"/>
    </row>
    <row r="9" spans="1:7">
      <c r="A9" s="181"/>
      <c r="B9" s="19"/>
      <c r="C9" s="22"/>
      <c r="D9" s="23"/>
      <c r="E9" s="26"/>
      <c r="F9" s="25"/>
      <c r="G9" s="26"/>
    </row>
    <row r="10" spans="1:7">
      <c r="A10" s="181"/>
      <c r="B10" s="19"/>
      <c r="C10" s="22"/>
      <c r="D10" s="23"/>
      <c r="E10" s="26"/>
      <c r="F10" s="25"/>
      <c r="G10" s="26"/>
    </row>
    <row r="11" spans="1:7">
      <c r="A11" s="181"/>
      <c r="B11" s="19"/>
      <c r="C11" s="22"/>
      <c r="D11" s="23"/>
      <c r="E11" s="26"/>
      <c r="F11" s="25"/>
      <c r="G11" s="26"/>
    </row>
    <row r="12" spans="1:7">
      <c r="A12" s="181"/>
      <c r="B12" s="19"/>
      <c r="C12" s="22"/>
      <c r="D12" s="23"/>
      <c r="E12" s="26"/>
      <c r="F12" s="25"/>
      <c r="G12" s="26"/>
    </row>
    <row r="13" spans="1:7">
      <c r="A13" s="181"/>
      <c r="B13" s="19"/>
      <c r="C13" s="22" t="s">
        <v>236</v>
      </c>
      <c r="D13" s="23"/>
      <c r="E13" s="26"/>
      <c r="F13" s="25"/>
      <c r="G13" s="26"/>
    </row>
    <row r="14" spans="1:7" ht="13.5" thickBot="1">
      <c r="A14" s="182"/>
      <c r="B14" s="24"/>
      <c r="C14" s="24"/>
      <c r="D14" s="29" t="s">
        <v>143</v>
      </c>
      <c r="E14" s="26"/>
      <c r="F14" s="26"/>
      <c r="G14" s="26"/>
    </row>
    <row r="15" spans="1:7" ht="13.5" thickTop="1">
      <c r="B15" s="23"/>
      <c r="D15" s="36"/>
      <c r="E15" s="26"/>
      <c r="F15" s="26"/>
      <c r="G15" s="26"/>
    </row>
    <row r="16" spans="1:7">
      <c r="A16" s="174" t="s">
        <v>243</v>
      </c>
      <c r="B16" s="175"/>
      <c r="C16" s="175"/>
      <c r="D16" s="176"/>
      <c r="E16" s="26"/>
      <c r="F16" s="26"/>
      <c r="G16" s="26"/>
    </row>
    <row r="17" spans="1:13">
      <c r="A17" s="31" t="s">
        <v>203</v>
      </c>
      <c r="B17" s="39">
        <v>0.63560000000000005</v>
      </c>
      <c r="C17" s="30">
        <v>0.15</v>
      </c>
      <c r="D17" s="30">
        <f>B17*C17</f>
        <v>9.5340000000000008E-2</v>
      </c>
      <c r="E17" s="26"/>
      <c r="F17" s="26"/>
      <c r="G17" s="26"/>
    </row>
    <row r="18" spans="1:13" ht="12.75" customHeight="1">
      <c r="A18" s="31" t="s">
        <v>204</v>
      </c>
      <c r="B18" s="39">
        <v>0.1042</v>
      </c>
      <c r="C18" s="30">
        <v>0.4</v>
      </c>
      <c r="D18" s="30">
        <f t="shared" ref="D18:D25" si="0">B18*C18</f>
        <v>4.1680000000000002E-2</v>
      </c>
      <c r="E18" s="26"/>
      <c r="F18" s="26"/>
      <c r="G18" s="26"/>
    </row>
    <row r="19" spans="1:13">
      <c r="A19" s="31" t="s">
        <v>205</v>
      </c>
      <c r="B19" s="39">
        <v>0</v>
      </c>
      <c r="C19" s="30">
        <v>0.43</v>
      </c>
      <c r="D19" s="30">
        <f t="shared" si="0"/>
        <v>0</v>
      </c>
      <c r="E19" s="26"/>
      <c r="F19" s="26"/>
      <c r="G19" s="26"/>
      <c r="M19" s="13"/>
    </row>
    <row r="20" spans="1:13">
      <c r="A20" s="31" t="s">
        <v>47</v>
      </c>
      <c r="B20" s="39">
        <v>0</v>
      </c>
      <c r="C20" s="30">
        <v>0.24</v>
      </c>
      <c r="D20" s="30">
        <f t="shared" si="0"/>
        <v>0</v>
      </c>
      <c r="E20" s="26"/>
      <c r="F20" s="26"/>
      <c r="G20" s="26"/>
    </row>
    <row r="21" spans="1:13" ht="14.25" customHeight="1">
      <c r="A21" s="31" t="s">
        <v>206</v>
      </c>
      <c r="B21" s="39">
        <v>0</v>
      </c>
      <c r="C21" s="30">
        <v>0.39</v>
      </c>
      <c r="D21" s="30">
        <f t="shared" si="0"/>
        <v>0</v>
      </c>
    </row>
    <row r="22" spans="1:13">
      <c r="A22" s="31" t="s">
        <v>207</v>
      </c>
      <c r="B22" s="39">
        <v>1.4500000000000001E-2</v>
      </c>
      <c r="C22" s="30">
        <v>0</v>
      </c>
      <c r="D22" s="30">
        <f t="shared" si="0"/>
        <v>0</v>
      </c>
    </row>
    <row r="23" spans="1:13">
      <c r="A23" s="31" t="s">
        <v>208</v>
      </c>
      <c r="B23" s="39">
        <v>9.7600000000000006E-2</v>
      </c>
      <c r="C23" s="30">
        <v>0</v>
      </c>
      <c r="D23" s="30">
        <f t="shared" si="0"/>
        <v>0</v>
      </c>
    </row>
    <row r="24" spans="1:13">
      <c r="A24" s="31" t="s">
        <v>209</v>
      </c>
      <c r="B24" s="39">
        <v>1.7000000000000001E-2</v>
      </c>
      <c r="C24" s="30">
        <v>0</v>
      </c>
      <c r="D24" s="30">
        <f t="shared" si="0"/>
        <v>0</v>
      </c>
    </row>
    <row r="25" spans="1:13">
      <c r="A25" s="31" t="s">
        <v>210</v>
      </c>
      <c r="B25" s="39">
        <f>(0.95+12.16)/100</f>
        <v>0.13109999999999999</v>
      </c>
      <c r="C25" s="30">
        <v>0</v>
      </c>
      <c r="D25" s="30">
        <f t="shared" si="0"/>
        <v>0</v>
      </c>
    </row>
    <row r="26" spans="1:13">
      <c r="A26" s="177" t="s">
        <v>239</v>
      </c>
      <c r="B26" s="177"/>
      <c r="C26" s="177"/>
      <c r="D26" s="40">
        <f>SUM(D17:D25)</f>
        <v>0.13702</v>
      </c>
    </row>
    <row r="27" spans="1:13">
      <c r="A27" s="174" t="s">
        <v>241</v>
      </c>
      <c r="B27" s="175"/>
      <c r="C27" s="175"/>
      <c r="D27" s="176"/>
    </row>
    <row r="28" spans="1:13">
      <c r="A28" s="31" t="s">
        <v>203</v>
      </c>
      <c r="B28" s="39">
        <f>79.37/100</f>
        <v>0.79370000000000007</v>
      </c>
      <c r="C28" s="30">
        <v>0.15</v>
      </c>
      <c r="D28" s="30">
        <f>B28*C28</f>
        <v>0.11905500000000001</v>
      </c>
    </row>
    <row r="29" spans="1:13">
      <c r="A29" s="31" t="s">
        <v>204</v>
      </c>
      <c r="B29" s="39">
        <f>8.57/100</f>
        <v>8.5699999999999998E-2</v>
      </c>
      <c r="C29" s="30">
        <v>0.4</v>
      </c>
      <c r="D29" s="30">
        <f t="shared" ref="D29:D36" si="1">B29*C29</f>
        <v>3.4279999999999998E-2</v>
      </c>
    </row>
    <row r="30" spans="1:13">
      <c r="A30" s="31" t="s">
        <v>205</v>
      </c>
      <c r="B30" s="39">
        <f>0.75/100</f>
        <v>7.4999999999999997E-3</v>
      </c>
      <c r="C30" s="30">
        <v>0.43</v>
      </c>
      <c r="D30" s="30">
        <f t="shared" si="1"/>
        <v>3.225E-3</v>
      </c>
    </row>
    <row r="31" spans="1:13">
      <c r="A31" s="31" t="s">
        <v>47</v>
      </c>
      <c r="B31" s="39">
        <f>0.79/100</f>
        <v>7.9000000000000008E-3</v>
      </c>
      <c r="C31" s="30">
        <v>0.24</v>
      </c>
      <c r="D31" s="30">
        <f t="shared" si="1"/>
        <v>1.8960000000000001E-3</v>
      </c>
    </row>
    <row r="32" spans="1:13">
      <c r="A32" s="31" t="s">
        <v>206</v>
      </c>
      <c r="B32" s="39">
        <f>0.35/100</f>
        <v>3.4999999999999996E-3</v>
      </c>
      <c r="C32" s="30">
        <v>0.39</v>
      </c>
      <c r="D32" s="30">
        <f t="shared" si="1"/>
        <v>1.3649999999999999E-3</v>
      </c>
    </row>
    <row r="33" spans="1:4">
      <c r="A33" s="31" t="s">
        <v>207</v>
      </c>
      <c r="B33" s="39">
        <f>6.51/100</f>
        <v>6.5099999999999991E-2</v>
      </c>
      <c r="C33" s="30">
        <v>0</v>
      </c>
      <c r="D33" s="30">
        <f t="shared" si="1"/>
        <v>0</v>
      </c>
    </row>
    <row r="34" spans="1:4">
      <c r="A34" s="31" t="s">
        <v>208</v>
      </c>
      <c r="B34" s="39">
        <f>1.45/100</f>
        <v>1.4499999999999999E-2</v>
      </c>
      <c r="C34" s="30">
        <v>0</v>
      </c>
      <c r="D34" s="30">
        <f t="shared" si="1"/>
        <v>0</v>
      </c>
    </row>
    <row r="35" spans="1:4">
      <c r="A35" s="31" t="s">
        <v>209</v>
      </c>
      <c r="B35" s="39">
        <f>1.54/100</f>
        <v>1.54E-2</v>
      </c>
      <c r="C35" s="30">
        <v>0</v>
      </c>
      <c r="D35" s="30">
        <f t="shared" si="1"/>
        <v>0</v>
      </c>
    </row>
    <row r="36" spans="1:4">
      <c r="A36" s="31" t="s">
        <v>210</v>
      </c>
      <c r="B36" s="39">
        <f>0.67/100</f>
        <v>6.7000000000000002E-3</v>
      </c>
      <c r="C36" s="30">
        <v>0</v>
      </c>
      <c r="D36" s="30">
        <f t="shared" si="1"/>
        <v>0</v>
      </c>
    </row>
    <row r="37" spans="1:4">
      <c r="A37" s="177" t="s">
        <v>239</v>
      </c>
      <c r="B37" s="177"/>
      <c r="C37" s="177"/>
      <c r="D37" s="33">
        <f>SUM(D28:D36)</f>
        <v>0.15982100000000002</v>
      </c>
    </row>
    <row r="38" spans="1:4">
      <c r="A38" s="174" t="s">
        <v>242</v>
      </c>
      <c r="B38" s="175"/>
      <c r="C38" s="175"/>
      <c r="D38" s="176"/>
    </row>
    <row r="39" spans="1:4">
      <c r="A39" s="31" t="s">
        <v>203</v>
      </c>
      <c r="B39" s="39">
        <f>(59.47+6.92)/100</f>
        <v>0.66390000000000005</v>
      </c>
      <c r="C39" s="30">
        <v>0.15</v>
      </c>
      <c r="D39" s="30">
        <f>B39*C39</f>
        <v>9.9585000000000007E-2</v>
      </c>
    </row>
    <row r="40" spans="1:4">
      <c r="A40" s="31" t="s">
        <v>204</v>
      </c>
      <c r="B40" s="39">
        <f>12.85/100</f>
        <v>0.1285</v>
      </c>
      <c r="C40" s="30">
        <v>0.4</v>
      </c>
      <c r="D40" s="30">
        <f t="shared" ref="D40:D47" si="2">B40*C40</f>
        <v>5.1400000000000001E-2</v>
      </c>
    </row>
    <row r="41" spans="1:4">
      <c r="A41" s="31" t="s">
        <v>205</v>
      </c>
      <c r="B41" s="39">
        <v>0</v>
      </c>
      <c r="C41" s="30">
        <v>0.43</v>
      </c>
      <c r="D41" s="30">
        <f t="shared" si="2"/>
        <v>0</v>
      </c>
    </row>
    <row r="42" spans="1:4">
      <c r="A42" s="31" t="s">
        <v>47</v>
      </c>
      <c r="B42" s="39">
        <f>0.81/100</f>
        <v>8.1000000000000013E-3</v>
      </c>
      <c r="C42" s="30">
        <v>0.24</v>
      </c>
      <c r="D42" s="30">
        <f t="shared" si="2"/>
        <v>1.9440000000000002E-3</v>
      </c>
    </row>
    <row r="43" spans="1:4">
      <c r="A43" s="31" t="s">
        <v>206</v>
      </c>
      <c r="B43" s="39">
        <v>0</v>
      </c>
      <c r="C43" s="30">
        <v>0.39</v>
      </c>
      <c r="D43" s="30">
        <f t="shared" si="2"/>
        <v>0</v>
      </c>
    </row>
    <row r="44" spans="1:4">
      <c r="A44" s="31" t="s">
        <v>207</v>
      </c>
      <c r="B44" s="39">
        <f>10.71/100</f>
        <v>0.10710000000000001</v>
      </c>
      <c r="C44" s="30">
        <v>0</v>
      </c>
      <c r="D44" s="30">
        <f t="shared" si="2"/>
        <v>0</v>
      </c>
    </row>
    <row r="45" spans="1:4">
      <c r="A45" s="31" t="s">
        <v>208</v>
      </c>
      <c r="B45" s="39">
        <f>1.77/100</f>
        <v>1.77E-2</v>
      </c>
      <c r="C45" s="30">
        <v>0</v>
      </c>
      <c r="D45" s="30">
        <f t="shared" si="2"/>
        <v>0</v>
      </c>
    </row>
    <row r="46" spans="1:4">
      <c r="A46" s="31" t="s">
        <v>209</v>
      </c>
      <c r="B46" s="39">
        <f>1.33/100</f>
        <v>1.3300000000000001E-2</v>
      </c>
      <c r="C46" s="30">
        <v>0</v>
      </c>
      <c r="D46" s="30">
        <f t="shared" si="2"/>
        <v>0</v>
      </c>
    </row>
    <row r="47" spans="1:4">
      <c r="A47" s="31" t="s">
        <v>210</v>
      </c>
      <c r="B47" s="39">
        <f>6.21/100</f>
        <v>6.2100000000000002E-2</v>
      </c>
      <c r="C47" s="30">
        <v>0</v>
      </c>
      <c r="D47" s="30">
        <f t="shared" si="2"/>
        <v>0</v>
      </c>
    </row>
    <row r="48" spans="1:4">
      <c r="A48" s="177" t="s">
        <v>239</v>
      </c>
      <c r="B48" s="177"/>
      <c r="C48" s="177"/>
      <c r="D48" s="33">
        <f>SUM(D39:D47)</f>
        <v>0.15292900000000001</v>
      </c>
    </row>
  </sheetData>
  <mergeCells count="15">
    <mergeCell ref="A2:B2"/>
    <mergeCell ref="C2:G2"/>
    <mergeCell ref="A3:B3"/>
    <mergeCell ref="C3:G3"/>
    <mergeCell ref="A8:A14"/>
    <mergeCell ref="A4:B4"/>
    <mergeCell ref="C4:G4"/>
    <mergeCell ref="A5:B5"/>
    <mergeCell ref="C5:G5"/>
    <mergeCell ref="A16:D16"/>
    <mergeCell ref="A27:D27"/>
    <mergeCell ref="A37:C37"/>
    <mergeCell ref="A38:D38"/>
    <mergeCell ref="A48:C48"/>
    <mergeCell ref="A26:C26"/>
  </mergeCells>
  <phoneticPr fontId="13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9" tint="-0.249977111117893"/>
  </sheetPr>
  <dimension ref="A1:N312"/>
  <sheetViews>
    <sheetView topLeftCell="A17" zoomScale="85" zoomScaleNormal="85" workbookViewId="0">
      <selection activeCell="O10" sqref="O10"/>
    </sheetView>
  </sheetViews>
  <sheetFormatPr defaultRowHeight="12.75"/>
  <cols>
    <col min="1" max="1" width="14.28515625" style="6" customWidth="1"/>
    <col min="2" max="2" width="14.7109375" style="6" customWidth="1"/>
    <col min="3" max="3" width="13.140625" style="6" customWidth="1"/>
    <col min="4" max="5" width="12" style="6" customWidth="1"/>
    <col min="6" max="6" width="17.28515625" style="6" customWidth="1"/>
    <col min="7" max="7" width="12.140625" style="6" customWidth="1"/>
    <col min="8" max="8" width="13.7109375" style="6" customWidth="1"/>
    <col min="9" max="9" width="22.140625" style="6" customWidth="1"/>
    <col min="10" max="10" width="15.85546875" style="6" customWidth="1"/>
    <col min="11" max="12" width="9.140625" style="6"/>
    <col min="13" max="13" width="12.42578125" style="6" customWidth="1"/>
    <col min="14" max="14" width="17.5703125" style="6" customWidth="1"/>
    <col min="15" max="16384" width="9.140625" style="6"/>
  </cols>
  <sheetData>
    <row r="1" spans="1:14">
      <c r="A1" s="250"/>
      <c r="B1" s="250"/>
      <c r="C1" s="183"/>
      <c r="D1" s="183"/>
      <c r="E1" s="183"/>
      <c r="F1" s="183"/>
      <c r="G1" s="183"/>
      <c r="H1" s="183"/>
      <c r="I1" s="183"/>
    </row>
    <row r="2" spans="1:14">
      <c r="A2" s="245" t="s">
        <v>0</v>
      </c>
      <c r="B2" s="246"/>
      <c r="C2" s="185" t="s">
        <v>1</v>
      </c>
      <c r="D2" s="249"/>
      <c r="E2" s="249"/>
      <c r="F2" s="249"/>
      <c r="G2" s="249"/>
      <c r="H2" s="249"/>
      <c r="I2" s="249"/>
    </row>
    <row r="3" spans="1:14">
      <c r="A3" s="245" t="s">
        <v>2</v>
      </c>
      <c r="B3" s="246"/>
      <c r="C3" s="185" t="s">
        <v>117</v>
      </c>
      <c r="D3" s="249"/>
      <c r="E3" s="249"/>
      <c r="F3" s="249"/>
      <c r="G3" s="249"/>
      <c r="H3" s="249"/>
      <c r="I3" s="249"/>
    </row>
    <row r="4" spans="1:14">
      <c r="A4" s="245" t="s">
        <v>4</v>
      </c>
      <c r="B4" s="246"/>
      <c r="C4" s="185" t="s">
        <v>118</v>
      </c>
      <c r="D4" s="249"/>
      <c r="E4" s="249"/>
      <c r="F4" s="249"/>
      <c r="G4" s="249"/>
      <c r="H4" s="249"/>
      <c r="I4" s="249"/>
    </row>
    <row r="5" spans="1:14" ht="14.25" customHeight="1">
      <c r="A5" s="245" t="s">
        <v>6</v>
      </c>
      <c r="B5" s="246"/>
      <c r="C5" s="185" t="s">
        <v>145</v>
      </c>
      <c r="D5" s="249"/>
      <c r="E5" s="249"/>
      <c r="F5" s="249"/>
      <c r="G5" s="249"/>
      <c r="H5" s="249"/>
      <c r="I5" s="249"/>
    </row>
    <row r="6" spans="1:14">
      <c r="A6" s="217" t="s">
        <v>10</v>
      </c>
      <c r="B6" s="234"/>
      <c r="C6" s="234"/>
      <c r="D6" s="234"/>
      <c r="E6" s="234"/>
      <c r="F6" s="234"/>
      <c r="G6" s="234"/>
      <c r="H6" s="234"/>
      <c r="I6" s="234"/>
      <c r="J6" s="115"/>
    </row>
    <row r="7" spans="1:14" ht="51" customHeight="1">
      <c r="A7" s="59"/>
      <c r="B7" s="59"/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58</v>
      </c>
      <c r="I7" s="7" t="s">
        <v>78</v>
      </c>
      <c r="J7" s="94" t="s">
        <v>79</v>
      </c>
    </row>
    <row r="8" spans="1:14" ht="51">
      <c r="A8" s="195" t="s">
        <v>146</v>
      </c>
      <c r="B8" s="195" t="s">
        <v>147</v>
      </c>
      <c r="C8" s="59" t="s">
        <v>148</v>
      </c>
      <c r="D8" s="59" t="s">
        <v>149</v>
      </c>
      <c r="E8" s="59" t="s">
        <v>150</v>
      </c>
      <c r="F8" s="59" t="s">
        <v>123</v>
      </c>
      <c r="G8" s="59" t="s">
        <v>151</v>
      </c>
      <c r="H8" s="59" t="s">
        <v>152</v>
      </c>
      <c r="I8" s="59" t="s">
        <v>153</v>
      </c>
      <c r="J8" s="59" t="s">
        <v>153</v>
      </c>
      <c r="L8" s="100"/>
      <c r="M8" s="119"/>
      <c r="N8" s="120"/>
    </row>
    <row r="9" spans="1:14" ht="15.75" customHeight="1">
      <c r="A9" s="195"/>
      <c r="B9" s="195"/>
      <c r="C9" s="77" t="s">
        <v>154</v>
      </c>
      <c r="D9" s="77" t="s">
        <v>155</v>
      </c>
      <c r="E9" s="77" t="s">
        <v>156</v>
      </c>
      <c r="F9" s="77" t="s">
        <v>127</v>
      </c>
      <c r="G9" s="77" t="s">
        <v>157</v>
      </c>
      <c r="H9" s="77" t="s">
        <v>158</v>
      </c>
      <c r="I9" s="77" t="s">
        <v>159</v>
      </c>
      <c r="J9" s="77" t="s">
        <v>159</v>
      </c>
      <c r="L9" s="241" t="s">
        <v>247</v>
      </c>
      <c r="M9" s="241" t="s">
        <v>256</v>
      </c>
      <c r="N9" s="241" t="s">
        <v>257</v>
      </c>
    </row>
    <row r="10" spans="1:14" ht="29.25" customHeight="1">
      <c r="A10" s="195"/>
      <c r="B10" s="195"/>
      <c r="C10" s="8" t="s">
        <v>44</v>
      </c>
      <c r="D10" s="8" t="s">
        <v>44</v>
      </c>
      <c r="E10" s="8" t="s">
        <v>142</v>
      </c>
      <c r="F10" s="8" t="s">
        <v>130</v>
      </c>
      <c r="G10" s="8" t="s">
        <v>130</v>
      </c>
      <c r="H10" s="8" t="s">
        <v>160</v>
      </c>
      <c r="I10" s="8" t="s">
        <v>160</v>
      </c>
      <c r="J10" s="8" t="s">
        <v>231</v>
      </c>
      <c r="L10" s="242"/>
      <c r="M10" s="242"/>
      <c r="N10" s="242"/>
    </row>
    <row r="11" spans="1:14" ht="24.75" thickBot="1">
      <c r="A11" s="211"/>
      <c r="B11" s="211"/>
      <c r="C11" s="5"/>
      <c r="D11" s="5"/>
      <c r="E11" s="5" t="s">
        <v>161</v>
      </c>
      <c r="F11" s="5" t="s">
        <v>162</v>
      </c>
      <c r="G11" s="5"/>
      <c r="H11" s="5"/>
      <c r="I11" s="9" t="s">
        <v>163</v>
      </c>
      <c r="J11" s="35"/>
      <c r="L11" s="243"/>
      <c r="M11" s="243"/>
      <c r="N11" s="243"/>
    </row>
    <row r="12" spans="1:14" ht="13.5" thickTop="1">
      <c r="A12" s="247" t="s">
        <v>164</v>
      </c>
      <c r="B12" s="54" t="s">
        <v>225</v>
      </c>
      <c r="C12" s="42">
        <v>0.54</v>
      </c>
      <c r="D12" s="43">
        <v>0</v>
      </c>
      <c r="E12" s="38">
        <f>'4D1_CH4_EF_DomesticWastewater'!$D$14</f>
        <v>0.3</v>
      </c>
      <c r="F12" s="116">
        <f>$M$12</f>
        <v>7613476.5999999996</v>
      </c>
      <c r="G12" s="47"/>
      <c r="H12" s="47"/>
      <c r="I12" s="14">
        <f>((C12*D12*E12)*(F12-G12))-H12</f>
        <v>0</v>
      </c>
      <c r="J12" s="32">
        <f>I12/(10^6)</f>
        <v>0</v>
      </c>
      <c r="L12" s="94">
        <f>'4B_N2O emission'!B12</f>
        <v>2000</v>
      </c>
      <c r="M12" s="116">
        <f>'4D1_TOW_DomesticWastewater'!E12</f>
        <v>7613476.5999999996</v>
      </c>
      <c r="N12" s="170">
        <f>J27</f>
        <v>0.54478993158959998</v>
      </c>
    </row>
    <row r="13" spans="1:14">
      <c r="A13" s="248"/>
      <c r="B13" s="55" t="s">
        <v>226</v>
      </c>
      <c r="C13" s="44">
        <v>0.54</v>
      </c>
      <c r="D13" s="45">
        <v>0.47</v>
      </c>
      <c r="E13" s="37">
        <f>'4D1_CH4_EF_DomesticWastewater'!$D$23</f>
        <v>0.06</v>
      </c>
      <c r="F13" s="116">
        <f t="shared" ref="F13:F26" si="0">$M$12</f>
        <v>7613476.5999999996</v>
      </c>
      <c r="G13" s="48"/>
      <c r="H13" s="48"/>
      <c r="I13" s="15">
        <f t="shared" ref="I13:I26" si="1">((C13*D13*E13)*(F13-G13))-H13</f>
        <v>115938.02166479999</v>
      </c>
      <c r="J13" s="34">
        <f t="shared" ref="J13:J26" si="2">I13/(10^6)</f>
        <v>0.1159380216648</v>
      </c>
      <c r="L13" s="94">
        <f>'4B_N2O emission'!B13</f>
        <v>2001</v>
      </c>
      <c r="M13" s="116">
        <f>'4D1_TOW_DomesticWastewater'!E13</f>
        <v>7765915.2000000002</v>
      </c>
      <c r="N13" s="170">
        <f>J60</f>
        <v>0.55569782805120005</v>
      </c>
    </row>
    <row r="14" spans="1:14">
      <c r="A14" s="248"/>
      <c r="B14" s="53" t="s">
        <v>227</v>
      </c>
      <c r="C14" s="44">
        <v>0.54</v>
      </c>
      <c r="D14" s="45">
        <v>0</v>
      </c>
      <c r="E14" s="37">
        <f>'4D1_CH4_EF_DomesticWastewater'!$D$13</f>
        <v>0.06</v>
      </c>
      <c r="F14" s="116">
        <f t="shared" si="0"/>
        <v>7613476.5999999996</v>
      </c>
      <c r="G14" s="48"/>
      <c r="H14" s="48"/>
      <c r="I14" s="15">
        <f t="shared" si="1"/>
        <v>0</v>
      </c>
      <c r="J14" s="34">
        <f t="shared" si="2"/>
        <v>0</v>
      </c>
      <c r="L14" s="94">
        <f>'4B_N2O emission'!B14</f>
        <v>2002</v>
      </c>
      <c r="M14" s="116">
        <f>'4D1_TOW_DomesticWastewater'!E14</f>
        <v>7943042.3999999994</v>
      </c>
      <c r="N14" s="170">
        <f>J88</f>
        <v>0.56837234197440001</v>
      </c>
    </row>
    <row r="15" spans="1:14">
      <c r="A15" s="227"/>
      <c r="B15" s="53" t="s">
        <v>228</v>
      </c>
      <c r="C15" s="44">
        <v>0.54</v>
      </c>
      <c r="D15" s="46">
        <v>0.1</v>
      </c>
      <c r="E15" s="37">
        <f>'4D1_CH4_EF_DomesticWastewater'!$D$14</f>
        <v>0.3</v>
      </c>
      <c r="F15" s="116">
        <f t="shared" si="0"/>
        <v>7613476.5999999996</v>
      </c>
      <c r="G15" s="49"/>
      <c r="H15" s="49"/>
      <c r="I15" s="15">
        <f t="shared" si="1"/>
        <v>123338.32092000001</v>
      </c>
      <c r="J15" s="34">
        <f t="shared" si="2"/>
        <v>0.12333832092000001</v>
      </c>
      <c r="L15" s="94">
        <f>'4B_N2O emission'!B15</f>
        <v>2003</v>
      </c>
      <c r="M15" s="116">
        <f>'4D1_TOW_DomesticWastewater'!E15</f>
        <v>8197476.5999999996</v>
      </c>
      <c r="N15" s="170">
        <f>J116</f>
        <v>0.58657863558960011</v>
      </c>
    </row>
    <row r="16" spans="1:14">
      <c r="A16" s="227"/>
      <c r="B16" s="53" t="s">
        <v>229</v>
      </c>
      <c r="C16" s="44">
        <v>0.54</v>
      </c>
      <c r="D16" s="46">
        <v>0.43</v>
      </c>
      <c r="E16" s="37">
        <v>0</v>
      </c>
      <c r="F16" s="116">
        <f t="shared" si="0"/>
        <v>7613476.5999999996</v>
      </c>
      <c r="G16" s="49"/>
      <c r="H16" s="49"/>
      <c r="I16" s="15">
        <f t="shared" si="1"/>
        <v>0</v>
      </c>
      <c r="J16" s="34">
        <f t="shared" si="2"/>
        <v>0</v>
      </c>
      <c r="L16" s="94">
        <f>'4B_N2O emission'!B16</f>
        <v>2004</v>
      </c>
      <c r="M16" s="116">
        <f>'4D1_TOW_DomesticWastewater'!E16</f>
        <v>8292756.2000000002</v>
      </c>
      <c r="N16" s="170">
        <f>J144</f>
        <v>0.59339646264720003</v>
      </c>
    </row>
    <row r="17" spans="1:14">
      <c r="A17" s="227" t="s">
        <v>165</v>
      </c>
      <c r="B17" s="53" t="s">
        <v>225</v>
      </c>
      <c r="C17" s="44">
        <v>0.12</v>
      </c>
      <c r="D17" s="46">
        <v>0.18</v>
      </c>
      <c r="E17" s="37">
        <f>'4D1_CH4_EF_DomesticWastewater'!$D$22</f>
        <v>0.3</v>
      </c>
      <c r="F17" s="116">
        <f t="shared" si="0"/>
        <v>7613476.5999999996</v>
      </c>
      <c r="G17" s="49"/>
      <c r="H17" s="49"/>
      <c r="I17" s="15">
        <f t="shared" si="1"/>
        <v>49335.328367999988</v>
      </c>
      <c r="J17" s="34">
        <f t="shared" si="2"/>
        <v>4.9335328367999989E-2</v>
      </c>
      <c r="L17" s="94">
        <f>'4B_N2O emission'!B17</f>
        <v>2005</v>
      </c>
      <c r="M17" s="116">
        <f>'4D1_TOW_DomesticWastewater'!E17</f>
        <v>8523275.5999999996</v>
      </c>
      <c r="N17" s="170">
        <f>J172</f>
        <v>0.6098915088336001</v>
      </c>
    </row>
    <row r="18" spans="1:14">
      <c r="A18" s="227"/>
      <c r="B18" s="53" t="s">
        <v>226</v>
      </c>
      <c r="C18" s="44">
        <v>0.12</v>
      </c>
      <c r="D18" s="46">
        <v>0.08</v>
      </c>
      <c r="E18" s="37">
        <f>'4D1_CH4_EF_DomesticWastewater'!$D$23</f>
        <v>0.06</v>
      </c>
      <c r="F18" s="116">
        <f t="shared" si="0"/>
        <v>7613476.5999999996</v>
      </c>
      <c r="G18" s="49"/>
      <c r="H18" s="49"/>
      <c r="I18" s="15">
        <f t="shared" si="1"/>
        <v>4385.3625215999991</v>
      </c>
      <c r="J18" s="34">
        <f t="shared" si="2"/>
        <v>4.3853625215999987E-3</v>
      </c>
      <c r="L18" s="94">
        <f>'4B_N2O emission'!B18</f>
        <v>2006</v>
      </c>
      <c r="M18" s="116">
        <f>'4D1_TOW_DomesticWastewater'!E18</f>
        <v>8621577.4000000004</v>
      </c>
      <c r="N18" s="170">
        <f>J200</f>
        <v>0.61692559243440004</v>
      </c>
    </row>
    <row r="19" spans="1:14">
      <c r="A19" s="227"/>
      <c r="B19" s="53" t="s">
        <v>227</v>
      </c>
      <c r="C19" s="44">
        <v>0.12</v>
      </c>
      <c r="D19" s="46">
        <v>0</v>
      </c>
      <c r="E19" s="37">
        <f>'4D1_CH4_EF_DomesticWastewater'!$D$13</f>
        <v>0.06</v>
      </c>
      <c r="F19" s="116">
        <f t="shared" si="0"/>
        <v>7613476.5999999996</v>
      </c>
      <c r="G19" s="49"/>
      <c r="H19" s="49"/>
      <c r="I19" s="15">
        <f t="shared" si="1"/>
        <v>0</v>
      </c>
      <c r="J19" s="34">
        <f t="shared" si="2"/>
        <v>0</v>
      </c>
      <c r="L19" s="94">
        <f>'4B_N2O emission'!B19</f>
        <v>2007</v>
      </c>
      <c r="M19" s="116">
        <f>'4D1_TOW_DomesticWastewater'!E19</f>
        <v>8717295</v>
      </c>
      <c r="N19" s="170">
        <f>J228</f>
        <v>0.62377476102000007</v>
      </c>
    </row>
    <row r="20" spans="1:14">
      <c r="A20" s="227"/>
      <c r="B20" s="53" t="s">
        <v>228</v>
      </c>
      <c r="C20" s="44">
        <v>0.12</v>
      </c>
      <c r="D20" s="46">
        <v>0.74</v>
      </c>
      <c r="E20" s="37">
        <f>'4D1_CH4_EF_DomesticWastewater'!$D$13</f>
        <v>0.06</v>
      </c>
      <c r="F20" s="116">
        <f t="shared" si="0"/>
        <v>7613476.5999999996</v>
      </c>
      <c r="G20" s="49"/>
      <c r="H20" s="49"/>
      <c r="I20" s="15">
        <f t="shared" si="1"/>
        <v>40564.603324799995</v>
      </c>
      <c r="J20" s="34">
        <f t="shared" si="2"/>
        <v>4.0564603324799997E-2</v>
      </c>
      <c r="L20" s="94">
        <f>'4B_N2O emission'!B20</f>
        <v>2008</v>
      </c>
      <c r="M20" s="116">
        <f>'4D1_TOW_DomesticWastewater'!E20</f>
        <v>8809479.4000000004</v>
      </c>
      <c r="N20" s="170">
        <f>J256</f>
        <v>0.63037110794640006</v>
      </c>
    </row>
    <row r="21" spans="1:14">
      <c r="A21" s="227"/>
      <c r="B21" s="53" t="s">
        <v>229</v>
      </c>
      <c r="C21" s="44">
        <v>0.12</v>
      </c>
      <c r="D21" s="46">
        <v>0</v>
      </c>
      <c r="E21" s="37">
        <v>0</v>
      </c>
      <c r="F21" s="116">
        <f t="shared" si="0"/>
        <v>7613476.5999999996</v>
      </c>
      <c r="G21" s="49"/>
      <c r="H21" s="49"/>
      <c r="I21" s="15">
        <f t="shared" si="1"/>
        <v>0</v>
      </c>
      <c r="J21" s="34">
        <f t="shared" si="2"/>
        <v>0</v>
      </c>
      <c r="L21" s="94">
        <f>'4B_N2O emission'!B21</f>
        <v>2009</v>
      </c>
      <c r="M21" s="116">
        <f>'4D1_TOW_DomesticWastewater'!E21</f>
        <v>8896948</v>
      </c>
      <c r="N21" s="170">
        <f>J284</f>
        <v>0.6366300110880001</v>
      </c>
    </row>
    <row r="22" spans="1:14">
      <c r="A22" s="227" t="s">
        <v>166</v>
      </c>
      <c r="B22" s="53" t="s">
        <v>225</v>
      </c>
      <c r="C22" s="44">
        <v>0.34</v>
      </c>
      <c r="D22" s="46">
        <v>0.14000000000000001</v>
      </c>
      <c r="E22" s="37">
        <f>'4D1_CH4_EF_DomesticWastewater'!$D$22</f>
        <v>0.3</v>
      </c>
      <c r="F22" s="116">
        <f t="shared" si="0"/>
        <v>7613476.5999999996</v>
      </c>
      <c r="G22" s="49"/>
      <c r="H22" s="49"/>
      <c r="I22" s="15">
        <f t="shared" si="1"/>
        <v>108720.44584800002</v>
      </c>
      <c r="J22" s="34">
        <f t="shared" si="2"/>
        <v>0.10872044584800002</v>
      </c>
      <c r="L22" s="94">
        <f>'4B_N2O emission'!B22</f>
        <v>2010</v>
      </c>
      <c r="M22" s="116">
        <f>'4D1_TOW_DomesticWastewater'!E22</f>
        <v>10621500</v>
      </c>
      <c r="N22" s="170">
        <f>J312</f>
        <v>0.76003205400000007</v>
      </c>
    </row>
    <row r="23" spans="1:14">
      <c r="A23" s="227"/>
      <c r="B23" s="53" t="s">
        <v>226</v>
      </c>
      <c r="C23" s="44">
        <v>0.34</v>
      </c>
      <c r="D23" s="46">
        <v>0.1</v>
      </c>
      <c r="E23" s="37">
        <f>'4D1_CH4_EF_DomesticWastewater'!$D$23</f>
        <v>0.06</v>
      </c>
      <c r="F23" s="116">
        <f t="shared" si="0"/>
        <v>7613476.5999999996</v>
      </c>
      <c r="G23" s="49"/>
      <c r="H23" s="49"/>
      <c r="I23" s="15">
        <f t="shared" si="1"/>
        <v>15531.492264</v>
      </c>
      <c r="J23" s="34">
        <f t="shared" si="2"/>
        <v>1.5531492264E-2</v>
      </c>
      <c r="L23" s="94">
        <f>'4B_N2O emission'!B23</f>
        <v>0</v>
      </c>
      <c r="M23" s="116">
        <f>'4D1_TOW_DomesticWastewater'!E23</f>
        <v>0</v>
      </c>
      <c r="N23" s="34"/>
    </row>
    <row r="24" spans="1:14">
      <c r="A24" s="227"/>
      <c r="B24" s="53" t="s">
        <v>227</v>
      </c>
      <c r="C24" s="44">
        <v>0.34</v>
      </c>
      <c r="D24" s="46">
        <v>0.03</v>
      </c>
      <c r="E24" s="37">
        <f>'4D1_CH4_EF_DomesticWastewater'!$D$13</f>
        <v>0.06</v>
      </c>
      <c r="F24" s="116">
        <f t="shared" si="0"/>
        <v>7613476.5999999996</v>
      </c>
      <c r="G24" s="49"/>
      <c r="H24" s="49"/>
      <c r="I24" s="15">
        <f t="shared" si="1"/>
        <v>4659.4476791999996</v>
      </c>
      <c r="J24" s="34">
        <f t="shared" si="2"/>
        <v>4.6594476791999998E-3</v>
      </c>
      <c r="L24" s="94">
        <f>'4B_N2O emission'!B24</f>
        <v>0</v>
      </c>
      <c r="M24" s="116">
        <f>'4D1_TOW_DomesticWastewater'!E24</f>
        <v>0</v>
      </c>
      <c r="N24" s="34"/>
    </row>
    <row r="25" spans="1:14">
      <c r="A25" s="227"/>
      <c r="B25" s="53" t="s">
        <v>228</v>
      </c>
      <c r="C25" s="44">
        <v>0.34</v>
      </c>
      <c r="D25" s="46">
        <v>0.53</v>
      </c>
      <c r="E25" s="37">
        <f>'4D1_CH4_EF_DomesticWastewater'!$D$13</f>
        <v>0.06</v>
      </c>
      <c r="F25" s="116">
        <f t="shared" si="0"/>
        <v>7613476.5999999996</v>
      </c>
      <c r="G25" s="49"/>
      <c r="H25" s="49"/>
      <c r="I25" s="15">
        <f t="shared" si="1"/>
        <v>82316.908999199994</v>
      </c>
      <c r="J25" s="34">
        <f t="shared" si="2"/>
        <v>8.2316908999199995E-2</v>
      </c>
      <c r="L25" s="94">
        <f>'4B_N2O emission'!B25</f>
        <v>0</v>
      </c>
      <c r="M25" s="116">
        <f>'4D1_TOW_DomesticWastewater'!E25</f>
        <v>0</v>
      </c>
      <c r="N25" s="34"/>
    </row>
    <row r="26" spans="1:14">
      <c r="A26" s="227"/>
      <c r="B26" s="53" t="s">
        <v>229</v>
      </c>
      <c r="C26" s="44">
        <v>0.34</v>
      </c>
      <c r="D26" s="46">
        <v>0.2</v>
      </c>
      <c r="E26" s="37">
        <v>0</v>
      </c>
      <c r="F26" s="116">
        <f t="shared" si="0"/>
        <v>7613476.5999999996</v>
      </c>
      <c r="G26" s="49"/>
      <c r="H26" s="49"/>
      <c r="I26" s="15">
        <f t="shared" si="1"/>
        <v>0</v>
      </c>
      <c r="J26" s="34">
        <f t="shared" si="2"/>
        <v>0</v>
      </c>
      <c r="L26" s="94">
        <f>'4B_N2O emission'!B26</f>
        <v>0</v>
      </c>
      <c r="M26" s="116">
        <f>'4D1_TOW_DomesticWastewater'!E26</f>
        <v>0</v>
      </c>
      <c r="N26" s="34"/>
    </row>
    <row r="27" spans="1:14">
      <c r="A27" s="244" t="s">
        <v>296</v>
      </c>
      <c r="B27" s="244"/>
      <c r="C27" s="244"/>
      <c r="D27" s="244"/>
      <c r="E27" s="244"/>
      <c r="F27" s="244"/>
      <c r="G27" s="244"/>
      <c r="H27" s="244"/>
      <c r="I27" s="117">
        <f>SUM(I12:I26)</f>
        <v>544789.93158959993</v>
      </c>
      <c r="J27" s="118">
        <f>SUM(J12:J26)</f>
        <v>0.54478993158959998</v>
      </c>
      <c r="L27" s="94">
        <f>'4B_N2O emission'!B27</f>
        <v>0</v>
      </c>
      <c r="M27" s="116">
        <f>'4D1_TOW_DomesticWastewater'!E27</f>
        <v>0</v>
      </c>
      <c r="N27" s="34"/>
    </row>
    <row r="28" spans="1:14">
      <c r="L28" s="94">
        <f>'4B_N2O emission'!B28</f>
        <v>0</v>
      </c>
      <c r="M28" s="116">
        <f>'4D1_TOW_DomesticWastewater'!E28</f>
        <v>0</v>
      </c>
      <c r="N28" s="34"/>
    </row>
    <row r="29" spans="1:14">
      <c r="L29" s="94">
        <f>'4B_N2O emission'!B29</f>
        <v>0</v>
      </c>
      <c r="M29" s="116">
        <f>'4D1_TOW_DomesticWastewater'!E29</f>
        <v>0</v>
      </c>
      <c r="N29" s="34"/>
    </row>
    <row r="30" spans="1:14">
      <c r="L30" s="94">
        <f>'4B_N2O emission'!B30</f>
        <v>0</v>
      </c>
      <c r="M30" s="116">
        <f>'4D1_TOW_DomesticWastewater'!E30</f>
        <v>0</v>
      </c>
      <c r="N30" s="34"/>
    </row>
    <row r="31" spans="1:14">
      <c r="L31" s="94">
        <f>'4B_N2O emission'!B31</f>
        <v>0</v>
      </c>
      <c r="M31" s="116">
        <f>'4D1_TOW_DomesticWastewater'!E31</f>
        <v>0</v>
      </c>
      <c r="N31" s="34"/>
    </row>
    <row r="32" spans="1:14">
      <c r="F32" s="96" t="s">
        <v>248</v>
      </c>
      <c r="L32" s="94">
        <f>'4B_N2O emission'!B32</f>
        <v>0</v>
      </c>
      <c r="M32" s="116">
        <f>'4D1_TOW_DomesticWastewater'!E32</f>
        <v>0</v>
      </c>
      <c r="N32" s="118"/>
    </row>
    <row r="35" spans="1:10">
      <c r="A35" s="245" t="s">
        <v>0</v>
      </c>
      <c r="B35" s="246"/>
      <c r="C35" s="185" t="s">
        <v>1</v>
      </c>
      <c r="D35" s="249"/>
      <c r="E35" s="249"/>
      <c r="F35" s="249"/>
      <c r="G35" s="249"/>
      <c r="H35" s="249"/>
      <c r="I35" s="249"/>
    </row>
    <row r="36" spans="1:10">
      <c r="A36" s="245" t="s">
        <v>2</v>
      </c>
      <c r="B36" s="246"/>
      <c r="C36" s="185" t="s">
        <v>117</v>
      </c>
      <c r="D36" s="249"/>
      <c r="E36" s="249"/>
      <c r="F36" s="249"/>
      <c r="G36" s="249"/>
      <c r="H36" s="249"/>
      <c r="I36" s="249"/>
    </row>
    <row r="37" spans="1:10">
      <c r="A37" s="245" t="s">
        <v>4</v>
      </c>
      <c r="B37" s="246"/>
      <c r="C37" s="185" t="s">
        <v>118</v>
      </c>
      <c r="D37" s="249"/>
      <c r="E37" s="249"/>
      <c r="F37" s="249"/>
      <c r="G37" s="249"/>
      <c r="H37" s="249"/>
      <c r="I37" s="249"/>
    </row>
    <row r="38" spans="1:10">
      <c r="A38" s="245" t="s">
        <v>6</v>
      </c>
      <c r="B38" s="246"/>
      <c r="C38" s="185" t="s">
        <v>145</v>
      </c>
      <c r="D38" s="249"/>
      <c r="E38" s="249"/>
      <c r="F38" s="249"/>
      <c r="G38" s="249"/>
      <c r="H38" s="249"/>
      <c r="I38" s="249"/>
    </row>
    <row r="39" spans="1:10">
      <c r="A39" s="217" t="s">
        <v>10</v>
      </c>
      <c r="B39" s="234"/>
      <c r="C39" s="234"/>
      <c r="D39" s="234"/>
      <c r="E39" s="234"/>
      <c r="F39" s="234"/>
      <c r="G39" s="234"/>
      <c r="H39" s="234"/>
      <c r="I39" s="234"/>
      <c r="J39" s="115"/>
    </row>
    <row r="40" spans="1:10">
      <c r="A40" s="59"/>
      <c r="B40" s="59"/>
      <c r="C40" s="7" t="s">
        <v>11</v>
      </c>
      <c r="D40" s="7" t="s">
        <v>12</v>
      </c>
      <c r="E40" s="7" t="s">
        <v>13</v>
      </c>
      <c r="F40" s="7" t="s">
        <v>14</v>
      </c>
      <c r="G40" s="7" t="s">
        <v>15</v>
      </c>
      <c r="H40" s="7" t="s">
        <v>58</v>
      </c>
      <c r="I40" s="7" t="s">
        <v>78</v>
      </c>
      <c r="J40" s="94" t="s">
        <v>79</v>
      </c>
    </row>
    <row r="41" spans="1:10" ht="51">
      <c r="A41" s="195" t="s">
        <v>146</v>
      </c>
      <c r="B41" s="195" t="s">
        <v>147</v>
      </c>
      <c r="C41" s="59" t="s">
        <v>148</v>
      </c>
      <c r="D41" s="59" t="s">
        <v>149</v>
      </c>
      <c r="E41" s="59" t="s">
        <v>150</v>
      </c>
      <c r="F41" s="59" t="s">
        <v>123</v>
      </c>
      <c r="G41" s="59" t="s">
        <v>151</v>
      </c>
      <c r="H41" s="59" t="s">
        <v>152</v>
      </c>
      <c r="I41" s="59" t="s">
        <v>153</v>
      </c>
      <c r="J41" s="59" t="s">
        <v>153</v>
      </c>
    </row>
    <row r="42" spans="1:10" ht="15.75">
      <c r="A42" s="195"/>
      <c r="B42" s="195"/>
      <c r="C42" s="77" t="s">
        <v>154</v>
      </c>
      <c r="D42" s="77" t="s">
        <v>155</v>
      </c>
      <c r="E42" s="77" t="s">
        <v>156</v>
      </c>
      <c r="F42" s="77" t="s">
        <v>127</v>
      </c>
      <c r="G42" s="77" t="s">
        <v>157</v>
      </c>
      <c r="H42" s="77" t="s">
        <v>158</v>
      </c>
      <c r="I42" s="77" t="s">
        <v>159</v>
      </c>
      <c r="J42" s="77" t="s">
        <v>159</v>
      </c>
    </row>
    <row r="43" spans="1:10" ht="28.5">
      <c r="A43" s="195"/>
      <c r="B43" s="195"/>
      <c r="C43" s="8" t="s">
        <v>44</v>
      </c>
      <c r="D43" s="8" t="s">
        <v>44</v>
      </c>
      <c r="E43" s="8" t="s">
        <v>142</v>
      </c>
      <c r="F43" s="8" t="s">
        <v>130</v>
      </c>
      <c r="G43" s="8" t="s">
        <v>130</v>
      </c>
      <c r="H43" s="8" t="s">
        <v>160</v>
      </c>
      <c r="I43" s="8" t="s">
        <v>160</v>
      </c>
      <c r="J43" s="8" t="s">
        <v>231</v>
      </c>
    </row>
    <row r="44" spans="1:10" ht="24.75" thickBot="1">
      <c r="A44" s="211"/>
      <c r="B44" s="211"/>
      <c r="C44" s="5"/>
      <c r="D44" s="5"/>
      <c r="E44" s="5" t="s">
        <v>161</v>
      </c>
      <c r="F44" s="5" t="s">
        <v>162</v>
      </c>
      <c r="G44" s="5"/>
      <c r="H44" s="5"/>
      <c r="I44" s="9" t="s">
        <v>163</v>
      </c>
      <c r="J44" s="35"/>
    </row>
    <row r="45" spans="1:10" ht="13.5" thickTop="1">
      <c r="A45" s="247" t="s">
        <v>164</v>
      </c>
      <c r="B45" s="54" t="s">
        <v>225</v>
      </c>
      <c r="C45" s="42">
        <v>0.54</v>
      </c>
      <c r="D45" s="43">
        <v>0</v>
      </c>
      <c r="E45" s="38">
        <f>'4D1_CH4_EF_DomesticWastewater'!$D$14</f>
        <v>0.3</v>
      </c>
      <c r="F45" s="116">
        <f>$M$13</f>
        <v>7765915.2000000002</v>
      </c>
      <c r="G45" s="47"/>
      <c r="H45" s="47"/>
      <c r="I45" s="14">
        <f>((C45*D45*E45)*(F45-G45))-H45</f>
        <v>0</v>
      </c>
      <c r="J45" s="32">
        <f>I45/(10^6)</f>
        <v>0</v>
      </c>
    </row>
    <row r="46" spans="1:10">
      <c r="A46" s="248"/>
      <c r="B46" s="55" t="s">
        <v>226</v>
      </c>
      <c r="C46" s="44">
        <v>0.54</v>
      </c>
      <c r="D46" s="45">
        <v>0.47</v>
      </c>
      <c r="E46" s="37">
        <f>'4D1_CH4_EF_DomesticWastewater'!$D$23</f>
        <v>0.06</v>
      </c>
      <c r="F46" s="116">
        <f t="shared" ref="F46:F59" si="3">$M$13</f>
        <v>7765915.2000000002</v>
      </c>
      <c r="G46" s="48"/>
      <c r="H46" s="48"/>
      <c r="I46" s="15">
        <f t="shared" ref="I46:I59" si="4">((C46*D46*E46)*(F46-G46))-H46</f>
        <v>118259.3566656</v>
      </c>
      <c r="J46" s="34">
        <f t="shared" ref="J46:J59" si="5">I46/(10^6)</f>
        <v>0.1182593566656</v>
      </c>
    </row>
    <row r="47" spans="1:10">
      <c r="A47" s="248"/>
      <c r="B47" s="53" t="s">
        <v>227</v>
      </c>
      <c r="C47" s="44">
        <v>0.54</v>
      </c>
      <c r="D47" s="45">
        <v>0</v>
      </c>
      <c r="E47" s="37">
        <f>'4D1_CH4_EF_DomesticWastewater'!$D$13</f>
        <v>0.06</v>
      </c>
      <c r="F47" s="116">
        <f t="shared" si="3"/>
        <v>7765915.2000000002</v>
      </c>
      <c r="G47" s="48"/>
      <c r="H47" s="48"/>
      <c r="I47" s="15">
        <f t="shared" si="4"/>
        <v>0</v>
      </c>
      <c r="J47" s="34">
        <f t="shared" si="5"/>
        <v>0</v>
      </c>
    </row>
    <row r="48" spans="1:10">
      <c r="A48" s="227"/>
      <c r="B48" s="53" t="s">
        <v>228</v>
      </c>
      <c r="C48" s="44">
        <v>0.54</v>
      </c>
      <c r="D48" s="46">
        <v>0.1</v>
      </c>
      <c r="E48" s="37">
        <f>'4D1_CH4_EF_DomesticWastewater'!$D$14</f>
        <v>0.3</v>
      </c>
      <c r="F48" s="116">
        <f t="shared" si="3"/>
        <v>7765915.2000000002</v>
      </c>
      <c r="G48" s="49"/>
      <c r="H48" s="49"/>
      <c r="I48" s="15">
        <f t="shared" si="4"/>
        <v>125807.82624000002</v>
      </c>
      <c r="J48" s="34">
        <f t="shared" si="5"/>
        <v>0.12580782624000003</v>
      </c>
    </row>
    <row r="49" spans="1:10">
      <c r="A49" s="227"/>
      <c r="B49" s="53" t="s">
        <v>229</v>
      </c>
      <c r="C49" s="44">
        <v>0.54</v>
      </c>
      <c r="D49" s="46">
        <v>0.43</v>
      </c>
      <c r="E49" s="37">
        <v>0</v>
      </c>
      <c r="F49" s="116">
        <f t="shared" si="3"/>
        <v>7765915.2000000002</v>
      </c>
      <c r="G49" s="49"/>
      <c r="H49" s="49"/>
      <c r="I49" s="15">
        <f t="shared" si="4"/>
        <v>0</v>
      </c>
      <c r="J49" s="34">
        <f t="shared" si="5"/>
        <v>0</v>
      </c>
    </row>
    <row r="50" spans="1:10">
      <c r="A50" s="227" t="s">
        <v>165</v>
      </c>
      <c r="B50" s="53" t="s">
        <v>225</v>
      </c>
      <c r="C50" s="44">
        <v>0.12</v>
      </c>
      <c r="D50" s="46">
        <v>0.18</v>
      </c>
      <c r="E50" s="37">
        <f>'4D1_CH4_EF_DomesticWastewater'!$D$22</f>
        <v>0.3</v>
      </c>
      <c r="F50" s="116">
        <f t="shared" si="3"/>
        <v>7765915.2000000002</v>
      </c>
      <c r="G50" s="49"/>
      <c r="H50" s="49"/>
      <c r="I50" s="15">
        <f t="shared" si="4"/>
        <v>50323.130495999991</v>
      </c>
      <c r="J50" s="34">
        <f t="shared" si="5"/>
        <v>5.0323130495999992E-2</v>
      </c>
    </row>
    <row r="51" spans="1:10">
      <c r="A51" s="227"/>
      <c r="B51" s="53" t="s">
        <v>226</v>
      </c>
      <c r="C51" s="44">
        <v>0.12</v>
      </c>
      <c r="D51" s="46">
        <v>0.08</v>
      </c>
      <c r="E51" s="37">
        <f>'4D1_CH4_EF_DomesticWastewater'!$D$23</f>
        <v>0.06</v>
      </c>
      <c r="F51" s="116">
        <f t="shared" si="3"/>
        <v>7765915.2000000002</v>
      </c>
      <c r="G51" s="49"/>
      <c r="H51" s="49"/>
      <c r="I51" s="15">
        <f t="shared" si="4"/>
        <v>4473.1671551999998</v>
      </c>
      <c r="J51" s="34">
        <f t="shared" si="5"/>
        <v>4.4731671551999997E-3</v>
      </c>
    </row>
    <row r="52" spans="1:10">
      <c r="A52" s="227"/>
      <c r="B52" s="53" t="s">
        <v>227</v>
      </c>
      <c r="C52" s="44">
        <v>0.12</v>
      </c>
      <c r="D52" s="46">
        <v>0</v>
      </c>
      <c r="E52" s="37">
        <f>'4D1_CH4_EF_DomesticWastewater'!$D$13</f>
        <v>0.06</v>
      </c>
      <c r="F52" s="116">
        <f t="shared" si="3"/>
        <v>7765915.2000000002</v>
      </c>
      <c r="G52" s="49"/>
      <c r="H52" s="49"/>
      <c r="I52" s="15">
        <f t="shared" si="4"/>
        <v>0</v>
      </c>
      <c r="J52" s="34">
        <f t="shared" si="5"/>
        <v>0</v>
      </c>
    </row>
    <row r="53" spans="1:10">
      <c r="A53" s="227"/>
      <c r="B53" s="53" t="s">
        <v>228</v>
      </c>
      <c r="C53" s="44">
        <v>0.12</v>
      </c>
      <c r="D53" s="46">
        <v>0.74</v>
      </c>
      <c r="E53" s="37">
        <f>'4D1_CH4_EF_DomesticWastewater'!$D$13</f>
        <v>0.06</v>
      </c>
      <c r="F53" s="116">
        <f t="shared" si="3"/>
        <v>7765915.2000000002</v>
      </c>
      <c r="G53" s="49"/>
      <c r="H53" s="49"/>
      <c r="I53" s="15">
        <f t="shared" si="4"/>
        <v>41376.796185599997</v>
      </c>
      <c r="J53" s="34">
        <f t="shared" si="5"/>
        <v>4.1376796185599994E-2</v>
      </c>
    </row>
    <row r="54" spans="1:10">
      <c r="A54" s="227"/>
      <c r="B54" s="53" t="s">
        <v>229</v>
      </c>
      <c r="C54" s="44">
        <v>0.12</v>
      </c>
      <c r="D54" s="46">
        <v>0</v>
      </c>
      <c r="E54" s="37">
        <v>0</v>
      </c>
      <c r="F54" s="116">
        <f t="shared" si="3"/>
        <v>7765915.2000000002</v>
      </c>
      <c r="G54" s="49"/>
      <c r="H54" s="49"/>
      <c r="I54" s="15">
        <f t="shared" si="4"/>
        <v>0</v>
      </c>
      <c r="J54" s="34">
        <f t="shared" si="5"/>
        <v>0</v>
      </c>
    </row>
    <row r="55" spans="1:10">
      <c r="A55" s="227" t="s">
        <v>166</v>
      </c>
      <c r="B55" s="53" t="s">
        <v>225</v>
      </c>
      <c r="C55" s="44">
        <v>0.34</v>
      </c>
      <c r="D55" s="46">
        <v>0.14000000000000001</v>
      </c>
      <c r="E55" s="37">
        <f>'4D1_CH4_EF_DomesticWastewater'!$D$22</f>
        <v>0.3</v>
      </c>
      <c r="F55" s="116">
        <f t="shared" si="3"/>
        <v>7765915.2000000002</v>
      </c>
      <c r="G55" s="49"/>
      <c r="H55" s="49"/>
      <c r="I55" s="15">
        <f t="shared" si="4"/>
        <v>110897.26905600002</v>
      </c>
      <c r="J55" s="34">
        <f t="shared" si="5"/>
        <v>0.11089726905600002</v>
      </c>
    </row>
    <row r="56" spans="1:10">
      <c r="A56" s="227"/>
      <c r="B56" s="53" t="s">
        <v>226</v>
      </c>
      <c r="C56" s="44">
        <v>0.34</v>
      </c>
      <c r="D56" s="46">
        <v>0.1</v>
      </c>
      <c r="E56" s="37">
        <f>'4D1_CH4_EF_DomesticWastewater'!$D$23</f>
        <v>0.06</v>
      </c>
      <c r="F56" s="116">
        <f t="shared" si="3"/>
        <v>7765915.2000000002</v>
      </c>
      <c r="G56" s="49"/>
      <c r="H56" s="49"/>
      <c r="I56" s="15">
        <f t="shared" si="4"/>
        <v>15842.467008000001</v>
      </c>
      <c r="J56" s="34">
        <f t="shared" si="5"/>
        <v>1.5842467008000002E-2</v>
      </c>
    </row>
    <row r="57" spans="1:10">
      <c r="A57" s="227"/>
      <c r="B57" s="53" t="s">
        <v>227</v>
      </c>
      <c r="C57" s="44">
        <v>0.34</v>
      </c>
      <c r="D57" s="46">
        <v>0.03</v>
      </c>
      <c r="E57" s="37">
        <f>'4D1_CH4_EF_DomesticWastewater'!$D$13</f>
        <v>0.06</v>
      </c>
      <c r="F57" s="116">
        <f t="shared" si="3"/>
        <v>7765915.2000000002</v>
      </c>
      <c r="G57" s="49"/>
      <c r="H57" s="49"/>
      <c r="I57" s="15">
        <f t="shared" si="4"/>
        <v>4752.7401024000001</v>
      </c>
      <c r="J57" s="34">
        <f t="shared" si="5"/>
        <v>4.7527401024E-3</v>
      </c>
    </row>
    <row r="58" spans="1:10">
      <c r="A58" s="227"/>
      <c r="B58" s="53" t="s">
        <v>228</v>
      </c>
      <c r="C58" s="44">
        <v>0.34</v>
      </c>
      <c r="D58" s="46">
        <v>0.53</v>
      </c>
      <c r="E58" s="37">
        <f>'4D1_CH4_EF_DomesticWastewater'!$D$13</f>
        <v>0.06</v>
      </c>
      <c r="F58" s="116">
        <f t="shared" si="3"/>
        <v>7765915.2000000002</v>
      </c>
      <c r="G58" s="49"/>
      <c r="H58" s="49"/>
      <c r="I58" s="15">
        <f t="shared" si="4"/>
        <v>83965.075142400005</v>
      </c>
      <c r="J58" s="34">
        <f t="shared" si="5"/>
        <v>8.3965075142400009E-2</v>
      </c>
    </row>
    <row r="59" spans="1:10">
      <c r="A59" s="227"/>
      <c r="B59" s="53" t="s">
        <v>229</v>
      </c>
      <c r="C59" s="44">
        <v>0.34</v>
      </c>
      <c r="D59" s="46">
        <v>0.2</v>
      </c>
      <c r="E59" s="37">
        <v>0</v>
      </c>
      <c r="F59" s="116">
        <f t="shared" si="3"/>
        <v>7765915.2000000002</v>
      </c>
      <c r="G59" s="49"/>
      <c r="H59" s="49"/>
      <c r="I59" s="15">
        <f t="shared" si="4"/>
        <v>0</v>
      </c>
      <c r="J59" s="34">
        <f t="shared" si="5"/>
        <v>0</v>
      </c>
    </row>
    <row r="60" spans="1:10">
      <c r="A60" s="244" t="s">
        <v>297</v>
      </c>
      <c r="B60" s="244"/>
      <c r="C60" s="244"/>
      <c r="D60" s="244"/>
      <c r="E60" s="244"/>
      <c r="F60" s="244"/>
      <c r="G60" s="244"/>
      <c r="H60" s="244"/>
      <c r="I60" s="117">
        <f>SUM(I45:I59)</f>
        <v>555697.82805120002</v>
      </c>
      <c r="J60" s="118">
        <f>SUM(J45:J59)</f>
        <v>0.55569782805120005</v>
      </c>
    </row>
    <row r="63" spans="1:10">
      <c r="A63" s="245" t="s">
        <v>0</v>
      </c>
      <c r="B63" s="246"/>
      <c r="C63" s="185" t="s">
        <v>1</v>
      </c>
      <c r="D63" s="249"/>
      <c r="E63" s="249"/>
      <c r="F63" s="249"/>
      <c r="G63" s="249"/>
      <c r="H63" s="249"/>
      <c r="I63" s="249"/>
    </row>
    <row r="64" spans="1:10">
      <c r="A64" s="245" t="s">
        <v>2</v>
      </c>
      <c r="B64" s="246"/>
      <c r="C64" s="185" t="s">
        <v>117</v>
      </c>
      <c r="D64" s="249"/>
      <c r="E64" s="249"/>
      <c r="F64" s="249"/>
      <c r="G64" s="249"/>
      <c r="H64" s="249"/>
      <c r="I64" s="249"/>
    </row>
    <row r="65" spans="1:10">
      <c r="A65" s="245" t="s">
        <v>4</v>
      </c>
      <c r="B65" s="246"/>
      <c r="C65" s="185" t="s">
        <v>118</v>
      </c>
      <c r="D65" s="249"/>
      <c r="E65" s="249"/>
      <c r="F65" s="249"/>
      <c r="G65" s="249"/>
      <c r="H65" s="249"/>
      <c r="I65" s="249"/>
    </row>
    <row r="66" spans="1:10">
      <c r="A66" s="245" t="s">
        <v>6</v>
      </c>
      <c r="B66" s="246"/>
      <c r="C66" s="185" t="s">
        <v>145</v>
      </c>
      <c r="D66" s="249"/>
      <c r="E66" s="249"/>
      <c r="F66" s="249"/>
      <c r="G66" s="249"/>
      <c r="H66" s="249"/>
      <c r="I66" s="249"/>
    </row>
    <row r="67" spans="1:10">
      <c r="A67" s="217" t="s">
        <v>10</v>
      </c>
      <c r="B67" s="234"/>
      <c r="C67" s="234"/>
      <c r="D67" s="234"/>
      <c r="E67" s="234"/>
      <c r="F67" s="234"/>
      <c r="G67" s="234"/>
      <c r="H67" s="234"/>
      <c r="I67" s="234"/>
      <c r="J67" s="115"/>
    </row>
    <row r="68" spans="1:10">
      <c r="A68" s="59"/>
      <c r="B68" s="59"/>
      <c r="C68" s="7" t="s">
        <v>11</v>
      </c>
      <c r="D68" s="7" t="s">
        <v>12</v>
      </c>
      <c r="E68" s="7" t="s">
        <v>13</v>
      </c>
      <c r="F68" s="7" t="s">
        <v>14</v>
      </c>
      <c r="G68" s="7" t="s">
        <v>15</v>
      </c>
      <c r="H68" s="7" t="s">
        <v>58</v>
      </c>
      <c r="I68" s="7" t="s">
        <v>78</v>
      </c>
      <c r="J68" s="94" t="s">
        <v>79</v>
      </c>
    </row>
    <row r="69" spans="1:10" ht="51">
      <c r="A69" s="195" t="s">
        <v>146</v>
      </c>
      <c r="B69" s="195" t="s">
        <v>147</v>
      </c>
      <c r="C69" s="59" t="s">
        <v>148</v>
      </c>
      <c r="D69" s="59" t="s">
        <v>149</v>
      </c>
      <c r="E69" s="59" t="s">
        <v>150</v>
      </c>
      <c r="F69" s="59" t="s">
        <v>123</v>
      </c>
      <c r="G69" s="59" t="s">
        <v>151</v>
      </c>
      <c r="H69" s="59" t="s">
        <v>152</v>
      </c>
      <c r="I69" s="59" t="s">
        <v>153</v>
      </c>
      <c r="J69" s="59" t="s">
        <v>153</v>
      </c>
    </row>
    <row r="70" spans="1:10" ht="15.75">
      <c r="A70" s="195"/>
      <c r="B70" s="195"/>
      <c r="C70" s="77" t="s">
        <v>154</v>
      </c>
      <c r="D70" s="77" t="s">
        <v>155</v>
      </c>
      <c r="E70" s="77" t="s">
        <v>156</v>
      </c>
      <c r="F70" s="77" t="s">
        <v>127</v>
      </c>
      <c r="G70" s="77" t="s">
        <v>157</v>
      </c>
      <c r="H70" s="77" t="s">
        <v>158</v>
      </c>
      <c r="I70" s="77" t="s">
        <v>159</v>
      </c>
      <c r="J70" s="77" t="s">
        <v>159</v>
      </c>
    </row>
    <row r="71" spans="1:10" ht="28.5">
      <c r="A71" s="195"/>
      <c r="B71" s="195"/>
      <c r="C71" s="8" t="s">
        <v>44</v>
      </c>
      <c r="D71" s="8" t="s">
        <v>44</v>
      </c>
      <c r="E71" s="8" t="s">
        <v>142</v>
      </c>
      <c r="F71" s="8" t="s">
        <v>130</v>
      </c>
      <c r="G71" s="8" t="s">
        <v>130</v>
      </c>
      <c r="H71" s="8" t="s">
        <v>160</v>
      </c>
      <c r="I71" s="8" t="s">
        <v>160</v>
      </c>
      <c r="J71" s="8" t="s">
        <v>231</v>
      </c>
    </row>
    <row r="72" spans="1:10" ht="24.75" thickBot="1">
      <c r="A72" s="211"/>
      <c r="B72" s="211"/>
      <c r="C72" s="5"/>
      <c r="D72" s="5"/>
      <c r="E72" s="5" t="s">
        <v>161</v>
      </c>
      <c r="F72" s="5" t="s">
        <v>162</v>
      </c>
      <c r="G72" s="5"/>
      <c r="H72" s="5"/>
      <c r="I72" s="9" t="s">
        <v>163</v>
      </c>
      <c r="J72" s="35"/>
    </row>
    <row r="73" spans="1:10" ht="13.5" thickTop="1">
      <c r="A73" s="247" t="s">
        <v>164</v>
      </c>
      <c r="B73" s="54" t="s">
        <v>225</v>
      </c>
      <c r="C73" s="42">
        <v>0.54</v>
      </c>
      <c r="D73" s="43">
        <v>0</v>
      </c>
      <c r="E73" s="38">
        <f>'4D1_CH4_EF_DomesticWastewater'!$D$14</f>
        <v>0.3</v>
      </c>
      <c r="F73" s="116">
        <f>$M$14</f>
        <v>7943042.3999999994</v>
      </c>
      <c r="G73" s="47"/>
      <c r="H73" s="47"/>
      <c r="I73" s="14">
        <f>((C73*D73*E73)*(F73-G73))-H73</f>
        <v>0</v>
      </c>
      <c r="J73" s="32">
        <f>I73/(10^6)</f>
        <v>0</v>
      </c>
    </row>
    <row r="74" spans="1:10">
      <c r="A74" s="248"/>
      <c r="B74" s="55" t="s">
        <v>226</v>
      </c>
      <c r="C74" s="44">
        <v>0.54</v>
      </c>
      <c r="D74" s="45">
        <v>0.47</v>
      </c>
      <c r="E74" s="37">
        <f>'4D1_CH4_EF_DomesticWastewater'!$D$23</f>
        <v>0.06</v>
      </c>
      <c r="F74" s="116">
        <f t="shared" ref="F74:F87" si="6">$M$14</f>
        <v>7943042.3999999994</v>
      </c>
      <c r="G74" s="48"/>
      <c r="H74" s="48"/>
      <c r="I74" s="15">
        <f t="shared" ref="I74:I87" si="7">((C74*D74*E74)*(F74-G74))-H74</f>
        <v>120956.64966719999</v>
      </c>
      <c r="J74" s="34">
        <f t="shared" ref="J74:J87" si="8">I74/(10^6)</f>
        <v>0.12095664966719999</v>
      </c>
    </row>
    <row r="75" spans="1:10">
      <c r="A75" s="248"/>
      <c r="B75" s="53" t="s">
        <v>227</v>
      </c>
      <c r="C75" s="44">
        <v>0.54</v>
      </c>
      <c r="D75" s="45">
        <v>0</v>
      </c>
      <c r="E75" s="37">
        <f>'4D1_CH4_EF_DomesticWastewater'!$D$13</f>
        <v>0.06</v>
      </c>
      <c r="F75" s="116">
        <f t="shared" si="6"/>
        <v>7943042.3999999994</v>
      </c>
      <c r="G75" s="48"/>
      <c r="H75" s="48"/>
      <c r="I75" s="15">
        <f t="shared" si="7"/>
        <v>0</v>
      </c>
      <c r="J75" s="34">
        <f t="shared" si="8"/>
        <v>0</v>
      </c>
    </row>
    <row r="76" spans="1:10">
      <c r="A76" s="227"/>
      <c r="B76" s="53" t="s">
        <v>228</v>
      </c>
      <c r="C76" s="44">
        <v>0.54</v>
      </c>
      <c r="D76" s="46">
        <v>0.1</v>
      </c>
      <c r="E76" s="37">
        <f>'4D1_CH4_EF_DomesticWastewater'!$D$14</f>
        <v>0.3</v>
      </c>
      <c r="F76" s="116">
        <f t="shared" si="6"/>
        <v>7943042.3999999994</v>
      </c>
      <c r="G76" s="49"/>
      <c r="H76" s="49"/>
      <c r="I76" s="15">
        <f t="shared" si="7"/>
        <v>128677.28688000001</v>
      </c>
      <c r="J76" s="34">
        <f t="shared" si="8"/>
        <v>0.12867728688000002</v>
      </c>
    </row>
    <row r="77" spans="1:10">
      <c r="A77" s="227"/>
      <c r="B77" s="53" t="s">
        <v>229</v>
      </c>
      <c r="C77" s="44">
        <v>0.54</v>
      </c>
      <c r="D77" s="46">
        <v>0.43</v>
      </c>
      <c r="E77" s="37">
        <v>0</v>
      </c>
      <c r="F77" s="116">
        <f t="shared" si="6"/>
        <v>7943042.3999999994</v>
      </c>
      <c r="G77" s="49"/>
      <c r="H77" s="49"/>
      <c r="I77" s="15">
        <f t="shared" si="7"/>
        <v>0</v>
      </c>
      <c r="J77" s="34">
        <f t="shared" si="8"/>
        <v>0</v>
      </c>
    </row>
    <row r="78" spans="1:10">
      <c r="A78" s="227" t="s">
        <v>165</v>
      </c>
      <c r="B78" s="53" t="s">
        <v>225</v>
      </c>
      <c r="C78" s="44">
        <v>0.12</v>
      </c>
      <c r="D78" s="46">
        <v>0.18</v>
      </c>
      <c r="E78" s="37">
        <f>'4D1_CH4_EF_DomesticWastewater'!$D$22</f>
        <v>0.3</v>
      </c>
      <c r="F78" s="116">
        <f t="shared" si="6"/>
        <v>7943042.3999999994</v>
      </c>
      <c r="G78" s="49"/>
      <c r="H78" s="49"/>
      <c r="I78" s="15">
        <f t="shared" si="7"/>
        <v>51470.91475199999</v>
      </c>
      <c r="J78" s="34">
        <f t="shared" si="8"/>
        <v>5.147091475199999E-2</v>
      </c>
    </row>
    <row r="79" spans="1:10">
      <c r="A79" s="227"/>
      <c r="B79" s="53" t="s">
        <v>226</v>
      </c>
      <c r="C79" s="44">
        <v>0.12</v>
      </c>
      <c r="D79" s="46">
        <v>0.08</v>
      </c>
      <c r="E79" s="37">
        <f>'4D1_CH4_EF_DomesticWastewater'!$D$23</f>
        <v>0.06</v>
      </c>
      <c r="F79" s="116">
        <f t="shared" si="6"/>
        <v>7943042.3999999994</v>
      </c>
      <c r="G79" s="49"/>
      <c r="H79" s="49"/>
      <c r="I79" s="15">
        <f t="shared" si="7"/>
        <v>4575.1924223999986</v>
      </c>
      <c r="J79" s="34">
        <f t="shared" si="8"/>
        <v>4.5751924223999983E-3</v>
      </c>
    </row>
    <row r="80" spans="1:10">
      <c r="A80" s="227"/>
      <c r="B80" s="53" t="s">
        <v>227</v>
      </c>
      <c r="C80" s="44">
        <v>0.12</v>
      </c>
      <c r="D80" s="46">
        <v>0</v>
      </c>
      <c r="E80" s="37">
        <f>'4D1_CH4_EF_DomesticWastewater'!$D$13</f>
        <v>0.06</v>
      </c>
      <c r="F80" s="116">
        <f t="shared" si="6"/>
        <v>7943042.3999999994</v>
      </c>
      <c r="G80" s="49"/>
      <c r="H80" s="49"/>
      <c r="I80" s="15">
        <f t="shared" si="7"/>
        <v>0</v>
      </c>
      <c r="J80" s="34">
        <f t="shared" si="8"/>
        <v>0</v>
      </c>
    </row>
    <row r="81" spans="1:10">
      <c r="A81" s="227"/>
      <c r="B81" s="53" t="s">
        <v>228</v>
      </c>
      <c r="C81" s="44">
        <v>0.12</v>
      </c>
      <c r="D81" s="46">
        <v>0.74</v>
      </c>
      <c r="E81" s="37">
        <f>'4D1_CH4_EF_DomesticWastewater'!$D$13</f>
        <v>0.06</v>
      </c>
      <c r="F81" s="116">
        <f t="shared" si="6"/>
        <v>7943042.3999999994</v>
      </c>
      <c r="G81" s="49"/>
      <c r="H81" s="49"/>
      <c r="I81" s="15">
        <f t="shared" si="7"/>
        <v>42320.529907199991</v>
      </c>
      <c r="J81" s="34">
        <f t="shared" si="8"/>
        <v>4.2320529907199991E-2</v>
      </c>
    </row>
    <row r="82" spans="1:10">
      <c r="A82" s="227"/>
      <c r="B82" s="53" t="s">
        <v>229</v>
      </c>
      <c r="C82" s="44">
        <v>0.12</v>
      </c>
      <c r="D82" s="46">
        <v>0</v>
      </c>
      <c r="E82" s="37">
        <v>0</v>
      </c>
      <c r="F82" s="116">
        <f t="shared" si="6"/>
        <v>7943042.3999999994</v>
      </c>
      <c r="G82" s="49"/>
      <c r="H82" s="49"/>
      <c r="I82" s="15">
        <f t="shared" si="7"/>
        <v>0</v>
      </c>
      <c r="J82" s="34">
        <f t="shared" si="8"/>
        <v>0</v>
      </c>
    </row>
    <row r="83" spans="1:10">
      <c r="A83" s="227" t="s">
        <v>166</v>
      </c>
      <c r="B83" s="53" t="s">
        <v>225</v>
      </c>
      <c r="C83" s="44">
        <v>0.34</v>
      </c>
      <c r="D83" s="46">
        <v>0.14000000000000001</v>
      </c>
      <c r="E83" s="37">
        <f>'4D1_CH4_EF_DomesticWastewater'!$D$22</f>
        <v>0.3</v>
      </c>
      <c r="F83" s="116">
        <f t="shared" si="6"/>
        <v>7943042.3999999994</v>
      </c>
      <c r="G83" s="49"/>
      <c r="H83" s="49"/>
      <c r="I83" s="15">
        <f t="shared" si="7"/>
        <v>113426.64547200002</v>
      </c>
      <c r="J83" s="34">
        <f t="shared" si="8"/>
        <v>0.11342664547200002</v>
      </c>
    </row>
    <row r="84" spans="1:10">
      <c r="A84" s="227"/>
      <c r="B84" s="53" t="s">
        <v>226</v>
      </c>
      <c r="C84" s="44">
        <v>0.34</v>
      </c>
      <c r="D84" s="46">
        <v>0.1</v>
      </c>
      <c r="E84" s="37">
        <f>'4D1_CH4_EF_DomesticWastewater'!$D$23</f>
        <v>0.06</v>
      </c>
      <c r="F84" s="116">
        <f t="shared" si="6"/>
        <v>7943042.3999999994</v>
      </c>
      <c r="G84" s="49"/>
      <c r="H84" s="49"/>
      <c r="I84" s="15">
        <f t="shared" si="7"/>
        <v>16203.806495999999</v>
      </c>
      <c r="J84" s="34">
        <f t="shared" si="8"/>
        <v>1.6203806495999999E-2</v>
      </c>
    </row>
    <row r="85" spans="1:10">
      <c r="A85" s="227"/>
      <c r="B85" s="53" t="s">
        <v>227</v>
      </c>
      <c r="C85" s="44">
        <v>0.34</v>
      </c>
      <c r="D85" s="46">
        <v>0.03</v>
      </c>
      <c r="E85" s="37">
        <f>'4D1_CH4_EF_DomesticWastewater'!$D$13</f>
        <v>0.06</v>
      </c>
      <c r="F85" s="116">
        <f t="shared" si="6"/>
        <v>7943042.3999999994</v>
      </c>
      <c r="G85" s="49"/>
      <c r="H85" s="49"/>
      <c r="I85" s="15">
        <f t="shared" si="7"/>
        <v>4861.1419488000001</v>
      </c>
      <c r="J85" s="34">
        <f t="shared" si="8"/>
        <v>4.8611419487999998E-3</v>
      </c>
    </row>
    <row r="86" spans="1:10">
      <c r="A86" s="227"/>
      <c r="B86" s="53" t="s">
        <v>228</v>
      </c>
      <c r="C86" s="44">
        <v>0.34</v>
      </c>
      <c r="D86" s="46">
        <v>0.53</v>
      </c>
      <c r="E86" s="37">
        <f>'4D1_CH4_EF_DomesticWastewater'!$D$13</f>
        <v>0.06</v>
      </c>
      <c r="F86" s="116">
        <f t="shared" si="6"/>
        <v>7943042.3999999994</v>
      </c>
      <c r="G86" s="49"/>
      <c r="H86" s="49"/>
      <c r="I86" s="15">
        <f t="shared" si="7"/>
        <v>85880.174428800005</v>
      </c>
      <c r="J86" s="34">
        <f t="shared" si="8"/>
        <v>8.5880174428799999E-2</v>
      </c>
    </row>
    <row r="87" spans="1:10">
      <c r="A87" s="227"/>
      <c r="B87" s="53" t="s">
        <v>229</v>
      </c>
      <c r="C87" s="44">
        <v>0.34</v>
      </c>
      <c r="D87" s="46">
        <v>0.2</v>
      </c>
      <c r="E87" s="37">
        <v>0</v>
      </c>
      <c r="F87" s="116">
        <f t="shared" si="6"/>
        <v>7943042.3999999994</v>
      </c>
      <c r="G87" s="49"/>
      <c r="H87" s="49"/>
      <c r="I87" s="15">
        <f t="shared" si="7"/>
        <v>0</v>
      </c>
      <c r="J87" s="34">
        <f t="shared" si="8"/>
        <v>0</v>
      </c>
    </row>
    <row r="88" spans="1:10">
      <c r="A88" s="244" t="s">
        <v>298</v>
      </c>
      <c r="B88" s="244"/>
      <c r="C88" s="244"/>
      <c r="D88" s="244"/>
      <c r="E88" s="244"/>
      <c r="F88" s="244"/>
      <c r="G88" s="244"/>
      <c r="H88" s="244"/>
      <c r="I88" s="117">
        <f>SUM(I73:I87)</f>
        <v>568372.34197439998</v>
      </c>
      <c r="J88" s="118">
        <f>SUM(J73:J87)</f>
        <v>0.56837234197440001</v>
      </c>
    </row>
    <row r="91" spans="1:10">
      <c r="A91" s="245" t="s">
        <v>0</v>
      </c>
      <c r="B91" s="246"/>
      <c r="C91" s="185" t="s">
        <v>1</v>
      </c>
      <c r="D91" s="249"/>
      <c r="E91" s="249"/>
      <c r="F91" s="249"/>
      <c r="G91" s="249"/>
      <c r="H91" s="249"/>
      <c r="I91" s="249"/>
    </row>
    <row r="92" spans="1:10">
      <c r="A92" s="245" t="s">
        <v>2</v>
      </c>
      <c r="B92" s="246"/>
      <c r="C92" s="185" t="s">
        <v>117</v>
      </c>
      <c r="D92" s="249"/>
      <c r="E92" s="249"/>
      <c r="F92" s="249"/>
      <c r="G92" s="249"/>
      <c r="H92" s="249"/>
      <c r="I92" s="249"/>
    </row>
    <row r="93" spans="1:10">
      <c r="A93" s="245" t="s">
        <v>4</v>
      </c>
      <c r="B93" s="246"/>
      <c r="C93" s="185" t="s">
        <v>118</v>
      </c>
      <c r="D93" s="249"/>
      <c r="E93" s="249"/>
      <c r="F93" s="249"/>
      <c r="G93" s="249"/>
      <c r="H93" s="249"/>
      <c r="I93" s="249"/>
    </row>
    <row r="94" spans="1:10">
      <c r="A94" s="245" t="s">
        <v>6</v>
      </c>
      <c r="B94" s="246"/>
      <c r="C94" s="185" t="s">
        <v>145</v>
      </c>
      <c r="D94" s="249"/>
      <c r="E94" s="249"/>
      <c r="F94" s="249"/>
      <c r="G94" s="249"/>
      <c r="H94" s="249"/>
      <c r="I94" s="249"/>
    </row>
    <row r="95" spans="1:10">
      <c r="A95" s="217" t="s">
        <v>10</v>
      </c>
      <c r="B95" s="234"/>
      <c r="C95" s="234"/>
      <c r="D95" s="234"/>
      <c r="E95" s="234"/>
      <c r="F95" s="234"/>
      <c r="G95" s="234"/>
      <c r="H95" s="234"/>
      <c r="I95" s="234"/>
      <c r="J95" s="115"/>
    </row>
    <row r="96" spans="1:10">
      <c r="A96" s="59"/>
      <c r="B96" s="59"/>
      <c r="C96" s="7" t="s">
        <v>11</v>
      </c>
      <c r="D96" s="7" t="s">
        <v>12</v>
      </c>
      <c r="E96" s="7" t="s">
        <v>13</v>
      </c>
      <c r="F96" s="7" t="s">
        <v>14</v>
      </c>
      <c r="G96" s="7" t="s">
        <v>15</v>
      </c>
      <c r="H96" s="7" t="s">
        <v>58</v>
      </c>
      <c r="I96" s="7" t="s">
        <v>78</v>
      </c>
      <c r="J96" s="94" t="s">
        <v>79</v>
      </c>
    </row>
    <row r="97" spans="1:10" ht="51">
      <c r="A97" s="195" t="s">
        <v>146</v>
      </c>
      <c r="B97" s="195" t="s">
        <v>147</v>
      </c>
      <c r="C97" s="59" t="s">
        <v>148</v>
      </c>
      <c r="D97" s="59" t="s">
        <v>149</v>
      </c>
      <c r="E97" s="59" t="s">
        <v>150</v>
      </c>
      <c r="F97" s="59" t="s">
        <v>123</v>
      </c>
      <c r="G97" s="59" t="s">
        <v>151</v>
      </c>
      <c r="H97" s="59" t="s">
        <v>152</v>
      </c>
      <c r="I97" s="59" t="s">
        <v>153</v>
      </c>
      <c r="J97" s="59" t="s">
        <v>153</v>
      </c>
    </row>
    <row r="98" spans="1:10" ht="15.75">
      <c r="A98" s="195"/>
      <c r="B98" s="195"/>
      <c r="C98" s="77" t="s">
        <v>154</v>
      </c>
      <c r="D98" s="77" t="s">
        <v>155</v>
      </c>
      <c r="E98" s="77" t="s">
        <v>156</v>
      </c>
      <c r="F98" s="77" t="s">
        <v>127</v>
      </c>
      <c r="G98" s="77" t="s">
        <v>157</v>
      </c>
      <c r="H98" s="77" t="s">
        <v>158</v>
      </c>
      <c r="I98" s="77" t="s">
        <v>159</v>
      </c>
      <c r="J98" s="77" t="s">
        <v>159</v>
      </c>
    </row>
    <row r="99" spans="1:10" ht="28.5">
      <c r="A99" s="195"/>
      <c r="B99" s="195"/>
      <c r="C99" s="8" t="s">
        <v>44</v>
      </c>
      <c r="D99" s="8" t="s">
        <v>44</v>
      </c>
      <c r="E99" s="8" t="s">
        <v>142</v>
      </c>
      <c r="F99" s="8" t="s">
        <v>130</v>
      </c>
      <c r="G99" s="8" t="s">
        <v>130</v>
      </c>
      <c r="H99" s="8" t="s">
        <v>160</v>
      </c>
      <c r="I99" s="8" t="s">
        <v>160</v>
      </c>
      <c r="J99" s="8" t="s">
        <v>231</v>
      </c>
    </row>
    <row r="100" spans="1:10" ht="24.75" thickBot="1">
      <c r="A100" s="211"/>
      <c r="B100" s="211"/>
      <c r="C100" s="5"/>
      <c r="D100" s="5"/>
      <c r="E100" s="5" t="s">
        <v>161</v>
      </c>
      <c r="F100" s="5" t="s">
        <v>162</v>
      </c>
      <c r="G100" s="5"/>
      <c r="H100" s="5"/>
      <c r="I100" s="9" t="s">
        <v>163</v>
      </c>
      <c r="J100" s="35"/>
    </row>
    <row r="101" spans="1:10" ht="13.5" thickTop="1">
      <c r="A101" s="247" t="s">
        <v>164</v>
      </c>
      <c r="B101" s="54" t="s">
        <v>225</v>
      </c>
      <c r="C101" s="42">
        <v>0.54</v>
      </c>
      <c r="D101" s="43">
        <v>0</v>
      </c>
      <c r="E101" s="38">
        <f>'4D1_CH4_EF_DomesticWastewater'!$D$14</f>
        <v>0.3</v>
      </c>
      <c r="F101" s="116">
        <f>$M$15</f>
        <v>8197476.5999999996</v>
      </c>
      <c r="G101" s="47"/>
      <c r="H101" s="47"/>
      <c r="I101" s="14">
        <f>((C101*D101*E101)*(F101-G101))-H101</f>
        <v>0</v>
      </c>
      <c r="J101" s="32">
        <f>I101/(10^6)</f>
        <v>0</v>
      </c>
    </row>
    <row r="102" spans="1:10">
      <c r="A102" s="248"/>
      <c r="B102" s="55" t="s">
        <v>226</v>
      </c>
      <c r="C102" s="44">
        <v>0.54</v>
      </c>
      <c r="D102" s="45">
        <v>0.47</v>
      </c>
      <c r="E102" s="37">
        <f>'4D1_CH4_EF_DomesticWastewater'!$D$23</f>
        <v>0.06</v>
      </c>
      <c r="F102" s="116">
        <f t="shared" ref="F102:F115" si="9">$M$15</f>
        <v>8197476.5999999996</v>
      </c>
      <c r="G102" s="48"/>
      <c r="H102" s="48"/>
      <c r="I102" s="15">
        <f t="shared" ref="I102:I115" si="10">((C102*D102*E102)*(F102-G102))-H102</f>
        <v>124831.17366479999</v>
      </c>
      <c r="J102" s="34">
        <f t="shared" ref="J102:J115" si="11">I102/(10^6)</f>
        <v>0.1248311736648</v>
      </c>
    </row>
    <row r="103" spans="1:10">
      <c r="A103" s="248"/>
      <c r="B103" s="53" t="s">
        <v>227</v>
      </c>
      <c r="C103" s="44">
        <v>0.54</v>
      </c>
      <c r="D103" s="45">
        <v>0</v>
      </c>
      <c r="E103" s="37">
        <f>'4D1_CH4_EF_DomesticWastewater'!$D$13</f>
        <v>0.06</v>
      </c>
      <c r="F103" s="116">
        <f t="shared" si="9"/>
        <v>8197476.5999999996</v>
      </c>
      <c r="G103" s="48"/>
      <c r="H103" s="48"/>
      <c r="I103" s="15">
        <f t="shared" si="10"/>
        <v>0</v>
      </c>
      <c r="J103" s="34">
        <f t="shared" si="11"/>
        <v>0</v>
      </c>
    </row>
    <row r="104" spans="1:10">
      <c r="A104" s="227"/>
      <c r="B104" s="53" t="s">
        <v>228</v>
      </c>
      <c r="C104" s="44">
        <v>0.54</v>
      </c>
      <c r="D104" s="46">
        <v>0.1</v>
      </c>
      <c r="E104" s="37">
        <f>'4D1_CH4_EF_DomesticWastewater'!$D$14</f>
        <v>0.3</v>
      </c>
      <c r="F104" s="116">
        <f t="shared" si="9"/>
        <v>8197476.5999999996</v>
      </c>
      <c r="G104" s="49"/>
      <c r="H104" s="49"/>
      <c r="I104" s="15">
        <f t="shared" si="10"/>
        <v>132799.12092000002</v>
      </c>
      <c r="J104" s="34">
        <f t="shared" si="11"/>
        <v>0.13279912092000001</v>
      </c>
    </row>
    <row r="105" spans="1:10">
      <c r="A105" s="227"/>
      <c r="B105" s="53" t="s">
        <v>229</v>
      </c>
      <c r="C105" s="44">
        <v>0.54</v>
      </c>
      <c r="D105" s="46">
        <v>0.43</v>
      </c>
      <c r="E105" s="37">
        <v>0</v>
      </c>
      <c r="F105" s="116">
        <f t="shared" si="9"/>
        <v>8197476.5999999996</v>
      </c>
      <c r="G105" s="49"/>
      <c r="H105" s="49"/>
      <c r="I105" s="15">
        <f t="shared" si="10"/>
        <v>0</v>
      </c>
      <c r="J105" s="34">
        <f t="shared" si="11"/>
        <v>0</v>
      </c>
    </row>
    <row r="106" spans="1:10">
      <c r="A106" s="227" t="s">
        <v>165</v>
      </c>
      <c r="B106" s="53" t="s">
        <v>225</v>
      </c>
      <c r="C106" s="44">
        <v>0.12</v>
      </c>
      <c r="D106" s="46">
        <v>0.18</v>
      </c>
      <c r="E106" s="37">
        <f>'4D1_CH4_EF_DomesticWastewater'!$D$22</f>
        <v>0.3</v>
      </c>
      <c r="F106" s="116">
        <f t="shared" si="9"/>
        <v>8197476.5999999996</v>
      </c>
      <c r="G106" s="49"/>
      <c r="H106" s="49"/>
      <c r="I106" s="15">
        <f t="shared" si="10"/>
        <v>53119.648367999987</v>
      </c>
      <c r="J106" s="34">
        <f t="shared" si="11"/>
        <v>5.311964836799999E-2</v>
      </c>
    </row>
    <row r="107" spans="1:10">
      <c r="A107" s="227"/>
      <c r="B107" s="53" t="s">
        <v>226</v>
      </c>
      <c r="C107" s="44">
        <v>0.12</v>
      </c>
      <c r="D107" s="46">
        <v>0.08</v>
      </c>
      <c r="E107" s="37">
        <f>'4D1_CH4_EF_DomesticWastewater'!$D$23</f>
        <v>0.06</v>
      </c>
      <c r="F107" s="116">
        <f t="shared" si="9"/>
        <v>8197476.5999999996</v>
      </c>
      <c r="G107" s="49"/>
      <c r="H107" s="49"/>
      <c r="I107" s="15">
        <f t="shared" si="10"/>
        <v>4721.7465215999991</v>
      </c>
      <c r="J107" s="34">
        <f t="shared" si="11"/>
        <v>4.7217465215999991E-3</v>
      </c>
    </row>
    <row r="108" spans="1:10">
      <c r="A108" s="227"/>
      <c r="B108" s="53" t="s">
        <v>227</v>
      </c>
      <c r="C108" s="44">
        <v>0.12</v>
      </c>
      <c r="D108" s="46">
        <v>0</v>
      </c>
      <c r="E108" s="37">
        <f>'4D1_CH4_EF_DomesticWastewater'!$D$13</f>
        <v>0.06</v>
      </c>
      <c r="F108" s="116">
        <f t="shared" si="9"/>
        <v>8197476.5999999996</v>
      </c>
      <c r="G108" s="49"/>
      <c r="H108" s="49"/>
      <c r="I108" s="15">
        <f t="shared" si="10"/>
        <v>0</v>
      </c>
      <c r="J108" s="34">
        <f t="shared" si="11"/>
        <v>0</v>
      </c>
    </row>
    <row r="109" spans="1:10">
      <c r="A109" s="227"/>
      <c r="B109" s="53" t="s">
        <v>228</v>
      </c>
      <c r="C109" s="44">
        <v>0.12</v>
      </c>
      <c r="D109" s="46">
        <v>0.74</v>
      </c>
      <c r="E109" s="37">
        <f>'4D1_CH4_EF_DomesticWastewater'!$D$13</f>
        <v>0.06</v>
      </c>
      <c r="F109" s="116">
        <f t="shared" si="9"/>
        <v>8197476.5999999996</v>
      </c>
      <c r="G109" s="49"/>
      <c r="H109" s="49"/>
      <c r="I109" s="15">
        <f t="shared" si="10"/>
        <v>43676.155324799991</v>
      </c>
      <c r="J109" s="34">
        <f t="shared" si="11"/>
        <v>4.3676155324799994E-2</v>
      </c>
    </row>
    <row r="110" spans="1:10">
      <c r="A110" s="227"/>
      <c r="B110" s="53" t="s">
        <v>229</v>
      </c>
      <c r="C110" s="44">
        <v>0.12</v>
      </c>
      <c r="D110" s="46">
        <v>0</v>
      </c>
      <c r="E110" s="37">
        <v>0</v>
      </c>
      <c r="F110" s="116">
        <f t="shared" si="9"/>
        <v>8197476.5999999996</v>
      </c>
      <c r="G110" s="49"/>
      <c r="H110" s="49"/>
      <c r="I110" s="15">
        <f t="shared" si="10"/>
        <v>0</v>
      </c>
      <c r="J110" s="34">
        <f t="shared" si="11"/>
        <v>0</v>
      </c>
    </row>
    <row r="111" spans="1:10">
      <c r="A111" s="227" t="s">
        <v>166</v>
      </c>
      <c r="B111" s="53" t="s">
        <v>225</v>
      </c>
      <c r="C111" s="44">
        <v>0.34</v>
      </c>
      <c r="D111" s="46">
        <v>0.14000000000000001</v>
      </c>
      <c r="E111" s="37">
        <f>'4D1_CH4_EF_DomesticWastewater'!$D$22</f>
        <v>0.3</v>
      </c>
      <c r="F111" s="116">
        <f t="shared" si="9"/>
        <v>8197476.5999999996</v>
      </c>
      <c r="G111" s="49"/>
      <c r="H111" s="49"/>
      <c r="I111" s="15">
        <f t="shared" si="10"/>
        <v>117059.96584800002</v>
      </c>
      <c r="J111" s="34">
        <f t="shared" si="11"/>
        <v>0.11705996584800002</v>
      </c>
    </row>
    <row r="112" spans="1:10">
      <c r="A112" s="227"/>
      <c r="B112" s="53" t="s">
        <v>226</v>
      </c>
      <c r="C112" s="44">
        <v>0.34</v>
      </c>
      <c r="D112" s="46">
        <v>0.1</v>
      </c>
      <c r="E112" s="37">
        <f>'4D1_CH4_EF_DomesticWastewater'!$D$23</f>
        <v>0.06</v>
      </c>
      <c r="F112" s="116">
        <f t="shared" si="9"/>
        <v>8197476.5999999996</v>
      </c>
      <c r="G112" s="49"/>
      <c r="H112" s="49"/>
      <c r="I112" s="15">
        <f t="shared" si="10"/>
        <v>16722.852264000001</v>
      </c>
      <c r="J112" s="34">
        <f t="shared" si="11"/>
        <v>1.6722852264000002E-2</v>
      </c>
    </row>
    <row r="113" spans="1:10">
      <c r="A113" s="227"/>
      <c r="B113" s="53" t="s">
        <v>227</v>
      </c>
      <c r="C113" s="44">
        <v>0.34</v>
      </c>
      <c r="D113" s="46">
        <v>0.03</v>
      </c>
      <c r="E113" s="37">
        <f>'4D1_CH4_EF_DomesticWastewater'!$D$13</f>
        <v>0.06</v>
      </c>
      <c r="F113" s="116">
        <f t="shared" si="9"/>
        <v>8197476.5999999996</v>
      </c>
      <c r="G113" s="49"/>
      <c r="H113" s="49"/>
      <c r="I113" s="15">
        <f t="shared" si="10"/>
        <v>5016.8556791999999</v>
      </c>
      <c r="J113" s="34">
        <f t="shared" si="11"/>
        <v>5.0168556791999998E-3</v>
      </c>
    </row>
    <row r="114" spans="1:10">
      <c r="A114" s="227"/>
      <c r="B114" s="53" t="s">
        <v>228</v>
      </c>
      <c r="C114" s="44">
        <v>0.34</v>
      </c>
      <c r="D114" s="46">
        <v>0.53</v>
      </c>
      <c r="E114" s="37">
        <f>'4D1_CH4_EF_DomesticWastewater'!$D$13</f>
        <v>0.06</v>
      </c>
      <c r="F114" s="116">
        <f t="shared" si="9"/>
        <v>8197476.5999999996</v>
      </c>
      <c r="G114" s="49"/>
      <c r="H114" s="49"/>
      <c r="I114" s="15">
        <f t="shared" si="10"/>
        <v>88631.116999199992</v>
      </c>
      <c r="J114" s="34">
        <f t="shared" si="11"/>
        <v>8.8631116999199996E-2</v>
      </c>
    </row>
    <row r="115" spans="1:10">
      <c r="A115" s="227"/>
      <c r="B115" s="53" t="s">
        <v>229</v>
      </c>
      <c r="C115" s="44">
        <v>0.34</v>
      </c>
      <c r="D115" s="46">
        <v>0.2</v>
      </c>
      <c r="E115" s="37">
        <v>0</v>
      </c>
      <c r="F115" s="116">
        <f t="shared" si="9"/>
        <v>8197476.5999999996</v>
      </c>
      <c r="G115" s="49"/>
      <c r="H115" s="49"/>
      <c r="I115" s="15">
        <f t="shared" si="10"/>
        <v>0</v>
      </c>
      <c r="J115" s="34">
        <f t="shared" si="11"/>
        <v>0</v>
      </c>
    </row>
    <row r="116" spans="1:10">
      <c r="A116" s="244" t="s">
        <v>299</v>
      </c>
      <c r="B116" s="244"/>
      <c r="C116" s="244"/>
      <c r="D116" s="244"/>
      <c r="E116" s="244"/>
      <c r="F116" s="244"/>
      <c r="G116" s="244"/>
      <c r="H116" s="244"/>
      <c r="I116" s="117">
        <f>SUM(I101:I115)</f>
        <v>586578.63558959996</v>
      </c>
      <c r="J116" s="118">
        <f>SUM(J101:J115)</f>
        <v>0.58657863558960011</v>
      </c>
    </row>
    <row r="119" spans="1:10">
      <c r="A119" s="245" t="s">
        <v>0</v>
      </c>
      <c r="B119" s="246"/>
      <c r="C119" s="185" t="s">
        <v>1</v>
      </c>
      <c r="D119" s="249"/>
      <c r="E119" s="249"/>
      <c r="F119" s="249"/>
      <c r="G119" s="249"/>
      <c r="H119" s="249"/>
      <c r="I119" s="249"/>
    </row>
    <row r="120" spans="1:10">
      <c r="A120" s="245" t="s">
        <v>2</v>
      </c>
      <c r="B120" s="246"/>
      <c r="C120" s="185" t="s">
        <v>117</v>
      </c>
      <c r="D120" s="249"/>
      <c r="E120" s="249"/>
      <c r="F120" s="249"/>
      <c r="G120" s="249"/>
      <c r="H120" s="249"/>
      <c r="I120" s="249"/>
    </row>
    <row r="121" spans="1:10">
      <c r="A121" s="245" t="s">
        <v>4</v>
      </c>
      <c r="B121" s="246"/>
      <c r="C121" s="185" t="s">
        <v>118</v>
      </c>
      <c r="D121" s="249"/>
      <c r="E121" s="249"/>
      <c r="F121" s="249"/>
      <c r="G121" s="249"/>
      <c r="H121" s="249"/>
      <c r="I121" s="249"/>
    </row>
    <row r="122" spans="1:10">
      <c r="A122" s="245" t="s">
        <v>6</v>
      </c>
      <c r="B122" s="246"/>
      <c r="C122" s="185" t="s">
        <v>145</v>
      </c>
      <c r="D122" s="249"/>
      <c r="E122" s="249"/>
      <c r="F122" s="249"/>
      <c r="G122" s="249"/>
      <c r="H122" s="249"/>
      <c r="I122" s="249"/>
    </row>
    <row r="123" spans="1:10">
      <c r="A123" s="217" t="s">
        <v>10</v>
      </c>
      <c r="B123" s="234"/>
      <c r="C123" s="234"/>
      <c r="D123" s="234"/>
      <c r="E123" s="234"/>
      <c r="F123" s="234"/>
      <c r="G123" s="234"/>
      <c r="H123" s="234"/>
      <c r="I123" s="234"/>
      <c r="J123" s="115"/>
    </row>
    <row r="124" spans="1:10">
      <c r="A124" s="59"/>
      <c r="B124" s="59"/>
      <c r="C124" s="7" t="s">
        <v>11</v>
      </c>
      <c r="D124" s="7" t="s">
        <v>12</v>
      </c>
      <c r="E124" s="7" t="s">
        <v>13</v>
      </c>
      <c r="F124" s="7" t="s">
        <v>14</v>
      </c>
      <c r="G124" s="7" t="s">
        <v>15</v>
      </c>
      <c r="H124" s="7" t="s">
        <v>58</v>
      </c>
      <c r="I124" s="7" t="s">
        <v>78</v>
      </c>
      <c r="J124" s="94" t="s">
        <v>79</v>
      </c>
    </row>
    <row r="125" spans="1:10" ht="51">
      <c r="A125" s="195" t="s">
        <v>146</v>
      </c>
      <c r="B125" s="195" t="s">
        <v>147</v>
      </c>
      <c r="C125" s="59" t="s">
        <v>148</v>
      </c>
      <c r="D125" s="59" t="s">
        <v>149</v>
      </c>
      <c r="E125" s="59" t="s">
        <v>150</v>
      </c>
      <c r="F125" s="59" t="s">
        <v>123</v>
      </c>
      <c r="G125" s="59" t="s">
        <v>151</v>
      </c>
      <c r="H125" s="59" t="s">
        <v>152</v>
      </c>
      <c r="I125" s="59" t="s">
        <v>153</v>
      </c>
      <c r="J125" s="59" t="s">
        <v>153</v>
      </c>
    </row>
    <row r="126" spans="1:10" ht="15.75">
      <c r="A126" s="195"/>
      <c r="B126" s="195"/>
      <c r="C126" s="77" t="s">
        <v>154</v>
      </c>
      <c r="D126" s="77" t="s">
        <v>155</v>
      </c>
      <c r="E126" s="77" t="s">
        <v>156</v>
      </c>
      <c r="F126" s="77" t="s">
        <v>127</v>
      </c>
      <c r="G126" s="77" t="s">
        <v>157</v>
      </c>
      <c r="H126" s="77" t="s">
        <v>158</v>
      </c>
      <c r="I126" s="77" t="s">
        <v>159</v>
      </c>
      <c r="J126" s="77" t="s">
        <v>159</v>
      </c>
    </row>
    <row r="127" spans="1:10" ht="28.5">
      <c r="A127" s="195"/>
      <c r="B127" s="195"/>
      <c r="C127" s="8" t="s">
        <v>44</v>
      </c>
      <c r="D127" s="8" t="s">
        <v>44</v>
      </c>
      <c r="E127" s="8" t="s">
        <v>142</v>
      </c>
      <c r="F127" s="8" t="s">
        <v>130</v>
      </c>
      <c r="G127" s="8" t="s">
        <v>130</v>
      </c>
      <c r="H127" s="8" t="s">
        <v>160</v>
      </c>
      <c r="I127" s="8" t="s">
        <v>160</v>
      </c>
      <c r="J127" s="8" t="s">
        <v>231</v>
      </c>
    </row>
    <row r="128" spans="1:10" ht="24.75" thickBot="1">
      <c r="A128" s="211"/>
      <c r="B128" s="211"/>
      <c r="C128" s="5"/>
      <c r="D128" s="5"/>
      <c r="E128" s="5" t="s">
        <v>161</v>
      </c>
      <c r="F128" s="5" t="s">
        <v>162</v>
      </c>
      <c r="G128" s="5"/>
      <c r="H128" s="5"/>
      <c r="I128" s="9" t="s">
        <v>163</v>
      </c>
      <c r="J128" s="35"/>
    </row>
    <row r="129" spans="1:10" ht="13.5" thickTop="1">
      <c r="A129" s="247" t="s">
        <v>164</v>
      </c>
      <c r="B129" s="54" t="s">
        <v>225</v>
      </c>
      <c r="C129" s="42">
        <v>0.54</v>
      </c>
      <c r="D129" s="43">
        <v>0</v>
      </c>
      <c r="E129" s="38">
        <f>'4D1_CH4_EF_DomesticWastewater'!$D$14</f>
        <v>0.3</v>
      </c>
      <c r="F129" s="116">
        <f>$M$16</f>
        <v>8292756.2000000002</v>
      </c>
      <c r="G129" s="47"/>
      <c r="H129" s="47"/>
      <c r="I129" s="14">
        <f>((C129*D129*E129)*(F129-G129))-H129</f>
        <v>0</v>
      </c>
      <c r="J129" s="32">
        <f>I129/(10^6)</f>
        <v>0</v>
      </c>
    </row>
    <row r="130" spans="1:10">
      <c r="A130" s="248"/>
      <c r="B130" s="55" t="s">
        <v>226</v>
      </c>
      <c r="C130" s="44">
        <v>0.54</v>
      </c>
      <c r="D130" s="45">
        <v>0.47</v>
      </c>
      <c r="E130" s="37">
        <f>'4D1_CH4_EF_DomesticWastewater'!$D$23</f>
        <v>0.06</v>
      </c>
      <c r="F130" s="116">
        <f t="shared" ref="F130:F143" si="12">$M$16</f>
        <v>8292756.2000000002</v>
      </c>
      <c r="G130" s="48"/>
      <c r="H130" s="48"/>
      <c r="I130" s="15">
        <f t="shared" ref="I130:I143" si="13">((C130*D130*E130)*(F130-G130))-H130</f>
        <v>126282.09141360001</v>
      </c>
      <c r="J130" s="34">
        <f t="shared" ref="J130:J143" si="14">I130/(10^6)</f>
        <v>0.1262820914136</v>
      </c>
    </row>
    <row r="131" spans="1:10">
      <c r="A131" s="248"/>
      <c r="B131" s="53" t="s">
        <v>227</v>
      </c>
      <c r="C131" s="44">
        <v>0.54</v>
      </c>
      <c r="D131" s="45">
        <v>0</v>
      </c>
      <c r="E131" s="37">
        <f>'4D1_CH4_EF_DomesticWastewater'!$D$13</f>
        <v>0.06</v>
      </c>
      <c r="F131" s="116">
        <f t="shared" si="12"/>
        <v>8292756.2000000002</v>
      </c>
      <c r="G131" s="48"/>
      <c r="H131" s="48"/>
      <c r="I131" s="15">
        <f t="shared" si="13"/>
        <v>0</v>
      </c>
      <c r="J131" s="34">
        <f t="shared" si="14"/>
        <v>0</v>
      </c>
    </row>
    <row r="132" spans="1:10">
      <c r="A132" s="227"/>
      <c r="B132" s="53" t="s">
        <v>228</v>
      </c>
      <c r="C132" s="44">
        <v>0.54</v>
      </c>
      <c r="D132" s="46">
        <v>0.1</v>
      </c>
      <c r="E132" s="37">
        <f>'4D1_CH4_EF_DomesticWastewater'!$D$14</f>
        <v>0.3</v>
      </c>
      <c r="F132" s="116">
        <f t="shared" si="12"/>
        <v>8292756.2000000002</v>
      </c>
      <c r="G132" s="49"/>
      <c r="H132" s="49"/>
      <c r="I132" s="15">
        <f t="shared" si="13"/>
        <v>134342.65044000003</v>
      </c>
      <c r="J132" s="34">
        <f t="shared" si="14"/>
        <v>0.13434265044000002</v>
      </c>
    </row>
    <row r="133" spans="1:10">
      <c r="A133" s="227"/>
      <c r="B133" s="53" t="s">
        <v>229</v>
      </c>
      <c r="C133" s="44">
        <v>0.54</v>
      </c>
      <c r="D133" s="46">
        <v>0.43</v>
      </c>
      <c r="E133" s="37">
        <v>0</v>
      </c>
      <c r="F133" s="116">
        <f t="shared" si="12"/>
        <v>8292756.2000000002</v>
      </c>
      <c r="G133" s="49"/>
      <c r="H133" s="49"/>
      <c r="I133" s="15">
        <f t="shared" si="13"/>
        <v>0</v>
      </c>
      <c r="J133" s="34">
        <f t="shared" si="14"/>
        <v>0</v>
      </c>
    </row>
    <row r="134" spans="1:10">
      <c r="A134" s="227" t="s">
        <v>165</v>
      </c>
      <c r="B134" s="53" t="s">
        <v>225</v>
      </c>
      <c r="C134" s="44">
        <v>0.12</v>
      </c>
      <c r="D134" s="46">
        <v>0.18</v>
      </c>
      <c r="E134" s="37">
        <f>'4D1_CH4_EF_DomesticWastewater'!$D$22</f>
        <v>0.3</v>
      </c>
      <c r="F134" s="116">
        <f t="shared" si="12"/>
        <v>8292756.2000000002</v>
      </c>
      <c r="G134" s="49"/>
      <c r="H134" s="49"/>
      <c r="I134" s="15">
        <f t="shared" si="13"/>
        <v>53737.060175999992</v>
      </c>
      <c r="J134" s="34">
        <f t="shared" si="14"/>
        <v>5.3737060175999989E-2</v>
      </c>
    </row>
    <row r="135" spans="1:10">
      <c r="A135" s="227"/>
      <c r="B135" s="53" t="s">
        <v>226</v>
      </c>
      <c r="C135" s="44">
        <v>0.12</v>
      </c>
      <c r="D135" s="46">
        <v>0.08</v>
      </c>
      <c r="E135" s="37">
        <f>'4D1_CH4_EF_DomesticWastewater'!$D$23</f>
        <v>0.06</v>
      </c>
      <c r="F135" s="116">
        <f t="shared" si="12"/>
        <v>8292756.2000000002</v>
      </c>
      <c r="G135" s="49"/>
      <c r="H135" s="49"/>
      <c r="I135" s="15">
        <f t="shared" si="13"/>
        <v>4776.6275711999997</v>
      </c>
      <c r="J135" s="34">
        <f t="shared" si="14"/>
        <v>4.7766275711999999E-3</v>
      </c>
    </row>
    <row r="136" spans="1:10">
      <c r="A136" s="227"/>
      <c r="B136" s="53" t="s">
        <v>227</v>
      </c>
      <c r="C136" s="44">
        <v>0.12</v>
      </c>
      <c r="D136" s="46">
        <v>0</v>
      </c>
      <c r="E136" s="37">
        <f>'4D1_CH4_EF_DomesticWastewater'!$D$13</f>
        <v>0.06</v>
      </c>
      <c r="F136" s="116">
        <f t="shared" si="12"/>
        <v>8292756.2000000002</v>
      </c>
      <c r="G136" s="49"/>
      <c r="H136" s="49"/>
      <c r="I136" s="15">
        <f t="shared" si="13"/>
        <v>0</v>
      </c>
      <c r="J136" s="34">
        <f t="shared" si="14"/>
        <v>0</v>
      </c>
    </row>
    <row r="137" spans="1:10">
      <c r="A137" s="227"/>
      <c r="B137" s="53" t="s">
        <v>228</v>
      </c>
      <c r="C137" s="44">
        <v>0.12</v>
      </c>
      <c r="D137" s="46">
        <v>0.74</v>
      </c>
      <c r="E137" s="37">
        <f>'4D1_CH4_EF_DomesticWastewater'!$D$13</f>
        <v>0.06</v>
      </c>
      <c r="F137" s="116">
        <f t="shared" si="12"/>
        <v>8292756.2000000002</v>
      </c>
      <c r="G137" s="49"/>
      <c r="H137" s="49"/>
      <c r="I137" s="15">
        <f t="shared" si="13"/>
        <v>44183.805033599994</v>
      </c>
      <c r="J137" s="34">
        <f t="shared" si="14"/>
        <v>4.4183805033599997E-2</v>
      </c>
    </row>
    <row r="138" spans="1:10">
      <c r="A138" s="227"/>
      <c r="B138" s="53" t="s">
        <v>229</v>
      </c>
      <c r="C138" s="44">
        <v>0.12</v>
      </c>
      <c r="D138" s="46">
        <v>0</v>
      </c>
      <c r="E138" s="37">
        <v>0</v>
      </c>
      <c r="F138" s="116">
        <f t="shared" si="12"/>
        <v>8292756.2000000002</v>
      </c>
      <c r="G138" s="49"/>
      <c r="H138" s="49"/>
      <c r="I138" s="15">
        <f t="shared" si="13"/>
        <v>0</v>
      </c>
      <c r="J138" s="34">
        <f t="shared" si="14"/>
        <v>0</v>
      </c>
    </row>
    <row r="139" spans="1:10">
      <c r="A139" s="227" t="s">
        <v>166</v>
      </c>
      <c r="B139" s="53" t="s">
        <v>225</v>
      </c>
      <c r="C139" s="44">
        <v>0.34</v>
      </c>
      <c r="D139" s="46">
        <v>0.14000000000000001</v>
      </c>
      <c r="E139" s="37">
        <f>'4D1_CH4_EF_DomesticWastewater'!$D$22</f>
        <v>0.3</v>
      </c>
      <c r="F139" s="116">
        <f t="shared" si="12"/>
        <v>8292756.2000000002</v>
      </c>
      <c r="G139" s="49"/>
      <c r="H139" s="49"/>
      <c r="I139" s="15">
        <f t="shared" si="13"/>
        <v>118420.55853600003</v>
      </c>
      <c r="J139" s="34">
        <f t="shared" si="14"/>
        <v>0.11842055853600003</v>
      </c>
    </row>
    <row r="140" spans="1:10">
      <c r="A140" s="227"/>
      <c r="B140" s="53" t="s">
        <v>226</v>
      </c>
      <c r="C140" s="44">
        <v>0.34</v>
      </c>
      <c r="D140" s="46">
        <v>0.1</v>
      </c>
      <c r="E140" s="37">
        <f>'4D1_CH4_EF_DomesticWastewater'!$D$23</f>
        <v>0.06</v>
      </c>
      <c r="F140" s="116">
        <f t="shared" si="12"/>
        <v>8292756.2000000002</v>
      </c>
      <c r="G140" s="49"/>
      <c r="H140" s="49"/>
      <c r="I140" s="15">
        <f t="shared" si="13"/>
        <v>16917.222648000003</v>
      </c>
      <c r="J140" s="34">
        <f t="shared" si="14"/>
        <v>1.6917222648000003E-2</v>
      </c>
    </row>
    <row r="141" spans="1:10">
      <c r="A141" s="227"/>
      <c r="B141" s="53" t="s">
        <v>227</v>
      </c>
      <c r="C141" s="44">
        <v>0.34</v>
      </c>
      <c r="D141" s="46">
        <v>0.03</v>
      </c>
      <c r="E141" s="37">
        <f>'4D1_CH4_EF_DomesticWastewater'!$D$13</f>
        <v>0.06</v>
      </c>
      <c r="F141" s="116">
        <f t="shared" si="12"/>
        <v>8292756.2000000002</v>
      </c>
      <c r="G141" s="49"/>
      <c r="H141" s="49"/>
      <c r="I141" s="15">
        <f t="shared" si="13"/>
        <v>5075.1667944000001</v>
      </c>
      <c r="J141" s="34">
        <f t="shared" si="14"/>
        <v>5.0751667943999997E-3</v>
      </c>
    </row>
    <row r="142" spans="1:10">
      <c r="A142" s="227"/>
      <c r="B142" s="53" t="s">
        <v>228</v>
      </c>
      <c r="C142" s="44">
        <v>0.34</v>
      </c>
      <c r="D142" s="46">
        <v>0.53</v>
      </c>
      <c r="E142" s="37">
        <f>'4D1_CH4_EF_DomesticWastewater'!$D$13</f>
        <v>0.06</v>
      </c>
      <c r="F142" s="116">
        <f t="shared" si="12"/>
        <v>8292756.2000000002</v>
      </c>
      <c r="G142" s="49"/>
      <c r="H142" s="49"/>
      <c r="I142" s="15">
        <f t="shared" si="13"/>
        <v>89661.280034399999</v>
      </c>
      <c r="J142" s="34">
        <f t="shared" si="14"/>
        <v>8.9661280034399993E-2</v>
      </c>
    </row>
    <row r="143" spans="1:10">
      <c r="A143" s="227"/>
      <c r="B143" s="53" t="s">
        <v>229</v>
      </c>
      <c r="C143" s="44">
        <v>0.34</v>
      </c>
      <c r="D143" s="46">
        <v>0.2</v>
      </c>
      <c r="E143" s="37">
        <v>0</v>
      </c>
      <c r="F143" s="116">
        <f t="shared" si="12"/>
        <v>8292756.2000000002</v>
      </c>
      <c r="G143" s="49"/>
      <c r="H143" s="49"/>
      <c r="I143" s="15">
        <f t="shared" si="13"/>
        <v>0</v>
      </c>
      <c r="J143" s="34">
        <f t="shared" si="14"/>
        <v>0</v>
      </c>
    </row>
    <row r="144" spans="1:10">
      <c r="A144" s="244" t="s">
        <v>300</v>
      </c>
      <c r="B144" s="244"/>
      <c r="C144" s="244"/>
      <c r="D144" s="244"/>
      <c r="E144" s="244"/>
      <c r="F144" s="244"/>
      <c r="G144" s="244"/>
      <c r="H144" s="244"/>
      <c r="I144" s="117">
        <f>SUM(I129:I143)</f>
        <v>593396.4626472001</v>
      </c>
      <c r="J144" s="118">
        <f>SUM(J129:J143)</f>
        <v>0.59339646264720003</v>
      </c>
    </row>
    <row r="147" spans="1:10">
      <c r="A147" s="245" t="s">
        <v>0</v>
      </c>
      <c r="B147" s="246"/>
      <c r="C147" s="185" t="s">
        <v>1</v>
      </c>
      <c r="D147" s="249"/>
      <c r="E147" s="249"/>
      <c r="F147" s="249"/>
      <c r="G147" s="249"/>
      <c r="H147" s="249"/>
      <c r="I147" s="249"/>
    </row>
    <row r="148" spans="1:10">
      <c r="A148" s="245" t="s">
        <v>2</v>
      </c>
      <c r="B148" s="246"/>
      <c r="C148" s="185" t="s">
        <v>117</v>
      </c>
      <c r="D148" s="249"/>
      <c r="E148" s="249"/>
      <c r="F148" s="249"/>
      <c r="G148" s="249"/>
      <c r="H148" s="249"/>
      <c r="I148" s="249"/>
    </row>
    <row r="149" spans="1:10">
      <c r="A149" s="245" t="s">
        <v>4</v>
      </c>
      <c r="B149" s="246"/>
      <c r="C149" s="185" t="s">
        <v>118</v>
      </c>
      <c r="D149" s="249"/>
      <c r="E149" s="249"/>
      <c r="F149" s="249"/>
      <c r="G149" s="249"/>
      <c r="H149" s="249"/>
      <c r="I149" s="249"/>
    </row>
    <row r="150" spans="1:10">
      <c r="A150" s="245" t="s">
        <v>6</v>
      </c>
      <c r="B150" s="246"/>
      <c r="C150" s="185" t="s">
        <v>145</v>
      </c>
      <c r="D150" s="249"/>
      <c r="E150" s="249"/>
      <c r="F150" s="249"/>
      <c r="G150" s="249"/>
      <c r="H150" s="249"/>
      <c r="I150" s="249"/>
    </row>
    <row r="151" spans="1:10">
      <c r="A151" s="217" t="s">
        <v>10</v>
      </c>
      <c r="B151" s="234"/>
      <c r="C151" s="234"/>
      <c r="D151" s="234"/>
      <c r="E151" s="234"/>
      <c r="F151" s="234"/>
      <c r="G151" s="234"/>
      <c r="H151" s="234"/>
      <c r="I151" s="234"/>
      <c r="J151" s="115"/>
    </row>
    <row r="152" spans="1:10">
      <c r="A152" s="59"/>
      <c r="B152" s="59"/>
      <c r="C152" s="7" t="s">
        <v>11</v>
      </c>
      <c r="D152" s="7" t="s">
        <v>12</v>
      </c>
      <c r="E152" s="7" t="s">
        <v>13</v>
      </c>
      <c r="F152" s="7" t="s">
        <v>14</v>
      </c>
      <c r="G152" s="7" t="s">
        <v>15</v>
      </c>
      <c r="H152" s="7" t="s">
        <v>58</v>
      </c>
      <c r="I152" s="7" t="s">
        <v>78</v>
      </c>
      <c r="J152" s="94" t="s">
        <v>79</v>
      </c>
    </row>
    <row r="153" spans="1:10" ht="51">
      <c r="A153" s="195" t="s">
        <v>146</v>
      </c>
      <c r="B153" s="195" t="s">
        <v>147</v>
      </c>
      <c r="C153" s="59" t="s">
        <v>148</v>
      </c>
      <c r="D153" s="59" t="s">
        <v>149</v>
      </c>
      <c r="E153" s="59" t="s">
        <v>150</v>
      </c>
      <c r="F153" s="59" t="s">
        <v>123</v>
      </c>
      <c r="G153" s="59" t="s">
        <v>151</v>
      </c>
      <c r="H153" s="59" t="s">
        <v>152</v>
      </c>
      <c r="I153" s="59" t="s">
        <v>153</v>
      </c>
      <c r="J153" s="59" t="s">
        <v>153</v>
      </c>
    </row>
    <row r="154" spans="1:10" ht="15.75">
      <c r="A154" s="195"/>
      <c r="B154" s="195"/>
      <c r="C154" s="77" t="s">
        <v>154</v>
      </c>
      <c r="D154" s="77" t="s">
        <v>155</v>
      </c>
      <c r="E154" s="77" t="s">
        <v>156</v>
      </c>
      <c r="F154" s="77" t="s">
        <v>127</v>
      </c>
      <c r="G154" s="77" t="s">
        <v>157</v>
      </c>
      <c r="H154" s="77" t="s">
        <v>158</v>
      </c>
      <c r="I154" s="77" t="s">
        <v>159</v>
      </c>
      <c r="J154" s="77" t="s">
        <v>159</v>
      </c>
    </row>
    <row r="155" spans="1:10" ht="28.5">
      <c r="A155" s="195"/>
      <c r="B155" s="195"/>
      <c r="C155" s="8" t="s">
        <v>44</v>
      </c>
      <c r="D155" s="8" t="s">
        <v>44</v>
      </c>
      <c r="E155" s="8" t="s">
        <v>142</v>
      </c>
      <c r="F155" s="8" t="s">
        <v>130</v>
      </c>
      <c r="G155" s="8" t="s">
        <v>130</v>
      </c>
      <c r="H155" s="8" t="s">
        <v>160</v>
      </c>
      <c r="I155" s="8" t="s">
        <v>160</v>
      </c>
      <c r="J155" s="8" t="s">
        <v>231</v>
      </c>
    </row>
    <row r="156" spans="1:10" ht="24.75" thickBot="1">
      <c r="A156" s="211"/>
      <c r="B156" s="211"/>
      <c r="C156" s="5"/>
      <c r="D156" s="5"/>
      <c r="E156" s="5" t="s">
        <v>161</v>
      </c>
      <c r="F156" s="5" t="s">
        <v>162</v>
      </c>
      <c r="G156" s="5"/>
      <c r="H156" s="5"/>
      <c r="I156" s="9" t="s">
        <v>163</v>
      </c>
      <c r="J156" s="35"/>
    </row>
    <row r="157" spans="1:10" ht="13.5" thickTop="1">
      <c r="A157" s="247" t="s">
        <v>164</v>
      </c>
      <c r="B157" s="54" t="s">
        <v>225</v>
      </c>
      <c r="C157" s="42">
        <v>0.54</v>
      </c>
      <c r="D157" s="43">
        <v>0</v>
      </c>
      <c r="E157" s="38">
        <f>'4D1_CH4_EF_DomesticWastewater'!$D$14</f>
        <v>0.3</v>
      </c>
      <c r="F157" s="116">
        <f>$M$17</f>
        <v>8523275.5999999996</v>
      </c>
      <c r="G157" s="47"/>
      <c r="H157" s="47"/>
      <c r="I157" s="14">
        <f>((C157*D157*E157)*(F157-G157))-H157</f>
        <v>0</v>
      </c>
      <c r="J157" s="32">
        <f>I157/(10^6)</f>
        <v>0</v>
      </c>
    </row>
    <row r="158" spans="1:10">
      <c r="A158" s="248"/>
      <c r="B158" s="55" t="s">
        <v>226</v>
      </c>
      <c r="C158" s="44">
        <v>0.54</v>
      </c>
      <c r="D158" s="45">
        <v>0.47</v>
      </c>
      <c r="E158" s="37">
        <f>'4D1_CH4_EF_DomesticWastewater'!$D$23</f>
        <v>0.06</v>
      </c>
      <c r="F158" s="116">
        <f t="shared" ref="F158:F171" si="15">$M$17</f>
        <v>8523275.5999999996</v>
      </c>
      <c r="G158" s="48"/>
      <c r="H158" s="48"/>
      <c r="I158" s="15">
        <f t="shared" ref="I158:I171" si="16">((C158*D158*E158)*(F158-G158))-H158</f>
        <v>129792.4408368</v>
      </c>
      <c r="J158" s="34">
        <f t="shared" ref="J158:J171" si="17">I158/(10^6)</f>
        <v>0.1297924408368</v>
      </c>
    </row>
    <row r="159" spans="1:10">
      <c r="A159" s="248"/>
      <c r="B159" s="53" t="s">
        <v>227</v>
      </c>
      <c r="C159" s="44">
        <v>0.54</v>
      </c>
      <c r="D159" s="45">
        <v>0</v>
      </c>
      <c r="E159" s="37">
        <f>'4D1_CH4_EF_DomesticWastewater'!$D$13</f>
        <v>0.06</v>
      </c>
      <c r="F159" s="116">
        <f t="shared" si="15"/>
        <v>8523275.5999999996</v>
      </c>
      <c r="G159" s="48"/>
      <c r="H159" s="48"/>
      <c r="I159" s="15">
        <f t="shared" si="16"/>
        <v>0</v>
      </c>
      <c r="J159" s="34">
        <f t="shared" si="17"/>
        <v>0</v>
      </c>
    </row>
    <row r="160" spans="1:10">
      <c r="A160" s="227"/>
      <c r="B160" s="53" t="s">
        <v>228</v>
      </c>
      <c r="C160" s="44">
        <v>0.54</v>
      </c>
      <c r="D160" s="46">
        <v>0.1</v>
      </c>
      <c r="E160" s="37">
        <f>'4D1_CH4_EF_DomesticWastewater'!$D$14</f>
        <v>0.3</v>
      </c>
      <c r="F160" s="116">
        <f t="shared" si="15"/>
        <v>8523275.5999999996</v>
      </c>
      <c r="G160" s="49"/>
      <c r="H160" s="49"/>
      <c r="I160" s="15">
        <f t="shared" si="16"/>
        <v>138077.06472000002</v>
      </c>
      <c r="J160" s="34">
        <f t="shared" si="17"/>
        <v>0.13807706472000003</v>
      </c>
    </row>
    <row r="161" spans="1:10">
      <c r="A161" s="227"/>
      <c r="B161" s="53" t="s">
        <v>229</v>
      </c>
      <c r="C161" s="44">
        <v>0.54</v>
      </c>
      <c r="D161" s="46">
        <v>0.43</v>
      </c>
      <c r="E161" s="37">
        <v>0</v>
      </c>
      <c r="F161" s="116">
        <f t="shared" si="15"/>
        <v>8523275.5999999996</v>
      </c>
      <c r="G161" s="49"/>
      <c r="H161" s="49"/>
      <c r="I161" s="15">
        <f t="shared" si="16"/>
        <v>0</v>
      </c>
      <c r="J161" s="34">
        <f t="shared" si="17"/>
        <v>0</v>
      </c>
    </row>
    <row r="162" spans="1:10">
      <c r="A162" s="227" t="s">
        <v>165</v>
      </c>
      <c r="B162" s="53" t="s">
        <v>225</v>
      </c>
      <c r="C162" s="44">
        <v>0.12</v>
      </c>
      <c r="D162" s="46">
        <v>0.18</v>
      </c>
      <c r="E162" s="37">
        <f>'4D1_CH4_EF_DomesticWastewater'!$D$22</f>
        <v>0.3</v>
      </c>
      <c r="F162" s="116">
        <f t="shared" si="15"/>
        <v>8523275.5999999996</v>
      </c>
      <c r="G162" s="49"/>
      <c r="H162" s="49"/>
      <c r="I162" s="15">
        <f t="shared" si="16"/>
        <v>55230.825887999985</v>
      </c>
      <c r="J162" s="34">
        <f t="shared" si="17"/>
        <v>5.5230825887999983E-2</v>
      </c>
    </row>
    <row r="163" spans="1:10">
      <c r="A163" s="227"/>
      <c r="B163" s="53" t="s">
        <v>226</v>
      </c>
      <c r="C163" s="44">
        <v>0.12</v>
      </c>
      <c r="D163" s="46">
        <v>0.08</v>
      </c>
      <c r="E163" s="37">
        <f>'4D1_CH4_EF_DomesticWastewater'!$D$23</f>
        <v>0.06</v>
      </c>
      <c r="F163" s="116">
        <f t="shared" si="15"/>
        <v>8523275.5999999996</v>
      </c>
      <c r="G163" s="49"/>
      <c r="H163" s="49"/>
      <c r="I163" s="15">
        <f t="shared" si="16"/>
        <v>4909.4067455999993</v>
      </c>
      <c r="J163" s="34">
        <f t="shared" si="17"/>
        <v>4.9094067455999991E-3</v>
      </c>
    </row>
    <row r="164" spans="1:10">
      <c r="A164" s="227"/>
      <c r="B164" s="53" t="s">
        <v>227</v>
      </c>
      <c r="C164" s="44">
        <v>0.12</v>
      </c>
      <c r="D164" s="46">
        <v>0</v>
      </c>
      <c r="E164" s="37">
        <f>'4D1_CH4_EF_DomesticWastewater'!$D$13</f>
        <v>0.06</v>
      </c>
      <c r="F164" s="116">
        <f t="shared" si="15"/>
        <v>8523275.5999999996</v>
      </c>
      <c r="G164" s="49"/>
      <c r="H164" s="49"/>
      <c r="I164" s="15">
        <f t="shared" si="16"/>
        <v>0</v>
      </c>
      <c r="J164" s="34">
        <f t="shared" si="17"/>
        <v>0</v>
      </c>
    </row>
    <row r="165" spans="1:10">
      <c r="A165" s="227"/>
      <c r="B165" s="53" t="s">
        <v>228</v>
      </c>
      <c r="C165" s="44">
        <v>0.12</v>
      </c>
      <c r="D165" s="46">
        <v>0.74</v>
      </c>
      <c r="E165" s="37">
        <f>'4D1_CH4_EF_DomesticWastewater'!$D$13</f>
        <v>0.06</v>
      </c>
      <c r="F165" s="116">
        <f t="shared" si="15"/>
        <v>8523275.5999999996</v>
      </c>
      <c r="G165" s="49"/>
      <c r="H165" s="49"/>
      <c r="I165" s="15">
        <f t="shared" si="16"/>
        <v>45412.01239679999</v>
      </c>
      <c r="J165" s="34">
        <f t="shared" si="17"/>
        <v>4.541201239679999E-2</v>
      </c>
    </row>
    <row r="166" spans="1:10">
      <c r="A166" s="227"/>
      <c r="B166" s="53" t="s">
        <v>229</v>
      </c>
      <c r="C166" s="44">
        <v>0.12</v>
      </c>
      <c r="D166" s="46">
        <v>0</v>
      </c>
      <c r="E166" s="37">
        <v>0</v>
      </c>
      <c r="F166" s="116">
        <f t="shared" si="15"/>
        <v>8523275.5999999996</v>
      </c>
      <c r="G166" s="49"/>
      <c r="H166" s="49"/>
      <c r="I166" s="15">
        <f t="shared" si="16"/>
        <v>0</v>
      </c>
      <c r="J166" s="34">
        <f t="shared" si="17"/>
        <v>0</v>
      </c>
    </row>
    <row r="167" spans="1:10">
      <c r="A167" s="227" t="s">
        <v>166</v>
      </c>
      <c r="B167" s="53" t="s">
        <v>225</v>
      </c>
      <c r="C167" s="44">
        <v>0.34</v>
      </c>
      <c r="D167" s="46">
        <v>0.14000000000000001</v>
      </c>
      <c r="E167" s="37">
        <f>'4D1_CH4_EF_DomesticWastewater'!$D$22</f>
        <v>0.3</v>
      </c>
      <c r="F167" s="116">
        <f t="shared" si="15"/>
        <v>8523275.5999999996</v>
      </c>
      <c r="G167" s="49"/>
      <c r="H167" s="49"/>
      <c r="I167" s="15">
        <f t="shared" si="16"/>
        <v>121712.37556800002</v>
      </c>
      <c r="J167" s="34">
        <f t="shared" si="17"/>
        <v>0.12171237556800002</v>
      </c>
    </row>
    <row r="168" spans="1:10">
      <c r="A168" s="227"/>
      <c r="B168" s="53" t="s">
        <v>226</v>
      </c>
      <c r="C168" s="44">
        <v>0.34</v>
      </c>
      <c r="D168" s="46">
        <v>0.1</v>
      </c>
      <c r="E168" s="37">
        <f>'4D1_CH4_EF_DomesticWastewater'!$D$23</f>
        <v>0.06</v>
      </c>
      <c r="F168" s="116">
        <f t="shared" si="15"/>
        <v>8523275.5999999996</v>
      </c>
      <c r="G168" s="49"/>
      <c r="H168" s="49"/>
      <c r="I168" s="15">
        <f t="shared" si="16"/>
        <v>17387.482223999999</v>
      </c>
      <c r="J168" s="34">
        <f t="shared" si="17"/>
        <v>1.7387482223999998E-2</v>
      </c>
    </row>
    <row r="169" spans="1:10">
      <c r="A169" s="227"/>
      <c r="B169" s="53" t="s">
        <v>227</v>
      </c>
      <c r="C169" s="44">
        <v>0.34</v>
      </c>
      <c r="D169" s="46">
        <v>0.03</v>
      </c>
      <c r="E169" s="37">
        <f>'4D1_CH4_EF_DomesticWastewater'!$D$13</f>
        <v>0.06</v>
      </c>
      <c r="F169" s="116">
        <f t="shared" si="15"/>
        <v>8523275.5999999996</v>
      </c>
      <c r="G169" s="49"/>
      <c r="H169" s="49"/>
      <c r="I169" s="15">
        <f t="shared" si="16"/>
        <v>5216.2446671999996</v>
      </c>
      <c r="J169" s="34">
        <f t="shared" si="17"/>
        <v>5.2162446671999993E-3</v>
      </c>
    </row>
    <row r="170" spans="1:10">
      <c r="A170" s="227"/>
      <c r="B170" s="53" t="s">
        <v>228</v>
      </c>
      <c r="C170" s="44">
        <v>0.34</v>
      </c>
      <c r="D170" s="46">
        <v>0.53</v>
      </c>
      <c r="E170" s="37">
        <f>'4D1_CH4_EF_DomesticWastewater'!$D$13</f>
        <v>0.06</v>
      </c>
      <c r="F170" s="116">
        <f t="shared" si="15"/>
        <v>8523275.5999999996</v>
      </c>
      <c r="G170" s="49"/>
      <c r="H170" s="49"/>
      <c r="I170" s="15">
        <f t="shared" si="16"/>
        <v>92153.655787199998</v>
      </c>
      <c r="J170" s="34">
        <f t="shared" si="17"/>
        <v>9.2153655787200001E-2</v>
      </c>
    </row>
    <row r="171" spans="1:10">
      <c r="A171" s="227"/>
      <c r="B171" s="53" t="s">
        <v>229</v>
      </c>
      <c r="C171" s="44">
        <v>0.34</v>
      </c>
      <c r="D171" s="46">
        <v>0.2</v>
      </c>
      <c r="E171" s="37">
        <v>0</v>
      </c>
      <c r="F171" s="116">
        <f t="shared" si="15"/>
        <v>8523275.5999999996</v>
      </c>
      <c r="G171" s="49"/>
      <c r="H171" s="49"/>
      <c r="I171" s="15">
        <f t="shared" si="16"/>
        <v>0</v>
      </c>
      <c r="J171" s="34">
        <f t="shared" si="17"/>
        <v>0</v>
      </c>
    </row>
    <row r="172" spans="1:10">
      <c r="A172" s="244" t="s">
        <v>301</v>
      </c>
      <c r="B172" s="244"/>
      <c r="C172" s="244"/>
      <c r="D172" s="244"/>
      <c r="E172" s="244"/>
      <c r="F172" s="244"/>
      <c r="G172" s="244"/>
      <c r="H172" s="244"/>
      <c r="I172" s="117">
        <f>SUM(I157:I171)</f>
        <v>609891.50883359998</v>
      </c>
      <c r="J172" s="118">
        <f>SUM(J157:J171)</f>
        <v>0.6098915088336001</v>
      </c>
    </row>
    <row r="175" spans="1:10">
      <c r="A175" s="245" t="s">
        <v>0</v>
      </c>
      <c r="B175" s="246"/>
      <c r="C175" s="185" t="s">
        <v>1</v>
      </c>
      <c r="D175" s="249"/>
      <c r="E175" s="249"/>
      <c r="F175" s="249"/>
      <c r="G175" s="249"/>
      <c r="H175" s="249"/>
      <c r="I175" s="249"/>
    </row>
    <row r="176" spans="1:10">
      <c r="A176" s="245" t="s">
        <v>2</v>
      </c>
      <c r="B176" s="246"/>
      <c r="C176" s="185" t="s">
        <v>117</v>
      </c>
      <c r="D176" s="249"/>
      <c r="E176" s="249"/>
      <c r="F176" s="249"/>
      <c r="G176" s="249"/>
      <c r="H176" s="249"/>
      <c r="I176" s="249"/>
    </row>
    <row r="177" spans="1:10">
      <c r="A177" s="245" t="s">
        <v>4</v>
      </c>
      <c r="B177" s="246"/>
      <c r="C177" s="185" t="s">
        <v>118</v>
      </c>
      <c r="D177" s="249"/>
      <c r="E177" s="249"/>
      <c r="F177" s="249"/>
      <c r="G177" s="249"/>
      <c r="H177" s="249"/>
      <c r="I177" s="249"/>
    </row>
    <row r="178" spans="1:10">
      <c r="A178" s="245" t="s">
        <v>6</v>
      </c>
      <c r="B178" s="246"/>
      <c r="C178" s="185" t="s">
        <v>145</v>
      </c>
      <c r="D178" s="249"/>
      <c r="E178" s="249"/>
      <c r="F178" s="249"/>
      <c r="G178" s="249"/>
      <c r="H178" s="249"/>
      <c r="I178" s="249"/>
    </row>
    <row r="179" spans="1:10">
      <c r="A179" s="217" t="s">
        <v>10</v>
      </c>
      <c r="B179" s="234"/>
      <c r="C179" s="234"/>
      <c r="D179" s="234"/>
      <c r="E179" s="234"/>
      <c r="F179" s="234"/>
      <c r="G179" s="234"/>
      <c r="H179" s="234"/>
      <c r="I179" s="234"/>
      <c r="J179" s="115"/>
    </row>
    <row r="180" spans="1:10">
      <c r="A180" s="59"/>
      <c r="B180" s="59"/>
      <c r="C180" s="7" t="s">
        <v>11</v>
      </c>
      <c r="D180" s="7" t="s">
        <v>12</v>
      </c>
      <c r="E180" s="7" t="s">
        <v>13</v>
      </c>
      <c r="F180" s="7" t="s">
        <v>14</v>
      </c>
      <c r="G180" s="7" t="s">
        <v>15</v>
      </c>
      <c r="H180" s="7" t="s">
        <v>58</v>
      </c>
      <c r="I180" s="7" t="s">
        <v>78</v>
      </c>
      <c r="J180" s="94" t="s">
        <v>79</v>
      </c>
    </row>
    <row r="181" spans="1:10" ht="51">
      <c r="A181" s="195" t="s">
        <v>146</v>
      </c>
      <c r="B181" s="195" t="s">
        <v>147</v>
      </c>
      <c r="C181" s="59" t="s">
        <v>148</v>
      </c>
      <c r="D181" s="59" t="s">
        <v>149</v>
      </c>
      <c r="E181" s="59" t="s">
        <v>150</v>
      </c>
      <c r="F181" s="59" t="s">
        <v>123</v>
      </c>
      <c r="G181" s="59" t="s">
        <v>151</v>
      </c>
      <c r="H181" s="59" t="s">
        <v>152</v>
      </c>
      <c r="I181" s="59" t="s">
        <v>153</v>
      </c>
      <c r="J181" s="59" t="s">
        <v>153</v>
      </c>
    </row>
    <row r="182" spans="1:10" ht="15.75">
      <c r="A182" s="195"/>
      <c r="B182" s="195"/>
      <c r="C182" s="77" t="s">
        <v>154</v>
      </c>
      <c r="D182" s="77" t="s">
        <v>155</v>
      </c>
      <c r="E182" s="77" t="s">
        <v>156</v>
      </c>
      <c r="F182" s="77" t="s">
        <v>127</v>
      </c>
      <c r="G182" s="77" t="s">
        <v>157</v>
      </c>
      <c r="H182" s="77" t="s">
        <v>158</v>
      </c>
      <c r="I182" s="77" t="s">
        <v>159</v>
      </c>
      <c r="J182" s="77" t="s">
        <v>159</v>
      </c>
    </row>
    <row r="183" spans="1:10" ht="28.5">
      <c r="A183" s="195"/>
      <c r="B183" s="195"/>
      <c r="C183" s="8" t="s">
        <v>44</v>
      </c>
      <c r="D183" s="8" t="s">
        <v>44</v>
      </c>
      <c r="E183" s="8" t="s">
        <v>142</v>
      </c>
      <c r="F183" s="8" t="s">
        <v>130</v>
      </c>
      <c r="G183" s="8" t="s">
        <v>130</v>
      </c>
      <c r="H183" s="8" t="s">
        <v>160</v>
      </c>
      <c r="I183" s="8" t="s">
        <v>160</v>
      </c>
      <c r="J183" s="8" t="s">
        <v>231</v>
      </c>
    </row>
    <row r="184" spans="1:10" ht="24.75" thickBot="1">
      <c r="A184" s="211"/>
      <c r="B184" s="211"/>
      <c r="C184" s="5"/>
      <c r="D184" s="5"/>
      <c r="E184" s="5" t="s">
        <v>161</v>
      </c>
      <c r="F184" s="5" t="s">
        <v>162</v>
      </c>
      <c r="G184" s="5"/>
      <c r="H184" s="5"/>
      <c r="I184" s="9" t="s">
        <v>163</v>
      </c>
      <c r="J184" s="35"/>
    </row>
    <row r="185" spans="1:10" ht="13.5" thickTop="1">
      <c r="A185" s="247" t="s">
        <v>164</v>
      </c>
      <c r="B185" s="54" t="s">
        <v>225</v>
      </c>
      <c r="C185" s="42">
        <v>0.54</v>
      </c>
      <c r="D185" s="43">
        <v>0</v>
      </c>
      <c r="E185" s="38">
        <f>'4D1_CH4_EF_DomesticWastewater'!$D$14</f>
        <v>0.3</v>
      </c>
      <c r="F185" s="116">
        <f>$M$18</f>
        <v>8621577.4000000004</v>
      </c>
      <c r="G185" s="47"/>
      <c r="H185" s="47"/>
      <c r="I185" s="14">
        <f>((C185*D185*E185)*(F185-G185))-H185</f>
        <v>0</v>
      </c>
      <c r="J185" s="32">
        <f>I185/(10^6)</f>
        <v>0</v>
      </c>
    </row>
    <row r="186" spans="1:10">
      <c r="A186" s="248"/>
      <c r="B186" s="55" t="s">
        <v>226</v>
      </c>
      <c r="C186" s="44">
        <v>0.54</v>
      </c>
      <c r="D186" s="45">
        <v>0.47</v>
      </c>
      <c r="E186" s="37">
        <f>'4D1_CH4_EF_DomesticWastewater'!$D$23</f>
        <v>0.06</v>
      </c>
      <c r="F186" s="116">
        <f t="shared" ref="F186:F199" si="18">$M$18</f>
        <v>8621577.4000000004</v>
      </c>
      <c r="G186" s="48"/>
      <c r="H186" s="48"/>
      <c r="I186" s="15">
        <f t="shared" ref="I186:I199" si="19">((C186*D186*E186)*(F186-G186))-H186</f>
        <v>131289.38064720001</v>
      </c>
      <c r="J186" s="34">
        <f t="shared" ref="J186:J199" si="20">I186/(10^6)</f>
        <v>0.13128938064720003</v>
      </c>
    </row>
    <row r="187" spans="1:10">
      <c r="A187" s="248"/>
      <c r="B187" s="53" t="s">
        <v>227</v>
      </c>
      <c r="C187" s="44">
        <v>0.54</v>
      </c>
      <c r="D187" s="45">
        <v>0</v>
      </c>
      <c r="E187" s="37">
        <f>'4D1_CH4_EF_DomesticWastewater'!$D$13</f>
        <v>0.06</v>
      </c>
      <c r="F187" s="116">
        <f t="shared" si="18"/>
        <v>8621577.4000000004</v>
      </c>
      <c r="G187" s="48"/>
      <c r="H187" s="48"/>
      <c r="I187" s="15">
        <f t="shared" si="19"/>
        <v>0</v>
      </c>
      <c r="J187" s="34">
        <f t="shared" si="20"/>
        <v>0</v>
      </c>
    </row>
    <row r="188" spans="1:10">
      <c r="A188" s="227"/>
      <c r="B188" s="53" t="s">
        <v>228</v>
      </c>
      <c r="C188" s="44">
        <v>0.54</v>
      </c>
      <c r="D188" s="46">
        <v>0.1</v>
      </c>
      <c r="E188" s="37">
        <f>'4D1_CH4_EF_DomesticWastewater'!$D$14</f>
        <v>0.3</v>
      </c>
      <c r="F188" s="116">
        <f t="shared" si="18"/>
        <v>8621577.4000000004</v>
      </c>
      <c r="G188" s="49"/>
      <c r="H188" s="49"/>
      <c r="I188" s="15">
        <f t="shared" si="19"/>
        <v>139669.55388000002</v>
      </c>
      <c r="J188" s="34">
        <f t="shared" si="20"/>
        <v>0.13966955388000002</v>
      </c>
    </row>
    <row r="189" spans="1:10">
      <c r="A189" s="227"/>
      <c r="B189" s="53" t="s">
        <v>229</v>
      </c>
      <c r="C189" s="44">
        <v>0.54</v>
      </c>
      <c r="D189" s="46">
        <v>0.43</v>
      </c>
      <c r="E189" s="37">
        <v>0</v>
      </c>
      <c r="F189" s="116">
        <f t="shared" si="18"/>
        <v>8621577.4000000004</v>
      </c>
      <c r="G189" s="49"/>
      <c r="H189" s="49"/>
      <c r="I189" s="15">
        <f t="shared" si="19"/>
        <v>0</v>
      </c>
      <c r="J189" s="34">
        <f t="shared" si="20"/>
        <v>0</v>
      </c>
    </row>
    <row r="190" spans="1:10">
      <c r="A190" s="227" t="s">
        <v>165</v>
      </c>
      <c r="B190" s="53" t="s">
        <v>225</v>
      </c>
      <c r="C190" s="44">
        <v>0.12</v>
      </c>
      <c r="D190" s="46">
        <v>0.18</v>
      </c>
      <c r="E190" s="37">
        <f>'4D1_CH4_EF_DomesticWastewater'!$D$22</f>
        <v>0.3</v>
      </c>
      <c r="F190" s="116">
        <f t="shared" si="18"/>
        <v>8621577.4000000004</v>
      </c>
      <c r="G190" s="49"/>
      <c r="H190" s="49"/>
      <c r="I190" s="15">
        <f t="shared" si="19"/>
        <v>55867.821551999994</v>
      </c>
      <c r="J190" s="34">
        <f t="shared" si="20"/>
        <v>5.5867821551999992E-2</v>
      </c>
    </row>
    <row r="191" spans="1:10">
      <c r="A191" s="227"/>
      <c r="B191" s="53" t="s">
        <v>226</v>
      </c>
      <c r="C191" s="44">
        <v>0.12</v>
      </c>
      <c r="D191" s="46">
        <v>0.08</v>
      </c>
      <c r="E191" s="37">
        <f>'4D1_CH4_EF_DomesticWastewater'!$D$23</f>
        <v>0.06</v>
      </c>
      <c r="F191" s="116">
        <f t="shared" si="18"/>
        <v>8621577.4000000004</v>
      </c>
      <c r="G191" s="49"/>
      <c r="H191" s="49"/>
      <c r="I191" s="15">
        <f t="shared" si="19"/>
        <v>4966.0285823999993</v>
      </c>
      <c r="J191" s="34">
        <f t="shared" si="20"/>
        <v>4.9660285823999997E-3</v>
      </c>
    </row>
    <row r="192" spans="1:10">
      <c r="A192" s="227"/>
      <c r="B192" s="53" t="s">
        <v>227</v>
      </c>
      <c r="C192" s="44">
        <v>0.12</v>
      </c>
      <c r="D192" s="46">
        <v>0</v>
      </c>
      <c r="E192" s="37">
        <f>'4D1_CH4_EF_DomesticWastewater'!$D$13</f>
        <v>0.06</v>
      </c>
      <c r="F192" s="116">
        <f t="shared" si="18"/>
        <v>8621577.4000000004</v>
      </c>
      <c r="G192" s="49"/>
      <c r="H192" s="49"/>
      <c r="I192" s="15">
        <f t="shared" si="19"/>
        <v>0</v>
      </c>
      <c r="J192" s="34">
        <f t="shared" si="20"/>
        <v>0</v>
      </c>
    </row>
    <row r="193" spans="1:10">
      <c r="A193" s="227"/>
      <c r="B193" s="53" t="s">
        <v>228</v>
      </c>
      <c r="C193" s="44">
        <v>0.12</v>
      </c>
      <c r="D193" s="46">
        <v>0.74</v>
      </c>
      <c r="E193" s="37">
        <f>'4D1_CH4_EF_DomesticWastewater'!$D$13</f>
        <v>0.06</v>
      </c>
      <c r="F193" s="116">
        <f t="shared" si="18"/>
        <v>8621577.4000000004</v>
      </c>
      <c r="G193" s="49"/>
      <c r="H193" s="49"/>
      <c r="I193" s="15">
        <f t="shared" si="19"/>
        <v>45935.764387199997</v>
      </c>
      <c r="J193" s="34">
        <f t="shared" si="20"/>
        <v>4.5935764387199998E-2</v>
      </c>
    </row>
    <row r="194" spans="1:10">
      <c r="A194" s="227"/>
      <c r="B194" s="53" t="s">
        <v>229</v>
      </c>
      <c r="C194" s="44">
        <v>0.12</v>
      </c>
      <c r="D194" s="46">
        <v>0</v>
      </c>
      <c r="E194" s="37">
        <v>0</v>
      </c>
      <c r="F194" s="116">
        <f t="shared" si="18"/>
        <v>8621577.4000000004</v>
      </c>
      <c r="G194" s="49"/>
      <c r="H194" s="49"/>
      <c r="I194" s="15">
        <f t="shared" si="19"/>
        <v>0</v>
      </c>
      <c r="J194" s="34">
        <f t="shared" si="20"/>
        <v>0</v>
      </c>
    </row>
    <row r="195" spans="1:10">
      <c r="A195" s="227" t="s">
        <v>166</v>
      </c>
      <c r="B195" s="53" t="s">
        <v>225</v>
      </c>
      <c r="C195" s="44">
        <v>0.34</v>
      </c>
      <c r="D195" s="46">
        <v>0.14000000000000001</v>
      </c>
      <c r="E195" s="37">
        <f>'4D1_CH4_EF_DomesticWastewater'!$D$22</f>
        <v>0.3</v>
      </c>
      <c r="F195" s="116">
        <f t="shared" si="18"/>
        <v>8621577.4000000004</v>
      </c>
      <c r="G195" s="49"/>
      <c r="H195" s="49"/>
      <c r="I195" s="15">
        <f t="shared" si="19"/>
        <v>123116.12527200003</v>
      </c>
      <c r="J195" s="34">
        <f t="shared" si="20"/>
        <v>0.12311612527200004</v>
      </c>
    </row>
    <row r="196" spans="1:10">
      <c r="A196" s="227"/>
      <c r="B196" s="53" t="s">
        <v>226</v>
      </c>
      <c r="C196" s="44">
        <v>0.34</v>
      </c>
      <c r="D196" s="46">
        <v>0.1</v>
      </c>
      <c r="E196" s="37">
        <f>'4D1_CH4_EF_DomesticWastewater'!$D$23</f>
        <v>0.06</v>
      </c>
      <c r="F196" s="116">
        <f t="shared" si="18"/>
        <v>8621577.4000000004</v>
      </c>
      <c r="G196" s="49"/>
      <c r="H196" s="49"/>
      <c r="I196" s="15">
        <f t="shared" si="19"/>
        <v>17588.017896000001</v>
      </c>
      <c r="J196" s="34">
        <f t="shared" si="20"/>
        <v>1.7588017896000001E-2</v>
      </c>
    </row>
    <row r="197" spans="1:10">
      <c r="A197" s="227"/>
      <c r="B197" s="53" t="s">
        <v>227</v>
      </c>
      <c r="C197" s="44">
        <v>0.34</v>
      </c>
      <c r="D197" s="46">
        <v>0.03</v>
      </c>
      <c r="E197" s="37">
        <f>'4D1_CH4_EF_DomesticWastewater'!$D$13</f>
        <v>0.06</v>
      </c>
      <c r="F197" s="116">
        <f t="shared" si="18"/>
        <v>8621577.4000000004</v>
      </c>
      <c r="G197" s="49"/>
      <c r="H197" s="49"/>
      <c r="I197" s="15">
        <f t="shared" si="19"/>
        <v>5276.4053688000004</v>
      </c>
      <c r="J197" s="34">
        <f t="shared" si="20"/>
        <v>5.2764053688000006E-3</v>
      </c>
    </row>
    <row r="198" spans="1:10">
      <c r="A198" s="227"/>
      <c r="B198" s="53" t="s">
        <v>228</v>
      </c>
      <c r="C198" s="44">
        <v>0.34</v>
      </c>
      <c r="D198" s="46">
        <v>0.53</v>
      </c>
      <c r="E198" s="37">
        <f>'4D1_CH4_EF_DomesticWastewater'!$D$13</f>
        <v>0.06</v>
      </c>
      <c r="F198" s="116">
        <f t="shared" si="18"/>
        <v>8621577.4000000004</v>
      </c>
      <c r="G198" s="49"/>
      <c r="H198" s="49"/>
      <c r="I198" s="15">
        <f t="shared" si="19"/>
        <v>93216.494848800008</v>
      </c>
      <c r="J198" s="34">
        <f t="shared" si="20"/>
        <v>9.3216494848800013E-2</v>
      </c>
    </row>
    <row r="199" spans="1:10">
      <c r="A199" s="227"/>
      <c r="B199" s="53" t="s">
        <v>229</v>
      </c>
      <c r="C199" s="44">
        <v>0.34</v>
      </c>
      <c r="D199" s="46">
        <v>0.2</v>
      </c>
      <c r="E199" s="37">
        <v>0</v>
      </c>
      <c r="F199" s="116">
        <f t="shared" si="18"/>
        <v>8621577.4000000004</v>
      </c>
      <c r="G199" s="49"/>
      <c r="H199" s="49"/>
      <c r="I199" s="15">
        <f t="shared" si="19"/>
        <v>0</v>
      </c>
      <c r="J199" s="34">
        <f t="shared" si="20"/>
        <v>0</v>
      </c>
    </row>
    <row r="200" spans="1:10">
      <c r="A200" s="244" t="s">
        <v>302</v>
      </c>
      <c r="B200" s="244"/>
      <c r="C200" s="244"/>
      <c r="D200" s="244"/>
      <c r="E200" s="244"/>
      <c r="F200" s="244"/>
      <c r="G200" s="244"/>
      <c r="H200" s="244"/>
      <c r="I200" s="117">
        <f>SUM(I185:I199)</f>
        <v>616925.59243440011</v>
      </c>
      <c r="J200" s="118">
        <f>SUM(J185:J199)</f>
        <v>0.61692559243440004</v>
      </c>
    </row>
    <row r="203" spans="1:10">
      <c r="A203" s="245" t="s">
        <v>0</v>
      </c>
      <c r="B203" s="246"/>
      <c r="C203" s="185" t="s">
        <v>1</v>
      </c>
      <c r="D203" s="249"/>
      <c r="E203" s="249"/>
      <c r="F203" s="249"/>
      <c r="G203" s="249"/>
      <c r="H203" s="249"/>
      <c r="I203" s="249"/>
    </row>
    <row r="204" spans="1:10">
      <c r="A204" s="245" t="s">
        <v>2</v>
      </c>
      <c r="B204" s="246"/>
      <c r="C204" s="185" t="s">
        <v>117</v>
      </c>
      <c r="D204" s="249"/>
      <c r="E204" s="249"/>
      <c r="F204" s="249"/>
      <c r="G204" s="249"/>
      <c r="H204" s="249"/>
      <c r="I204" s="249"/>
    </row>
    <row r="205" spans="1:10">
      <c r="A205" s="245" t="s">
        <v>4</v>
      </c>
      <c r="B205" s="246"/>
      <c r="C205" s="185" t="s">
        <v>118</v>
      </c>
      <c r="D205" s="249"/>
      <c r="E205" s="249"/>
      <c r="F205" s="249"/>
      <c r="G205" s="249"/>
      <c r="H205" s="249"/>
      <c r="I205" s="249"/>
    </row>
    <row r="206" spans="1:10">
      <c r="A206" s="245" t="s">
        <v>6</v>
      </c>
      <c r="B206" s="246"/>
      <c r="C206" s="185" t="s">
        <v>145</v>
      </c>
      <c r="D206" s="249"/>
      <c r="E206" s="249"/>
      <c r="F206" s="249"/>
      <c r="G206" s="249"/>
      <c r="H206" s="249"/>
      <c r="I206" s="249"/>
    </row>
    <row r="207" spans="1:10">
      <c r="A207" s="217" t="s">
        <v>10</v>
      </c>
      <c r="B207" s="234"/>
      <c r="C207" s="234"/>
      <c r="D207" s="234"/>
      <c r="E207" s="234"/>
      <c r="F207" s="234"/>
      <c r="G207" s="234"/>
      <c r="H207" s="234"/>
      <c r="I207" s="234"/>
      <c r="J207" s="115"/>
    </row>
    <row r="208" spans="1:10">
      <c r="A208" s="59"/>
      <c r="B208" s="59"/>
      <c r="C208" s="7" t="s">
        <v>11</v>
      </c>
      <c r="D208" s="7" t="s">
        <v>12</v>
      </c>
      <c r="E208" s="7" t="s">
        <v>13</v>
      </c>
      <c r="F208" s="7" t="s">
        <v>14</v>
      </c>
      <c r="G208" s="7" t="s">
        <v>15</v>
      </c>
      <c r="H208" s="7" t="s">
        <v>58</v>
      </c>
      <c r="I208" s="7" t="s">
        <v>78</v>
      </c>
      <c r="J208" s="94" t="s">
        <v>79</v>
      </c>
    </row>
    <row r="209" spans="1:10" ht="51">
      <c r="A209" s="195" t="s">
        <v>146</v>
      </c>
      <c r="B209" s="195" t="s">
        <v>147</v>
      </c>
      <c r="C209" s="59" t="s">
        <v>148</v>
      </c>
      <c r="D209" s="59" t="s">
        <v>149</v>
      </c>
      <c r="E209" s="59" t="s">
        <v>150</v>
      </c>
      <c r="F209" s="59" t="s">
        <v>123</v>
      </c>
      <c r="G209" s="59" t="s">
        <v>151</v>
      </c>
      <c r="H209" s="59" t="s">
        <v>152</v>
      </c>
      <c r="I209" s="59" t="s">
        <v>153</v>
      </c>
      <c r="J209" s="59" t="s">
        <v>153</v>
      </c>
    </row>
    <row r="210" spans="1:10" ht="15.75">
      <c r="A210" s="195"/>
      <c r="B210" s="195"/>
      <c r="C210" s="77" t="s">
        <v>154</v>
      </c>
      <c r="D210" s="77" t="s">
        <v>155</v>
      </c>
      <c r="E210" s="77" t="s">
        <v>156</v>
      </c>
      <c r="F210" s="77" t="s">
        <v>127</v>
      </c>
      <c r="G210" s="77" t="s">
        <v>157</v>
      </c>
      <c r="H210" s="77" t="s">
        <v>158</v>
      </c>
      <c r="I210" s="77" t="s">
        <v>159</v>
      </c>
      <c r="J210" s="77" t="s">
        <v>159</v>
      </c>
    </row>
    <row r="211" spans="1:10" ht="28.5">
      <c r="A211" s="195"/>
      <c r="B211" s="195"/>
      <c r="C211" s="8" t="s">
        <v>44</v>
      </c>
      <c r="D211" s="8" t="s">
        <v>44</v>
      </c>
      <c r="E211" s="8" t="s">
        <v>142</v>
      </c>
      <c r="F211" s="8" t="s">
        <v>130</v>
      </c>
      <c r="G211" s="8" t="s">
        <v>130</v>
      </c>
      <c r="H211" s="8" t="s">
        <v>160</v>
      </c>
      <c r="I211" s="8" t="s">
        <v>160</v>
      </c>
      <c r="J211" s="8" t="s">
        <v>231</v>
      </c>
    </row>
    <row r="212" spans="1:10" ht="24.75" thickBot="1">
      <c r="A212" s="211"/>
      <c r="B212" s="211"/>
      <c r="C212" s="5"/>
      <c r="D212" s="5"/>
      <c r="E212" s="5" t="s">
        <v>161</v>
      </c>
      <c r="F212" s="5" t="s">
        <v>162</v>
      </c>
      <c r="G212" s="5"/>
      <c r="H212" s="5"/>
      <c r="I212" s="9" t="s">
        <v>163</v>
      </c>
      <c r="J212" s="35"/>
    </row>
    <row r="213" spans="1:10" ht="13.5" thickTop="1">
      <c r="A213" s="247" t="s">
        <v>164</v>
      </c>
      <c r="B213" s="54" t="s">
        <v>225</v>
      </c>
      <c r="C213" s="42">
        <v>0.54</v>
      </c>
      <c r="D213" s="43">
        <v>0</v>
      </c>
      <c r="E213" s="38">
        <f>'4D1_CH4_EF_DomesticWastewater'!$D$14</f>
        <v>0.3</v>
      </c>
      <c r="F213" s="116">
        <f>$M$19</f>
        <v>8717295</v>
      </c>
      <c r="G213" s="47"/>
      <c r="H213" s="47"/>
      <c r="I213" s="14">
        <f>((C213*D213*E213)*(F213-G213))-H213</f>
        <v>0</v>
      </c>
      <c r="J213" s="32">
        <f>I213/(10^6)</f>
        <v>0</v>
      </c>
    </row>
    <row r="214" spans="1:10">
      <c r="A214" s="248"/>
      <c r="B214" s="55" t="s">
        <v>226</v>
      </c>
      <c r="C214" s="44">
        <v>0.54</v>
      </c>
      <c r="D214" s="45">
        <v>0.47</v>
      </c>
      <c r="E214" s="37">
        <f>'4D1_CH4_EF_DomesticWastewater'!$D$23</f>
        <v>0.06</v>
      </c>
      <c r="F214" s="116">
        <f t="shared" ref="F214:F227" si="21">$M$19</f>
        <v>8717295</v>
      </c>
      <c r="G214" s="48"/>
      <c r="H214" s="48"/>
      <c r="I214" s="15">
        <f t="shared" ref="I214:I227" si="22">((C214*D214*E214)*(F214-G214))-H214</f>
        <v>132746.96825999999</v>
      </c>
      <c r="J214" s="34">
        <f t="shared" ref="J214:J227" si="23">I214/(10^6)</f>
        <v>0.13274696825999999</v>
      </c>
    </row>
    <row r="215" spans="1:10">
      <c r="A215" s="248"/>
      <c r="B215" s="53" t="s">
        <v>227</v>
      </c>
      <c r="C215" s="44">
        <v>0.54</v>
      </c>
      <c r="D215" s="45">
        <v>0</v>
      </c>
      <c r="E215" s="37">
        <f>'4D1_CH4_EF_DomesticWastewater'!$D$13</f>
        <v>0.06</v>
      </c>
      <c r="F215" s="116">
        <f t="shared" si="21"/>
        <v>8717295</v>
      </c>
      <c r="G215" s="48"/>
      <c r="H215" s="48"/>
      <c r="I215" s="15">
        <f t="shared" si="22"/>
        <v>0</v>
      </c>
      <c r="J215" s="34">
        <f t="shared" si="23"/>
        <v>0</v>
      </c>
    </row>
    <row r="216" spans="1:10">
      <c r="A216" s="227"/>
      <c r="B216" s="53" t="s">
        <v>228</v>
      </c>
      <c r="C216" s="44">
        <v>0.54</v>
      </c>
      <c r="D216" s="46">
        <v>0.1</v>
      </c>
      <c r="E216" s="37">
        <f>'4D1_CH4_EF_DomesticWastewater'!$D$14</f>
        <v>0.3</v>
      </c>
      <c r="F216" s="116">
        <f t="shared" si="21"/>
        <v>8717295</v>
      </c>
      <c r="G216" s="49"/>
      <c r="H216" s="49"/>
      <c r="I216" s="15">
        <f t="shared" si="22"/>
        <v>141220.17900000003</v>
      </c>
      <c r="J216" s="34">
        <f t="shared" si="23"/>
        <v>0.14122017900000003</v>
      </c>
    </row>
    <row r="217" spans="1:10">
      <c r="A217" s="227"/>
      <c r="B217" s="53" t="s">
        <v>229</v>
      </c>
      <c r="C217" s="44">
        <v>0.54</v>
      </c>
      <c r="D217" s="46">
        <v>0.43</v>
      </c>
      <c r="E217" s="37">
        <v>0</v>
      </c>
      <c r="F217" s="116">
        <f t="shared" si="21"/>
        <v>8717295</v>
      </c>
      <c r="G217" s="49"/>
      <c r="H217" s="49"/>
      <c r="I217" s="15">
        <f t="shared" si="22"/>
        <v>0</v>
      </c>
      <c r="J217" s="34">
        <f t="shared" si="23"/>
        <v>0</v>
      </c>
    </row>
    <row r="218" spans="1:10">
      <c r="A218" s="227" t="s">
        <v>165</v>
      </c>
      <c r="B218" s="53" t="s">
        <v>225</v>
      </c>
      <c r="C218" s="44">
        <v>0.12</v>
      </c>
      <c r="D218" s="46">
        <v>0.18</v>
      </c>
      <c r="E218" s="37">
        <f>'4D1_CH4_EF_DomesticWastewater'!$D$22</f>
        <v>0.3</v>
      </c>
      <c r="F218" s="116">
        <f t="shared" si="21"/>
        <v>8717295</v>
      </c>
      <c r="G218" s="49"/>
      <c r="H218" s="49"/>
      <c r="I218" s="15">
        <f t="shared" si="22"/>
        <v>56488.071599999988</v>
      </c>
      <c r="J218" s="34">
        <f t="shared" si="23"/>
        <v>5.6488071599999988E-2</v>
      </c>
    </row>
    <row r="219" spans="1:10">
      <c r="A219" s="227"/>
      <c r="B219" s="53" t="s">
        <v>226</v>
      </c>
      <c r="C219" s="44">
        <v>0.12</v>
      </c>
      <c r="D219" s="46">
        <v>0.08</v>
      </c>
      <c r="E219" s="37">
        <f>'4D1_CH4_EF_DomesticWastewater'!$D$23</f>
        <v>0.06</v>
      </c>
      <c r="F219" s="116">
        <f t="shared" si="21"/>
        <v>8717295</v>
      </c>
      <c r="G219" s="49"/>
      <c r="H219" s="49"/>
      <c r="I219" s="15">
        <f t="shared" si="22"/>
        <v>5021.1619199999996</v>
      </c>
      <c r="J219" s="34">
        <f t="shared" si="23"/>
        <v>5.0211619199999995E-3</v>
      </c>
    </row>
    <row r="220" spans="1:10">
      <c r="A220" s="227"/>
      <c r="B220" s="53" t="s">
        <v>227</v>
      </c>
      <c r="C220" s="44">
        <v>0.12</v>
      </c>
      <c r="D220" s="46">
        <v>0</v>
      </c>
      <c r="E220" s="37">
        <f>'4D1_CH4_EF_DomesticWastewater'!$D$13</f>
        <v>0.06</v>
      </c>
      <c r="F220" s="116">
        <f t="shared" si="21"/>
        <v>8717295</v>
      </c>
      <c r="G220" s="49"/>
      <c r="H220" s="49"/>
      <c r="I220" s="15">
        <f t="shared" si="22"/>
        <v>0</v>
      </c>
      <c r="J220" s="34">
        <f t="shared" si="23"/>
        <v>0</v>
      </c>
    </row>
    <row r="221" spans="1:10">
      <c r="A221" s="227"/>
      <c r="B221" s="53" t="s">
        <v>228</v>
      </c>
      <c r="C221" s="44">
        <v>0.12</v>
      </c>
      <c r="D221" s="46">
        <v>0.74</v>
      </c>
      <c r="E221" s="37">
        <f>'4D1_CH4_EF_DomesticWastewater'!$D$13</f>
        <v>0.06</v>
      </c>
      <c r="F221" s="116">
        <f t="shared" si="21"/>
        <v>8717295</v>
      </c>
      <c r="G221" s="49"/>
      <c r="H221" s="49"/>
      <c r="I221" s="15">
        <f t="shared" si="22"/>
        <v>46445.747759999998</v>
      </c>
      <c r="J221" s="34">
        <f t="shared" si="23"/>
        <v>4.6445747759999996E-2</v>
      </c>
    </row>
    <row r="222" spans="1:10">
      <c r="A222" s="227"/>
      <c r="B222" s="53" t="s">
        <v>229</v>
      </c>
      <c r="C222" s="44">
        <v>0.12</v>
      </c>
      <c r="D222" s="46">
        <v>0</v>
      </c>
      <c r="E222" s="37">
        <v>0</v>
      </c>
      <c r="F222" s="116">
        <f t="shared" si="21"/>
        <v>8717295</v>
      </c>
      <c r="G222" s="49"/>
      <c r="H222" s="49"/>
      <c r="I222" s="15">
        <f t="shared" si="22"/>
        <v>0</v>
      </c>
      <c r="J222" s="34">
        <f t="shared" si="23"/>
        <v>0</v>
      </c>
    </row>
    <row r="223" spans="1:10">
      <c r="A223" s="227" t="s">
        <v>166</v>
      </c>
      <c r="B223" s="53" t="s">
        <v>225</v>
      </c>
      <c r="C223" s="44">
        <v>0.34</v>
      </c>
      <c r="D223" s="46">
        <v>0.14000000000000001</v>
      </c>
      <c r="E223" s="37">
        <f>'4D1_CH4_EF_DomesticWastewater'!$D$22</f>
        <v>0.3</v>
      </c>
      <c r="F223" s="116">
        <f t="shared" si="21"/>
        <v>8717295</v>
      </c>
      <c r="G223" s="49"/>
      <c r="H223" s="49"/>
      <c r="I223" s="15">
        <f t="shared" si="22"/>
        <v>124482.97260000002</v>
      </c>
      <c r="J223" s="34">
        <f t="shared" si="23"/>
        <v>0.12448297260000002</v>
      </c>
    </row>
    <row r="224" spans="1:10">
      <c r="A224" s="227"/>
      <c r="B224" s="53" t="s">
        <v>226</v>
      </c>
      <c r="C224" s="44">
        <v>0.34</v>
      </c>
      <c r="D224" s="46">
        <v>0.1</v>
      </c>
      <c r="E224" s="37">
        <f>'4D1_CH4_EF_DomesticWastewater'!$D$23</f>
        <v>0.06</v>
      </c>
      <c r="F224" s="116">
        <f t="shared" si="21"/>
        <v>8717295</v>
      </c>
      <c r="G224" s="49"/>
      <c r="H224" s="49"/>
      <c r="I224" s="15">
        <f t="shared" si="22"/>
        <v>17783.281800000001</v>
      </c>
      <c r="J224" s="34">
        <f t="shared" si="23"/>
        <v>1.7783281800000002E-2</v>
      </c>
    </row>
    <row r="225" spans="1:10">
      <c r="A225" s="227"/>
      <c r="B225" s="53" t="s">
        <v>227</v>
      </c>
      <c r="C225" s="44">
        <v>0.34</v>
      </c>
      <c r="D225" s="46">
        <v>0.03</v>
      </c>
      <c r="E225" s="37">
        <f>'4D1_CH4_EF_DomesticWastewater'!$D$13</f>
        <v>0.06</v>
      </c>
      <c r="F225" s="116">
        <f t="shared" si="21"/>
        <v>8717295</v>
      </c>
      <c r="G225" s="49"/>
      <c r="H225" s="49"/>
      <c r="I225" s="15">
        <f t="shared" si="22"/>
        <v>5334.9845400000004</v>
      </c>
      <c r="J225" s="34">
        <f t="shared" si="23"/>
        <v>5.3349845400000005E-3</v>
      </c>
    </row>
    <row r="226" spans="1:10">
      <c r="A226" s="227"/>
      <c r="B226" s="53" t="s">
        <v>228</v>
      </c>
      <c r="C226" s="44">
        <v>0.34</v>
      </c>
      <c r="D226" s="46">
        <v>0.53</v>
      </c>
      <c r="E226" s="37">
        <f>'4D1_CH4_EF_DomesticWastewater'!$D$13</f>
        <v>0.06</v>
      </c>
      <c r="F226" s="116">
        <f t="shared" si="21"/>
        <v>8717295</v>
      </c>
      <c r="G226" s="49"/>
      <c r="H226" s="49"/>
      <c r="I226" s="15">
        <f t="shared" si="22"/>
        <v>94251.393540000005</v>
      </c>
      <c r="J226" s="34">
        <f t="shared" si="23"/>
        <v>9.4251393540000006E-2</v>
      </c>
    </row>
    <row r="227" spans="1:10">
      <c r="A227" s="227"/>
      <c r="B227" s="53" t="s">
        <v>229</v>
      </c>
      <c r="C227" s="44">
        <v>0.34</v>
      </c>
      <c r="D227" s="46">
        <v>0.2</v>
      </c>
      <c r="E227" s="37">
        <v>0</v>
      </c>
      <c r="F227" s="116">
        <f t="shared" si="21"/>
        <v>8717295</v>
      </c>
      <c r="G227" s="49"/>
      <c r="H227" s="49"/>
      <c r="I227" s="15">
        <f t="shared" si="22"/>
        <v>0</v>
      </c>
      <c r="J227" s="34">
        <f t="shared" si="23"/>
        <v>0</v>
      </c>
    </row>
    <row r="228" spans="1:10">
      <c r="A228" s="244" t="s">
        <v>303</v>
      </c>
      <c r="B228" s="244"/>
      <c r="C228" s="244"/>
      <c r="D228" s="244"/>
      <c r="E228" s="244"/>
      <c r="F228" s="244"/>
      <c r="G228" s="244"/>
      <c r="H228" s="244"/>
      <c r="I228" s="117">
        <f>SUM(I213:I227)</f>
        <v>623774.76101999998</v>
      </c>
      <c r="J228" s="118">
        <f>SUM(J213:J227)</f>
        <v>0.62377476102000007</v>
      </c>
    </row>
    <row r="231" spans="1:10">
      <c r="A231" s="245" t="s">
        <v>0</v>
      </c>
      <c r="B231" s="246"/>
      <c r="C231" s="185" t="s">
        <v>1</v>
      </c>
      <c r="D231" s="249"/>
      <c r="E231" s="249"/>
      <c r="F231" s="249"/>
      <c r="G231" s="249"/>
      <c r="H231" s="249"/>
      <c r="I231" s="249"/>
    </row>
    <row r="232" spans="1:10">
      <c r="A232" s="245" t="s">
        <v>2</v>
      </c>
      <c r="B232" s="246"/>
      <c r="C232" s="185" t="s">
        <v>117</v>
      </c>
      <c r="D232" s="249"/>
      <c r="E232" s="249"/>
      <c r="F232" s="249"/>
      <c r="G232" s="249"/>
      <c r="H232" s="249"/>
      <c r="I232" s="249"/>
    </row>
    <row r="233" spans="1:10">
      <c r="A233" s="245" t="s">
        <v>4</v>
      </c>
      <c r="B233" s="246"/>
      <c r="C233" s="185" t="s">
        <v>118</v>
      </c>
      <c r="D233" s="249"/>
      <c r="E233" s="249"/>
      <c r="F233" s="249"/>
      <c r="G233" s="249"/>
      <c r="H233" s="249"/>
      <c r="I233" s="249"/>
    </row>
    <row r="234" spans="1:10">
      <c r="A234" s="245" t="s">
        <v>6</v>
      </c>
      <c r="B234" s="246"/>
      <c r="C234" s="185" t="s">
        <v>145</v>
      </c>
      <c r="D234" s="249"/>
      <c r="E234" s="249"/>
      <c r="F234" s="249"/>
      <c r="G234" s="249"/>
      <c r="H234" s="249"/>
      <c r="I234" s="249"/>
    </row>
    <row r="235" spans="1:10">
      <c r="A235" s="217" t="s">
        <v>10</v>
      </c>
      <c r="B235" s="234"/>
      <c r="C235" s="234"/>
      <c r="D235" s="234"/>
      <c r="E235" s="234"/>
      <c r="F235" s="234"/>
      <c r="G235" s="234"/>
      <c r="H235" s="234"/>
      <c r="I235" s="234"/>
      <c r="J235" s="115"/>
    </row>
    <row r="236" spans="1:10">
      <c r="A236" s="59"/>
      <c r="B236" s="59"/>
      <c r="C236" s="7" t="s">
        <v>11</v>
      </c>
      <c r="D236" s="7" t="s">
        <v>12</v>
      </c>
      <c r="E236" s="7" t="s">
        <v>13</v>
      </c>
      <c r="F236" s="7" t="s">
        <v>14</v>
      </c>
      <c r="G236" s="7" t="s">
        <v>15</v>
      </c>
      <c r="H236" s="7" t="s">
        <v>58</v>
      </c>
      <c r="I236" s="7" t="s">
        <v>78</v>
      </c>
      <c r="J236" s="94" t="s">
        <v>79</v>
      </c>
    </row>
    <row r="237" spans="1:10" ht="51">
      <c r="A237" s="195" t="s">
        <v>146</v>
      </c>
      <c r="B237" s="195" t="s">
        <v>147</v>
      </c>
      <c r="C237" s="59" t="s">
        <v>148</v>
      </c>
      <c r="D237" s="59" t="s">
        <v>149</v>
      </c>
      <c r="E237" s="59" t="s">
        <v>150</v>
      </c>
      <c r="F237" s="59" t="s">
        <v>123</v>
      </c>
      <c r="G237" s="59" t="s">
        <v>151</v>
      </c>
      <c r="H237" s="59" t="s">
        <v>152</v>
      </c>
      <c r="I237" s="59" t="s">
        <v>153</v>
      </c>
      <c r="J237" s="59" t="s">
        <v>153</v>
      </c>
    </row>
    <row r="238" spans="1:10" ht="15.75">
      <c r="A238" s="195"/>
      <c r="B238" s="195"/>
      <c r="C238" s="77" t="s">
        <v>154</v>
      </c>
      <c r="D238" s="77" t="s">
        <v>155</v>
      </c>
      <c r="E238" s="77" t="s">
        <v>156</v>
      </c>
      <c r="F238" s="77" t="s">
        <v>127</v>
      </c>
      <c r="G238" s="77" t="s">
        <v>157</v>
      </c>
      <c r="H238" s="77" t="s">
        <v>158</v>
      </c>
      <c r="I238" s="77" t="s">
        <v>159</v>
      </c>
      <c r="J238" s="77" t="s">
        <v>159</v>
      </c>
    </row>
    <row r="239" spans="1:10" ht="28.5">
      <c r="A239" s="195"/>
      <c r="B239" s="195"/>
      <c r="C239" s="8" t="s">
        <v>44</v>
      </c>
      <c r="D239" s="8" t="s">
        <v>44</v>
      </c>
      <c r="E239" s="8" t="s">
        <v>142</v>
      </c>
      <c r="F239" s="8" t="s">
        <v>130</v>
      </c>
      <c r="G239" s="8" t="s">
        <v>130</v>
      </c>
      <c r="H239" s="8" t="s">
        <v>160</v>
      </c>
      <c r="I239" s="8" t="s">
        <v>160</v>
      </c>
      <c r="J239" s="8" t="s">
        <v>231</v>
      </c>
    </row>
    <row r="240" spans="1:10" ht="24.75" thickBot="1">
      <c r="A240" s="211"/>
      <c r="B240" s="211"/>
      <c r="C240" s="5"/>
      <c r="D240" s="5"/>
      <c r="E240" s="5" t="s">
        <v>161</v>
      </c>
      <c r="F240" s="5" t="s">
        <v>162</v>
      </c>
      <c r="G240" s="5"/>
      <c r="H240" s="5"/>
      <c r="I240" s="9" t="s">
        <v>163</v>
      </c>
      <c r="J240" s="35"/>
    </row>
    <row r="241" spans="1:10" ht="13.5" thickTop="1">
      <c r="A241" s="247" t="s">
        <v>164</v>
      </c>
      <c r="B241" s="54" t="s">
        <v>225</v>
      </c>
      <c r="C241" s="42">
        <v>0.54</v>
      </c>
      <c r="D241" s="43">
        <v>0</v>
      </c>
      <c r="E241" s="38">
        <f>'4D1_CH4_EF_DomesticWastewater'!$D$14</f>
        <v>0.3</v>
      </c>
      <c r="F241" s="116">
        <f>$M$20</f>
        <v>8809479.4000000004</v>
      </c>
      <c r="G241" s="47"/>
      <c r="H241" s="47"/>
      <c r="I241" s="14">
        <f>((C241*D241*E241)*(F241-G241))-H241</f>
        <v>0</v>
      </c>
      <c r="J241" s="32">
        <f>I241/(10^6)</f>
        <v>0</v>
      </c>
    </row>
    <row r="242" spans="1:10">
      <c r="A242" s="248"/>
      <c r="B242" s="55" t="s">
        <v>226</v>
      </c>
      <c r="C242" s="44">
        <v>0.54</v>
      </c>
      <c r="D242" s="45">
        <v>0.47</v>
      </c>
      <c r="E242" s="37">
        <f>'4D1_CH4_EF_DomesticWastewater'!$D$23</f>
        <v>0.06</v>
      </c>
      <c r="F242" s="116">
        <f t="shared" ref="F242:F255" si="24">$M$20</f>
        <v>8809479.4000000004</v>
      </c>
      <c r="G242" s="48"/>
      <c r="H242" s="48"/>
      <c r="I242" s="15">
        <f t="shared" ref="I242:I255" si="25">((C242*D242*E242)*(F242-G242))-H242</f>
        <v>134150.75230320002</v>
      </c>
      <c r="J242" s="34">
        <f t="shared" ref="J242:J255" si="26">I242/(10^6)</f>
        <v>0.1341507523032</v>
      </c>
    </row>
    <row r="243" spans="1:10">
      <c r="A243" s="248"/>
      <c r="B243" s="53" t="s">
        <v>227</v>
      </c>
      <c r="C243" s="44">
        <v>0.54</v>
      </c>
      <c r="D243" s="45">
        <v>0</v>
      </c>
      <c r="E243" s="37">
        <f>'4D1_CH4_EF_DomesticWastewater'!$D$13</f>
        <v>0.06</v>
      </c>
      <c r="F243" s="116">
        <f t="shared" si="24"/>
        <v>8809479.4000000004</v>
      </c>
      <c r="G243" s="48"/>
      <c r="H243" s="48"/>
      <c r="I243" s="15">
        <f t="shared" si="25"/>
        <v>0</v>
      </c>
      <c r="J243" s="34">
        <f t="shared" si="26"/>
        <v>0</v>
      </c>
    </row>
    <row r="244" spans="1:10">
      <c r="A244" s="227"/>
      <c r="B244" s="53" t="s">
        <v>228</v>
      </c>
      <c r="C244" s="44">
        <v>0.54</v>
      </c>
      <c r="D244" s="46">
        <v>0.1</v>
      </c>
      <c r="E244" s="37">
        <f>'4D1_CH4_EF_DomesticWastewater'!$D$14</f>
        <v>0.3</v>
      </c>
      <c r="F244" s="116">
        <f t="shared" si="24"/>
        <v>8809479.4000000004</v>
      </c>
      <c r="G244" s="49"/>
      <c r="H244" s="49"/>
      <c r="I244" s="15">
        <f t="shared" si="25"/>
        <v>142713.56628000003</v>
      </c>
      <c r="J244" s="34">
        <f t="shared" si="26"/>
        <v>0.14271356628000004</v>
      </c>
    </row>
    <row r="245" spans="1:10">
      <c r="A245" s="227"/>
      <c r="B245" s="53" t="s">
        <v>229</v>
      </c>
      <c r="C245" s="44">
        <v>0.54</v>
      </c>
      <c r="D245" s="46">
        <v>0.43</v>
      </c>
      <c r="E245" s="37">
        <v>0</v>
      </c>
      <c r="F245" s="116">
        <f t="shared" si="24"/>
        <v>8809479.4000000004</v>
      </c>
      <c r="G245" s="49"/>
      <c r="H245" s="49"/>
      <c r="I245" s="15">
        <f t="shared" si="25"/>
        <v>0</v>
      </c>
      <c r="J245" s="34">
        <f t="shared" si="26"/>
        <v>0</v>
      </c>
    </row>
    <row r="246" spans="1:10">
      <c r="A246" s="227" t="s">
        <v>165</v>
      </c>
      <c r="B246" s="53" t="s">
        <v>225</v>
      </c>
      <c r="C246" s="44">
        <v>0.12</v>
      </c>
      <c r="D246" s="46">
        <v>0.18</v>
      </c>
      <c r="E246" s="37">
        <f>'4D1_CH4_EF_DomesticWastewater'!$D$22</f>
        <v>0.3</v>
      </c>
      <c r="F246" s="116">
        <f t="shared" si="24"/>
        <v>8809479.4000000004</v>
      </c>
      <c r="G246" s="49"/>
      <c r="H246" s="49"/>
      <c r="I246" s="15">
        <f t="shared" si="25"/>
        <v>57085.426511999991</v>
      </c>
      <c r="J246" s="34">
        <f t="shared" si="26"/>
        <v>5.7085426511999993E-2</v>
      </c>
    </row>
    <row r="247" spans="1:10">
      <c r="A247" s="227"/>
      <c r="B247" s="53" t="s">
        <v>226</v>
      </c>
      <c r="C247" s="44">
        <v>0.12</v>
      </c>
      <c r="D247" s="46">
        <v>0.08</v>
      </c>
      <c r="E247" s="37">
        <f>'4D1_CH4_EF_DomesticWastewater'!$D$23</f>
        <v>0.06</v>
      </c>
      <c r="F247" s="116">
        <f t="shared" si="24"/>
        <v>8809479.4000000004</v>
      </c>
      <c r="G247" s="49"/>
      <c r="H247" s="49"/>
      <c r="I247" s="15">
        <f t="shared" si="25"/>
        <v>5074.2601343999995</v>
      </c>
      <c r="J247" s="34">
        <f t="shared" si="26"/>
        <v>5.0742601343999995E-3</v>
      </c>
    </row>
    <row r="248" spans="1:10">
      <c r="A248" s="227"/>
      <c r="B248" s="53" t="s">
        <v>227</v>
      </c>
      <c r="C248" s="44">
        <v>0.12</v>
      </c>
      <c r="D248" s="46">
        <v>0</v>
      </c>
      <c r="E248" s="37">
        <f>'4D1_CH4_EF_DomesticWastewater'!$D$13</f>
        <v>0.06</v>
      </c>
      <c r="F248" s="116">
        <f t="shared" si="24"/>
        <v>8809479.4000000004</v>
      </c>
      <c r="G248" s="49"/>
      <c r="H248" s="49"/>
      <c r="I248" s="15">
        <f t="shared" si="25"/>
        <v>0</v>
      </c>
      <c r="J248" s="34">
        <f t="shared" si="26"/>
        <v>0</v>
      </c>
    </row>
    <row r="249" spans="1:10">
      <c r="A249" s="227"/>
      <c r="B249" s="53" t="s">
        <v>228</v>
      </c>
      <c r="C249" s="44">
        <v>0.12</v>
      </c>
      <c r="D249" s="46">
        <v>0.74</v>
      </c>
      <c r="E249" s="37">
        <f>'4D1_CH4_EF_DomesticWastewater'!$D$13</f>
        <v>0.06</v>
      </c>
      <c r="F249" s="116">
        <f t="shared" si="24"/>
        <v>8809479.4000000004</v>
      </c>
      <c r="G249" s="49"/>
      <c r="H249" s="49"/>
      <c r="I249" s="15">
        <f t="shared" si="25"/>
        <v>46936.906243199999</v>
      </c>
      <c r="J249" s="34">
        <f t="shared" si="26"/>
        <v>4.6936906243200002E-2</v>
      </c>
    </row>
    <row r="250" spans="1:10">
      <c r="A250" s="227"/>
      <c r="B250" s="53" t="s">
        <v>229</v>
      </c>
      <c r="C250" s="44">
        <v>0.12</v>
      </c>
      <c r="D250" s="46">
        <v>0</v>
      </c>
      <c r="E250" s="37">
        <v>0</v>
      </c>
      <c r="F250" s="116">
        <f t="shared" si="24"/>
        <v>8809479.4000000004</v>
      </c>
      <c r="G250" s="49"/>
      <c r="H250" s="49"/>
      <c r="I250" s="15">
        <f t="shared" si="25"/>
        <v>0</v>
      </c>
      <c r="J250" s="34">
        <f t="shared" si="26"/>
        <v>0</v>
      </c>
    </row>
    <row r="251" spans="1:10">
      <c r="A251" s="227" t="s">
        <v>166</v>
      </c>
      <c r="B251" s="53" t="s">
        <v>225</v>
      </c>
      <c r="C251" s="44">
        <v>0.34</v>
      </c>
      <c r="D251" s="46">
        <v>0.14000000000000001</v>
      </c>
      <c r="E251" s="37">
        <f>'4D1_CH4_EF_DomesticWastewater'!$D$22</f>
        <v>0.3</v>
      </c>
      <c r="F251" s="116">
        <f t="shared" si="24"/>
        <v>8809479.4000000004</v>
      </c>
      <c r="G251" s="49"/>
      <c r="H251" s="49"/>
      <c r="I251" s="15">
        <f t="shared" si="25"/>
        <v>125799.36583200002</v>
      </c>
      <c r="J251" s="34">
        <f t="shared" si="26"/>
        <v>0.12579936583200002</v>
      </c>
    </row>
    <row r="252" spans="1:10">
      <c r="A252" s="227"/>
      <c r="B252" s="53" t="s">
        <v>226</v>
      </c>
      <c r="C252" s="44">
        <v>0.34</v>
      </c>
      <c r="D252" s="46">
        <v>0.1</v>
      </c>
      <c r="E252" s="37">
        <f>'4D1_CH4_EF_DomesticWastewater'!$D$23</f>
        <v>0.06</v>
      </c>
      <c r="F252" s="116">
        <f t="shared" si="24"/>
        <v>8809479.4000000004</v>
      </c>
      <c r="G252" s="49"/>
      <c r="H252" s="49"/>
      <c r="I252" s="15">
        <f t="shared" si="25"/>
        <v>17971.337976000003</v>
      </c>
      <c r="J252" s="34">
        <f t="shared" si="26"/>
        <v>1.7971337976000003E-2</v>
      </c>
    </row>
    <row r="253" spans="1:10">
      <c r="A253" s="227"/>
      <c r="B253" s="53" t="s">
        <v>227</v>
      </c>
      <c r="C253" s="44">
        <v>0.34</v>
      </c>
      <c r="D253" s="46">
        <v>0.03</v>
      </c>
      <c r="E253" s="37">
        <f>'4D1_CH4_EF_DomesticWastewater'!$D$13</f>
        <v>0.06</v>
      </c>
      <c r="F253" s="116">
        <f t="shared" si="24"/>
        <v>8809479.4000000004</v>
      </c>
      <c r="G253" s="49"/>
      <c r="H253" s="49"/>
      <c r="I253" s="15">
        <f t="shared" si="25"/>
        <v>5391.4013928000004</v>
      </c>
      <c r="J253" s="34">
        <f t="shared" si="26"/>
        <v>5.3914013928000005E-3</v>
      </c>
    </row>
    <row r="254" spans="1:10">
      <c r="A254" s="227"/>
      <c r="B254" s="53" t="s">
        <v>228</v>
      </c>
      <c r="C254" s="44">
        <v>0.34</v>
      </c>
      <c r="D254" s="46">
        <v>0.53</v>
      </c>
      <c r="E254" s="37">
        <f>'4D1_CH4_EF_DomesticWastewater'!$D$13</f>
        <v>0.06</v>
      </c>
      <c r="F254" s="116">
        <f t="shared" si="24"/>
        <v>8809479.4000000004</v>
      </c>
      <c r="G254" s="49"/>
      <c r="H254" s="49"/>
      <c r="I254" s="15">
        <f t="shared" si="25"/>
        <v>95248.091272800011</v>
      </c>
      <c r="J254" s="34">
        <f t="shared" si="26"/>
        <v>9.5248091272800012E-2</v>
      </c>
    </row>
    <row r="255" spans="1:10">
      <c r="A255" s="227"/>
      <c r="B255" s="53" t="s">
        <v>229</v>
      </c>
      <c r="C255" s="44">
        <v>0.34</v>
      </c>
      <c r="D255" s="46">
        <v>0.2</v>
      </c>
      <c r="E255" s="37">
        <v>0</v>
      </c>
      <c r="F255" s="116">
        <f t="shared" si="24"/>
        <v>8809479.4000000004</v>
      </c>
      <c r="G255" s="49"/>
      <c r="H255" s="49"/>
      <c r="I255" s="15">
        <f t="shared" si="25"/>
        <v>0</v>
      </c>
      <c r="J255" s="34">
        <f t="shared" si="26"/>
        <v>0</v>
      </c>
    </row>
    <row r="256" spans="1:10">
      <c r="A256" s="244" t="s">
        <v>304</v>
      </c>
      <c r="B256" s="244"/>
      <c r="C256" s="244"/>
      <c r="D256" s="244"/>
      <c r="E256" s="244"/>
      <c r="F256" s="244"/>
      <c r="G256" s="244"/>
      <c r="H256" s="244"/>
      <c r="I256" s="117">
        <f>SUM(I241:I255)</f>
        <v>630371.10794640006</v>
      </c>
      <c r="J256" s="118">
        <f>SUM(J241:J255)</f>
        <v>0.63037110794640006</v>
      </c>
    </row>
    <row r="259" spans="1:10">
      <c r="A259" s="245" t="s">
        <v>0</v>
      </c>
      <c r="B259" s="246"/>
      <c r="C259" s="185" t="s">
        <v>1</v>
      </c>
      <c r="D259" s="249"/>
      <c r="E259" s="249"/>
      <c r="F259" s="249"/>
      <c r="G259" s="249"/>
      <c r="H259" s="249"/>
      <c r="I259" s="249"/>
    </row>
    <row r="260" spans="1:10">
      <c r="A260" s="245" t="s">
        <v>2</v>
      </c>
      <c r="B260" s="246"/>
      <c r="C260" s="185" t="s">
        <v>117</v>
      </c>
      <c r="D260" s="249"/>
      <c r="E260" s="249"/>
      <c r="F260" s="249"/>
      <c r="G260" s="249"/>
      <c r="H260" s="249"/>
      <c r="I260" s="249"/>
    </row>
    <row r="261" spans="1:10">
      <c r="A261" s="245" t="s">
        <v>4</v>
      </c>
      <c r="B261" s="246"/>
      <c r="C261" s="185" t="s">
        <v>118</v>
      </c>
      <c r="D261" s="249"/>
      <c r="E261" s="249"/>
      <c r="F261" s="249"/>
      <c r="G261" s="249"/>
      <c r="H261" s="249"/>
      <c r="I261" s="249"/>
    </row>
    <row r="262" spans="1:10">
      <c r="A262" s="245" t="s">
        <v>6</v>
      </c>
      <c r="B262" s="246"/>
      <c r="C262" s="185" t="s">
        <v>145</v>
      </c>
      <c r="D262" s="249"/>
      <c r="E262" s="249"/>
      <c r="F262" s="249"/>
      <c r="G262" s="249"/>
      <c r="H262" s="249"/>
      <c r="I262" s="249"/>
    </row>
    <row r="263" spans="1:10">
      <c r="A263" s="217" t="s">
        <v>10</v>
      </c>
      <c r="B263" s="234"/>
      <c r="C263" s="234"/>
      <c r="D263" s="234"/>
      <c r="E263" s="234"/>
      <c r="F263" s="234"/>
      <c r="G263" s="234"/>
      <c r="H263" s="234"/>
      <c r="I263" s="234"/>
      <c r="J263" s="115"/>
    </row>
    <row r="264" spans="1:10">
      <c r="A264" s="59"/>
      <c r="B264" s="59"/>
      <c r="C264" s="7" t="s">
        <v>11</v>
      </c>
      <c r="D264" s="7" t="s">
        <v>12</v>
      </c>
      <c r="E264" s="7" t="s">
        <v>13</v>
      </c>
      <c r="F264" s="7" t="s">
        <v>14</v>
      </c>
      <c r="G264" s="7" t="s">
        <v>15</v>
      </c>
      <c r="H264" s="7" t="s">
        <v>58</v>
      </c>
      <c r="I264" s="7" t="s">
        <v>78</v>
      </c>
      <c r="J264" s="94" t="s">
        <v>79</v>
      </c>
    </row>
    <row r="265" spans="1:10" ht="51">
      <c r="A265" s="195" t="s">
        <v>146</v>
      </c>
      <c r="B265" s="195" t="s">
        <v>147</v>
      </c>
      <c r="C265" s="59" t="s">
        <v>148</v>
      </c>
      <c r="D265" s="59" t="s">
        <v>149</v>
      </c>
      <c r="E265" s="59" t="s">
        <v>150</v>
      </c>
      <c r="F265" s="59" t="s">
        <v>123</v>
      </c>
      <c r="G265" s="59" t="s">
        <v>151</v>
      </c>
      <c r="H265" s="59" t="s">
        <v>152</v>
      </c>
      <c r="I265" s="59" t="s">
        <v>153</v>
      </c>
      <c r="J265" s="59" t="s">
        <v>153</v>
      </c>
    </row>
    <row r="266" spans="1:10" ht="15.75">
      <c r="A266" s="195"/>
      <c r="B266" s="195"/>
      <c r="C266" s="77" t="s">
        <v>154</v>
      </c>
      <c r="D266" s="77" t="s">
        <v>155</v>
      </c>
      <c r="E266" s="77" t="s">
        <v>156</v>
      </c>
      <c r="F266" s="77" t="s">
        <v>127</v>
      </c>
      <c r="G266" s="77" t="s">
        <v>157</v>
      </c>
      <c r="H266" s="77" t="s">
        <v>158</v>
      </c>
      <c r="I266" s="77" t="s">
        <v>159</v>
      </c>
      <c r="J266" s="77" t="s">
        <v>159</v>
      </c>
    </row>
    <row r="267" spans="1:10" ht="28.5">
      <c r="A267" s="195"/>
      <c r="B267" s="195"/>
      <c r="C267" s="8" t="s">
        <v>44</v>
      </c>
      <c r="D267" s="8" t="s">
        <v>44</v>
      </c>
      <c r="E267" s="8" t="s">
        <v>142</v>
      </c>
      <c r="F267" s="8" t="s">
        <v>130</v>
      </c>
      <c r="G267" s="8" t="s">
        <v>130</v>
      </c>
      <c r="H267" s="8" t="s">
        <v>160</v>
      </c>
      <c r="I267" s="8" t="s">
        <v>160</v>
      </c>
      <c r="J267" s="8" t="s">
        <v>231</v>
      </c>
    </row>
    <row r="268" spans="1:10" ht="24.75" thickBot="1">
      <c r="A268" s="211"/>
      <c r="B268" s="211"/>
      <c r="C268" s="5"/>
      <c r="D268" s="5"/>
      <c r="E268" s="5" t="s">
        <v>161</v>
      </c>
      <c r="F268" s="5" t="s">
        <v>162</v>
      </c>
      <c r="G268" s="5"/>
      <c r="H268" s="5"/>
      <c r="I268" s="9" t="s">
        <v>163</v>
      </c>
      <c r="J268" s="35"/>
    </row>
    <row r="269" spans="1:10" ht="13.5" thickTop="1">
      <c r="A269" s="247" t="s">
        <v>164</v>
      </c>
      <c r="B269" s="54" t="s">
        <v>225</v>
      </c>
      <c r="C269" s="42">
        <v>0.54</v>
      </c>
      <c r="D269" s="43">
        <v>0</v>
      </c>
      <c r="E269" s="38">
        <f>'4D1_CH4_EF_DomesticWastewater'!$D$14</f>
        <v>0.3</v>
      </c>
      <c r="F269" s="116">
        <f>$M$21</f>
        <v>8896948</v>
      </c>
      <c r="G269" s="47"/>
      <c r="H269" s="47"/>
      <c r="I269" s="14">
        <f>((C269*D269*E269)*(F269-G269))-H269</f>
        <v>0</v>
      </c>
      <c r="J269" s="32">
        <f>I269/(10^6)</f>
        <v>0</v>
      </c>
    </row>
    <row r="270" spans="1:10">
      <c r="A270" s="248"/>
      <c r="B270" s="55" t="s">
        <v>226</v>
      </c>
      <c r="C270" s="44">
        <v>0.54</v>
      </c>
      <c r="D270" s="45">
        <v>0.47</v>
      </c>
      <c r="E270" s="37">
        <f>'4D1_CH4_EF_DomesticWastewater'!$D$23</f>
        <v>0.06</v>
      </c>
      <c r="F270" s="116">
        <f t="shared" ref="F270:F283" si="27">$M$21</f>
        <v>8896948</v>
      </c>
      <c r="G270" s="48"/>
      <c r="H270" s="48"/>
      <c r="I270" s="15">
        <f t="shared" ref="I270:I283" si="28">((C270*D270*E270)*(F270-G270))-H270</f>
        <v>135482.72414400001</v>
      </c>
      <c r="J270" s="34">
        <f t="shared" ref="J270:J283" si="29">I270/(10^6)</f>
        <v>0.13548272414400001</v>
      </c>
    </row>
    <row r="271" spans="1:10">
      <c r="A271" s="248"/>
      <c r="B271" s="53" t="s">
        <v>227</v>
      </c>
      <c r="C271" s="44">
        <v>0.54</v>
      </c>
      <c r="D271" s="45">
        <v>0</v>
      </c>
      <c r="E271" s="37">
        <f>'4D1_CH4_EF_DomesticWastewater'!$D$13</f>
        <v>0.06</v>
      </c>
      <c r="F271" s="116">
        <f t="shared" si="27"/>
        <v>8896948</v>
      </c>
      <c r="G271" s="48"/>
      <c r="H271" s="48"/>
      <c r="I271" s="15">
        <f t="shared" si="28"/>
        <v>0</v>
      </c>
      <c r="J271" s="34">
        <f t="shared" si="29"/>
        <v>0</v>
      </c>
    </row>
    <row r="272" spans="1:10">
      <c r="A272" s="227"/>
      <c r="B272" s="53" t="s">
        <v>228</v>
      </c>
      <c r="C272" s="44">
        <v>0.54</v>
      </c>
      <c r="D272" s="46">
        <v>0.1</v>
      </c>
      <c r="E272" s="37">
        <f>'4D1_CH4_EF_DomesticWastewater'!$D$14</f>
        <v>0.3</v>
      </c>
      <c r="F272" s="116">
        <f t="shared" si="27"/>
        <v>8896948</v>
      </c>
      <c r="G272" s="49"/>
      <c r="H272" s="49"/>
      <c r="I272" s="15">
        <f t="shared" si="28"/>
        <v>144130.55760000003</v>
      </c>
      <c r="J272" s="34">
        <f t="shared" si="29"/>
        <v>0.14413055760000004</v>
      </c>
    </row>
    <row r="273" spans="1:10">
      <c r="A273" s="227"/>
      <c r="B273" s="53" t="s">
        <v>229</v>
      </c>
      <c r="C273" s="44">
        <v>0.54</v>
      </c>
      <c r="D273" s="46">
        <v>0.43</v>
      </c>
      <c r="E273" s="37">
        <v>0</v>
      </c>
      <c r="F273" s="116">
        <f t="shared" si="27"/>
        <v>8896948</v>
      </c>
      <c r="G273" s="49"/>
      <c r="H273" s="49"/>
      <c r="I273" s="15">
        <f t="shared" si="28"/>
        <v>0</v>
      </c>
      <c r="J273" s="34">
        <f t="shared" si="29"/>
        <v>0</v>
      </c>
    </row>
    <row r="274" spans="1:10">
      <c r="A274" s="227" t="s">
        <v>165</v>
      </c>
      <c r="B274" s="53" t="s">
        <v>225</v>
      </c>
      <c r="C274" s="44">
        <v>0.12</v>
      </c>
      <c r="D274" s="46">
        <v>0.18</v>
      </c>
      <c r="E274" s="37">
        <f>'4D1_CH4_EF_DomesticWastewater'!$D$22</f>
        <v>0.3</v>
      </c>
      <c r="F274" s="116">
        <f t="shared" si="27"/>
        <v>8896948</v>
      </c>
      <c r="G274" s="49"/>
      <c r="H274" s="49"/>
      <c r="I274" s="15">
        <f t="shared" si="28"/>
        <v>57652.22303999999</v>
      </c>
      <c r="J274" s="34">
        <f t="shared" si="29"/>
        <v>5.7652223039999992E-2</v>
      </c>
    </row>
    <row r="275" spans="1:10">
      <c r="A275" s="227"/>
      <c r="B275" s="53" t="s">
        <v>226</v>
      </c>
      <c r="C275" s="44">
        <v>0.12</v>
      </c>
      <c r="D275" s="46">
        <v>0.08</v>
      </c>
      <c r="E275" s="37">
        <f>'4D1_CH4_EF_DomesticWastewater'!$D$23</f>
        <v>0.06</v>
      </c>
      <c r="F275" s="116">
        <f t="shared" si="27"/>
        <v>8896948</v>
      </c>
      <c r="G275" s="49"/>
      <c r="H275" s="49"/>
      <c r="I275" s="15">
        <f t="shared" si="28"/>
        <v>5124.6420479999988</v>
      </c>
      <c r="J275" s="34">
        <f t="shared" si="29"/>
        <v>5.1246420479999985E-3</v>
      </c>
    </row>
    <row r="276" spans="1:10">
      <c r="A276" s="227"/>
      <c r="B276" s="53" t="s">
        <v>227</v>
      </c>
      <c r="C276" s="44">
        <v>0.12</v>
      </c>
      <c r="D276" s="46">
        <v>0</v>
      </c>
      <c r="E276" s="37">
        <f>'4D1_CH4_EF_DomesticWastewater'!$D$13</f>
        <v>0.06</v>
      </c>
      <c r="F276" s="116">
        <f t="shared" si="27"/>
        <v>8896948</v>
      </c>
      <c r="G276" s="49"/>
      <c r="H276" s="49"/>
      <c r="I276" s="15">
        <f t="shared" si="28"/>
        <v>0</v>
      </c>
      <c r="J276" s="34">
        <f t="shared" si="29"/>
        <v>0</v>
      </c>
    </row>
    <row r="277" spans="1:10">
      <c r="A277" s="227"/>
      <c r="B277" s="53" t="s">
        <v>228</v>
      </c>
      <c r="C277" s="44">
        <v>0.12</v>
      </c>
      <c r="D277" s="46">
        <v>0.74</v>
      </c>
      <c r="E277" s="37">
        <f>'4D1_CH4_EF_DomesticWastewater'!$D$13</f>
        <v>0.06</v>
      </c>
      <c r="F277" s="116">
        <f t="shared" si="27"/>
        <v>8896948</v>
      </c>
      <c r="G277" s="49"/>
      <c r="H277" s="49"/>
      <c r="I277" s="15">
        <f t="shared" si="28"/>
        <v>47402.938943999994</v>
      </c>
      <c r="J277" s="34">
        <f t="shared" si="29"/>
        <v>4.7402938943999995E-2</v>
      </c>
    </row>
    <row r="278" spans="1:10">
      <c r="A278" s="227"/>
      <c r="B278" s="53" t="s">
        <v>229</v>
      </c>
      <c r="C278" s="44">
        <v>0.12</v>
      </c>
      <c r="D278" s="46">
        <v>0</v>
      </c>
      <c r="E278" s="37">
        <v>0</v>
      </c>
      <c r="F278" s="116">
        <f t="shared" si="27"/>
        <v>8896948</v>
      </c>
      <c r="G278" s="49"/>
      <c r="H278" s="49"/>
      <c r="I278" s="15">
        <f t="shared" si="28"/>
        <v>0</v>
      </c>
      <c r="J278" s="34">
        <f t="shared" si="29"/>
        <v>0</v>
      </c>
    </row>
    <row r="279" spans="1:10">
      <c r="A279" s="227" t="s">
        <v>166</v>
      </c>
      <c r="B279" s="53" t="s">
        <v>225</v>
      </c>
      <c r="C279" s="44">
        <v>0.34</v>
      </c>
      <c r="D279" s="46">
        <v>0.14000000000000001</v>
      </c>
      <c r="E279" s="37">
        <f>'4D1_CH4_EF_DomesticWastewater'!$D$22</f>
        <v>0.3</v>
      </c>
      <c r="F279" s="116">
        <f t="shared" si="27"/>
        <v>8896948</v>
      </c>
      <c r="G279" s="49"/>
      <c r="H279" s="49"/>
      <c r="I279" s="15">
        <f t="shared" si="28"/>
        <v>127048.41744000002</v>
      </c>
      <c r="J279" s="34">
        <f t="shared" si="29"/>
        <v>0.12704841744000001</v>
      </c>
    </row>
    <row r="280" spans="1:10">
      <c r="A280" s="227"/>
      <c r="B280" s="53" t="s">
        <v>226</v>
      </c>
      <c r="C280" s="44">
        <v>0.34</v>
      </c>
      <c r="D280" s="46">
        <v>0.1</v>
      </c>
      <c r="E280" s="37">
        <f>'4D1_CH4_EF_DomesticWastewater'!$D$23</f>
        <v>0.06</v>
      </c>
      <c r="F280" s="116">
        <f t="shared" si="27"/>
        <v>8896948</v>
      </c>
      <c r="G280" s="49"/>
      <c r="H280" s="49"/>
      <c r="I280" s="15">
        <f t="shared" si="28"/>
        <v>18149.77392</v>
      </c>
      <c r="J280" s="34">
        <f t="shared" si="29"/>
        <v>1.8149773920000001E-2</v>
      </c>
    </row>
    <row r="281" spans="1:10">
      <c r="A281" s="227"/>
      <c r="B281" s="53" t="s">
        <v>227</v>
      </c>
      <c r="C281" s="44">
        <v>0.34</v>
      </c>
      <c r="D281" s="46">
        <v>0.03</v>
      </c>
      <c r="E281" s="37">
        <f>'4D1_CH4_EF_DomesticWastewater'!$D$13</f>
        <v>0.06</v>
      </c>
      <c r="F281" s="116">
        <f t="shared" si="27"/>
        <v>8896948</v>
      </c>
      <c r="G281" s="49"/>
      <c r="H281" s="49"/>
      <c r="I281" s="15">
        <f t="shared" si="28"/>
        <v>5444.9321760000003</v>
      </c>
      <c r="J281" s="34">
        <f t="shared" si="29"/>
        <v>5.4449321760000006E-3</v>
      </c>
    </row>
    <row r="282" spans="1:10">
      <c r="A282" s="227"/>
      <c r="B282" s="53" t="s">
        <v>228</v>
      </c>
      <c r="C282" s="44">
        <v>0.34</v>
      </c>
      <c r="D282" s="46">
        <v>0.53</v>
      </c>
      <c r="E282" s="37">
        <f>'4D1_CH4_EF_DomesticWastewater'!$D$13</f>
        <v>0.06</v>
      </c>
      <c r="F282" s="116">
        <f t="shared" si="27"/>
        <v>8896948</v>
      </c>
      <c r="G282" s="49"/>
      <c r="H282" s="49"/>
      <c r="I282" s="15">
        <f t="shared" si="28"/>
        <v>96193.801776000008</v>
      </c>
      <c r="J282" s="34">
        <f t="shared" si="29"/>
        <v>9.619380177600001E-2</v>
      </c>
    </row>
    <row r="283" spans="1:10">
      <c r="A283" s="227"/>
      <c r="B283" s="53" t="s">
        <v>229</v>
      </c>
      <c r="C283" s="44">
        <v>0.34</v>
      </c>
      <c r="D283" s="46">
        <v>0.2</v>
      </c>
      <c r="E283" s="37">
        <v>0</v>
      </c>
      <c r="F283" s="116">
        <f t="shared" si="27"/>
        <v>8896948</v>
      </c>
      <c r="G283" s="49"/>
      <c r="H283" s="49"/>
      <c r="I283" s="15">
        <f t="shared" si="28"/>
        <v>0</v>
      </c>
      <c r="J283" s="34">
        <f t="shared" si="29"/>
        <v>0</v>
      </c>
    </row>
    <row r="284" spans="1:10">
      <c r="A284" s="244" t="s">
        <v>305</v>
      </c>
      <c r="B284" s="244"/>
      <c r="C284" s="244"/>
      <c r="D284" s="244"/>
      <c r="E284" s="244"/>
      <c r="F284" s="244"/>
      <c r="G284" s="244"/>
      <c r="H284" s="244"/>
      <c r="I284" s="117">
        <f>SUM(I269:I283)</f>
        <v>636630.01108799991</v>
      </c>
      <c r="J284" s="118">
        <f>SUM(J269:J283)</f>
        <v>0.6366300110880001</v>
      </c>
    </row>
    <row r="287" spans="1:10">
      <c r="A287" s="245" t="s">
        <v>0</v>
      </c>
      <c r="B287" s="246"/>
      <c r="C287" s="185" t="s">
        <v>1</v>
      </c>
      <c r="D287" s="249"/>
      <c r="E287" s="249"/>
      <c r="F287" s="249"/>
      <c r="G287" s="249"/>
      <c r="H287" s="249"/>
      <c r="I287" s="249"/>
    </row>
    <row r="288" spans="1:10">
      <c r="A288" s="245" t="s">
        <v>2</v>
      </c>
      <c r="B288" s="246"/>
      <c r="C288" s="185" t="s">
        <v>117</v>
      </c>
      <c r="D288" s="249"/>
      <c r="E288" s="249"/>
      <c r="F288" s="249"/>
      <c r="G288" s="249"/>
      <c r="H288" s="249"/>
      <c r="I288" s="249"/>
    </row>
    <row r="289" spans="1:10">
      <c r="A289" s="245" t="s">
        <v>4</v>
      </c>
      <c r="B289" s="246"/>
      <c r="C289" s="185" t="s">
        <v>118</v>
      </c>
      <c r="D289" s="249"/>
      <c r="E289" s="249"/>
      <c r="F289" s="249"/>
      <c r="G289" s="249"/>
      <c r="H289" s="249"/>
      <c r="I289" s="249"/>
    </row>
    <row r="290" spans="1:10">
      <c r="A290" s="245" t="s">
        <v>6</v>
      </c>
      <c r="B290" s="246"/>
      <c r="C290" s="185" t="s">
        <v>145</v>
      </c>
      <c r="D290" s="249"/>
      <c r="E290" s="249"/>
      <c r="F290" s="249"/>
      <c r="G290" s="249"/>
      <c r="H290" s="249"/>
      <c r="I290" s="249"/>
    </row>
    <row r="291" spans="1:10">
      <c r="A291" s="217" t="s">
        <v>10</v>
      </c>
      <c r="B291" s="234"/>
      <c r="C291" s="234"/>
      <c r="D291" s="234"/>
      <c r="E291" s="234"/>
      <c r="F291" s="234"/>
      <c r="G291" s="234"/>
      <c r="H291" s="234"/>
      <c r="I291" s="234"/>
      <c r="J291" s="115"/>
    </row>
    <row r="292" spans="1:10">
      <c r="A292" s="59"/>
      <c r="B292" s="59"/>
      <c r="C292" s="7" t="s">
        <v>11</v>
      </c>
      <c r="D292" s="7" t="s">
        <v>12</v>
      </c>
      <c r="E292" s="7" t="s">
        <v>13</v>
      </c>
      <c r="F292" s="7" t="s">
        <v>14</v>
      </c>
      <c r="G292" s="7" t="s">
        <v>15</v>
      </c>
      <c r="H292" s="7" t="s">
        <v>58</v>
      </c>
      <c r="I292" s="7" t="s">
        <v>78</v>
      </c>
      <c r="J292" s="94" t="s">
        <v>79</v>
      </c>
    </row>
    <row r="293" spans="1:10" ht="51">
      <c r="A293" s="195" t="s">
        <v>146</v>
      </c>
      <c r="B293" s="195" t="s">
        <v>147</v>
      </c>
      <c r="C293" s="59" t="s">
        <v>148</v>
      </c>
      <c r="D293" s="59" t="s">
        <v>149</v>
      </c>
      <c r="E293" s="59" t="s">
        <v>150</v>
      </c>
      <c r="F293" s="59" t="s">
        <v>123</v>
      </c>
      <c r="G293" s="59" t="s">
        <v>151</v>
      </c>
      <c r="H293" s="59" t="s">
        <v>152</v>
      </c>
      <c r="I293" s="59" t="s">
        <v>153</v>
      </c>
      <c r="J293" s="59" t="s">
        <v>153</v>
      </c>
    </row>
    <row r="294" spans="1:10" ht="15.75">
      <c r="A294" s="195"/>
      <c r="B294" s="195"/>
      <c r="C294" s="77" t="s">
        <v>154</v>
      </c>
      <c r="D294" s="77" t="s">
        <v>155</v>
      </c>
      <c r="E294" s="77" t="s">
        <v>156</v>
      </c>
      <c r="F294" s="77" t="s">
        <v>127</v>
      </c>
      <c r="G294" s="77" t="s">
        <v>157</v>
      </c>
      <c r="H294" s="77" t="s">
        <v>158</v>
      </c>
      <c r="I294" s="77" t="s">
        <v>159</v>
      </c>
      <c r="J294" s="77" t="s">
        <v>159</v>
      </c>
    </row>
    <row r="295" spans="1:10" ht="28.5">
      <c r="A295" s="195"/>
      <c r="B295" s="195"/>
      <c r="C295" s="8" t="s">
        <v>44</v>
      </c>
      <c r="D295" s="8" t="s">
        <v>44</v>
      </c>
      <c r="E295" s="8" t="s">
        <v>142</v>
      </c>
      <c r="F295" s="8" t="s">
        <v>130</v>
      </c>
      <c r="G295" s="8" t="s">
        <v>130</v>
      </c>
      <c r="H295" s="8" t="s">
        <v>160</v>
      </c>
      <c r="I295" s="8" t="s">
        <v>160</v>
      </c>
      <c r="J295" s="8" t="s">
        <v>231</v>
      </c>
    </row>
    <row r="296" spans="1:10" ht="24.75" thickBot="1">
      <c r="A296" s="211"/>
      <c r="B296" s="211"/>
      <c r="C296" s="5"/>
      <c r="D296" s="5"/>
      <c r="E296" s="5" t="s">
        <v>161</v>
      </c>
      <c r="F296" s="5" t="s">
        <v>162</v>
      </c>
      <c r="G296" s="5"/>
      <c r="H296" s="5"/>
      <c r="I296" s="9" t="s">
        <v>163</v>
      </c>
      <c r="J296" s="35"/>
    </row>
    <row r="297" spans="1:10" ht="13.5" thickTop="1">
      <c r="A297" s="247" t="s">
        <v>164</v>
      </c>
      <c r="B297" s="54" t="s">
        <v>225</v>
      </c>
      <c r="C297" s="42">
        <v>0.54</v>
      </c>
      <c r="D297" s="43">
        <v>0</v>
      </c>
      <c r="E297" s="38">
        <f>'4D1_CH4_EF_DomesticWastewater'!$D$14</f>
        <v>0.3</v>
      </c>
      <c r="F297" s="116">
        <f>$M$22</f>
        <v>10621500</v>
      </c>
      <c r="G297" s="47"/>
      <c r="H297" s="47"/>
      <c r="I297" s="14">
        <f>((C297*D297*E297)*(F297-G297))-H297</f>
        <v>0</v>
      </c>
      <c r="J297" s="32">
        <f>I297/(10^6)</f>
        <v>0</v>
      </c>
    </row>
    <row r="298" spans="1:10">
      <c r="A298" s="248"/>
      <c r="B298" s="55" t="s">
        <v>226</v>
      </c>
      <c r="C298" s="44">
        <v>0.54</v>
      </c>
      <c r="D298" s="45">
        <v>0.47</v>
      </c>
      <c r="E298" s="37">
        <f>'4D1_CH4_EF_DomesticWastewater'!$D$23</f>
        <v>0.06</v>
      </c>
      <c r="F298" s="116">
        <f t="shared" ref="F298:F311" si="30">$M$22</f>
        <v>10621500</v>
      </c>
      <c r="G298" s="48"/>
      <c r="H298" s="48"/>
      <c r="I298" s="15">
        <f t="shared" ref="I298:I311" si="31">((C298*D298*E298)*(F298-G298))-H298</f>
        <v>161744.20199999999</v>
      </c>
      <c r="J298" s="34">
        <f t="shared" ref="J298:J311" si="32">I298/(10^6)</f>
        <v>0.161744202</v>
      </c>
    </row>
    <row r="299" spans="1:10">
      <c r="A299" s="248"/>
      <c r="B299" s="53" t="s">
        <v>227</v>
      </c>
      <c r="C299" s="44">
        <v>0.54</v>
      </c>
      <c r="D299" s="45">
        <v>0</v>
      </c>
      <c r="E299" s="37">
        <f>'4D1_CH4_EF_DomesticWastewater'!$D$13</f>
        <v>0.06</v>
      </c>
      <c r="F299" s="116">
        <f t="shared" si="30"/>
        <v>10621500</v>
      </c>
      <c r="G299" s="48"/>
      <c r="H299" s="48"/>
      <c r="I299" s="15">
        <f t="shared" si="31"/>
        <v>0</v>
      </c>
      <c r="J299" s="34">
        <f t="shared" si="32"/>
        <v>0</v>
      </c>
    </row>
    <row r="300" spans="1:10">
      <c r="A300" s="227"/>
      <c r="B300" s="53" t="s">
        <v>228</v>
      </c>
      <c r="C300" s="44">
        <v>0.54</v>
      </c>
      <c r="D300" s="46">
        <v>0.1</v>
      </c>
      <c r="E300" s="37">
        <f>'4D1_CH4_EF_DomesticWastewater'!$D$14</f>
        <v>0.3</v>
      </c>
      <c r="F300" s="116">
        <f t="shared" si="30"/>
        <v>10621500</v>
      </c>
      <c r="G300" s="49"/>
      <c r="H300" s="49"/>
      <c r="I300" s="15">
        <f t="shared" si="31"/>
        <v>172068.30000000002</v>
      </c>
      <c r="J300" s="34">
        <f t="shared" si="32"/>
        <v>0.17206830000000001</v>
      </c>
    </row>
    <row r="301" spans="1:10">
      <c r="A301" s="227"/>
      <c r="B301" s="53" t="s">
        <v>229</v>
      </c>
      <c r="C301" s="44">
        <v>0.54</v>
      </c>
      <c r="D301" s="46">
        <v>0.43</v>
      </c>
      <c r="E301" s="37">
        <v>0</v>
      </c>
      <c r="F301" s="116">
        <f t="shared" si="30"/>
        <v>10621500</v>
      </c>
      <c r="G301" s="49"/>
      <c r="H301" s="49"/>
      <c r="I301" s="15">
        <f t="shared" si="31"/>
        <v>0</v>
      </c>
      <c r="J301" s="34">
        <f t="shared" si="32"/>
        <v>0</v>
      </c>
    </row>
    <row r="302" spans="1:10">
      <c r="A302" s="227" t="s">
        <v>165</v>
      </c>
      <c r="B302" s="53" t="s">
        <v>225</v>
      </c>
      <c r="C302" s="44">
        <v>0.12</v>
      </c>
      <c r="D302" s="46">
        <v>0.18</v>
      </c>
      <c r="E302" s="37">
        <f>'4D1_CH4_EF_DomesticWastewater'!$D$22</f>
        <v>0.3</v>
      </c>
      <c r="F302" s="116">
        <f t="shared" si="30"/>
        <v>10621500</v>
      </c>
      <c r="G302" s="49"/>
      <c r="H302" s="49"/>
      <c r="I302" s="15">
        <f t="shared" si="31"/>
        <v>68827.319999999992</v>
      </c>
      <c r="J302" s="34">
        <f t="shared" si="32"/>
        <v>6.8827319999999997E-2</v>
      </c>
    </row>
    <row r="303" spans="1:10">
      <c r="A303" s="227"/>
      <c r="B303" s="53" t="s">
        <v>226</v>
      </c>
      <c r="C303" s="44">
        <v>0.12</v>
      </c>
      <c r="D303" s="46">
        <v>0.08</v>
      </c>
      <c r="E303" s="37">
        <f>'4D1_CH4_EF_DomesticWastewater'!$D$23</f>
        <v>0.06</v>
      </c>
      <c r="F303" s="116">
        <f t="shared" si="30"/>
        <v>10621500</v>
      </c>
      <c r="G303" s="49"/>
      <c r="H303" s="49"/>
      <c r="I303" s="15">
        <f t="shared" si="31"/>
        <v>6117.9839999999986</v>
      </c>
      <c r="J303" s="34">
        <f t="shared" si="32"/>
        <v>6.1179839999999982E-3</v>
      </c>
    </row>
    <row r="304" spans="1:10">
      <c r="A304" s="227"/>
      <c r="B304" s="53" t="s">
        <v>227</v>
      </c>
      <c r="C304" s="44">
        <v>0.12</v>
      </c>
      <c r="D304" s="46">
        <v>0</v>
      </c>
      <c r="E304" s="37">
        <f>'4D1_CH4_EF_DomesticWastewater'!$D$13</f>
        <v>0.06</v>
      </c>
      <c r="F304" s="116">
        <f t="shared" si="30"/>
        <v>10621500</v>
      </c>
      <c r="G304" s="49"/>
      <c r="H304" s="49"/>
      <c r="I304" s="15">
        <f t="shared" si="31"/>
        <v>0</v>
      </c>
      <c r="J304" s="34">
        <f t="shared" si="32"/>
        <v>0</v>
      </c>
    </row>
    <row r="305" spans="1:10">
      <c r="A305" s="227"/>
      <c r="B305" s="53" t="s">
        <v>228</v>
      </c>
      <c r="C305" s="44">
        <v>0.12</v>
      </c>
      <c r="D305" s="46">
        <v>0.74</v>
      </c>
      <c r="E305" s="37">
        <f>'4D1_CH4_EF_DomesticWastewater'!$D$13</f>
        <v>0.06</v>
      </c>
      <c r="F305" s="116">
        <f t="shared" si="30"/>
        <v>10621500</v>
      </c>
      <c r="G305" s="49"/>
      <c r="H305" s="49"/>
      <c r="I305" s="15">
        <f t="shared" si="31"/>
        <v>56591.351999999992</v>
      </c>
      <c r="J305" s="34">
        <f t="shared" si="32"/>
        <v>5.6591351999999991E-2</v>
      </c>
    </row>
    <row r="306" spans="1:10">
      <c r="A306" s="227"/>
      <c r="B306" s="53" t="s">
        <v>229</v>
      </c>
      <c r="C306" s="44">
        <v>0.12</v>
      </c>
      <c r="D306" s="46">
        <v>0</v>
      </c>
      <c r="E306" s="37">
        <v>0</v>
      </c>
      <c r="F306" s="116">
        <f t="shared" si="30"/>
        <v>10621500</v>
      </c>
      <c r="G306" s="49"/>
      <c r="H306" s="49"/>
      <c r="I306" s="15">
        <f t="shared" si="31"/>
        <v>0</v>
      </c>
      <c r="J306" s="34">
        <f t="shared" si="32"/>
        <v>0</v>
      </c>
    </row>
    <row r="307" spans="1:10">
      <c r="A307" s="227" t="s">
        <v>166</v>
      </c>
      <c r="B307" s="53" t="s">
        <v>225</v>
      </c>
      <c r="C307" s="44">
        <v>0.34</v>
      </c>
      <c r="D307" s="46">
        <v>0.14000000000000001</v>
      </c>
      <c r="E307" s="37">
        <f>'4D1_CH4_EF_DomesticWastewater'!$D$22</f>
        <v>0.3</v>
      </c>
      <c r="F307" s="116">
        <f t="shared" si="30"/>
        <v>10621500</v>
      </c>
      <c r="G307" s="49"/>
      <c r="H307" s="49"/>
      <c r="I307" s="15">
        <f t="shared" si="31"/>
        <v>151675.02000000002</v>
      </c>
      <c r="J307" s="34">
        <f t="shared" si="32"/>
        <v>0.15167502000000002</v>
      </c>
    </row>
    <row r="308" spans="1:10">
      <c r="A308" s="227"/>
      <c r="B308" s="53" t="s">
        <v>226</v>
      </c>
      <c r="C308" s="44">
        <v>0.34</v>
      </c>
      <c r="D308" s="46">
        <v>0.1</v>
      </c>
      <c r="E308" s="37">
        <f>'4D1_CH4_EF_DomesticWastewater'!$D$23</f>
        <v>0.06</v>
      </c>
      <c r="F308" s="116">
        <f t="shared" si="30"/>
        <v>10621500</v>
      </c>
      <c r="G308" s="49"/>
      <c r="H308" s="49"/>
      <c r="I308" s="15">
        <f t="shared" si="31"/>
        <v>21667.86</v>
      </c>
      <c r="J308" s="34">
        <f t="shared" si="32"/>
        <v>2.1667860000000001E-2</v>
      </c>
    </row>
    <row r="309" spans="1:10">
      <c r="A309" s="227"/>
      <c r="B309" s="53" t="s">
        <v>227</v>
      </c>
      <c r="C309" s="44">
        <v>0.34</v>
      </c>
      <c r="D309" s="46">
        <v>0.03</v>
      </c>
      <c r="E309" s="37">
        <f>'4D1_CH4_EF_DomesticWastewater'!$D$13</f>
        <v>0.06</v>
      </c>
      <c r="F309" s="116">
        <f t="shared" si="30"/>
        <v>10621500</v>
      </c>
      <c r="G309" s="49"/>
      <c r="H309" s="49"/>
      <c r="I309" s="15">
        <f t="shared" si="31"/>
        <v>6500.3580000000002</v>
      </c>
      <c r="J309" s="34">
        <f t="shared" si="32"/>
        <v>6.5003580000000004E-3</v>
      </c>
    </row>
    <row r="310" spans="1:10">
      <c r="A310" s="227"/>
      <c r="B310" s="53" t="s">
        <v>228</v>
      </c>
      <c r="C310" s="44">
        <v>0.34</v>
      </c>
      <c r="D310" s="46">
        <v>0.53</v>
      </c>
      <c r="E310" s="37">
        <f>'4D1_CH4_EF_DomesticWastewater'!$D$13</f>
        <v>0.06</v>
      </c>
      <c r="F310" s="116">
        <f t="shared" si="30"/>
        <v>10621500</v>
      </c>
      <c r="G310" s="49"/>
      <c r="H310" s="49"/>
      <c r="I310" s="15">
        <f t="shared" si="31"/>
        <v>114839.65800000001</v>
      </c>
      <c r="J310" s="34">
        <f t="shared" si="32"/>
        <v>0.11483965800000001</v>
      </c>
    </row>
    <row r="311" spans="1:10">
      <c r="A311" s="227"/>
      <c r="B311" s="53" t="s">
        <v>229</v>
      </c>
      <c r="C311" s="44">
        <v>0.34</v>
      </c>
      <c r="D311" s="46">
        <v>0.2</v>
      </c>
      <c r="E311" s="37">
        <v>0</v>
      </c>
      <c r="F311" s="116">
        <f t="shared" si="30"/>
        <v>10621500</v>
      </c>
      <c r="G311" s="49"/>
      <c r="H311" s="49"/>
      <c r="I311" s="15">
        <f t="shared" si="31"/>
        <v>0</v>
      </c>
      <c r="J311" s="34">
        <f t="shared" si="32"/>
        <v>0</v>
      </c>
    </row>
    <row r="312" spans="1:10">
      <c r="A312" s="244" t="s">
        <v>306</v>
      </c>
      <c r="B312" s="244"/>
      <c r="C312" s="244"/>
      <c r="D312" s="244"/>
      <c r="E312" s="244"/>
      <c r="F312" s="244"/>
      <c r="G312" s="244"/>
      <c r="H312" s="244"/>
      <c r="I312" s="117">
        <f>SUM(I297:I311)</f>
        <v>760032.05400000012</v>
      </c>
      <c r="J312" s="118">
        <f>SUM(J297:J311)</f>
        <v>0.76003205400000007</v>
      </c>
    </row>
  </sheetData>
  <mergeCells count="170">
    <mergeCell ref="A312:H312"/>
    <mergeCell ref="A293:A296"/>
    <mergeCell ref="B293:B296"/>
    <mergeCell ref="A297:A301"/>
    <mergeCell ref="A302:A306"/>
    <mergeCell ref="A307:A311"/>
    <mergeCell ref="A289:B289"/>
    <mergeCell ref="C289:I289"/>
    <mergeCell ref="A290:B290"/>
    <mergeCell ref="C290:I290"/>
    <mergeCell ref="A291:I291"/>
    <mergeCell ref="A284:H284"/>
    <mergeCell ref="A287:B287"/>
    <mergeCell ref="C287:I287"/>
    <mergeCell ref="A288:B288"/>
    <mergeCell ref="C288:I288"/>
    <mergeCell ref="A265:A268"/>
    <mergeCell ref="B265:B268"/>
    <mergeCell ref="A269:A273"/>
    <mergeCell ref="A274:A278"/>
    <mergeCell ref="A279:A283"/>
    <mergeCell ref="A261:B261"/>
    <mergeCell ref="C261:I261"/>
    <mergeCell ref="A262:B262"/>
    <mergeCell ref="C262:I262"/>
    <mergeCell ref="A263:I263"/>
    <mergeCell ref="A256:H256"/>
    <mergeCell ref="A259:B259"/>
    <mergeCell ref="C259:I259"/>
    <mergeCell ref="A260:B260"/>
    <mergeCell ref="C260:I260"/>
    <mergeCell ref="A237:A240"/>
    <mergeCell ref="B237:B240"/>
    <mergeCell ref="A241:A245"/>
    <mergeCell ref="A246:A250"/>
    <mergeCell ref="A251:A255"/>
    <mergeCell ref="A233:B233"/>
    <mergeCell ref="C233:I233"/>
    <mergeCell ref="A234:B234"/>
    <mergeCell ref="C234:I234"/>
    <mergeCell ref="A235:I235"/>
    <mergeCell ref="A228:H228"/>
    <mergeCell ref="A231:B231"/>
    <mergeCell ref="C231:I231"/>
    <mergeCell ref="A232:B232"/>
    <mergeCell ref="C232:I232"/>
    <mergeCell ref="A209:A212"/>
    <mergeCell ref="B209:B212"/>
    <mergeCell ref="A213:A217"/>
    <mergeCell ref="A218:A222"/>
    <mergeCell ref="A223:A227"/>
    <mergeCell ref="A205:B205"/>
    <mergeCell ref="C205:I205"/>
    <mergeCell ref="A206:B206"/>
    <mergeCell ref="C206:I206"/>
    <mergeCell ref="A207:I207"/>
    <mergeCell ref="A200:H200"/>
    <mergeCell ref="A203:B203"/>
    <mergeCell ref="C203:I203"/>
    <mergeCell ref="A204:B204"/>
    <mergeCell ref="C204:I204"/>
    <mergeCell ref="A181:A184"/>
    <mergeCell ref="B181:B184"/>
    <mergeCell ref="A185:A189"/>
    <mergeCell ref="A190:A194"/>
    <mergeCell ref="A195:A199"/>
    <mergeCell ref="A177:B177"/>
    <mergeCell ref="C177:I177"/>
    <mergeCell ref="A178:B178"/>
    <mergeCell ref="C178:I178"/>
    <mergeCell ref="A179:I179"/>
    <mergeCell ref="A172:H172"/>
    <mergeCell ref="A175:B175"/>
    <mergeCell ref="C175:I175"/>
    <mergeCell ref="A176:B176"/>
    <mergeCell ref="C176:I176"/>
    <mergeCell ref="A153:A156"/>
    <mergeCell ref="B153:B156"/>
    <mergeCell ref="A157:A161"/>
    <mergeCell ref="A162:A166"/>
    <mergeCell ref="A167:A171"/>
    <mergeCell ref="A149:B149"/>
    <mergeCell ref="C149:I149"/>
    <mergeCell ref="A150:B150"/>
    <mergeCell ref="C150:I150"/>
    <mergeCell ref="A151:I151"/>
    <mergeCell ref="A144:H144"/>
    <mergeCell ref="A147:B147"/>
    <mergeCell ref="C147:I147"/>
    <mergeCell ref="A148:B148"/>
    <mergeCell ref="C148:I148"/>
    <mergeCell ref="A125:A128"/>
    <mergeCell ref="B125:B128"/>
    <mergeCell ref="A129:A133"/>
    <mergeCell ref="A134:A138"/>
    <mergeCell ref="A139:A143"/>
    <mergeCell ref="A121:B121"/>
    <mergeCell ref="C121:I121"/>
    <mergeCell ref="A122:B122"/>
    <mergeCell ref="C122:I122"/>
    <mergeCell ref="A123:I123"/>
    <mergeCell ref="A116:H116"/>
    <mergeCell ref="A119:B119"/>
    <mergeCell ref="C119:I119"/>
    <mergeCell ref="A120:B120"/>
    <mergeCell ref="C120:I120"/>
    <mergeCell ref="A97:A100"/>
    <mergeCell ref="B97:B100"/>
    <mergeCell ref="A101:A105"/>
    <mergeCell ref="A106:A110"/>
    <mergeCell ref="A111:A115"/>
    <mergeCell ref="A93:B93"/>
    <mergeCell ref="C93:I93"/>
    <mergeCell ref="A94:B94"/>
    <mergeCell ref="C94:I94"/>
    <mergeCell ref="A95:I95"/>
    <mergeCell ref="A83:A87"/>
    <mergeCell ref="A88:H88"/>
    <mergeCell ref="A91:B91"/>
    <mergeCell ref="C91:I91"/>
    <mergeCell ref="A92:B92"/>
    <mergeCell ref="C92:I92"/>
    <mergeCell ref="A67:I67"/>
    <mergeCell ref="A69:A72"/>
    <mergeCell ref="B69:B72"/>
    <mergeCell ref="A73:A77"/>
    <mergeCell ref="A78:A82"/>
    <mergeCell ref="A64:B64"/>
    <mergeCell ref="C64:I64"/>
    <mergeCell ref="A65:B65"/>
    <mergeCell ref="C65:I65"/>
    <mergeCell ref="A66:B66"/>
    <mergeCell ref="C66:I66"/>
    <mergeCell ref="A45:A49"/>
    <mergeCell ref="A50:A54"/>
    <mergeCell ref="A55:A59"/>
    <mergeCell ref="A60:H60"/>
    <mergeCell ref="A63:B63"/>
    <mergeCell ref="C63:I63"/>
    <mergeCell ref="A38:B38"/>
    <mergeCell ref="C38:I38"/>
    <mergeCell ref="A39:I39"/>
    <mergeCell ref="A41:A44"/>
    <mergeCell ref="B41:B44"/>
    <mergeCell ref="A35:B35"/>
    <mergeCell ref="C35:I35"/>
    <mergeCell ref="A36:B36"/>
    <mergeCell ref="C36:I36"/>
    <mergeCell ref="A37:B37"/>
    <mergeCell ref="C37:I37"/>
    <mergeCell ref="A1:B1"/>
    <mergeCell ref="C1:I1"/>
    <mergeCell ref="C2:I2"/>
    <mergeCell ref="C5:I5"/>
    <mergeCell ref="A2:B2"/>
    <mergeCell ref="C3:I3"/>
    <mergeCell ref="C4:I4"/>
    <mergeCell ref="L9:L11"/>
    <mergeCell ref="M9:M11"/>
    <mergeCell ref="N9:N11"/>
    <mergeCell ref="A27:H27"/>
    <mergeCell ref="A3:B3"/>
    <mergeCell ref="A5:B5"/>
    <mergeCell ref="A4:B4"/>
    <mergeCell ref="A22:A26"/>
    <mergeCell ref="A17:A21"/>
    <mergeCell ref="A12:A16"/>
    <mergeCell ref="A8:A11"/>
    <mergeCell ref="B8:B11"/>
    <mergeCell ref="A6:I6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70C0"/>
  </sheetPr>
  <dimension ref="A2:H32"/>
  <sheetViews>
    <sheetView topLeftCell="A8" zoomScaleNormal="100" workbookViewId="0">
      <selection activeCell="J14" sqref="J14"/>
    </sheetView>
  </sheetViews>
  <sheetFormatPr defaultRowHeight="12.75"/>
  <cols>
    <col min="1" max="1" width="18.42578125" style="6" customWidth="1"/>
    <col min="2" max="2" width="14.5703125" style="6" customWidth="1"/>
    <col min="3" max="3" width="16.140625" style="6" customWidth="1"/>
    <col min="4" max="4" width="14" style="6" customWidth="1"/>
    <col min="5" max="7" width="14.5703125" style="6" customWidth="1"/>
    <col min="8" max="8" width="26.140625" style="6" customWidth="1"/>
    <col min="9" max="10" width="9.140625" style="6"/>
    <col min="11" max="11" width="12.5703125" style="6" customWidth="1"/>
    <col min="12" max="12" width="9.140625" style="6"/>
    <col min="13" max="13" width="11.28515625" style="6" customWidth="1"/>
    <col min="14" max="16384" width="9.140625" style="6"/>
  </cols>
  <sheetData>
    <row r="2" spans="1:8">
      <c r="A2" s="76" t="s">
        <v>0</v>
      </c>
      <c r="B2" s="185" t="s">
        <v>1</v>
      </c>
      <c r="C2" s="185"/>
      <c r="D2" s="185"/>
      <c r="E2" s="185"/>
      <c r="F2" s="185"/>
      <c r="G2" s="185"/>
      <c r="H2" s="185"/>
    </row>
    <row r="3" spans="1:8">
      <c r="A3" s="76" t="s">
        <v>2</v>
      </c>
      <c r="B3" s="185" t="s">
        <v>117</v>
      </c>
      <c r="C3" s="185"/>
      <c r="D3" s="185"/>
      <c r="E3" s="185"/>
      <c r="F3" s="185"/>
      <c r="G3" s="185"/>
      <c r="H3" s="185"/>
    </row>
    <row r="4" spans="1:8">
      <c r="A4" s="76" t="s">
        <v>4</v>
      </c>
      <c r="B4" s="185" t="s">
        <v>118</v>
      </c>
      <c r="C4" s="185"/>
      <c r="D4" s="185"/>
      <c r="E4" s="185"/>
      <c r="F4" s="185"/>
      <c r="G4" s="185"/>
      <c r="H4" s="185"/>
    </row>
    <row r="5" spans="1:8">
      <c r="A5" s="76" t="s">
        <v>6</v>
      </c>
      <c r="B5" s="185" t="s">
        <v>167</v>
      </c>
      <c r="C5" s="185"/>
      <c r="D5" s="185"/>
      <c r="E5" s="185"/>
      <c r="F5" s="185"/>
      <c r="G5" s="185"/>
      <c r="H5" s="185"/>
    </row>
    <row r="6" spans="1:8">
      <c r="A6" s="121"/>
      <c r="B6" s="251"/>
      <c r="C6" s="251"/>
      <c r="D6" s="251"/>
      <c r="E6" s="251"/>
      <c r="F6" s="251"/>
      <c r="G6" s="251"/>
      <c r="H6" s="251"/>
    </row>
    <row r="7" spans="1:8">
      <c r="A7" s="50"/>
      <c r="B7" s="10" t="s">
        <v>11</v>
      </c>
      <c r="C7" s="10" t="s">
        <v>12</v>
      </c>
      <c r="D7" s="10" t="s">
        <v>13</v>
      </c>
      <c r="E7" s="10" t="s">
        <v>14</v>
      </c>
      <c r="F7" s="10" t="s">
        <v>15</v>
      </c>
      <c r="G7" s="10" t="s">
        <v>58</v>
      </c>
      <c r="H7" s="10" t="s">
        <v>79</v>
      </c>
    </row>
    <row r="8" spans="1:8" ht="66.75" customHeight="1">
      <c r="A8" s="12"/>
      <c r="B8" s="51" t="s">
        <v>59</v>
      </c>
      <c r="C8" s="51" t="s">
        <v>168</v>
      </c>
      <c r="D8" s="51" t="s">
        <v>169</v>
      </c>
      <c r="E8" s="51" t="s">
        <v>170</v>
      </c>
      <c r="F8" s="51" t="s">
        <v>171</v>
      </c>
      <c r="G8" s="51" t="s">
        <v>187</v>
      </c>
      <c r="H8" s="51" t="s">
        <v>172</v>
      </c>
    </row>
    <row r="9" spans="1:8" ht="15.75">
      <c r="A9" s="1"/>
      <c r="B9" s="1" t="s">
        <v>124</v>
      </c>
      <c r="C9" s="1" t="s">
        <v>173</v>
      </c>
      <c r="D9" s="1" t="s">
        <v>174</v>
      </c>
      <c r="E9" s="1" t="s">
        <v>175</v>
      </c>
      <c r="F9" s="1" t="s">
        <v>176</v>
      </c>
      <c r="G9" s="1" t="s">
        <v>177</v>
      </c>
      <c r="H9" s="1" t="s">
        <v>178</v>
      </c>
    </row>
    <row r="10" spans="1:8" ht="25.5">
      <c r="A10" s="10" t="s">
        <v>179</v>
      </c>
      <c r="B10" s="10" t="s">
        <v>180</v>
      </c>
      <c r="C10" s="7" t="s">
        <v>181</v>
      </c>
      <c r="D10" s="10" t="s">
        <v>182</v>
      </c>
      <c r="E10" s="7" t="s">
        <v>183</v>
      </c>
      <c r="F10" s="7" t="s">
        <v>183</v>
      </c>
      <c r="G10" s="7" t="s">
        <v>184</v>
      </c>
      <c r="H10" s="10" t="s">
        <v>185</v>
      </c>
    </row>
    <row r="11" spans="1:8">
      <c r="A11" s="50"/>
      <c r="B11" s="50"/>
      <c r="C11" s="50"/>
      <c r="D11" s="51"/>
      <c r="E11" s="51"/>
      <c r="F11" s="51"/>
      <c r="G11" s="51"/>
      <c r="H11" s="51" t="s">
        <v>186</v>
      </c>
    </row>
    <row r="12" spans="1:8">
      <c r="A12" s="10">
        <f>'4B_N2O emission'!B12</f>
        <v>2000</v>
      </c>
      <c r="B12" s="122">
        <f>'4C1_Amount_Waste_OpenBurned'!B12</f>
        <v>521471</v>
      </c>
      <c r="C12" s="123">
        <v>21.14</v>
      </c>
      <c r="D12" s="10">
        <v>0.16</v>
      </c>
      <c r="E12" s="10">
        <v>1.1000000000000001</v>
      </c>
      <c r="F12" s="10">
        <v>1.25</v>
      </c>
      <c r="G12" s="10">
        <v>0</v>
      </c>
      <c r="H12" s="124">
        <f>(B12*C12*D12*E12*F12)-G12</f>
        <v>2425257.3267999999</v>
      </c>
    </row>
    <row r="13" spans="1:8">
      <c r="A13" s="10">
        <f>'4B_N2O emission'!B13</f>
        <v>2001</v>
      </c>
      <c r="B13" s="122">
        <f>'4C1_Amount_Waste_OpenBurned'!B13</f>
        <v>531912</v>
      </c>
      <c r="C13" s="123">
        <v>21.14</v>
      </c>
      <c r="D13" s="10">
        <v>0.16</v>
      </c>
      <c r="E13" s="10">
        <v>1.1000000000000001</v>
      </c>
      <c r="F13" s="10">
        <v>1.25</v>
      </c>
      <c r="G13" s="10">
        <v>0</v>
      </c>
      <c r="H13" s="124">
        <f t="shared" ref="H13:H32" si="0">(B13*C13*D13*E13*F13)-G13</f>
        <v>2473816.3296000003</v>
      </c>
    </row>
    <row r="14" spans="1:8">
      <c r="A14" s="10">
        <f>'4B_N2O emission'!B14</f>
        <v>2002</v>
      </c>
      <c r="B14" s="122">
        <f>'4C1_Amount_Waste_OpenBurned'!B14</f>
        <v>544044</v>
      </c>
      <c r="C14" s="123">
        <v>21.14</v>
      </c>
      <c r="D14" s="10">
        <v>0.16</v>
      </c>
      <c r="E14" s="10">
        <v>1.1000000000000001</v>
      </c>
      <c r="F14" s="10">
        <v>1.25</v>
      </c>
      <c r="G14" s="10">
        <v>0</v>
      </c>
      <c r="H14" s="124">
        <f t="shared" si="0"/>
        <v>2530239.8352000001</v>
      </c>
    </row>
    <row r="15" spans="1:8">
      <c r="A15" s="10">
        <f>'4B_N2O emission'!B15</f>
        <v>2003</v>
      </c>
      <c r="B15" s="122">
        <f>'4C1_Amount_Waste_OpenBurned'!B15</f>
        <v>561471</v>
      </c>
      <c r="C15" s="123">
        <v>21.14</v>
      </c>
      <c r="D15" s="10">
        <v>0.16</v>
      </c>
      <c r="E15" s="10">
        <v>1.1000000000000001</v>
      </c>
      <c r="F15" s="10">
        <v>1.25</v>
      </c>
      <c r="G15" s="10">
        <v>0</v>
      </c>
      <c r="H15" s="124">
        <f t="shared" si="0"/>
        <v>2611289.3268000004</v>
      </c>
    </row>
    <row r="16" spans="1:8">
      <c r="A16" s="10">
        <f>'4B_N2O emission'!B16</f>
        <v>2004</v>
      </c>
      <c r="B16" s="122">
        <f>'4C1_Amount_Waste_OpenBurned'!B16</f>
        <v>567997</v>
      </c>
      <c r="C16" s="123">
        <v>21.14</v>
      </c>
      <c r="D16" s="10">
        <v>0.16</v>
      </c>
      <c r="E16" s="10">
        <v>1.1000000000000001</v>
      </c>
      <c r="F16" s="10">
        <v>1.25</v>
      </c>
      <c r="G16" s="10">
        <v>0</v>
      </c>
      <c r="H16" s="124">
        <f t="shared" si="0"/>
        <v>2641640.4476000001</v>
      </c>
    </row>
    <row r="17" spans="1:8">
      <c r="A17" s="10">
        <f>'4B_N2O emission'!B17</f>
        <v>2005</v>
      </c>
      <c r="B17" s="122">
        <f>'4C1_Amount_Waste_OpenBurned'!B17</f>
        <v>583786</v>
      </c>
      <c r="C17" s="123">
        <v>21.14</v>
      </c>
      <c r="D17" s="10">
        <v>0.16</v>
      </c>
      <c r="E17" s="10">
        <v>1.1000000000000001</v>
      </c>
      <c r="F17" s="10">
        <v>1.25</v>
      </c>
      <c r="G17" s="10">
        <v>0</v>
      </c>
      <c r="H17" s="124">
        <f t="shared" si="0"/>
        <v>2715071.9288000003</v>
      </c>
    </row>
    <row r="18" spans="1:8">
      <c r="A18" s="10">
        <f>'4B_N2O emission'!B18</f>
        <v>2006</v>
      </c>
      <c r="B18" s="122">
        <f>'4C1_Amount_Waste_OpenBurned'!B18</f>
        <v>590519</v>
      </c>
      <c r="C18" s="123">
        <v>21.14</v>
      </c>
      <c r="D18" s="10">
        <v>0.16</v>
      </c>
      <c r="E18" s="10">
        <v>1.1000000000000001</v>
      </c>
      <c r="F18" s="10">
        <v>1.25</v>
      </c>
      <c r="G18" s="10">
        <v>0</v>
      </c>
      <c r="H18" s="124">
        <f t="shared" si="0"/>
        <v>2746385.7652000003</v>
      </c>
    </row>
    <row r="19" spans="1:8">
      <c r="A19" s="10">
        <f>'4B_N2O emission'!B19</f>
        <v>2007</v>
      </c>
      <c r="B19" s="122">
        <f>'4C1_Amount_Waste_OpenBurned'!B19</f>
        <v>597075</v>
      </c>
      <c r="C19" s="123">
        <v>21.14</v>
      </c>
      <c r="D19" s="10">
        <v>0.16</v>
      </c>
      <c r="E19" s="10">
        <v>1.1000000000000001</v>
      </c>
      <c r="F19" s="10">
        <v>1.25</v>
      </c>
      <c r="G19" s="10">
        <v>0</v>
      </c>
      <c r="H19" s="124">
        <f t="shared" si="0"/>
        <v>2776876.41</v>
      </c>
    </row>
    <row r="20" spans="1:8">
      <c r="A20" s="10">
        <f>'4B_N2O emission'!B20</f>
        <v>2008</v>
      </c>
      <c r="B20" s="122">
        <f>'4C1_Amount_Waste_OpenBurned'!B20</f>
        <v>603389</v>
      </c>
      <c r="C20" s="123">
        <v>21.14</v>
      </c>
      <c r="D20" s="10">
        <v>0.16</v>
      </c>
      <c r="E20" s="10">
        <v>1.1000000000000001</v>
      </c>
      <c r="F20" s="10">
        <v>1.25</v>
      </c>
      <c r="G20" s="10">
        <v>0</v>
      </c>
      <c r="H20" s="124">
        <f t="shared" si="0"/>
        <v>2806241.5612000003</v>
      </c>
    </row>
    <row r="21" spans="1:8">
      <c r="A21" s="10">
        <f>'4B_N2O emission'!B21</f>
        <v>2009</v>
      </c>
      <c r="B21" s="122">
        <f>'4C1_Amount_Waste_OpenBurned'!B21</f>
        <v>609380</v>
      </c>
      <c r="C21" s="123">
        <v>21.14</v>
      </c>
      <c r="D21" s="10">
        <v>0.16</v>
      </c>
      <c r="E21" s="10">
        <v>1.1000000000000001</v>
      </c>
      <c r="F21" s="10">
        <v>1.25</v>
      </c>
      <c r="G21" s="10">
        <v>0</v>
      </c>
      <c r="H21" s="124">
        <f t="shared" si="0"/>
        <v>2834104.5040000002</v>
      </c>
    </row>
    <row r="22" spans="1:8">
      <c r="A22" s="10">
        <f>'4B_N2O emission'!B22</f>
        <v>2010</v>
      </c>
      <c r="B22" s="122">
        <f>'4C1_Amount_Waste_OpenBurned'!B22</f>
        <v>727500</v>
      </c>
      <c r="C22" s="123">
        <v>21.14</v>
      </c>
      <c r="D22" s="10">
        <v>0.16</v>
      </c>
      <c r="E22" s="10">
        <v>1.1000000000000001</v>
      </c>
      <c r="F22" s="10">
        <v>1.25</v>
      </c>
      <c r="G22" s="10">
        <v>0</v>
      </c>
      <c r="H22" s="124">
        <f t="shared" si="0"/>
        <v>3383457</v>
      </c>
    </row>
    <row r="23" spans="1:8">
      <c r="A23" s="10">
        <f>'4B_N2O emission'!B23</f>
        <v>0</v>
      </c>
      <c r="B23" s="122">
        <f>'4C1_Amount_Waste_OpenBurned'!B23</f>
        <v>0</v>
      </c>
      <c r="C23" s="123">
        <v>21.14</v>
      </c>
      <c r="D23" s="10">
        <v>0.16</v>
      </c>
      <c r="E23" s="10">
        <v>1.1000000000000001</v>
      </c>
      <c r="F23" s="10">
        <v>1.25</v>
      </c>
      <c r="G23" s="10">
        <v>0</v>
      </c>
      <c r="H23" s="124">
        <f t="shared" si="0"/>
        <v>0</v>
      </c>
    </row>
    <row r="24" spans="1:8">
      <c r="A24" s="10">
        <f>'4B_N2O emission'!B24</f>
        <v>0</v>
      </c>
      <c r="B24" s="122">
        <f>'4C1_Amount_Waste_OpenBurned'!B24</f>
        <v>0</v>
      </c>
      <c r="C24" s="123">
        <v>21.14</v>
      </c>
      <c r="D24" s="10">
        <v>0.16</v>
      </c>
      <c r="E24" s="10">
        <v>1.1000000000000001</v>
      </c>
      <c r="F24" s="10">
        <v>1.25</v>
      </c>
      <c r="G24" s="10">
        <v>0</v>
      </c>
      <c r="H24" s="124">
        <f t="shared" si="0"/>
        <v>0</v>
      </c>
    </row>
    <row r="25" spans="1:8">
      <c r="A25" s="10">
        <f>'4B_N2O emission'!B25</f>
        <v>0</v>
      </c>
      <c r="B25" s="122">
        <f>'4C1_Amount_Waste_OpenBurned'!B25</f>
        <v>0</v>
      </c>
      <c r="C25" s="123">
        <v>21.14</v>
      </c>
      <c r="D25" s="10">
        <v>0.16</v>
      </c>
      <c r="E25" s="10">
        <v>1.1000000000000001</v>
      </c>
      <c r="F25" s="10">
        <v>1.25</v>
      </c>
      <c r="G25" s="10">
        <v>0</v>
      </c>
      <c r="H25" s="124">
        <f t="shared" si="0"/>
        <v>0</v>
      </c>
    </row>
    <row r="26" spans="1:8">
      <c r="A26" s="10">
        <f>'4B_N2O emission'!B26</f>
        <v>0</v>
      </c>
      <c r="B26" s="122">
        <f>'4C1_Amount_Waste_OpenBurned'!B26</f>
        <v>0</v>
      </c>
      <c r="C26" s="123">
        <v>21.14</v>
      </c>
      <c r="D26" s="10">
        <v>0.16</v>
      </c>
      <c r="E26" s="10">
        <v>1.1000000000000001</v>
      </c>
      <c r="F26" s="10">
        <v>1.25</v>
      </c>
      <c r="G26" s="10">
        <v>0</v>
      </c>
      <c r="H26" s="124">
        <f t="shared" si="0"/>
        <v>0</v>
      </c>
    </row>
    <row r="27" spans="1:8">
      <c r="A27" s="10">
        <f>'4B_N2O emission'!B27</f>
        <v>0</v>
      </c>
      <c r="B27" s="122">
        <f>'4C1_Amount_Waste_OpenBurned'!B27</f>
        <v>0</v>
      </c>
      <c r="C27" s="123">
        <v>21.14</v>
      </c>
      <c r="D27" s="10">
        <v>0.16</v>
      </c>
      <c r="E27" s="10">
        <v>1.1000000000000001</v>
      </c>
      <c r="F27" s="10">
        <v>1.25</v>
      </c>
      <c r="G27" s="10">
        <v>0</v>
      </c>
      <c r="H27" s="124">
        <f t="shared" si="0"/>
        <v>0</v>
      </c>
    </row>
    <row r="28" spans="1:8">
      <c r="A28" s="10">
        <f>'4B_N2O emission'!B28</f>
        <v>0</v>
      </c>
      <c r="B28" s="122">
        <f>'4C1_Amount_Waste_OpenBurned'!B28</f>
        <v>0</v>
      </c>
      <c r="C28" s="123">
        <v>21.14</v>
      </c>
      <c r="D28" s="10">
        <v>0.16</v>
      </c>
      <c r="E28" s="10">
        <v>1.1000000000000001</v>
      </c>
      <c r="F28" s="10">
        <v>1.25</v>
      </c>
      <c r="G28" s="10">
        <v>0</v>
      </c>
      <c r="H28" s="124">
        <f t="shared" si="0"/>
        <v>0</v>
      </c>
    </row>
    <row r="29" spans="1:8">
      <c r="A29" s="10">
        <f>'4B_N2O emission'!B29</f>
        <v>0</v>
      </c>
      <c r="B29" s="122">
        <f>'4C1_Amount_Waste_OpenBurned'!B29</f>
        <v>0</v>
      </c>
      <c r="C29" s="123">
        <v>21.14</v>
      </c>
      <c r="D29" s="10">
        <v>0.16</v>
      </c>
      <c r="E29" s="10">
        <v>1.1000000000000001</v>
      </c>
      <c r="F29" s="10">
        <v>1.25</v>
      </c>
      <c r="G29" s="10">
        <v>0</v>
      </c>
      <c r="H29" s="124">
        <f t="shared" si="0"/>
        <v>0</v>
      </c>
    </row>
    <row r="30" spans="1:8">
      <c r="A30" s="10">
        <f>'4B_N2O emission'!B30</f>
        <v>0</v>
      </c>
      <c r="B30" s="122">
        <f>'4C1_Amount_Waste_OpenBurned'!B30</f>
        <v>0</v>
      </c>
      <c r="C30" s="123">
        <v>21.14</v>
      </c>
      <c r="D30" s="10">
        <v>0.16</v>
      </c>
      <c r="E30" s="10">
        <v>1.1000000000000001</v>
      </c>
      <c r="F30" s="10">
        <v>1.25</v>
      </c>
      <c r="G30" s="10">
        <v>0</v>
      </c>
      <c r="H30" s="124">
        <f t="shared" si="0"/>
        <v>0</v>
      </c>
    </row>
    <row r="31" spans="1:8">
      <c r="A31" s="10">
        <f>'4B_N2O emission'!B31</f>
        <v>0</v>
      </c>
      <c r="B31" s="122">
        <f>'4C1_Amount_Waste_OpenBurned'!B31</f>
        <v>0</v>
      </c>
      <c r="C31" s="123">
        <v>21.14</v>
      </c>
      <c r="D31" s="10">
        <v>0.16</v>
      </c>
      <c r="E31" s="10">
        <v>1.1000000000000001</v>
      </c>
      <c r="F31" s="10">
        <v>1.25</v>
      </c>
      <c r="G31" s="10">
        <v>0</v>
      </c>
      <c r="H31" s="124">
        <f t="shared" si="0"/>
        <v>0</v>
      </c>
    </row>
    <row r="32" spans="1:8">
      <c r="A32" s="10">
        <f>'4B_N2O emission'!B32</f>
        <v>0</v>
      </c>
      <c r="B32" s="122">
        <f>'4C1_Amount_Waste_OpenBurned'!B32</f>
        <v>0</v>
      </c>
      <c r="C32" s="123">
        <v>21.14</v>
      </c>
      <c r="D32" s="10">
        <v>0.16</v>
      </c>
      <c r="E32" s="10">
        <v>1.1000000000000001</v>
      </c>
      <c r="F32" s="10">
        <v>1.25</v>
      </c>
      <c r="G32" s="10">
        <v>0</v>
      </c>
      <c r="H32" s="124">
        <f t="shared" si="0"/>
        <v>0</v>
      </c>
    </row>
  </sheetData>
  <mergeCells count="5"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0070C0"/>
  </sheetPr>
  <dimension ref="A2:G32"/>
  <sheetViews>
    <sheetView topLeftCell="A6" zoomScale="85" zoomScaleNormal="85" workbookViewId="0">
      <selection activeCell="G11" sqref="G11"/>
    </sheetView>
  </sheetViews>
  <sheetFormatPr defaultRowHeight="12.75"/>
  <cols>
    <col min="1" max="1" width="21.28515625" style="6" customWidth="1"/>
    <col min="2" max="3" width="18.140625" style="6" customWidth="1"/>
    <col min="4" max="6" width="20.140625" style="6" customWidth="1"/>
    <col min="7" max="7" width="15.5703125" style="6" customWidth="1"/>
    <col min="8" max="16384" width="9.140625" style="6"/>
  </cols>
  <sheetData>
    <row r="2" spans="1:7" ht="16.5" customHeight="1">
      <c r="A2" s="76" t="s">
        <v>0</v>
      </c>
      <c r="B2" s="252" t="s">
        <v>1</v>
      </c>
      <c r="C2" s="253"/>
      <c r="D2" s="253"/>
      <c r="E2" s="253"/>
      <c r="F2" s="253"/>
      <c r="G2" s="254"/>
    </row>
    <row r="3" spans="1:7" ht="16.5" customHeight="1">
      <c r="A3" s="76" t="s">
        <v>2</v>
      </c>
      <c r="B3" s="252" t="s">
        <v>117</v>
      </c>
      <c r="C3" s="253"/>
      <c r="D3" s="253"/>
      <c r="E3" s="253"/>
      <c r="F3" s="253"/>
      <c r="G3" s="254"/>
    </row>
    <row r="4" spans="1:7" ht="16.5" customHeight="1">
      <c r="A4" s="76" t="s">
        <v>4</v>
      </c>
      <c r="B4" s="252" t="s">
        <v>118</v>
      </c>
      <c r="C4" s="253"/>
      <c r="D4" s="253"/>
      <c r="E4" s="253"/>
      <c r="F4" s="253"/>
      <c r="G4" s="254"/>
    </row>
    <row r="5" spans="1:7" ht="16.5" customHeight="1">
      <c r="A5" s="76" t="s">
        <v>6</v>
      </c>
      <c r="B5" s="252" t="s">
        <v>188</v>
      </c>
      <c r="C5" s="253"/>
      <c r="D5" s="253"/>
      <c r="E5" s="253"/>
      <c r="F5" s="253"/>
      <c r="G5" s="254"/>
    </row>
    <row r="6" spans="1:7">
      <c r="A6" s="121"/>
      <c r="B6" s="251"/>
      <c r="C6" s="251"/>
      <c r="D6" s="251"/>
      <c r="E6" s="251"/>
      <c r="F6" s="251"/>
      <c r="G6" s="34"/>
    </row>
    <row r="7" spans="1:7">
      <c r="A7" s="51"/>
      <c r="B7" s="10" t="s">
        <v>11</v>
      </c>
      <c r="C7" s="10" t="s">
        <v>12</v>
      </c>
      <c r="D7" s="10" t="s">
        <v>189</v>
      </c>
      <c r="E7" s="10" t="s">
        <v>14</v>
      </c>
      <c r="F7" s="10" t="s">
        <v>15</v>
      </c>
      <c r="G7" s="94" t="s">
        <v>58</v>
      </c>
    </row>
    <row r="8" spans="1:7" ht="63.75" customHeight="1">
      <c r="A8" s="12"/>
      <c r="B8" s="51" t="s">
        <v>190</v>
      </c>
      <c r="C8" s="51" t="s">
        <v>137</v>
      </c>
      <c r="D8" s="51" t="s">
        <v>191</v>
      </c>
      <c r="E8" s="51" t="s">
        <v>192</v>
      </c>
      <c r="F8" s="125" t="s">
        <v>193</v>
      </c>
      <c r="G8" s="51" t="s">
        <v>193</v>
      </c>
    </row>
    <row r="9" spans="1:7" ht="15.75">
      <c r="A9" s="12"/>
      <c r="B9" s="1" t="s">
        <v>194</v>
      </c>
      <c r="C9" s="8" t="s">
        <v>195</v>
      </c>
      <c r="D9" s="8" t="s">
        <v>196</v>
      </c>
      <c r="E9" s="8" t="s">
        <v>197</v>
      </c>
      <c r="F9" s="8" t="s">
        <v>197</v>
      </c>
      <c r="G9" s="8" t="s">
        <v>232</v>
      </c>
    </row>
    <row r="10" spans="1:7" ht="13.5" thickBot="1">
      <c r="A10" s="12"/>
      <c r="B10" s="11"/>
      <c r="C10" s="11"/>
      <c r="D10" s="11"/>
      <c r="E10" s="11"/>
      <c r="F10" s="11" t="s">
        <v>198</v>
      </c>
      <c r="G10" s="35"/>
    </row>
    <row r="11" spans="1:7" ht="13.5" thickTop="1">
      <c r="A11" s="10">
        <f>'4B_N2O emission'!B12</f>
        <v>2000</v>
      </c>
      <c r="B11" s="126">
        <f>'4D1_N_effluent'!H12</f>
        <v>2425257.3267999999</v>
      </c>
      <c r="C11" s="126">
        <v>5.0000000000000001E-3</v>
      </c>
      <c r="D11" s="127">
        <f>44/28</f>
        <v>1.5714285714285714</v>
      </c>
      <c r="E11" s="128">
        <v>0</v>
      </c>
      <c r="F11" s="127">
        <f>(B11*C11*D11)-E11</f>
        <v>19055.593281999998</v>
      </c>
      <c r="G11" s="129">
        <f>F11/(10^6)</f>
        <v>1.9055593281999999E-2</v>
      </c>
    </row>
    <row r="12" spans="1:7">
      <c r="A12" s="10">
        <f>'4B_N2O emission'!B13</f>
        <v>2001</v>
      </c>
      <c r="B12" s="130">
        <f>'4D1_N_effluent'!H13</f>
        <v>2473816.3296000003</v>
      </c>
      <c r="C12" s="130">
        <v>5.0000000000000001E-3</v>
      </c>
      <c r="D12" s="131">
        <f t="shared" ref="D12:D31" si="0">44/28</f>
        <v>1.5714285714285714</v>
      </c>
      <c r="E12" s="132">
        <v>0</v>
      </c>
      <c r="F12" s="131">
        <f t="shared" ref="F12:F31" si="1">(B12*C12*D12)-E12</f>
        <v>19437.128304000002</v>
      </c>
      <c r="G12" s="133">
        <f t="shared" ref="G12:G31" si="2">F12/(10^6)</f>
        <v>1.9437128304E-2</v>
      </c>
    </row>
    <row r="13" spans="1:7">
      <c r="A13" s="10">
        <f>'4B_N2O emission'!B14</f>
        <v>2002</v>
      </c>
      <c r="B13" s="130">
        <f>'4D1_N_effluent'!H14</f>
        <v>2530239.8352000001</v>
      </c>
      <c r="C13" s="130">
        <v>5.0000000000000001E-3</v>
      </c>
      <c r="D13" s="131">
        <f t="shared" si="0"/>
        <v>1.5714285714285714</v>
      </c>
      <c r="E13" s="132">
        <v>0</v>
      </c>
      <c r="F13" s="131">
        <f t="shared" si="1"/>
        <v>19880.455848000001</v>
      </c>
      <c r="G13" s="133">
        <f t="shared" si="2"/>
        <v>1.9880455848000002E-2</v>
      </c>
    </row>
    <row r="14" spans="1:7">
      <c r="A14" s="10">
        <f>'4B_N2O emission'!B15</f>
        <v>2003</v>
      </c>
      <c r="B14" s="130">
        <f>'4D1_N_effluent'!H15</f>
        <v>2611289.3268000004</v>
      </c>
      <c r="C14" s="130">
        <v>5.0000000000000001E-3</v>
      </c>
      <c r="D14" s="131">
        <f t="shared" si="0"/>
        <v>1.5714285714285714</v>
      </c>
      <c r="E14" s="132">
        <v>0</v>
      </c>
      <c r="F14" s="131">
        <f t="shared" si="1"/>
        <v>20517.273282000002</v>
      </c>
      <c r="G14" s="133">
        <f t="shared" si="2"/>
        <v>2.0517273282000002E-2</v>
      </c>
    </row>
    <row r="15" spans="1:7">
      <c r="A15" s="10">
        <f>'4B_N2O emission'!B16</f>
        <v>2004</v>
      </c>
      <c r="B15" s="130">
        <f>'4D1_N_effluent'!H16</f>
        <v>2641640.4476000001</v>
      </c>
      <c r="C15" s="130">
        <v>5.0000000000000001E-3</v>
      </c>
      <c r="D15" s="131">
        <f t="shared" si="0"/>
        <v>1.5714285714285714</v>
      </c>
      <c r="E15" s="132">
        <v>0</v>
      </c>
      <c r="F15" s="131">
        <f t="shared" si="1"/>
        <v>20755.746373999998</v>
      </c>
      <c r="G15" s="133">
        <f t="shared" si="2"/>
        <v>2.0755746374E-2</v>
      </c>
    </row>
    <row r="16" spans="1:7">
      <c r="A16" s="10">
        <f>'4B_N2O emission'!B17</f>
        <v>2005</v>
      </c>
      <c r="B16" s="130">
        <f>'4D1_N_effluent'!H17</f>
        <v>2715071.9288000003</v>
      </c>
      <c r="C16" s="130">
        <v>5.0000000000000001E-3</v>
      </c>
      <c r="D16" s="131">
        <f t="shared" si="0"/>
        <v>1.5714285714285714</v>
      </c>
      <c r="E16" s="132">
        <v>0</v>
      </c>
      <c r="F16" s="131">
        <f t="shared" si="1"/>
        <v>21332.708012000003</v>
      </c>
      <c r="G16" s="133">
        <f t="shared" si="2"/>
        <v>2.1332708012000004E-2</v>
      </c>
    </row>
    <row r="17" spans="1:7">
      <c r="A17" s="10">
        <f>'4B_N2O emission'!B18</f>
        <v>2006</v>
      </c>
      <c r="B17" s="130">
        <f>'4D1_N_effluent'!H18</f>
        <v>2746385.7652000003</v>
      </c>
      <c r="C17" s="130">
        <v>5.0000000000000001E-3</v>
      </c>
      <c r="D17" s="131">
        <f t="shared" si="0"/>
        <v>1.5714285714285714</v>
      </c>
      <c r="E17" s="132">
        <v>0</v>
      </c>
      <c r="F17" s="131">
        <f t="shared" si="1"/>
        <v>21578.745298000002</v>
      </c>
      <c r="G17" s="133">
        <f t="shared" si="2"/>
        <v>2.1578745298000003E-2</v>
      </c>
    </row>
    <row r="18" spans="1:7">
      <c r="A18" s="10">
        <f>'4B_N2O emission'!B19</f>
        <v>2007</v>
      </c>
      <c r="B18" s="130">
        <f>'4D1_N_effluent'!H19</f>
        <v>2776876.41</v>
      </c>
      <c r="C18" s="130">
        <v>5.0000000000000001E-3</v>
      </c>
      <c r="D18" s="131">
        <f t="shared" si="0"/>
        <v>1.5714285714285714</v>
      </c>
      <c r="E18" s="132">
        <v>0</v>
      </c>
      <c r="F18" s="131">
        <f t="shared" si="1"/>
        <v>21818.31465</v>
      </c>
      <c r="G18" s="133">
        <f t="shared" si="2"/>
        <v>2.181831465E-2</v>
      </c>
    </row>
    <row r="19" spans="1:7">
      <c r="A19" s="10">
        <f>'4B_N2O emission'!B20</f>
        <v>2008</v>
      </c>
      <c r="B19" s="130">
        <f>'4D1_N_effluent'!H20</f>
        <v>2806241.5612000003</v>
      </c>
      <c r="C19" s="130">
        <v>5.0000000000000001E-3</v>
      </c>
      <c r="D19" s="131">
        <f t="shared" si="0"/>
        <v>1.5714285714285714</v>
      </c>
      <c r="E19" s="132">
        <v>0</v>
      </c>
      <c r="F19" s="131">
        <f t="shared" si="1"/>
        <v>22049.040838000004</v>
      </c>
      <c r="G19" s="133">
        <f t="shared" si="2"/>
        <v>2.2049040838000005E-2</v>
      </c>
    </row>
    <row r="20" spans="1:7">
      <c r="A20" s="10">
        <f>'4B_N2O emission'!B21</f>
        <v>2009</v>
      </c>
      <c r="B20" s="130">
        <f>'4D1_N_effluent'!H21</f>
        <v>2834104.5040000002</v>
      </c>
      <c r="C20" s="130">
        <v>5.0000000000000001E-3</v>
      </c>
      <c r="D20" s="131">
        <f t="shared" si="0"/>
        <v>1.5714285714285714</v>
      </c>
      <c r="E20" s="132">
        <v>0</v>
      </c>
      <c r="F20" s="131">
        <f t="shared" si="1"/>
        <v>22267.963960000001</v>
      </c>
      <c r="G20" s="133">
        <f t="shared" si="2"/>
        <v>2.2267963960000001E-2</v>
      </c>
    </row>
    <row r="21" spans="1:7">
      <c r="A21" s="10">
        <f>'4B_N2O emission'!B22</f>
        <v>2010</v>
      </c>
      <c r="B21" s="130">
        <f>'4D1_N_effluent'!H22</f>
        <v>3383457</v>
      </c>
      <c r="C21" s="130">
        <v>5.0000000000000001E-3</v>
      </c>
      <c r="D21" s="131">
        <f t="shared" si="0"/>
        <v>1.5714285714285714</v>
      </c>
      <c r="E21" s="132">
        <v>0</v>
      </c>
      <c r="F21" s="131">
        <f t="shared" si="1"/>
        <v>26584.305</v>
      </c>
      <c r="G21" s="133">
        <f t="shared" si="2"/>
        <v>2.6584304999999999E-2</v>
      </c>
    </row>
    <row r="22" spans="1:7">
      <c r="A22" s="10">
        <f>'4B_N2O emission'!B23</f>
        <v>0</v>
      </c>
      <c r="B22" s="130">
        <f>'4D1_N_effluent'!H23</f>
        <v>0</v>
      </c>
      <c r="C22" s="130">
        <v>5.0000000000000001E-3</v>
      </c>
      <c r="D22" s="131">
        <f t="shared" si="0"/>
        <v>1.5714285714285714</v>
      </c>
      <c r="E22" s="132">
        <v>0</v>
      </c>
      <c r="F22" s="131">
        <f t="shared" si="1"/>
        <v>0</v>
      </c>
      <c r="G22" s="133">
        <f t="shared" si="2"/>
        <v>0</v>
      </c>
    </row>
    <row r="23" spans="1:7">
      <c r="A23" s="10">
        <f>'4B_N2O emission'!B24</f>
        <v>0</v>
      </c>
      <c r="B23" s="130">
        <f>'4D1_N_effluent'!H24</f>
        <v>0</v>
      </c>
      <c r="C23" s="130">
        <v>5.0000000000000001E-3</v>
      </c>
      <c r="D23" s="131">
        <f t="shared" si="0"/>
        <v>1.5714285714285714</v>
      </c>
      <c r="E23" s="132">
        <v>0</v>
      </c>
      <c r="F23" s="131">
        <f t="shared" si="1"/>
        <v>0</v>
      </c>
      <c r="G23" s="133">
        <f t="shared" si="2"/>
        <v>0</v>
      </c>
    </row>
    <row r="24" spans="1:7">
      <c r="A24" s="10">
        <f>'4B_N2O emission'!B25</f>
        <v>0</v>
      </c>
      <c r="B24" s="130">
        <f>'4D1_N_effluent'!H25</f>
        <v>0</v>
      </c>
      <c r="C24" s="130">
        <v>5.0000000000000001E-3</v>
      </c>
      <c r="D24" s="131">
        <f t="shared" si="0"/>
        <v>1.5714285714285714</v>
      </c>
      <c r="E24" s="132">
        <v>0</v>
      </c>
      <c r="F24" s="131">
        <f t="shared" si="1"/>
        <v>0</v>
      </c>
      <c r="G24" s="133">
        <f t="shared" si="2"/>
        <v>0</v>
      </c>
    </row>
    <row r="25" spans="1:7">
      <c r="A25" s="10">
        <f>'4B_N2O emission'!B26</f>
        <v>0</v>
      </c>
      <c r="B25" s="130">
        <f>'4D1_N_effluent'!H26</f>
        <v>0</v>
      </c>
      <c r="C25" s="130">
        <v>5.0000000000000001E-3</v>
      </c>
      <c r="D25" s="131">
        <f t="shared" si="0"/>
        <v>1.5714285714285714</v>
      </c>
      <c r="E25" s="132">
        <v>0</v>
      </c>
      <c r="F25" s="131">
        <f t="shared" si="1"/>
        <v>0</v>
      </c>
      <c r="G25" s="133">
        <f t="shared" si="2"/>
        <v>0</v>
      </c>
    </row>
    <row r="26" spans="1:7">
      <c r="A26" s="10">
        <f>'4B_N2O emission'!B27</f>
        <v>0</v>
      </c>
      <c r="B26" s="130">
        <f>'4D1_N_effluent'!H27</f>
        <v>0</v>
      </c>
      <c r="C26" s="130">
        <v>5.0000000000000001E-3</v>
      </c>
      <c r="D26" s="131">
        <f t="shared" si="0"/>
        <v>1.5714285714285714</v>
      </c>
      <c r="E26" s="132">
        <v>0</v>
      </c>
      <c r="F26" s="131">
        <f t="shared" si="1"/>
        <v>0</v>
      </c>
      <c r="G26" s="133">
        <f t="shared" si="2"/>
        <v>0</v>
      </c>
    </row>
    <row r="27" spans="1:7">
      <c r="A27" s="10">
        <f>'4B_N2O emission'!B28</f>
        <v>0</v>
      </c>
      <c r="B27" s="130">
        <f>'4D1_N_effluent'!H28</f>
        <v>0</v>
      </c>
      <c r="C27" s="130">
        <v>5.0000000000000001E-3</v>
      </c>
      <c r="D27" s="131">
        <f t="shared" si="0"/>
        <v>1.5714285714285714</v>
      </c>
      <c r="E27" s="132">
        <v>0</v>
      </c>
      <c r="F27" s="131">
        <f t="shared" si="1"/>
        <v>0</v>
      </c>
      <c r="G27" s="133">
        <f t="shared" si="2"/>
        <v>0</v>
      </c>
    </row>
    <row r="28" spans="1:7">
      <c r="A28" s="10">
        <f>'4B_N2O emission'!B29</f>
        <v>0</v>
      </c>
      <c r="B28" s="130">
        <f>'4D1_N_effluent'!H29</f>
        <v>0</v>
      </c>
      <c r="C28" s="130">
        <v>5.0000000000000001E-3</v>
      </c>
      <c r="D28" s="131">
        <f t="shared" si="0"/>
        <v>1.5714285714285714</v>
      </c>
      <c r="E28" s="132">
        <v>0</v>
      </c>
      <c r="F28" s="131">
        <f t="shared" si="1"/>
        <v>0</v>
      </c>
      <c r="G28" s="133">
        <f t="shared" si="2"/>
        <v>0</v>
      </c>
    </row>
    <row r="29" spans="1:7">
      <c r="A29" s="10">
        <f>'4B_N2O emission'!B30</f>
        <v>0</v>
      </c>
      <c r="B29" s="130">
        <f>'4D1_N_effluent'!H30</f>
        <v>0</v>
      </c>
      <c r="C29" s="130">
        <v>5.0000000000000001E-3</v>
      </c>
      <c r="D29" s="131">
        <f t="shared" si="0"/>
        <v>1.5714285714285714</v>
      </c>
      <c r="E29" s="132">
        <v>0</v>
      </c>
      <c r="F29" s="131">
        <f t="shared" si="1"/>
        <v>0</v>
      </c>
      <c r="G29" s="133">
        <f t="shared" si="2"/>
        <v>0</v>
      </c>
    </row>
    <row r="30" spans="1:7">
      <c r="A30" s="10">
        <f>'4B_N2O emission'!B31</f>
        <v>0</v>
      </c>
      <c r="B30" s="130">
        <f>'4D1_N_effluent'!H31</f>
        <v>0</v>
      </c>
      <c r="C30" s="130">
        <v>5.0000000000000001E-3</v>
      </c>
      <c r="D30" s="131">
        <f t="shared" si="0"/>
        <v>1.5714285714285714</v>
      </c>
      <c r="E30" s="132">
        <v>0</v>
      </c>
      <c r="F30" s="131">
        <f t="shared" si="1"/>
        <v>0</v>
      </c>
      <c r="G30" s="133">
        <f t="shared" si="2"/>
        <v>0</v>
      </c>
    </row>
    <row r="31" spans="1:7">
      <c r="A31" s="10">
        <f>'4B_N2O emission'!B32</f>
        <v>0</v>
      </c>
      <c r="B31" s="130">
        <f>'4D1_N_effluent'!H32</f>
        <v>0</v>
      </c>
      <c r="C31" s="130">
        <v>5.0000000000000001E-3</v>
      </c>
      <c r="D31" s="131">
        <f t="shared" si="0"/>
        <v>1.5714285714285714</v>
      </c>
      <c r="E31" s="132">
        <v>0</v>
      </c>
      <c r="F31" s="131">
        <f t="shared" si="1"/>
        <v>0</v>
      </c>
      <c r="G31" s="133">
        <f t="shared" si="2"/>
        <v>0</v>
      </c>
    </row>
    <row r="32" spans="1:7">
      <c r="C32" s="134"/>
    </row>
  </sheetData>
  <mergeCells count="5">
    <mergeCell ref="B6:F6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3"/>
  <sheetViews>
    <sheetView tabSelected="1" topLeftCell="A4" zoomScaleNormal="100" workbookViewId="0">
      <selection activeCell="D14" sqref="D14:D16"/>
    </sheetView>
  </sheetViews>
  <sheetFormatPr defaultRowHeight="12.75"/>
  <cols>
    <col min="1" max="1" width="9.140625" style="6"/>
    <col min="2" max="2" width="11.42578125" style="6" bestFit="1" customWidth="1"/>
    <col min="3" max="3" width="9.140625" style="6"/>
    <col min="4" max="4" width="12.28515625" style="6" bestFit="1" customWidth="1"/>
    <col min="5" max="16384" width="9.140625" style="6"/>
  </cols>
  <sheetData>
    <row r="2" spans="1:6" ht="13.5" thickBot="1">
      <c r="A2" s="135" t="s">
        <v>271</v>
      </c>
    </row>
    <row r="3" spans="1:6" ht="16.5" customHeight="1" thickBot="1">
      <c r="A3" s="265" t="s">
        <v>259</v>
      </c>
      <c r="B3" s="267" t="s">
        <v>270</v>
      </c>
      <c r="C3" s="268"/>
      <c r="D3" s="268"/>
      <c r="E3" s="268"/>
      <c r="F3" s="269"/>
    </row>
    <row r="4" spans="1:6" ht="14.25" thickBot="1">
      <c r="A4" s="266"/>
      <c r="B4" s="267" t="s">
        <v>272</v>
      </c>
      <c r="C4" s="269"/>
      <c r="D4" s="267" t="s">
        <v>273</v>
      </c>
      <c r="E4" s="269"/>
      <c r="F4" s="261" t="s">
        <v>275</v>
      </c>
    </row>
    <row r="5" spans="1:6" ht="13.5">
      <c r="A5" s="266"/>
      <c r="B5" s="136" t="s">
        <v>276</v>
      </c>
      <c r="C5" s="136" t="s">
        <v>277</v>
      </c>
      <c r="D5" s="136" t="s">
        <v>278</v>
      </c>
      <c r="E5" s="136" t="s">
        <v>277</v>
      </c>
      <c r="F5" s="262"/>
    </row>
    <row r="6" spans="1:6">
      <c r="A6" s="137">
        <f>'4B_N2O emission'!B12</f>
        <v>2000</v>
      </c>
      <c r="B6" s="165">
        <f>'4B_CH4 emissions'!G12</f>
        <v>6.1950754800000002E-3</v>
      </c>
      <c r="C6" s="138">
        <f>B6*21</f>
        <v>0.13009658507999999</v>
      </c>
      <c r="D6" s="166">
        <f>'4B_N2O emission'!E12</f>
        <v>4.6463066099999996E-4</v>
      </c>
      <c r="E6" s="138">
        <f>D6*310</f>
        <v>0.14403550491</v>
      </c>
      <c r="F6" s="139">
        <f>E6+C6</f>
        <v>0.27413208998999999</v>
      </c>
    </row>
    <row r="7" spans="1:6">
      <c r="A7" s="137">
        <f>'4B_N2O emission'!B13</f>
        <v>2001</v>
      </c>
      <c r="B7" s="165">
        <f>'4B_CH4 emissions'!G13</f>
        <v>6.3191145600000002E-3</v>
      </c>
      <c r="C7" s="138">
        <f t="shared" ref="C7:C16" si="0">B7*21</f>
        <v>0.13270140576</v>
      </c>
      <c r="D7" s="166">
        <f>'4B_N2O emission'!E13</f>
        <v>4.7393359199999997E-4</v>
      </c>
      <c r="E7" s="138">
        <f t="shared" ref="E7:E16" si="1">D7*310</f>
        <v>0.14691941351999999</v>
      </c>
      <c r="F7" s="139">
        <f t="shared" ref="F7:F16" si="2">E7+C7</f>
        <v>0.27962081927999999</v>
      </c>
    </row>
    <row r="8" spans="1:6">
      <c r="A8" s="137">
        <f>'4B_N2O emission'!B14</f>
        <v>2002</v>
      </c>
      <c r="B8" s="165">
        <f>'4B_CH4 emissions'!G14</f>
        <v>6.4632427199999998E-3</v>
      </c>
      <c r="C8" s="138">
        <f t="shared" si="0"/>
        <v>0.13572809712</v>
      </c>
      <c r="D8" s="166">
        <f>'4B_N2O emission'!E14</f>
        <v>4.8474320399999999E-4</v>
      </c>
      <c r="E8" s="138">
        <f t="shared" si="1"/>
        <v>0.15027039323999999</v>
      </c>
      <c r="F8" s="139">
        <f t="shared" si="2"/>
        <v>0.28599849036000002</v>
      </c>
    </row>
    <row r="9" spans="1:6">
      <c r="A9" s="137">
        <f>'4B_N2O emission'!B15</f>
        <v>2003</v>
      </c>
      <c r="B9" s="165">
        <f>'4B_CH4 emissions'!G15</f>
        <v>6.6702754799999996E-3</v>
      </c>
      <c r="C9" s="138">
        <f t="shared" si="0"/>
        <v>0.14007578507999999</v>
      </c>
      <c r="D9" s="166">
        <f>'4B_N2O emission'!E15</f>
        <v>5.0027066099999999E-4</v>
      </c>
      <c r="E9" s="138">
        <f t="shared" si="1"/>
        <v>0.15508390490999999</v>
      </c>
      <c r="F9" s="139">
        <f t="shared" si="2"/>
        <v>0.29515968998999997</v>
      </c>
    </row>
    <row r="10" spans="1:6">
      <c r="A10" s="137">
        <f>'4B_N2O emission'!B16</f>
        <v>2004</v>
      </c>
      <c r="B10" s="165">
        <f>'4B_CH4 emissions'!G16</f>
        <v>6.7478043599999999E-3</v>
      </c>
      <c r="C10" s="138">
        <f t="shared" si="0"/>
        <v>0.14170389155999999</v>
      </c>
      <c r="D10" s="166">
        <f>'4B_N2O emission'!E16</f>
        <v>5.0608532699999997E-4</v>
      </c>
      <c r="E10" s="138">
        <f t="shared" si="1"/>
        <v>0.15688645136999999</v>
      </c>
      <c r="F10" s="139">
        <f t="shared" si="2"/>
        <v>0.29859034292999997</v>
      </c>
    </row>
    <row r="11" spans="1:6">
      <c r="A11" s="137">
        <f>'4B_N2O emission'!B17</f>
        <v>2005</v>
      </c>
      <c r="B11" s="165">
        <f>'4B_CH4 emissions'!G17</f>
        <v>6.9353776799999994E-3</v>
      </c>
      <c r="C11" s="138">
        <f t="shared" si="0"/>
        <v>0.14564293128</v>
      </c>
      <c r="D11" s="166">
        <f>'4B_N2O emission'!E17</f>
        <v>5.2015332599999998E-4</v>
      </c>
      <c r="E11" s="138">
        <f t="shared" si="1"/>
        <v>0.16124753106</v>
      </c>
      <c r="F11" s="139">
        <f t="shared" si="2"/>
        <v>0.30689046234</v>
      </c>
    </row>
    <row r="12" spans="1:6">
      <c r="A12" s="137">
        <f>'4B_N2O emission'!B18</f>
        <v>2006</v>
      </c>
      <c r="B12" s="165">
        <f>'4B_CH4 emissions'!G18</f>
        <v>7.0153657200000014E-3</v>
      </c>
      <c r="C12" s="138">
        <f t="shared" si="0"/>
        <v>0.14732268012000002</v>
      </c>
      <c r="D12" s="166">
        <f>'4B_N2O emission'!E18</f>
        <v>5.2615242900000002E-4</v>
      </c>
      <c r="E12" s="138">
        <f t="shared" si="1"/>
        <v>0.16310725299000001</v>
      </c>
      <c r="F12" s="139">
        <f t="shared" si="2"/>
        <v>0.31042993311</v>
      </c>
    </row>
    <row r="13" spans="1:6">
      <c r="A13" s="137">
        <f>'4B_N2O emission'!B19</f>
        <v>2007</v>
      </c>
      <c r="B13" s="165">
        <f>'4B_CH4 emissions'!G19</f>
        <v>7.0932510000000001E-3</v>
      </c>
      <c r="C13" s="138">
        <f t="shared" si="0"/>
        <v>0.148958271</v>
      </c>
      <c r="D13" s="166">
        <f>'4B_N2O emission'!E19</f>
        <v>5.3199382499999998E-4</v>
      </c>
      <c r="E13" s="138">
        <f t="shared" si="1"/>
        <v>0.16491808575</v>
      </c>
      <c r="F13" s="139">
        <f t="shared" si="2"/>
        <v>0.31387635675000003</v>
      </c>
    </row>
    <row r="14" spans="1:6">
      <c r="A14" s="137">
        <f>'4B_N2O emission'!B20</f>
        <v>2008</v>
      </c>
      <c r="B14" s="165">
        <f>'4B_CH4 emissions'!G20</f>
        <v>7.1682613199999991E-3</v>
      </c>
      <c r="C14" s="138">
        <f t="shared" si="0"/>
        <v>0.15053348771999997</v>
      </c>
      <c r="D14" s="166">
        <f>'4B_N2O emission'!E20</f>
        <v>5.3761959899999991E-4</v>
      </c>
      <c r="E14" s="138">
        <f t="shared" si="1"/>
        <v>0.16666207568999997</v>
      </c>
      <c r="F14" s="139">
        <f t="shared" si="2"/>
        <v>0.31719556340999994</v>
      </c>
    </row>
    <row r="15" spans="1:6">
      <c r="A15" s="137">
        <f>'4B_N2O emission'!B21</f>
        <v>2009</v>
      </c>
      <c r="B15" s="165">
        <f>'4B_CH4 emissions'!G21</f>
        <v>7.2394344000000005E-3</v>
      </c>
      <c r="C15" s="138">
        <f t="shared" si="0"/>
        <v>0.15202812240000002</v>
      </c>
      <c r="D15" s="166">
        <f>'4B_N2O emission'!E21</f>
        <v>5.4295758000000001E-4</v>
      </c>
      <c r="E15" s="138">
        <f t="shared" si="1"/>
        <v>0.1683168498</v>
      </c>
      <c r="F15" s="139">
        <f t="shared" si="2"/>
        <v>0.32034497220000002</v>
      </c>
    </row>
    <row r="16" spans="1:6">
      <c r="A16" s="137">
        <f>'4B_N2O emission'!B22</f>
        <v>2010</v>
      </c>
      <c r="B16" s="165">
        <f>'4B_CH4 emissions'!G22</f>
        <v>8.6427000000000014E-3</v>
      </c>
      <c r="C16" s="138">
        <f t="shared" si="0"/>
        <v>0.18149670000000004</v>
      </c>
      <c r="D16" s="166">
        <f>'4B_N2O emission'!E22</f>
        <v>6.4820250000000013E-4</v>
      </c>
      <c r="E16" s="138">
        <f t="shared" si="1"/>
        <v>0.20094277500000005</v>
      </c>
      <c r="F16" s="139">
        <f t="shared" si="2"/>
        <v>0.38243947500000008</v>
      </c>
    </row>
    <row r="19" spans="1:7" ht="13.5" thickBot="1">
      <c r="A19" s="140" t="s">
        <v>282</v>
      </c>
    </row>
    <row r="20" spans="1:7" ht="16.5" customHeight="1" thickBot="1">
      <c r="A20" s="270" t="s">
        <v>259</v>
      </c>
      <c r="B20" s="272" t="s">
        <v>269</v>
      </c>
      <c r="C20" s="273"/>
      <c r="D20" s="273"/>
      <c r="E20" s="273"/>
      <c r="F20" s="273"/>
      <c r="G20" s="274"/>
    </row>
    <row r="21" spans="1:7" ht="14.25" customHeight="1" thickBot="1">
      <c r="A21" s="271"/>
      <c r="B21" s="272" t="s">
        <v>272</v>
      </c>
      <c r="C21" s="274"/>
      <c r="D21" s="272" t="s">
        <v>273</v>
      </c>
      <c r="E21" s="274"/>
      <c r="F21" s="163" t="s">
        <v>274</v>
      </c>
      <c r="G21" s="263" t="s">
        <v>275</v>
      </c>
    </row>
    <row r="22" spans="1:7" ht="13.5">
      <c r="A22" s="271"/>
      <c r="B22" s="141" t="s">
        <v>276</v>
      </c>
      <c r="C22" s="141" t="s">
        <v>277</v>
      </c>
      <c r="D22" s="141" t="s">
        <v>278</v>
      </c>
      <c r="E22" s="141" t="s">
        <v>277</v>
      </c>
      <c r="F22" s="141" t="s">
        <v>279</v>
      </c>
      <c r="G22" s="264"/>
    </row>
    <row r="23" spans="1:7">
      <c r="A23" s="137">
        <f>A6</f>
        <v>2000</v>
      </c>
      <c r="B23" s="164">
        <f>'4C2_CH4_OpenBurning'!D11</f>
        <v>5.3102666926594995E-2</v>
      </c>
      <c r="C23" s="138">
        <f>B23*21</f>
        <v>1.1151560054584948</v>
      </c>
      <c r="D23" s="164">
        <f>'4C2_N2O_OpenBurning'!D12</f>
        <v>1.2254461598445001E-3</v>
      </c>
      <c r="E23" s="138">
        <f>D23*310</f>
        <v>0.37988830955179503</v>
      </c>
      <c r="F23" s="142">
        <f>'4C2_CO2_OpenBurning'!M13</f>
        <v>1.4160761184075081</v>
      </c>
      <c r="G23" s="139">
        <f>C23+E23+F23</f>
        <v>2.911120433417798</v>
      </c>
    </row>
    <row r="24" spans="1:7" ht="12.75" customHeight="1">
      <c r="A24" s="137">
        <f t="shared" ref="A24:A33" si="3">A7</f>
        <v>2001</v>
      </c>
      <c r="B24" s="164">
        <f>'4C2_CH4_OpenBurning'!D12</f>
        <v>5.4165899484839998E-2</v>
      </c>
      <c r="C24" s="138">
        <f t="shared" ref="C24:C33" si="4">B24*21</f>
        <v>1.1374838891816399</v>
      </c>
      <c r="D24" s="164">
        <f>'4C2_N2O_OpenBurning'!D13</f>
        <v>1.249982295804E-3</v>
      </c>
      <c r="E24" s="138">
        <f t="shared" ref="E24:E33" si="5">D24*310</f>
        <v>0.38749451169923999</v>
      </c>
      <c r="F24" s="142">
        <f>'4C2_CO2_OpenBurning'!M14</f>
        <v>1.4444290867457146</v>
      </c>
      <c r="G24" s="139">
        <f t="shared" ref="G24:G33" si="6">C24+E24+F24</f>
        <v>2.9694074876265946</v>
      </c>
    </row>
    <row r="25" spans="1:7" ht="13.5" customHeight="1">
      <c r="A25" s="137">
        <f t="shared" si="3"/>
        <v>2002</v>
      </c>
      <c r="B25" s="164">
        <f>'4C2_CH4_OpenBurning'!D13</f>
        <v>5.5401330707580007E-2</v>
      </c>
      <c r="C25" s="138">
        <f t="shared" si="4"/>
        <v>1.1634279448591802</v>
      </c>
      <c r="D25" s="164">
        <f>'4C2_N2O_OpenBurning'!D14</f>
        <v>1.2784922470980003E-3</v>
      </c>
      <c r="E25" s="138">
        <f t="shared" si="5"/>
        <v>0.39633259660038006</v>
      </c>
      <c r="F25" s="142">
        <f>'4C2_CO2_OpenBurning'!M15</f>
        <v>1.4773740356853873</v>
      </c>
      <c r="G25" s="139">
        <f t="shared" si="6"/>
        <v>3.0371345771449478</v>
      </c>
    </row>
    <row r="26" spans="1:7">
      <c r="A26" s="137">
        <f t="shared" si="3"/>
        <v>2003</v>
      </c>
      <c r="B26" s="164">
        <f>'4C2_CH4_OpenBurning'!D14</f>
        <v>5.7175964726594988E-2</v>
      </c>
      <c r="C26" s="138">
        <f t="shared" si="4"/>
        <v>1.2006952592584947</v>
      </c>
      <c r="D26" s="164">
        <f>'4C2_N2O_OpenBurning'!D15</f>
        <v>1.3194453398444998E-3</v>
      </c>
      <c r="E26" s="138">
        <f t="shared" si="5"/>
        <v>0.40902805535179493</v>
      </c>
      <c r="F26" s="142">
        <f>'4C2_CO2_OpenBurning'!M16</f>
        <v>1.5246977766326064</v>
      </c>
      <c r="G26" s="139">
        <f t="shared" si="6"/>
        <v>3.134421091242896</v>
      </c>
    </row>
    <row r="27" spans="1:7">
      <c r="A27" s="137">
        <f t="shared" si="3"/>
        <v>2004</v>
      </c>
      <c r="B27" s="164">
        <f>'4C2_CH4_OpenBurning'!D15</f>
        <v>5.7840523262664999E-2</v>
      </c>
      <c r="C27" s="138">
        <f t="shared" si="4"/>
        <v>1.2146509885159649</v>
      </c>
      <c r="D27" s="164">
        <f>'4C2_N2O_OpenBurning'!D16</f>
        <v>1.3347813060614999E-3</v>
      </c>
      <c r="E27" s="138">
        <f t="shared" si="5"/>
        <v>0.41378220487906497</v>
      </c>
      <c r="F27" s="142">
        <f>'4C2_CO2_OpenBurning'!M17</f>
        <v>1.5424194001720315</v>
      </c>
      <c r="G27" s="139">
        <f t="shared" si="6"/>
        <v>3.1708525935670613</v>
      </c>
    </row>
    <row r="28" spans="1:7">
      <c r="A28" s="137">
        <f t="shared" si="3"/>
        <v>2005</v>
      </c>
      <c r="B28" s="164">
        <f>'4C2_CH4_OpenBurning'!D16</f>
        <v>5.9448355736770007E-2</v>
      </c>
      <c r="C28" s="138">
        <f t="shared" si="4"/>
        <v>1.2484154704721702</v>
      </c>
      <c r="D28" s="164">
        <f>'4C2_N2O_OpenBurning'!D17</f>
        <v>1.371885132387E-3</v>
      </c>
      <c r="E28" s="138">
        <f t="shared" si="5"/>
        <v>0.42528439103997001</v>
      </c>
      <c r="F28" s="142">
        <f>'4C2_CO2_OpenBurning'!M18</f>
        <v>1.5852950842149338</v>
      </c>
      <c r="G28" s="139">
        <f t="shared" si="6"/>
        <v>3.2589949457270739</v>
      </c>
    </row>
    <row r="29" spans="1:7">
      <c r="A29" s="137">
        <f t="shared" si="3"/>
        <v>2006</v>
      </c>
      <c r="B29" s="164">
        <f>'4C2_CH4_OpenBurning'!D17</f>
        <v>6.0133993588955006E-2</v>
      </c>
      <c r="C29" s="138">
        <f t="shared" si="4"/>
        <v>1.2628138653680552</v>
      </c>
      <c r="D29" s="164">
        <f>'4C2_N2O_OpenBurning'!D18</f>
        <v>1.3877075443605E-3</v>
      </c>
      <c r="E29" s="138">
        <f t="shared" si="5"/>
        <v>0.43018933875175502</v>
      </c>
      <c r="F29" s="142">
        <f>'4C2_CO2_OpenBurning'!M19</f>
        <v>1.6035788248356735</v>
      </c>
      <c r="G29" s="139">
        <f t="shared" si="6"/>
        <v>3.2965820289554837</v>
      </c>
    </row>
    <row r="30" spans="1:7">
      <c r="A30" s="137">
        <f t="shared" si="3"/>
        <v>2007</v>
      </c>
      <c r="B30" s="164">
        <f>'4C2_CH4_OpenBurning'!D18</f>
        <v>6.0801607098375003E-2</v>
      </c>
      <c r="C30" s="138">
        <f t="shared" si="4"/>
        <v>1.276833749065875</v>
      </c>
      <c r="D30" s="164">
        <f>'4C2_N2O_OpenBurning'!D19</f>
        <v>1.4031140099625002E-3</v>
      </c>
      <c r="E30" s="138">
        <f t="shared" si="5"/>
        <v>0.43496534308837509</v>
      </c>
      <c r="F30" s="142">
        <f>'4C2_CO2_OpenBurning'!M20</f>
        <v>1.6213819146187667</v>
      </c>
      <c r="G30" s="139">
        <f t="shared" si="6"/>
        <v>3.3331810067730165</v>
      </c>
    </row>
    <row r="31" spans="1:7">
      <c r="A31" s="137">
        <f t="shared" si="3"/>
        <v>2008</v>
      </c>
      <c r="B31" s="164">
        <f>'4C2_CH4_OpenBurning'!D19</f>
        <v>6.1444577156104997E-2</v>
      </c>
      <c r="C31" s="138">
        <f t="shared" si="4"/>
        <v>1.2903361202782049</v>
      </c>
      <c r="D31" s="164">
        <f>'4C2_N2O_OpenBurning'!D20</f>
        <v>1.4179517805254999E-3</v>
      </c>
      <c r="E31" s="138">
        <f t="shared" si="5"/>
        <v>0.43956505196290496</v>
      </c>
      <c r="F31" s="142">
        <f>'4C2_CO2_OpenBurning'!M21</f>
        <v>1.6385278433695984</v>
      </c>
      <c r="G31" s="139">
        <f t="shared" si="6"/>
        <v>3.3684290156107082</v>
      </c>
    </row>
    <row r="32" spans="1:7">
      <c r="A32" s="137">
        <f t="shared" si="3"/>
        <v>2009</v>
      </c>
      <c r="B32" s="164">
        <f>'4C2_CH4_OpenBurning'!D20</f>
        <v>6.2054655334099998E-2</v>
      </c>
      <c r="C32" s="138">
        <f t="shared" si="4"/>
        <v>1.3031477620161001</v>
      </c>
      <c r="D32" s="164">
        <f>'4C2_N2O_OpenBurning'!D21</f>
        <v>1.4320305077099998E-3</v>
      </c>
      <c r="E32" s="138">
        <f t="shared" si="5"/>
        <v>0.44392945739009992</v>
      </c>
      <c r="F32" s="142">
        <f>'4C2_CO2_OpenBurning'!M22</f>
        <v>1.6547966522302626</v>
      </c>
      <c r="G32" s="139">
        <f t="shared" si="6"/>
        <v>3.4018738716364627</v>
      </c>
    </row>
    <row r="33" spans="1:7">
      <c r="A33" s="137">
        <f t="shared" si="3"/>
        <v>2010</v>
      </c>
      <c r="B33" s="164">
        <f>'4C2_CH4_OpenBurning'!D21</f>
        <v>7.4083103737500017E-2</v>
      </c>
      <c r="C33" s="138">
        <f t="shared" si="4"/>
        <v>1.5557451784875003</v>
      </c>
      <c r="D33" s="164">
        <f>'4C2_N2O_OpenBurning'!D22</f>
        <v>1.7096100862500005E-3</v>
      </c>
      <c r="E33" s="138">
        <f t="shared" si="5"/>
        <v>0.52997912673750014</v>
      </c>
      <c r="F33" s="142">
        <f>'4C2_CO2_OpenBurning'!M23</f>
        <v>1.9755564089689792</v>
      </c>
      <c r="G33" s="139">
        <f t="shared" si="6"/>
        <v>4.0612807141939795</v>
      </c>
    </row>
    <row r="36" spans="1:7" ht="14.25">
      <c r="A36" s="143"/>
      <c r="B36" s="144"/>
      <c r="C36" s="145"/>
      <c r="D36" s="144"/>
      <c r="E36" s="145"/>
      <c r="F36" s="145"/>
    </row>
    <row r="37" spans="1:7" ht="14.25">
      <c r="A37" s="143"/>
      <c r="B37" s="144"/>
      <c r="C37" s="145"/>
      <c r="D37" s="144"/>
      <c r="E37" s="145"/>
      <c r="F37" s="145"/>
    </row>
    <row r="38" spans="1:7" ht="15" thickBot="1">
      <c r="A38" s="146" t="s">
        <v>280</v>
      </c>
      <c r="B38" s="145"/>
      <c r="C38" s="144"/>
      <c r="D38" s="145"/>
    </row>
    <row r="39" spans="1:7" ht="14.25" customHeight="1" thickBot="1">
      <c r="A39" s="255" t="s">
        <v>259</v>
      </c>
      <c r="B39" s="257" t="s">
        <v>260</v>
      </c>
      <c r="C39" s="258"/>
      <c r="D39" s="147" t="s">
        <v>261</v>
      </c>
      <c r="E39" s="148"/>
      <c r="F39" s="149" t="s">
        <v>239</v>
      </c>
    </row>
    <row r="40" spans="1:7" ht="63.75" thickBot="1">
      <c r="A40" s="256"/>
      <c r="B40" s="150" t="s">
        <v>262</v>
      </c>
      <c r="C40" s="150" t="s">
        <v>263</v>
      </c>
      <c r="D40" s="151" t="s">
        <v>264</v>
      </c>
      <c r="E40" s="151" t="s">
        <v>265</v>
      </c>
      <c r="F40" s="152" t="s">
        <v>281</v>
      </c>
    </row>
    <row r="41" spans="1:7" ht="13.5" thickBot="1">
      <c r="A41" s="256"/>
      <c r="B41" s="259" t="s">
        <v>11</v>
      </c>
      <c r="C41" s="153" t="s">
        <v>12</v>
      </c>
      <c r="D41" s="154" t="s">
        <v>13</v>
      </c>
      <c r="E41" s="155" t="s">
        <v>14</v>
      </c>
      <c r="F41" s="156" t="s">
        <v>15</v>
      </c>
    </row>
    <row r="42" spans="1:7" ht="25.5">
      <c r="A42" s="256"/>
      <c r="B42" s="260"/>
      <c r="C42" s="157" t="s">
        <v>266</v>
      </c>
      <c r="D42" s="158"/>
      <c r="E42" s="159" t="s">
        <v>267</v>
      </c>
      <c r="F42" s="160" t="s">
        <v>268</v>
      </c>
    </row>
    <row r="43" spans="1:7">
      <c r="A43" s="137">
        <f>A23</f>
        <v>2000</v>
      </c>
      <c r="B43" s="167">
        <f>'4D1_CH4_Domestic_Wastewater'!N12</f>
        <v>0.54478993158959998</v>
      </c>
      <c r="C43" s="138">
        <f>B43*21</f>
        <v>11.440588563381599</v>
      </c>
      <c r="D43" s="161">
        <f>'4D1_Indirect_N2O'!G11</f>
        <v>1.9055593281999999E-2</v>
      </c>
      <c r="E43" s="138">
        <f>D43*310</f>
        <v>5.9072339174199993</v>
      </c>
      <c r="F43" s="162">
        <f>C43+E43</f>
        <v>17.347822480801597</v>
      </c>
    </row>
    <row r="44" spans="1:7">
      <c r="A44" s="137">
        <f t="shared" ref="A44:A53" si="7">A24</f>
        <v>2001</v>
      </c>
      <c r="B44" s="167">
        <f>'4D1_CH4_Domestic_Wastewater'!N13</f>
        <v>0.55569782805120005</v>
      </c>
      <c r="C44" s="138">
        <f t="shared" ref="C44:C63" si="8">B44*21</f>
        <v>11.669654389075202</v>
      </c>
      <c r="D44" s="161">
        <f>'4D1_Indirect_N2O'!G12</f>
        <v>1.9437128304E-2</v>
      </c>
      <c r="E44" s="138">
        <f t="shared" ref="E44:E63" si="9">D44*310</f>
        <v>6.0255097742399997</v>
      </c>
      <c r="F44" s="162">
        <f t="shared" ref="F44:F63" si="10">C44+E44</f>
        <v>17.695164163315201</v>
      </c>
    </row>
    <row r="45" spans="1:7">
      <c r="A45" s="137">
        <f t="shared" si="7"/>
        <v>2002</v>
      </c>
      <c r="B45" s="167">
        <f>'4D1_CH4_Domestic_Wastewater'!N14</f>
        <v>0.56837234197440001</v>
      </c>
      <c r="C45" s="138">
        <f t="shared" si="8"/>
        <v>11.935819181462399</v>
      </c>
      <c r="D45" s="161">
        <f>'4D1_Indirect_N2O'!G13</f>
        <v>1.9880455848000002E-2</v>
      </c>
      <c r="E45" s="138">
        <f t="shared" si="9"/>
        <v>6.1629413128800001</v>
      </c>
      <c r="F45" s="162">
        <f t="shared" si="10"/>
        <v>18.0987604943424</v>
      </c>
    </row>
    <row r="46" spans="1:7">
      <c r="A46" s="137">
        <f t="shared" si="7"/>
        <v>2003</v>
      </c>
      <c r="B46" s="167">
        <f>'4D1_CH4_Domestic_Wastewater'!N15</f>
        <v>0.58657863558960011</v>
      </c>
      <c r="C46" s="138">
        <f t="shared" si="8"/>
        <v>12.318151347381603</v>
      </c>
      <c r="D46" s="161">
        <f>'4D1_Indirect_N2O'!G14</f>
        <v>2.0517273282000002E-2</v>
      </c>
      <c r="E46" s="138">
        <f t="shared" si="9"/>
        <v>6.3603547174200008</v>
      </c>
      <c r="F46" s="162">
        <f t="shared" si="10"/>
        <v>18.678506064801603</v>
      </c>
    </row>
    <row r="47" spans="1:7">
      <c r="A47" s="137">
        <f t="shared" si="7"/>
        <v>2004</v>
      </c>
      <c r="B47" s="167">
        <f>'4D1_CH4_Domestic_Wastewater'!N16</f>
        <v>0.59339646264720003</v>
      </c>
      <c r="C47" s="138">
        <f t="shared" si="8"/>
        <v>12.461325715591201</v>
      </c>
      <c r="D47" s="161">
        <f>'4D1_Indirect_N2O'!G15</f>
        <v>2.0755746374E-2</v>
      </c>
      <c r="E47" s="138">
        <f t="shared" si="9"/>
        <v>6.4342813759399995</v>
      </c>
      <c r="F47" s="162">
        <f t="shared" si="10"/>
        <v>18.8956070915312</v>
      </c>
    </row>
    <row r="48" spans="1:7">
      <c r="A48" s="137">
        <f t="shared" si="7"/>
        <v>2005</v>
      </c>
      <c r="B48" s="167">
        <f>'4D1_CH4_Domestic_Wastewater'!N17</f>
        <v>0.6098915088336001</v>
      </c>
      <c r="C48" s="138">
        <f t="shared" si="8"/>
        <v>12.807721685505602</v>
      </c>
      <c r="D48" s="161">
        <f>'4D1_Indirect_N2O'!G16</f>
        <v>2.1332708012000004E-2</v>
      </c>
      <c r="E48" s="138">
        <f t="shared" si="9"/>
        <v>6.6131394837200013</v>
      </c>
      <c r="F48" s="162">
        <f t="shared" si="10"/>
        <v>19.420861169225603</v>
      </c>
    </row>
    <row r="49" spans="1:6">
      <c r="A49" s="137">
        <f t="shared" si="7"/>
        <v>2006</v>
      </c>
      <c r="B49" s="167">
        <f>'4D1_CH4_Domestic_Wastewater'!N18</f>
        <v>0.61692559243440004</v>
      </c>
      <c r="C49" s="138">
        <f t="shared" si="8"/>
        <v>12.955437441122401</v>
      </c>
      <c r="D49" s="161">
        <f>'4D1_Indirect_N2O'!G17</f>
        <v>2.1578745298000003E-2</v>
      </c>
      <c r="E49" s="138">
        <f t="shared" si="9"/>
        <v>6.6894110423800006</v>
      </c>
      <c r="F49" s="162">
        <f t="shared" si="10"/>
        <v>19.6448484835024</v>
      </c>
    </row>
    <row r="50" spans="1:6">
      <c r="A50" s="137">
        <f t="shared" si="7"/>
        <v>2007</v>
      </c>
      <c r="B50" s="167">
        <f>'4D1_CH4_Domestic_Wastewater'!N19</f>
        <v>0.62377476102000007</v>
      </c>
      <c r="C50" s="138">
        <f t="shared" si="8"/>
        <v>13.099269981420001</v>
      </c>
      <c r="D50" s="161">
        <f>'4D1_Indirect_N2O'!G18</f>
        <v>2.181831465E-2</v>
      </c>
      <c r="E50" s="138">
        <f t="shared" si="9"/>
        <v>6.7636775414999999</v>
      </c>
      <c r="F50" s="162">
        <f t="shared" si="10"/>
        <v>19.862947522920003</v>
      </c>
    </row>
    <row r="51" spans="1:6">
      <c r="A51" s="137">
        <f t="shared" si="7"/>
        <v>2008</v>
      </c>
      <c r="B51" s="167">
        <f>'4D1_CH4_Domestic_Wastewater'!N20</f>
        <v>0.63037110794640006</v>
      </c>
      <c r="C51" s="138">
        <f t="shared" si="8"/>
        <v>13.237793266874402</v>
      </c>
      <c r="D51" s="161">
        <f>'4D1_Indirect_N2O'!G19</f>
        <v>2.2049040838000005E-2</v>
      </c>
      <c r="E51" s="138">
        <f t="shared" si="9"/>
        <v>6.835202659780002</v>
      </c>
      <c r="F51" s="162">
        <f t="shared" si="10"/>
        <v>20.072995926654404</v>
      </c>
    </row>
    <row r="52" spans="1:6">
      <c r="A52" s="137">
        <f t="shared" si="7"/>
        <v>2009</v>
      </c>
      <c r="B52" s="167">
        <f>'4D1_CH4_Domestic_Wastewater'!N21</f>
        <v>0.6366300110880001</v>
      </c>
      <c r="C52" s="138">
        <f t="shared" si="8"/>
        <v>13.369230232848002</v>
      </c>
      <c r="D52" s="161">
        <f>'4D1_Indirect_N2O'!G20</f>
        <v>2.2267963960000001E-2</v>
      </c>
      <c r="E52" s="138">
        <f t="shared" si="9"/>
        <v>6.9030688276000003</v>
      </c>
      <c r="F52" s="162">
        <f t="shared" si="10"/>
        <v>20.272299060448002</v>
      </c>
    </row>
    <row r="53" spans="1:6">
      <c r="A53" s="137">
        <f t="shared" si="7"/>
        <v>2010</v>
      </c>
      <c r="B53" s="167">
        <f>'4D1_CH4_Domestic_Wastewater'!N22</f>
        <v>0.76003205400000007</v>
      </c>
      <c r="C53" s="138">
        <f t="shared" si="8"/>
        <v>15.960673134000002</v>
      </c>
      <c r="D53" s="161">
        <f>'4D1_Indirect_N2O'!G21</f>
        <v>2.6584304999999999E-2</v>
      </c>
      <c r="E53" s="138">
        <f t="shared" si="9"/>
        <v>8.2411345499999999</v>
      </c>
      <c r="F53" s="162">
        <f t="shared" si="10"/>
        <v>24.201807684000002</v>
      </c>
    </row>
    <row r="54" spans="1:6">
      <c r="A54" s="137"/>
      <c r="B54" s="167">
        <f>'4D1_CH4_Domestic_Wastewater'!N23</f>
        <v>0</v>
      </c>
      <c r="C54" s="138">
        <f t="shared" si="8"/>
        <v>0</v>
      </c>
      <c r="D54" s="161">
        <f>'4D1_Indirect_N2O'!G22</f>
        <v>0</v>
      </c>
      <c r="E54" s="138">
        <f t="shared" si="9"/>
        <v>0</v>
      </c>
      <c r="F54" s="162">
        <f t="shared" si="10"/>
        <v>0</v>
      </c>
    </row>
    <row r="55" spans="1:6">
      <c r="A55" s="137"/>
      <c r="B55" s="167">
        <f>'4D1_CH4_Domestic_Wastewater'!N24</f>
        <v>0</v>
      </c>
      <c r="C55" s="138">
        <f t="shared" si="8"/>
        <v>0</v>
      </c>
      <c r="D55" s="161">
        <f>'4D1_Indirect_N2O'!G23</f>
        <v>0</v>
      </c>
      <c r="E55" s="138">
        <f t="shared" si="9"/>
        <v>0</v>
      </c>
      <c r="F55" s="162">
        <f t="shared" si="10"/>
        <v>0</v>
      </c>
    </row>
    <row r="56" spans="1:6">
      <c r="A56" s="137"/>
      <c r="B56" s="167">
        <f>'4D1_CH4_Domestic_Wastewater'!N25</f>
        <v>0</v>
      </c>
      <c r="C56" s="138">
        <f t="shared" si="8"/>
        <v>0</v>
      </c>
      <c r="D56" s="161">
        <f>'4D1_Indirect_N2O'!G24</f>
        <v>0</v>
      </c>
      <c r="E56" s="138">
        <f t="shared" si="9"/>
        <v>0</v>
      </c>
      <c r="F56" s="162">
        <f t="shared" si="10"/>
        <v>0</v>
      </c>
    </row>
    <row r="57" spans="1:6">
      <c r="A57" s="137"/>
      <c r="B57" s="167">
        <f>'4D1_CH4_Domestic_Wastewater'!N26</f>
        <v>0</v>
      </c>
      <c r="C57" s="138">
        <f t="shared" si="8"/>
        <v>0</v>
      </c>
      <c r="D57" s="161">
        <f>'4D1_Indirect_N2O'!G25</f>
        <v>0</v>
      </c>
      <c r="E57" s="138">
        <f t="shared" si="9"/>
        <v>0</v>
      </c>
      <c r="F57" s="162">
        <f t="shared" si="10"/>
        <v>0</v>
      </c>
    </row>
    <row r="58" spans="1:6">
      <c r="A58" s="137"/>
      <c r="B58" s="167">
        <f>'4D1_CH4_Domestic_Wastewater'!N27</f>
        <v>0</v>
      </c>
      <c r="C58" s="138">
        <f t="shared" si="8"/>
        <v>0</v>
      </c>
      <c r="D58" s="161">
        <f>'4D1_Indirect_N2O'!G26</f>
        <v>0</v>
      </c>
      <c r="E58" s="138">
        <f t="shared" si="9"/>
        <v>0</v>
      </c>
      <c r="F58" s="162">
        <f t="shared" si="10"/>
        <v>0</v>
      </c>
    </row>
    <row r="59" spans="1:6">
      <c r="A59" s="137"/>
      <c r="B59" s="167">
        <f>'4D1_CH4_Domestic_Wastewater'!N28</f>
        <v>0</v>
      </c>
      <c r="C59" s="138">
        <f t="shared" si="8"/>
        <v>0</v>
      </c>
      <c r="D59" s="161">
        <f>'4D1_Indirect_N2O'!G27</f>
        <v>0</v>
      </c>
      <c r="E59" s="138">
        <f t="shared" si="9"/>
        <v>0</v>
      </c>
      <c r="F59" s="162">
        <f t="shared" si="10"/>
        <v>0</v>
      </c>
    </row>
    <row r="60" spans="1:6">
      <c r="A60" s="137"/>
      <c r="B60" s="167">
        <f>'4D1_CH4_Domestic_Wastewater'!N29</f>
        <v>0</v>
      </c>
      <c r="C60" s="138">
        <f t="shared" si="8"/>
        <v>0</v>
      </c>
      <c r="D60" s="161">
        <f>'4D1_Indirect_N2O'!G28</f>
        <v>0</v>
      </c>
      <c r="E60" s="138">
        <f t="shared" si="9"/>
        <v>0</v>
      </c>
      <c r="F60" s="162">
        <f t="shared" si="10"/>
        <v>0</v>
      </c>
    </row>
    <row r="61" spans="1:6">
      <c r="A61" s="137"/>
      <c r="B61" s="167">
        <f>'4D1_CH4_Domestic_Wastewater'!N30</f>
        <v>0</v>
      </c>
      <c r="C61" s="138">
        <f t="shared" si="8"/>
        <v>0</v>
      </c>
      <c r="D61" s="161">
        <f>'4D1_Indirect_N2O'!G29</f>
        <v>0</v>
      </c>
      <c r="E61" s="138">
        <f t="shared" si="9"/>
        <v>0</v>
      </c>
      <c r="F61" s="162">
        <f t="shared" si="10"/>
        <v>0</v>
      </c>
    </row>
    <row r="62" spans="1:6">
      <c r="A62" s="137"/>
      <c r="B62" s="167">
        <f>'4D1_CH4_Domestic_Wastewater'!N31</f>
        <v>0</v>
      </c>
      <c r="C62" s="138">
        <f t="shared" si="8"/>
        <v>0</v>
      </c>
      <c r="D62" s="161">
        <f>'4D1_Indirect_N2O'!G30</f>
        <v>0</v>
      </c>
      <c r="E62" s="138">
        <f t="shared" si="9"/>
        <v>0</v>
      </c>
      <c r="F62" s="162">
        <f t="shared" si="10"/>
        <v>0</v>
      </c>
    </row>
    <row r="63" spans="1:6">
      <c r="A63" s="137"/>
      <c r="B63" s="167">
        <f>'4D1_CH4_Domestic_Wastewater'!N32</f>
        <v>0</v>
      </c>
      <c r="C63" s="138">
        <f t="shared" si="8"/>
        <v>0</v>
      </c>
      <c r="D63" s="161">
        <f>'4D1_Indirect_N2O'!G31</f>
        <v>0</v>
      </c>
      <c r="E63" s="138">
        <f t="shared" si="9"/>
        <v>0</v>
      </c>
      <c r="F63" s="162">
        <f t="shared" si="10"/>
        <v>0</v>
      </c>
    </row>
  </sheetData>
  <mergeCells count="13">
    <mergeCell ref="A39:A42"/>
    <mergeCell ref="B39:C39"/>
    <mergeCell ref="B41:B42"/>
    <mergeCell ref="F4:F5"/>
    <mergeCell ref="G21:G22"/>
    <mergeCell ref="A3:A5"/>
    <mergeCell ref="B3:F3"/>
    <mergeCell ref="B4:C4"/>
    <mergeCell ref="D4:E4"/>
    <mergeCell ref="A20:A22"/>
    <mergeCell ref="B20:G20"/>
    <mergeCell ref="B21:C21"/>
    <mergeCell ref="D21:E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50"/>
  </sheetPr>
  <dimension ref="A1:G40"/>
  <sheetViews>
    <sheetView topLeftCell="A7" zoomScaleNormal="100" workbookViewId="0">
      <selection activeCell="C12" sqref="C12:C22"/>
    </sheetView>
  </sheetViews>
  <sheetFormatPr defaultRowHeight="12.75"/>
  <cols>
    <col min="1" max="1" width="15.7109375" style="6" customWidth="1"/>
    <col min="2" max="2" width="13" style="6" customWidth="1"/>
    <col min="3" max="7" width="20.140625" style="6" customWidth="1"/>
    <col min="8" max="11" width="9.140625" style="6"/>
    <col min="12" max="12" width="13.140625" style="6" customWidth="1"/>
    <col min="13" max="16384" width="9.140625" style="6"/>
  </cols>
  <sheetData>
    <row r="1" spans="1:7">
      <c r="A1" s="183"/>
      <c r="B1" s="183"/>
      <c r="C1" s="183"/>
      <c r="D1" s="183"/>
      <c r="E1" s="183"/>
      <c r="F1" s="183"/>
      <c r="G1" s="183"/>
    </row>
    <row r="2" spans="1:7">
      <c r="A2" s="184" t="s">
        <v>0</v>
      </c>
      <c r="B2" s="184"/>
      <c r="C2" s="185" t="s">
        <v>1</v>
      </c>
      <c r="D2" s="185"/>
      <c r="E2" s="185"/>
      <c r="F2" s="185"/>
      <c r="G2" s="185"/>
    </row>
    <row r="3" spans="1:7">
      <c r="A3" s="184" t="s">
        <v>2</v>
      </c>
      <c r="B3" s="184"/>
      <c r="C3" s="185" t="s">
        <v>3</v>
      </c>
      <c r="D3" s="185"/>
      <c r="E3" s="185"/>
      <c r="F3" s="185"/>
      <c r="G3" s="185"/>
    </row>
    <row r="4" spans="1:7">
      <c r="A4" s="184" t="s">
        <v>4</v>
      </c>
      <c r="B4" s="184"/>
      <c r="C4" s="185" t="s">
        <v>5</v>
      </c>
      <c r="D4" s="185"/>
      <c r="E4" s="185"/>
      <c r="F4" s="185"/>
      <c r="G4" s="185"/>
    </row>
    <row r="5" spans="1:7" ht="14.25" customHeight="1">
      <c r="A5" s="184" t="s">
        <v>6</v>
      </c>
      <c r="B5" s="184"/>
      <c r="C5" s="185" t="s">
        <v>7</v>
      </c>
      <c r="D5" s="185"/>
      <c r="E5" s="185"/>
      <c r="F5" s="185"/>
      <c r="G5" s="185"/>
    </row>
    <row r="6" spans="1:7">
      <c r="A6" s="56"/>
      <c r="B6" s="57"/>
      <c r="C6" s="58" t="s">
        <v>8</v>
      </c>
      <c r="D6" s="201" t="s">
        <v>9</v>
      </c>
      <c r="E6" s="202"/>
      <c r="F6" s="203" t="s">
        <v>10</v>
      </c>
      <c r="G6" s="202"/>
    </row>
    <row r="7" spans="1:7">
      <c r="A7" s="59"/>
      <c r="B7" s="59"/>
      <c r="C7" s="10" t="s">
        <v>11</v>
      </c>
      <c r="D7" s="10" t="s">
        <v>12</v>
      </c>
      <c r="E7" s="10" t="s">
        <v>13</v>
      </c>
      <c r="F7" s="10" t="s">
        <v>14</v>
      </c>
      <c r="G7" s="10" t="s">
        <v>15</v>
      </c>
    </row>
    <row r="8" spans="1:7" ht="53.25" customHeight="1">
      <c r="A8" s="189" t="s">
        <v>16</v>
      </c>
      <c r="B8" s="195" t="s">
        <v>28</v>
      </c>
      <c r="C8" s="51" t="s">
        <v>17</v>
      </c>
      <c r="D8" s="51" t="s">
        <v>18</v>
      </c>
      <c r="E8" s="51" t="s">
        <v>19</v>
      </c>
      <c r="F8" s="51" t="s">
        <v>20</v>
      </c>
      <c r="G8" s="51" t="s">
        <v>21</v>
      </c>
    </row>
    <row r="9" spans="1:7" ht="28.5">
      <c r="A9" s="190"/>
      <c r="B9" s="196"/>
      <c r="C9" s="1" t="s">
        <v>22</v>
      </c>
      <c r="D9" s="1" t="s">
        <v>23</v>
      </c>
      <c r="E9" s="1" t="s">
        <v>24</v>
      </c>
      <c r="F9" s="1" t="s">
        <v>24</v>
      </c>
      <c r="G9" s="1" t="s">
        <v>24</v>
      </c>
    </row>
    <row r="10" spans="1:7" ht="15" thickBot="1">
      <c r="A10" s="191"/>
      <c r="B10" s="197"/>
      <c r="C10" s="11"/>
      <c r="D10" s="11"/>
      <c r="E10" s="11" t="s">
        <v>25</v>
      </c>
      <c r="F10" s="11"/>
      <c r="G10" s="11" t="s">
        <v>26</v>
      </c>
    </row>
    <row r="11" spans="1:7" ht="28.5" customHeight="1" thickTop="1" thickBot="1">
      <c r="B11" s="60"/>
      <c r="C11" s="60"/>
      <c r="D11" s="60"/>
      <c r="E11" s="60"/>
      <c r="F11" s="61" t="s">
        <v>258</v>
      </c>
      <c r="G11" s="60"/>
    </row>
    <row r="12" spans="1:7" ht="13.5" thickTop="1">
      <c r="A12" s="198" t="s">
        <v>27</v>
      </c>
      <c r="B12" s="10">
        <v>2000</v>
      </c>
      <c r="C12" s="168">
        <f>'[1]Fraksi pengelolaan sampah BaU'!D30</f>
        <v>1.54876887</v>
      </c>
      <c r="D12" s="64">
        <v>4</v>
      </c>
      <c r="E12" s="65">
        <f>C12*D12/1000</f>
        <v>6.1950754800000002E-3</v>
      </c>
      <c r="F12" s="66">
        <v>0</v>
      </c>
      <c r="G12" s="65">
        <f>E12-F12</f>
        <v>6.1950754800000002E-3</v>
      </c>
    </row>
    <row r="13" spans="1:7">
      <c r="A13" s="199"/>
      <c r="B13" s="10">
        <v>2001</v>
      </c>
      <c r="C13" s="168">
        <f>'[1]Fraksi pengelolaan sampah BaU'!D31</f>
        <v>1.57977864</v>
      </c>
      <c r="D13" s="64">
        <v>4</v>
      </c>
      <c r="E13" s="65">
        <f t="shared" ref="E13:E32" si="0">C13*D13/1000</f>
        <v>6.3191145600000002E-3</v>
      </c>
      <c r="F13" s="66">
        <v>0</v>
      </c>
      <c r="G13" s="65">
        <f t="shared" ref="G13:G32" si="1">E13-F13</f>
        <v>6.3191145600000002E-3</v>
      </c>
    </row>
    <row r="14" spans="1:7">
      <c r="A14" s="199"/>
      <c r="B14" s="10">
        <v>2002</v>
      </c>
      <c r="C14" s="168">
        <f>'[1]Fraksi pengelolaan sampah BaU'!D32</f>
        <v>1.6158106800000001</v>
      </c>
      <c r="D14" s="64">
        <v>4</v>
      </c>
      <c r="E14" s="65">
        <f t="shared" si="0"/>
        <v>6.4632427199999998E-3</v>
      </c>
      <c r="F14" s="66">
        <v>0</v>
      </c>
      <c r="G14" s="65">
        <f t="shared" si="1"/>
        <v>6.4632427199999998E-3</v>
      </c>
    </row>
    <row r="15" spans="1:7">
      <c r="A15" s="199"/>
      <c r="B15" s="10">
        <v>2003</v>
      </c>
      <c r="C15" s="168">
        <f>'[1]Fraksi pengelolaan sampah BaU'!D33</f>
        <v>1.66756887</v>
      </c>
      <c r="D15" s="64">
        <v>4</v>
      </c>
      <c r="E15" s="65">
        <f t="shared" si="0"/>
        <v>6.6702754799999996E-3</v>
      </c>
      <c r="F15" s="66">
        <v>0</v>
      </c>
      <c r="G15" s="65">
        <f t="shared" si="1"/>
        <v>6.6702754799999996E-3</v>
      </c>
    </row>
    <row r="16" spans="1:7">
      <c r="A16" s="199"/>
      <c r="B16" s="10">
        <v>2004</v>
      </c>
      <c r="C16" s="168">
        <f>'[1]Fraksi pengelolaan sampah BaU'!D34</f>
        <v>1.68695109</v>
      </c>
      <c r="D16" s="64">
        <v>4</v>
      </c>
      <c r="E16" s="65">
        <f t="shared" si="0"/>
        <v>6.7478043599999999E-3</v>
      </c>
      <c r="F16" s="66">
        <v>0</v>
      </c>
      <c r="G16" s="65">
        <f t="shared" si="1"/>
        <v>6.7478043599999999E-3</v>
      </c>
    </row>
    <row r="17" spans="1:7">
      <c r="A17" s="199"/>
      <c r="B17" s="10">
        <v>2005</v>
      </c>
      <c r="C17" s="168">
        <f>'[1]Fraksi pengelolaan sampah BaU'!D35</f>
        <v>1.7338444199999998</v>
      </c>
      <c r="D17" s="64">
        <v>4</v>
      </c>
      <c r="E17" s="65">
        <f t="shared" si="0"/>
        <v>6.9353776799999994E-3</v>
      </c>
      <c r="F17" s="66">
        <v>0</v>
      </c>
      <c r="G17" s="65">
        <f t="shared" si="1"/>
        <v>6.9353776799999994E-3</v>
      </c>
    </row>
    <row r="18" spans="1:7">
      <c r="A18" s="199"/>
      <c r="B18" s="10">
        <v>2006</v>
      </c>
      <c r="C18" s="168">
        <f>'[1]Fraksi pengelolaan sampah BaU'!D36</f>
        <v>1.7538414300000003</v>
      </c>
      <c r="D18" s="64">
        <v>4</v>
      </c>
      <c r="E18" s="65">
        <f t="shared" si="0"/>
        <v>7.0153657200000014E-3</v>
      </c>
      <c r="F18" s="66">
        <v>0</v>
      </c>
      <c r="G18" s="65">
        <f t="shared" si="1"/>
        <v>7.0153657200000014E-3</v>
      </c>
    </row>
    <row r="19" spans="1:7">
      <c r="A19" s="199"/>
      <c r="B19" s="10">
        <v>2007</v>
      </c>
      <c r="C19" s="168">
        <f>'[1]Fraksi pengelolaan sampah BaU'!D37</f>
        <v>1.7733127500000001</v>
      </c>
      <c r="D19" s="64">
        <v>4</v>
      </c>
      <c r="E19" s="65">
        <f t="shared" si="0"/>
        <v>7.0932510000000001E-3</v>
      </c>
      <c r="F19" s="66">
        <v>0</v>
      </c>
      <c r="G19" s="65">
        <f t="shared" si="1"/>
        <v>7.0932510000000001E-3</v>
      </c>
    </row>
    <row r="20" spans="1:7">
      <c r="A20" s="199"/>
      <c r="B20" s="10">
        <v>2008</v>
      </c>
      <c r="C20" s="168">
        <f>'[1]Fraksi pengelolaan sampah BaU'!D38</f>
        <v>1.7920653299999998</v>
      </c>
      <c r="D20" s="64">
        <v>4</v>
      </c>
      <c r="E20" s="65">
        <f t="shared" si="0"/>
        <v>7.1682613199999991E-3</v>
      </c>
      <c r="F20" s="66">
        <v>0</v>
      </c>
      <c r="G20" s="65">
        <f t="shared" si="1"/>
        <v>7.1682613199999991E-3</v>
      </c>
    </row>
    <row r="21" spans="1:7">
      <c r="A21" s="199"/>
      <c r="B21" s="10">
        <v>2009</v>
      </c>
      <c r="C21" s="168">
        <f>'[1]Fraksi pengelolaan sampah BaU'!D39</f>
        <v>1.8098586000000001</v>
      </c>
      <c r="D21" s="64">
        <v>4</v>
      </c>
      <c r="E21" s="65">
        <f t="shared" si="0"/>
        <v>7.2394344000000005E-3</v>
      </c>
      <c r="F21" s="66">
        <v>0</v>
      </c>
      <c r="G21" s="65">
        <f t="shared" si="1"/>
        <v>7.2394344000000005E-3</v>
      </c>
    </row>
    <row r="22" spans="1:7">
      <c r="A22" s="199"/>
      <c r="B22" s="10">
        <v>2010</v>
      </c>
      <c r="C22" s="168">
        <f>'[1]Fraksi pengelolaan sampah BaU'!D40</f>
        <v>2.1606750000000003</v>
      </c>
      <c r="D22" s="64">
        <v>4</v>
      </c>
      <c r="E22" s="65">
        <f t="shared" si="0"/>
        <v>8.6427000000000014E-3</v>
      </c>
      <c r="F22" s="66">
        <v>0</v>
      </c>
      <c r="G22" s="65">
        <f t="shared" si="1"/>
        <v>8.6427000000000014E-3</v>
      </c>
    </row>
    <row r="23" spans="1:7">
      <c r="A23" s="199"/>
      <c r="B23" s="62"/>
      <c r="C23" s="67"/>
      <c r="D23" s="64">
        <v>4</v>
      </c>
      <c r="E23" s="65">
        <f t="shared" si="0"/>
        <v>0</v>
      </c>
      <c r="F23" s="66">
        <v>0</v>
      </c>
      <c r="G23" s="65">
        <f t="shared" si="1"/>
        <v>0</v>
      </c>
    </row>
    <row r="24" spans="1:7">
      <c r="A24" s="199"/>
      <c r="B24" s="62"/>
      <c r="C24" s="67"/>
      <c r="D24" s="64">
        <v>4</v>
      </c>
      <c r="E24" s="65">
        <f t="shared" si="0"/>
        <v>0</v>
      </c>
      <c r="F24" s="66">
        <v>0</v>
      </c>
      <c r="G24" s="65">
        <f t="shared" si="1"/>
        <v>0</v>
      </c>
    </row>
    <row r="25" spans="1:7">
      <c r="A25" s="199"/>
      <c r="B25" s="62"/>
      <c r="C25" s="67"/>
      <c r="D25" s="64">
        <v>4</v>
      </c>
      <c r="E25" s="65">
        <f t="shared" si="0"/>
        <v>0</v>
      </c>
      <c r="F25" s="66">
        <v>0</v>
      </c>
      <c r="G25" s="65">
        <f t="shared" si="1"/>
        <v>0</v>
      </c>
    </row>
    <row r="26" spans="1:7">
      <c r="A26" s="199"/>
      <c r="B26" s="62"/>
      <c r="C26" s="67"/>
      <c r="D26" s="64">
        <v>4</v>
      </c>
      <c r="E26" s="65">
        <f t="shared" si="0"/>
        <v>0</v>
      </c>
      <c r="F26" s="66">
        <v>0</v>
      </c>
      <c r="G26" s="65">
        <f t="shared" si="1"/>
        <v>0</v>
      </c>
    </row>
    <row r="27" spans="1:7">
      <c r="A27" s="199"/>
      <c r="B27" s="62"/>
      <c r="C27" s="67"/>
      <c r="D27" s="64">
        <v>4</v>
      </c>
      <c r="E27" s="65">
        <f t="shared" si="0"/>
        <v>0</v>
      </c>
      <c r="F27" s="66">
        <v>0</v>
      </c>
      <c r="G27" s="65">
        <f t="shared" si="1"/>
        <v>0</v>
      </c>
    </row>
    <row r="28" spans="1:7">
      <c r="A28" s="199"/>
      <c r="B28" s="62"/>
      <c r="C28" s="67"/>
      <c r="D28" s="64">
        <v>4</v>
      </c>
      <c r="E28" s="65">
        <f t="shared" si="0"/>
        <v>0</v>
      </c>
      <c r="F28" s="66">
        <v>0</v>
      </c>
      <c r="G28" s="65">
        <f t="shared" si="1"/>
        <v>0</v>
      </c>
    </row>
    <row r="29" spans="1:7">
      <c r="A29" s="199"/>
      <c r="B29" s="62"/>
      <c r="C29" s="67"/>
      <c r="D29" s="64">
        <v>4</v>
      </c>
      <c r="E29" s="65">
        <f t="shared" si="0"/>
        <v>0</v>
      </c>
      <c r="F29" s="66">
        <v>0</v>
      </c>
      <c r="G29" s="65">
        <f t="shared" si="1"/>
        <v>0</v>
      </c>
    </row>
    <row r="30" spans="1:7">
      <c r="A30" s="199"/>
      <c r="B30" s="62"/>
      <c r="C30" s="67"/>
      <c r="D30" s="64">
        <v>4</v>
      </c>
      <c r="E30" s="65">
        <f t="shared" si="0"/>
        <v>0</v>
      </c>
      <c r="F30" s="66">
        <v>0</v>
      </c>
      <c r="G30" s="65">
        <f t="shared" si="1"/>
        <v>0</v>
      </c>
    </row>
    <row r="31" spans="1:7">
      <c r="A31" s="199"/>
      <c r="B31" s="62"/>
      <c r="C31" s="67"/>
      <c r="D31" s="64">
        <v>4</v>
      </c>
      <c r="E31" s="65">
        <f t="shared" si="0"/>
        <v>0</v>
      </c>
      <c r="F31" s="66">
        <v>0</v>
      </c>
      <c r="G31" s="65">
        <f t="shared" si="1"/>
        <v>0</v>
      </c>
    </row>
    <row r="32" spans="1:7">
      <c r="A32" s="200"/>
      <c r="B32" s="62"/>
      <c r="C32" s="63"/>
      <c r="D32" s="64">
        <v>4</v>
      </c>
      <c r="E32" s="65">
        <f t="shared" si="0"/>
        <v>0</v>
      </c>
      <c r="F32" s="66">
        <v>0</v>
      </c>
      <c r="G32" s="65">
        <f t="shared" si="1"/>
        <v>0</v>
      </c>
    </row>
    <row r="33" spans="1:7" ht="56.25" customHeight="1">
      <c r="A33" s="41" t="s">
        <v>246</v>
      </c>
      <c r="B33" s="53"/>
      <c r="C33" s="53"/>
      <c r="D33" s="53"/>
      <c r="E33" s="53"/>
      <c r="F33" s="53"/>
      <c r="G33" s="53"/>
    </row>
    <row r="34" spans="1:7">
      <c r="A34" s="2"/>
      <c r="B34" s="53"/>
      <c r="C34" s="53"/>
      <c r="D34" s="53"/>
      <c r="E34" s="53"/>
      <c r="F34" s="53"/>
      <c r="G34" s="53"/>
    </row>
    <row r="35" spans="1:7">
      <c r="A35" s="2"/>
      <c r="B35" s="53"/>
      <c r="C35" s="53"/>
      <c r="D35" s="53"/>
      <c r="E35" s="53"/>
      <c r="F35" s="53"/>
      <c r="G35" s="53"/>
    </row>
    <row r="36" spans="1:7">
      <c r="A36" s="2"/>
      <c r="B36" s="53"/>
      <c r="C36" s="53"/>
      <c r="D36" s="53"/>
      <c r="E36" s="53"/>
      <c r="F36" s="53"/>
      <c r="G36" s="53"/>
    </row>
    <row r="37" spans="1:7">
      <c r="A37" s="186"/>
      <c r="B37" s="187"/>
      <c r="C37" s="187"/>
      <c r="D37" s="187"/>
      <c r="E37" s="187"/>
      <c r="F37" s="188"/>
      <c r="G37" s="68"/>
    </row>
    <row r="38" spans="1:7" ht="24.75" customHeight="1">
      <c r="A38" s="204" t="s">
        <v>49</v>
      </c>
      <c r="B38" s="205"/>
      <c r="C38" s="205"/>
      <c r="D38" s="205"/>
      <c r="E38" s="205"/>
      <c r="F38" s="205"/>
      <c r="G38" s="206"/>
    </row>
    <row r="39" spans="1:7" ht="13.5" customHeight="1">
      <c r="A39" s="207" t="s">
        <v>50</v>
      </c>
      <c r="B39" s="208"/>
      <c r="C39" s="208"/>
      <c r="D39" s="208"/>
      <c r="E39" s="208"/>
      <c r="F39" s="208"/>
      <c r="G39" s="209"/>
    </row>
    <row r="40" spans="1:7" ht="13.5" customHeight="1">
      <c r="A40" s="192" t="s">
        <v>51</v>
      </c>
      <c r="B40" s="193"/>
      <c r="C40" s="193"/>
      <c r="D40" s="193"/>
      <c r="E40" s="193"/>
      <c r="F40" s="193"/>
      <c r="G40" s="194"/>
    </row>
  </sheetData>
  <mergeCells count="18">
    <mergeCell ref="C4:G4"/>
    <mergeCell ref="A5:B5"/>
    <mergeCell ref="A37:F37"/>
    <mergeCell ref="A8:A10"/>
    <mergeCell ref="A40:G40"/>
    <mergeCell ref="B8:B10"/>
    <mergeCell ref="C5:G5"/>
    <mergeCell ref="A12:A32"/>
    <mergeCell ref="D6:E6"/>
    <mergeCell ref="F6:G6"/>
    <mergeCell ref="A38:G38"/>
    <mergeCell ref="A39:G39"/>
    <mergeCell ref="A4:B4"/>
    <mergeCell ref="A1:G1"/>
    <mergeCell ref="A2:B2"/>
    <mergeCell ref="C2:G2"/>
    <mergeCell ref="A3:B3"/>
    <mergeCell ref="C3:G3"/>
  </mergeCells>
  <phoneticPr fontId="1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2:E41"/>
  <sheetViews>
    <sheetView zoomScaleNormal="100" workbookViewId="0">
      <selection activeCell="C12" sqref="C12"/>
    </sheetView>
  </sheetViews>
  <sheetFormatPr defaultRowHeight="12.75"/>
  <cols>
    <col min="1" max="1" width="15.28515625" style="6" customWidth="1"/>
    <col min="2" max="2" width="17.140625" style="6" customWidth="1"/>
    <col min="3" max="3" width="28.28515625" style="6" customWidth="1"/>
    <col min="4" max="4" width="23.7109375" style="6" customWidth="1"/>
    <col min="5" max="5" width="20.140625" style="6" customWidth="1"/>
    <col min="6" max="16384" width="9.140625" style="6"/>
  </cols>
  <sheetData>
    <row r="2" spans="1:5">
      <c r="A2" s="184" t="s">
        <v>0</v>
      </c>
      <c r="B2" s="184"/>
      <c r="C2" s="185" t="s">
        <v>1</v>
      </c>
      <c r="D2" s="185"/>
      <c r="E2" s="185"/>
    </row>
    <row r="3" spans="1:5" ht="13.5" customHeight="1">
      <c r="A3" s="184" t="s">
        <v>2</v>
      </c>
      <c r="B3" s="184"/>
      <c r="C3" s="185" t="s">
        <v>3</v>
      </c>
      <c r="D3" s="185"/>
      <c r="E3" s="185"/>
    </row>
    <row r="4" spans="1:5">
      <c r="A4" s="184" t="s">
        <v>4</v>
      </c>
      <c r="B4" s="184"/>
      <c r="C4" s="185" t="s">
        <v>5</v>
      </c>
      <c r="D4" s="185"/>
      <c r="E4" s="185"/>
    </row>
    <row r="5" spans="1:5" ht="15.75" customHeight="1">
      <c r="A5" s="184" t="s">
        <v>6</v>
      </c>
      <c r="B5" s="184"/>
      <c r="C5" s="185" t="s">
        <v>29</v>
      </c>
      <c r="D5" s="185"/>
      <c r="E5" s="185"/>
    </row>
    <row r="6" spans="1:5">
      <c r="A6" s="69"/>
      <c r="B6" s="70"/>
      <c r="C6" s="70" t="s">
        <v>8</v>
      </c>
      <c r="D6" s="210" t="s">
        <v>9</v>
      </c>
      <c r="E6" s="210"/>
    </row>
    <row r="7" spans="1:5">
      <c r="A7" s="3"/>
      <c r="B7" s="71"/>
      <c r="C7" s="10" t="s">
        <v>11</v>
      </c>
      <c r="D7" s="10" t="s">
        <v>12</v>
      </c>
      <c r="E7" s="10" t="s">
        <v>13</v>
      </c>
    </row>
    <row r="8" spans="1:5" ht="30" customHeight="1">
      <c r="A8" s="195" t="s">
        <v>16</v>
      </c>
      <c r="B8" s="195" t="s">
        <v>30</v>
      </c>
      <c r="C8" s="51" t="s">
        <v>17</v>
      </c>
      <c r="D8" s="51" t="s">
        <v>18</v>
      </c>
      <c r="E8" s="51" t="s">
        <v>31</v>
      </c>
    </row>
    <row r="9" spans="1:5" ht="15.75">
      <c r="A9" s="195"/>
      <c r="B9" s="195"/>
      <c r="C9" s="1" t="s">
        <v>22</v>
      </c>
      <c r="D9" s="1" t="s">
        <v>32</v>
      </c>
      <c r="E9" s="1" t="s">
        <v>33</v>
      </c>
    </row>
    <row r="10" spans="1:5" ht="15" thickBot="1">
      <c r="A10" s="211"/>
      <c r="B10" s="211"/>
      <c r="C10" s="11"/>
      <c r="D10" s="11"/>
      <c r="E10" s="72" t="s">
        <v>202</v>
      </c>
    </row>
    <row r="11" spans="1:5" ht="14.25" customHeight="1" thickTop="1" thickBot="1">
      <c r="B11" s="60"/>
      <c r="C11" s="60"/>
      <c r="D11" s="60"/>
      <c r="E11" s="73" t="s">
        <v>230</v>
      </c>
    </row>
    <row r="12" spans="1:5" ht="13.5" thickTop="1">
      <c r="A12" s="212" t="s">
        <v>27</v>
      </c>
      <c r="B12" s="75">
        <f>'4B_CH4 emissions'!B12</f>
        <v>2000</v>
      </c>
      <c r="C12" s="65">
        <f>'4B_CH4 emissions'!C12</f>
        <v>1.54876887</v>
      </c>
      <c r="D12" s="65">
        <v>0.3</v>
      </c>
      <c r="E12" s="65">
        <f>C12*D12/1000</f>
        <v>4.6463066099999996E-4</v>
      </c>
    </row>
    <row r="13" spans="1:5">
      <c r="A13" s="213"/>
      <c r="B13" s="75">
        <f>'4B_CH4 emissions'!B13</f>
        <v>2001</v>
      </c>
      <c r="C13" s="65">
        <f>'4B_CH4 emissions'!C13</f>
        <v>1.57977864</v>
      </c>
      <c r="D13" s="65">
        <v>0.3</v>
      </c>
      <c r="E13" s="65">
        <f t="shared" ref="E13:E32" si="0">C13*D13/1000</f>
        <v>4.7393359199999997E-4</v>
      </c>
    </row>
    <row r="14" spans="1:5">
      <c r="A14" s="213"/>
      <c r="B14" s="75">
        <f>'4B_CH4 emissions'!B14</f>
        <v>2002</v>
      </c>
      <c r="C14" s="65">
        <f>'4B_CH4 emissions'!C14</f>
        <v>1.6158106800000001</v>
      </c>
      <c r="D14" s="65">
        <v>0.3</v>
      </c>
      <c r="E14" s="65">
        <f t="shared" si="0"/>
        <v>4.8474320399999999E-4</v>
      </c>
    </row>
    <row r="15" spans="1:5">
      <c r="A15" s="213"/>
      <c r="B15" s="75">
        <f>'4B_CH4 emissions'!B15</f>
        <v>2003</v>
      </c>
      <c r="C15" s="65">
        <f>'4B_CH4 emissions'!C15</f>
        <v>1.66756887</v>
      </c>
      <c r="D15" s="65">
        <v>0.3</v>
      </c>
      <c r="E15" s="65">
        <f t="shared" si="0"/>
        <v>5.0027066099999999E-4</v>
      </c>
    </row>
    <row r="16" spans="1:5">
      <c r="A16" s="213"/>
      <c r="B16" s="75">
        <f>'4B_CH4 emissions'!B16</f>
        <v>2004</v>
      </c>
      <c r="C16" s="65">
        <f>'4B_CH4 emissions'!C16</f>
        <v>1.68695109</v>
      </c>
      <c r="D16" s="65">
        <v>0.3</v>
      </c>
      <c r="E16" s="65">
        <f t="shared" si="0"/>
        <v>5.0608532699999997E-4</v>
      </c>
    </row>
    <row r="17" spans="1:5">
      <c r="A17" s="213"/>
      <c r="B17" s="75">
        <f>'4B_CH4 emissions'!B17</f>
        <v>2005</v>
      </c>
      <c r="C17" s="65">
        <f>'4B_CH4 emissions'!C17</f>
        <v>1.7338444199999998</v>
      </c>
      <c r="D17" s="65">
        <v>0.3</v>
      </c>
      <c r="E17" s="65">
        <f t="shared" si="0"/>
        <v>5.2015332599999998E-4</v>
      </c>
    </row>
    <row r="18" spans="1:5">
      <c r="A18" s="213"/>
      <c r="B18" s="75">
        <f>'4B_CH4 emissions'!B18</f>
        <v>2006</v>
      </c>
      <c r="C18" s="65">
        <f>'4B_CH4 emissions'!C18</f>
        <v>1.7538414300000003</v>
      </c>
      <c r="D18" s="65">
        <v>0.3</v>
      </c>
      <c r="E18" s="65">
        <f t="shared" si="0"/>
        <v>5.2615242900000002E-4</v>
      </c>
    </row>
    <row r="19" spans="1:5">
      <c r="A19" s="213"/>
      <c r="B19" s="75">
        <f>'4B_CH4 emissions'!B19</f>
        <v>2007</v>
      </c>
      <c r="C19" s="65">
        <f>'4B_CH4 emissions'!C19</f>
        <v>1.7733127500000001</v>
      </c>
      <c r="D19" s="65">
        <v>0.3</v>
      </c>
      <c r="E19" s="65">
        <f t="shared" si="0"/>
        <v>5.3199382499999998E-4</v>
      </c>
    </row>
    <row r="20" spans="1:5">
      <c r="A20" s="213"/>
      <c r="B20" s="75">
        <f>'4B_CH4 emissions'!B20</f>
        <v>2008</v>
      </c>
      <c r="C20" s="65">
        <f>'4B_CH4 emissions'!C20</f>
        <v>1.7920653299999998</v>
      </c>
      <c r="D20" s="65">
        <v>0.3</v>
      </c>
      <c r="E20" s="65">
        <f t="shared" si="0"/>
        <v>5.3761959899999991E-4</v>
      </c>
    </row>
    <row r="21" spans="1:5">
      <c r="A21" s="213"/>
      <c r="B21" s="75">
        <f>'4B_CH4 emissions'!B21</f>
        <v>2009</v>
      </c>
      <c r="C21" s="65">
        <f>'4B_CH4 emissions'!C21</f>
        <v>1.8098586000000001</v>
      </c>
      <c r="D21" s="65">
        <v>0.3</v>
      </c>
      <c r="E21" s="65">
        <f t="shared" si="0"/>
        <v>5.4295758000000001E-4</v>
      </c>
    </row>
    <row r="22" spans="1:5">
      <c r="A22" s="213"/>
      <c r="B22" s="75">
        <f>'4B_CH4 emissions'!B22</f>
        <v>2010</v>
      </c>
      <c r="C22" s="65">
        <f>'4B_CH4 emissions'!C22</f>
        <v>2.1606750000000003</v>
      </c>
      <c r="D22" s="65">
        <v>0.3</v>
      </c>
      <c r="E22" s="65">
        <f t="shared" si="0"/>
        <v>6.4820250000000013E-4</v>
      </c>
    </row>
    <row r="23" spans="1:5">
      <c r="A23" s="213"/>
      <c r="B23" s="75">
        <f>'4B_CH4 emissions'!B23</f>
        <v>0</v>
      </c>
      <c r="C23" s="65">
        <f>'4B_CH4 emissions'!C23</f>
        <v>0</v>
      </c>
      <c r="D23" s="65">
        <v>0.3</v>
      </c>
      <c r="E23" s="65">
        <f t="shared" si="0"/>
        <v>0</v>
      </c>
    </row>
    <row r="24" spans="1:5">
      <c r="A24" s="213"/>
      <c r="B24" s="75">
        <f>'4B_CH4 emissions'!B24</f>
        <v>0</v>
      </c>
      <c r="C24" s="65">
        <f>'4B_CH4 emissions'!C24</f>
        <v>0</v>
      </c>
      <c r="D24" s="65">
        <v>0.3</v>
      </c>
      <c r="E24" s="65">
        <f t="shared" si="0"/>
        <v>0</v>
      </c>
    </row>
    <row r="25" spans="1:5">
      <c r="A25" s="213"/>
      <c r="B25" s="75">
        <f>'4B_CH4 emissions'!B25</f>
        <v>0</v>
      </c>
      <c r="C25" s="65">
        <f>'4B_CH4 emissions'!C25</f>
        <v>0</v>
      </c>
      <c r="D25" s="65">
        <v>0.3</v>
      </c>
      <c r="E25" s="65">
        <f t="shared" si="0"/>
        <v>0</v>
      </c>
    </row>
    <row r="26" spans="1:5">
      <c r="A26" s="213"/>
      <c r="B26" s="75">
        <f>'4B_CH4 emissions'!B26</f>
        <v>0</v>
      </c>
      <c r="C26" s="65">
        <f>'4B_CH4 emissions'!C26</f>
        <v>0</v>
      </c>
      <c r="D26" s="65">
        <v>0.3</v>
      </c>
      <c r="E26" s="65">
        <f t="shared" si="0"/>
        <v>0</v>
      </c>
    </row>
    <row r="27" spans="1:5">
      <c r="A27" s="213"/>
      <c r="B27" s="75">
        <f>'4B_CH4 emissions'!B27</f>
        <v>0</v>
      </c>
      <c r="C27" s="65">
        <f>'4B_CH4 emissions'!C27</f>
        <v>0</v>
      </c>
      <c r="D27" s="65">
        <v>0.3</v>
      </c>
      <c r="E27" s="65">
        <f t="shared" si="0"/>
        <v>0</v>
      </c>
    </row>
    <row r="28" spans="1:5">
      <c r="A28" s="213"/>
      <c r="B28" s="75">
        <f>'4B_CH4 emissions'!B28</f>
        <v>0</v>
      </c>
      <c r="C28" s="65">
        <f>'4B_CH4 emissions'!C28</f>
        <v>0</v>
      </c>
      <c r="D28" s="65">
        <v>0.3</v>
      </c>
      <c r="E28" s="65">
        <f t="shared" si="0"/>
        <v>0</v>
      </c>
    </row>
    <row r="29" spans="1:5">
      <c r="A29" s="213"/>
      <c r="B29" s="75">
        <f>'4B_CH4 emissions'!B29</f>
        <v>0</v>
      </c>
      <c r="C29" s="65">
        <f>'4B_CH4 emissions'!C29</f>
        <v>0</v>
      </c>
      <c r="D29" s="65">
        <v>0.3</v>
      </c>
      <c r="E29" s="65">
        <f t="shared" si="0"/>
        <v>0</v>
      </c>
    </row>
    <row r="30" spans="1:5">
      <c r="A30" s="213"/>
      <c r="B30" s="75">
        <f>'4B_CH4 emissions'!B30</f>
        <v>0</v>
      </c>
      <c r="C30" s="65">
        <f>'4B_CH4 emissions'!C30</f>
        <v>0</v>
      </c>
      <c r="D30" s="65">
        <v>0.3</v>
      </c>
      <c r="E30" s="65">
        <f t="shared" si="0"/>
        <v>0</v>
      </c>
    </row>
    <row r="31" spans="1:5">
      <c r="A31" s="213"/>
      <c r="B31" s="75">
        <f>'4B_CH4 emissions'!B31</f>
        <v>0</v>
      </c>
      <c r="C31" s="65">
        <f>'4B_CH4 emissions'!C31</f>
        <v>0</v>
      </c>
      <c r="D31" s="65">
        <v>0.3</v>
      </c>
      <c r="E31" s="65">
        <f t="shared" si="0"/>
        <v>0</v>
      </c>
    </row>
    <row r="32" spans="1:5">
      <c r="A32" s="214"/>
      <c r="B32" s="4">
        <f>'4B_CH4 emissions'!B32</f>
        <v>0</v>
      </c>
      <c r="C32" s="65">
        <f>'4B_CH4 emissions'!C32</f>
        <v>0</v>
      </c>
      <c r="D32" s="65">
        <v>0.3</v>
      </c>
      <c r="E32" s="65">
        <f t="shared" si="0"/>
        <v>0</v>
      </c>
    </row>
    <row r="33" spans="1:5">
      <c r="A33" s="4"/>
      <c r="B33" s="62"/>
      <c r="C33" s="65"/>
      <c r="D33" s="65"/>
      <c r="E33" s="65"/>
    </row>
    <row r="34" spans="1:5" ht="60.75" customHeight="1">
      <c r="A34" s="41" t="s">
        <v>246</v>
      </c>
      <c r="B34" s="53"/>
      <c r="C34" s="53"/>
      <c r="D34" s="53"/>
      <c r="E34" s="53"/>
    </row>
    <row r="35" spans="1:5">
      <c r="A35" s="53"/>
      <c r="B35" s="53"/>
      <c r="C35" s="53"/>
      <c r="D35" s="53"/>
      <c r="E35" s="53"/>
    </row>
    <row r="36" spans="1:5">
      <c r="A36" s="53"/>
      <c r="B36" s="53"/>
      <c r="C36" s="53"/>
      <c r="D36" s="53"/>
      <c r="E36" s="53"/>
    </row>
    <row r="37" spans="1:5">
      <c r="A37" s="53"/>
      <c r="B37" s="53"/>
      <c r="C37" s="53"/>
      <c r="D37" s="53"/>
      <c r="E37" s="53"/>
    </row>
    <row r="38" spans="1:5">
      <c r="A38" s="186"/>
      <c r="B38" s="187"/>
      <c r="C38" s="187"/>
      <c r="D38" s="188"/>
      <c r="E38" s="74"/>
    </row>
    <row r="39" spans="1:5" ht="13.5" customHeight="1">
      <c r="A39" s="204" t="s">
        <v>52</v>
      </c>
      <c r="B39" s="205"/>
      <c r="C39" s="205"/>
      <c r="D39" s="205"/>
      <c r="E39" s="206"/>
    </row>
    <row r="40" spans="1:5" ht="12.75" customHeight="1">
      <c r="A40" s="207" t="s">
        <v>50</v>
      </c>
      <c r="B40" s="208"/>
      <c r="C40" s="208"/>
      <c r="D40" s="208"/>
      <c r="E40" s="209"/>
    </row>
    <row r="41" spans="1:5" ht="13.5" customHeight="1">
      <c r="A41" s="192" t="s">
        <v>51</v>
      </c>
      <c r="B41" s="193"/>
      <c r="C41" s="193"/>
      <c r="D41" s="193"/>
      <c r="E41" s="194"/>
    </row>
  </sheetData>
  <mergeCells count="16">
    <mergeCell ref="A4:B4"/>
    <mergeCell ref="C4:E4"/>
    <mergeCell ref="A5:B5"/>
    <mergeCell ref="C5:E5"/>
    <mergeCell ref="A2:B2"/>
    <mergeCell ref="C2:E2"/>
    <mergeCell ref="A3:B3"/>
    <mergeCell ref="C3:E3"/>
    <mergeCell ref="A39:E39"/>
    <mergeCell ref="A40:E40"/>
    <mergeCell ref="A41:E41"/>
    <mergeCell ref="A38:D38"/>
    <mergeCell ref="D6:E6"/>
    <mergeCell ref="A8:A10"/>
    <mergeCell ref="B8:B10"/>
    <mergeCell ref="A12:A32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C00000"/>
  </sheetPr>
  <dimension ref="A2:G33"/>
  <sheetViews>
    <sheetView topLeftCell="A4" zoomScaleNormal="100" workbookViewId="0">
      <selection activeCell="I17" sqref="I17"/>
    </sheetView>
  </sheetViews>
  <sheetFormatPr defaultRowHeight="12.75"/>
  <cols>
    <col min="1" max="1" width="23.28515625" style="6" customWidth="1"/>
    <col min="2" max="2" width="14.140625" style="6" customWidth="1"/>
    <col min="3" max="3" width="19.42578125" style="6" customWidth="1"/>
    <col min="4" max="4" width="19.140625" style="6" customWidth="1"/>
    <col min="5" max="5" width="19.7109375" style="6" customWidth="1"/>
    <col min="6" max="6" width="15.42578125" style="6" customWidth="1"/>
    <col min="7" max="7" width="20.85546875" style="6" customWidth="1"/>
    <col min="8" max="16384" width="9.140625" style="6"/>
  </cols>
  <sheetData>
    <row r="2" spans="1:7">
      <c r="A2" s="76" t="s">
        <v>0</v>
      </c>
      <c r="B2" s="185" t="s">
        <v>1</v>
      </c>
      <c r="C2" s="185"/>
      <c r="D2" s="185"/>
      <c r="E2" s="185"/>
      <c r="F2" s="185"/>
      <c r="G2" s="185"/>
    </row>
    <row r="3" spans="1:7">
      <c r="A3" s="76" t="s">
        <v>2</v>
      </c>
      <c r="B3" s="185" t="s">
        <v>34</v>
      </c>
      <c r="C3" s="185"/>
      <c r="D3" s="185"/>
      <c r="E3" s="185"/>
      <c r="F3" s="185"/>
      <c r="G3" s="185"/>
    </row>
    <row r="4" spans="1:7" ht="13.5" customHeight="1">
      <c r="A4" s="76" t="s">
        <v>4</v>
      </c>
      <c r="B4" s="185" t="s">
        <v>35</v>
      </c>
      <c r="C4" s="185"/>
      <c r="D4" s="185"/>
      <c r="E4" s="185"/>
      <c r="F4" s="185"/>
      <c r="G4" s="185"/>
    </row>
    <row r="5" spans="1:7">
      <c r="A5" s="76" t="s">
        <v>6</v>
      </c>
      <c r="B5" s="185" t="s">
        <v>56</v>
      </c>
      <c r="C5" s="185"/>
      <c r="D5" s="185"/>
      <c r="E5" s="185"/>
      <c r="F5" s="185"/>
      <c r="G5" s="185"/>
    </row>
    <row r="6" spans="1:7">
      <c r="A6" s="217" t="s">
        <v>8</v>
      </c>
      <c r="B6" s="217"/>
      <c r="C6" s="217"/>
      <c r="D6" s="217"/>
      <c r="E6" s="217"/>
      <c r="F6" s="217"/>
      <c r="G6" s="217"/>
    </row>
    <row r="7" spans="1:7">
      <c r="A7" s="59"/>
      <c r="B7" s="7" t="s">
        <v>36</v>
      </c>
      <c r="C7" s="7" t="s">
        <v>12</v>
      </c>
      <c r="D7" s="7" t="s">
        <v>13</v>
      </c>
      <c r="E7" s="7" t="s">
        <v>57</v>
      </c>
      <c r="F7" s="7" t="s">
        <v>15</v>
      </c>
      <c r="G7" s="7" t="s">
        <v>58</v>
      </c>
    </row>
    <row r="8" spans="1:7" ht="56.25" customHeight="1">
      <c r="A8" s="181" t="s">
        <v>259</v>
      </c>
      <c r="B8" s="59" t="s">
        <v>59</v>
      </c>
      <c r="C8" s="59" t="s">
        <v>60</v>
      </c>
      <c r="D8" s="59" t="s">
        <v>61</v>
      </c>
      <c r="E8" s="59" t="s">
        <v>62</v>
      </c>
      <c r="F8" s="59" t="s">
        <v>74</v>
      </c>
      <c r="G8" s="59" t="s">
        <v>63</v>
      </c>
    </row>
    <row r="9" spans="1:7" ht="15.75">
      <c r="A9" s="218"/>
      <c r="B9" s="77" t="s">
        <v>64</v>
      </c>
      <c r="C9" s="77" t="s">
        <v>65</v>
      </c>
      <c r="D9" s="77" t="s">
        <v>66</v>
      </c>
      <c r="E9" s="77" t="s">
        <v>67</v>
      </c>
      <c r="F9" s="77"/>
      <c r="G9" s="77" t="s">
        <v>68</v>
      </c>
    </row>
    <row r="10" spans="1:7">
      <c r="A10" s="218"/>
      <c r="B10" s="8" t="s">
        <v>69</v>
      </c>
      <c r="C10" s="8" t="s">
        <v>44</v>
      </c>
      <c r="D10" s="8" t="s">
        <v>70</v>
      </c>
      <c r="E10" s="8" t="s">
        <v>44</v>
      </c>
      <c r="F10" s="8" t="s">
        <v>71</v>
      </c>
      <c r="G10" s="8" t="s">
        <v>72</v>
      </c>
    </row>
    <row r="11" spans="1:7" ht="13.5" thickBot="1">
      <c r="A11" s="219"/>
      <c r="B11" s="78"/>
      <c r="C11" s="78"/>
      <c r="D11" s="78"/>
      <c r="E11" s="78"/>
      <c r="F11" s="78"/>
      <c r="G11" s="5" t="s">
        <v>73</v>
      </c>
    </row>
    <row r="12" spans="1:7" ht="13.5" thickTop="1">
      <c r="A12" s="80">
        <f>'4B_N2O emission'!B12</f>
        <v>2000</v>
      </c>
      <c r="B12" s="171">
        <v>521471</v>
      </c>
      <c r="C12" s="81">
        <v>0.39019999999999999</v>
      </c>
      <c r="D12" s="42">
        <v>0.22</v>
      </c>
      <c r="E12" s="42">
        <v>0.5</v>
      </c>
      <c r="F12" s="80">
        <v>365</v>
      </c>
      <c r="G12" s="86">
        <f>B12*C12*D12*E12*F12*1000/(10^9)</f>
        <v>8.1696410656299996</v>
      </c>
    </row>
    <row r="13" spans="1:7">
      <c r="A13" s="53">
        <f>'4B_N2O emission'!B13</f>
        <v>2001</v>
      </c>
      <c r="B13" s="171">
        <v>531912</v>
      </c>
      <c r="C13" s="83">
        <v>0.39019999999999999</v>
      </c>
      <c r="D13" s="44">
        <v>0.22</v>
      </c>
      <c r="E13" s="44">
        <v>0.5</v>
      </c>
      <c r="F13" s="53">
        <v>365</v>
      </c>
      <c r="G13" s="87">
        <f t="shared" ref="G13:G32" si="0">B13*C13*D13*E13*F13*1000/(10^9)</f>
        <v>8.3332153053599995</v>
      </c>
    </row>
    <row r="14" spans="1:7">
      <c r="A14" s="53">
        <f>'4B_N2O emission'!B14</f>
        <v>2002</v>
      </c>
      <c r="B14" s="171">
        <v>544044</v>
      </c>
      <c r="C14" s="83">
        <v>0.39019999999999999</v>
      </c>
      <c r="D14" s="44">
        <v>0.22</v>
      </c>
      <c r="E14" s="44">
        <v>0.5</v>
      </c>
      <c r="F14" s="53">
        <v>365</v>
      </c>
      <c r="G14" s="87">
        <f t="shared" si="0"/>
        <v>8.523281647320001</v>
      </c>
    </row>
    <row r="15" spans="1:7">
      <c r="A15" s="53">
        <f>'4B_N2O emission'!B15</f>
        <v>2003</v>
      </c>
      <c r="B15" s="172">
        <v>561471</v>
      </c>
      <c r="C15" s="83">
        <v>0.39019999999999999</v>
      </c>
      <c r="D15" s="44">
        <v>0.22</v>
      </c>
      <c r="E15" s="44">
        <v>0.5</v>
      </c>
      <c r="F15" s="53">
        <v>365</v>
      </c>
      <c r="G15" s="87">
        <f t="shared" si="0"/>
        <v>8.7963022656299987</v>
      </c>
    </row>
    <row r="16" spans="1:7">
      <c r="A16" s="53">
        <f>'4B_N2O emission'!B16</f>
        <v>2004</v>
      </c>
      <c r="B16" s="172">
        <v>567997</v>
      </c>
      <c r="C16" s="83">
        <v>0.39019999999999999</v>
      </c>
      <c r="D16" s="44">
        <v>0.22</v>
      </c>
      <c r="E16" s="44">
        <v>0.5</v>
      </c>
      <c r="F16" s="53">
        <v>365</v>
      </c>
      <c r="G16" s="87">
        <f t="shared" si="0"/>
        <v>8.8985420404099997</v>
      </c>
    </row>
    <row r="17" spans="1:7">
      <c r="A17" s="53">
        <f>'4B_N2O emission'!B17</f>
        <v>2005</v>
      </c>
      <c r="B17" s="171">
        <v>583786</v>
      </c>
      <c r="C17" s="83">
        <v>0.39019999999999999</v>
      </c>
      <c r="D17" s="44">
        <v>0.22</v>
      </c>
      <c r="E17" s="44">
        <v>0.5</v>
      </c>
      <c r="F17" s="53">
        <v>365</v>
      </c>
      <c r="G17" s="87">
        <f t="shared" si="0"/>
        <v>9.1459008825800012</v>
      </c>
    </row>
    <row r="18" spans="1:7">
      <c r="A18" s="53">
        <f>'4B_N2O emission'!B18</f>
        <v>2006</v>
      </c>
      <c r="B18" s="173">
        <v>590519</v>
      </c>
      <c r="C18" s="83">
        <v>0.39019999999999999</v>
      </c>
      <c r="D18" s="44">
        <v>0.22</v>
      </c>
      <c r="E18" s="44">
        <v>0.5</v>
      </c>
      <c r="F18" s="53">
        <v>365</v>
      </c>
      <c r="G18" s="87">
        <f t="shared" si="0"/>
        <v>9.2513836290700002</v>
      </c>
    </row>
    <row r="19" spans="1:7">
      <c r="A19" s="53">
        <f>'4B_N2O emission'!B19</f>
        <v>2007</v>
      </c>
      <c r="B19" s="173">
        <v>597075</v>
      </c>
      <c r="C19" s="83">
        <v>0.39019999999999999</v>
      </c>
      <c r="D19" s="44">
        <v>0.22</v>
      </c>
      <c r="E19" s="44">
        <v>0.5</v>
      </c>
      <c r="F19" s="53">
        <v>365</v>
      </c>
      <c r="G19" s="87">
        <f t="shared" si="0"/>
        <v>9.3540933997500009</v>
      </c>
    </row>
    <row r="20" spans="1:7">
      <c r="A20" s="53">
        <f>'4B_N2O emission'!B20</f>
        <v>2008</v>
      </c>
      <c r="B20" s="173">
        <v>603389</v>
      </c>
      <c r="C20" s="83">
        <v>0.39019999999999999</v>
      </c>
      <c r="D20" s="44">
        <v>0.22</v>
      </c>
      <c r="E20" s="44">
        <v>0.5</v>
      </c>
      <c r="F20" s="53">
        <v>365</v>
      </c>
      <c r="G20" s="87">
        <f t="shared" si="0"/>
        <v>9.4530118701700001</v>
      </c>
    </row>
    <row r="21" spans="1:7">
      <c r="A21" s="53">
        <f>'4B_N2O emission'!B21</f>
        <v>2009</v>
      </c>
      <c r="B21" s="173">
        <v>609380</v>
      </c>
      <c r="C21" s="83">
        <v>0.39019999999999999</v>
      </c>
      <c r="D21" s="44">
        <v>0.22</v>
      </c>
      <c r="E21" s="44">
        <v>0.5</v>
      </c>
      <c r="F21" s="53">
        <v>365</v>
      </c>
      <c r="G21" s="87">
        <f t="shared" si="0"/>
        <v>9.5468700513999991</v>
      </c>
    </row>
    <row r="22" spans="1:7">
      <c r="A22" s="53">
        <f>'4B_N2O emission'!B22</f>
        <v>2010</v>
      </c>
      <c r="B22" s="171">
        <v>727500</v>
      </c>
      <c r="C22" s="83">
        <v>0.39019999999999999</v>
      </c>
      <c r="D22" s="44">
        <v>0.22</v>
      </c>
      <c r="E22" s="44">
        <v>0.5</v>
      </c>
      <c r="F22" s="53">
        <v>365</v>
      </c>
      <c r="G22" s="87">
        <f t="shared" si="0"/>
        <v>11.397400575000002</v>
      </c>
    </row>
    <row r="23" spans="1:7">
      <c r="A23" s="53">
        <f>'4B_N2O emission'!B23</f>
        <v>0</v>
      </c>
      <c r="B23" s="84"/>
      <c r="C23" s="83">
        <v>0.39019999999999999</v>
      </c>
      <c r="D23" s="44">
        <v>0.22</v>
      </c>
      <c r="E23" s="44">
        <v>0.5</v>
      </c>
      <c r="F23" s="53">
        <v>365</v>
      </c>
      <c r="G23" s="87">
        <f t="shared" si="0"/>
        <v>0</v>
      </c>
    </row>
    <row r="24" spans="1:7">
      <c r="A24" s="53">
        <f>'4B_N2O emission'!B24</f>
        <v>0</v>
      </c>
      <c r="B24" s="84"/>
      <c r="C24" s="83">
        <v>0.39019999999999999</v>
      </c>
      <c r="D24" s="44">
        <v>0.22</v>
      </c>
      <c r="E24" s="44">
        <v>0.5</v>
      </c>
      <c r="F24" s="53">
        <v>365</v>
      </c>
      <c r="G24" s="87">
        <f t="shared" si="0"/>
        <v>0</v>
      </c>
    </row>
    <row r="25" spans="1:7">
      <c r="A25" s="53">
        <f>'4B_N2O emission'!B25</f>
        <v>0</v>
      </c>
      <c r="B25" s="84"/>
      <c r="C25" s="83">
        <v>0.39019999999999999</v>
      </c>
      <c r="D25" s="44">
        <v>0.22</v>
      </c>
      <c r="E25" s="44">
        <v>0.5</v>
      </c>
      <c r="F25" s="53">
        <v>365</v>
      </c>
      <c r="G25" s="87">
        <f t="shared" si="0"/>
        <v>0</v>
      </c>
    </row>
    <row r="26" spans="1:7">
      <c r="A26" s="53">
        <f>'4B_N2O emission'!B26</f>
        <v>0</v>
      </c>
      <c r="B26" s="84"/>
      <c r="C26" s="83">
        <v>0.39019999999999999</v>
      </c>
      <c r="D26" s="44">
        <v>0.22</v>
      </c>
      <c r="E26" s="44">
        <v>0.5</v>
      </c>
      <c r="F26" s="53">
        <v>365</v>
      </c>
      <c r="G26" s="87">
        <f t="shared" si="0"/>
        <v>0</v>
      </c>
    </row>
    <row r="27" spans="1:7">
      <c r="A27" s="53">
        <f>'4B_N2O emission'!B27</f>
        <v>0</v>
      </c>
      <c r="B27" s="84"/>
      <c r="C27" s="83">
        <v>0.39019999999999999</v>
      </c>
      <c r="D27" s="44">
        <v>0.22</v>
      </c>
      <c r="E27" s="44">
        <v>0.5</v>
      </c>
      <c r="F27" s="53">
        <v>365</v>
      </c>
      <c r="G27" s="87">
        <f t="shared" si="0"/>
        <v>0</v>
      </c>
    </row>
    <row r="28" spans="1:7">
      <c r="A28" s="53">
        <f>'4B_N2O emission'!B28</f>
        <v>0</v>
      </c>
      <c r="B28" s="84"/>
      <c r="C28" s="83">
        <v>0.39019999999999999</v>
      </c>
      <c r="D28" s="44">
        <v>0.22</v>
      </c>
      <c r="E28" s="44">
        <v>0.5</v>
      </c>
      <c r="F28" s="53">
        <v>365</v>
      </c>
      <c r="G28" s="87">
        <f t="shared" si="0"/>
        <v>0</v>
      </c>
    </row>
    <row r="29" spans="1:7">
      <c r="A29" s="53">
        <f>'4B_N2O emission'!B29</f>
        <v>0</v>
      </c>
      <c r="B29" s="84"/>
      <c r="C29" s="83">
        <v>0.39019999999999999</v>
      </c>
      <c r="D29" s="44">
        <v>0.22</v>
      </c>
      <c r="E29" s="44">
        <v>0.5</v>
      </c>
      <c r="F29" s="53">
        <v>365</v>
      </c>
      <c r="G29" s="87">
        <f t="shared" si="0"/>
        <v>0</v>
      </c>
    </row>
    <row r="30" spans="1:7">
      <c r="A30" s="53">
        <f>'4B_N2O emission'!B30</f>
        <v>0</v>
      </c>
      <c r="B30" s="84"/>
      <c r="C30" s="83">
        <v>0.39019999999999999</v>
      </c>
      <c r="D30" s="44">
        <v>0.22</v>
      </c>
      <c r="E30" s="44">
        <v>0.5</v>
      </c>
      <c r="F30" s="53">
        <v>365</v>
      </c>
      <c r="G30" s="87">
        <f t="shared" si="0"/>
        <v>0</v>
      </c>
    </row>
    <row r="31" spans="1:7">
      <c r="A31" s="53">
        <f>'4B_N2O emission'!B31</f>
        <v>0</v>
      </c>
      <c r="B31" s="84"/>
      <c r="C31" s="83">
        <v>0.39019999999999999</v>
      </c>
      <c r="D31" s="44">
        <v>0.22</v>
      </c>
      <c r="E31" s="44">
        <v>0.5</v>
      </c>
      <c r="F31" s="53">
        <v>365</v>
      </c>
      <c r="G31" s="87">
        <f t="shared" si="0"/>
        <v>0</v>
      </c>
    </row>
    <row r="32" spans="1:7">
      <c r="A32" s="53">
        <f>'4B_N2O emission'!B32</f>
        <v>0</v>
      </c>
      <c r="B32" s="85"/>
      <c r="C32" s="82">
        <v>0.39019999999999999</v>
      </c>
      <c r="D32" s="79">
        <v>0.22</v>
      </c>
      <c r="E32" s="79">
        <v>0.5</v>
      </c>
      <c r="F32" s="55">
        <v>365</v>
      </c>
      <c r="G32" s="88">
        <f t="shared" si="0"/>
        <v>0</v>
      </c>
    </row>
    <row r="33" spans="1:7" ht="27" customHeight="1">
      <c r="A33" s="215" t="s">
        <v>199</v>
      </c>
      <c r="B33" s="216"/>
      <c r="C33" s="216"/>
      <c r="D33" s="216"/>
      <c r="E33" s="216"/>
      <c r="F33" s="216"/>
      <c r="G33" s="216"/>
    </row>
  </sheetData>
  <mergeCells count="7">
    <mergeCell ref="B2:G2"/>
    <mergeCell ref="B3:G3"/>
    <mergeCell ref="A33:G33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C00000"/>
  </sheetPr>
  <dimension ref="A2:M335"/>
  <sheetViews>
    <sheetView zoomScale="85" zoomScaleNormal="85" workbookViewId="0">
      <selection activeCell="M23" sqref="M23"/>
    </sheetView>
  </sheetViews>
  <sheetFormatPr defaultRowHeight="12.75"/>
  <cols>
    <col min="1" max="1" width="14.42578125" style="6" customWidth="1"/>
    <col min="2" max="2" width="15.7109375" style="6" customWidth="1"/>
    <col min="3" max="3" width="20.140625" style="6" customWidth="1"/>
    <col min="4" max="4" width="11.5703125" style="6" customWidth="1"/>
    <col min="5" max="5" width="14.85546875" style="6" customWidth="1"/>
    <col min="6" max="6" width="17.7109375" style="6" customWidth="1"/>
    <col min="7" max="8" width="11.140625" style="6" customWidth="1"/>
    <col min="9" max="9" width="23.28515625" style="6" customWidth="1"/>
    <col min="10" max="10" width="9.140625" style="6"/>
    <col min="11" max="11" width="9.140625" style="89"/>
    <col min="12" max="12" width="14" style="89" customWidth="1"/>
    <col min="13" max="13" width="17.140625" style="6" customWidth="1"/>
    <col min="14" max="16384" width="9.140625" style="6"/>
  </cols>
  <sheetData>
    <row r="2" spans="1:13">
      <c r="A2" s="184" t="s">
        <v>0</v>
      </c>
      <c r="B2" s="184"/>
      <c r="C2" s="185" t="s">
        <v>1</v>
      </c>
      <c r="D2" s="185"/>
      <c r="E2" s="185"/>
      <c r="F2" s="185"/>
      <c r="G2" s="185"/>
      <c r="H2" s="185"/>
      <c r="I2" s="185"/>
    </row>
    <row r="3" spans="1:13">
      <c r="A3" s="184" t="s">
        <v>2</v>
      </c>
      <c r="B3" s="184"/>
      <c r="C3" s="185" t="s">
        <v>75</v>
      </c>
      <c r="D3" s="185"/>
      <c r="E3" s="185"/>
      <c r="F3" s="185"/>
      <c r="G3" s="185"/>
      <c r="H3" s="185"/>
      <c r="I3" s="185"/>
    </row>
    <row r="4" spans="1:13">
      <c r="A4" s="184" t="s">
        <v>4</v>
      </c>
      <c r="B4" s="184"/>
      <c r="C4" s="185" t="s">
        <v>76</v>
      </c>
      <c r="D4" s="185"/>
      <c r="E4" s="185"/>
      <c r="F4" s="185"/>
      <c r="G4" s="185"/>
      <c r="H4" s="185"/>
      <c r="I4" s="185"/>
    </row>
    <row r="5" spans="1:13" ht="14.25" customHeight="1">
      <c r="A5" s="184" t="s">
        <v>6</v>
      </c>
      <c r="B5" s="184"/>
      <c r="C5" s="185" t="s">
        <v>77</v>
      </c>
      <c r="D5" s="185"/>
      <c r="E5" s="185"/>
      <c r="F5" s="185"/>
      <c r="G5" s="185"/>
      <c r="H5" s="185"/>
      <c r="I5" s="185"/>
    </row>
    <row r="6" spans="1:13">
      <c r="A6" s="217" t="s">
        <v>8</v>
      </c>
      <c r="B6" s="217"/>
      <c r="C6" s="217"/>
      <c r="D6" s="217" t="s">
        <v>9</v>
      </c>
      <c r="E6" s="222"/>
      <c r="F6" s="222"/>
      <c r="G6" s="222"/>
      <c r="H6" s="222"/>
      <c r="I6" s="90"/>
    </row>
    <row r="7" spans="1:13">
      <c r="A7" s="228"/>
      <c r="B7" s="228"/>
      <c r="C7" s="7" t="s">
        <v>58</v>
      </c>
      <c r="D7" s="7" t="s">
        <v>78</v>
      </c>
      <c r="E7" s="7" t="s">
        <v>79</v>
      </c>
      <c r="F7" s="7" t="s">
        <v>80</v>
      </c>
      <c r="G7" s="7" t="s">
        <v>81</v>
      </c>
      <c r="H7" s="7" t="s">
        <v>82</v>
      </c>
      <c r="I7" s="7" t="s">
        <v>83</v>
      </c>
    </row>
    <row r="8" spans="1:13" ht="25.5" customHeight="1">
      <c r="A8" s="195" t="s">
        <v>84</v>
      </c>
      <c r="B8" s="195"/>
      <c r="C8" s="59" t="s">
        <v>85</v>
      </c>
      <c r="D8" s="228" t="s">
        <v>86</v>
      </c>
      <c r="E8" s="59" t="s">
        <v>87</v>
      </c>
      <c r="F8" s="59" t="s">
        <v>89</v>
      </c>
      <c r="G8" s="228" t="s">
        <v>91</v>
      </c>
      <c r="H8" s="228" t="s">
        <v>38</v>
      </c>
      <c r="I8" s="228" t="s">
        <v>92</v>
      </c>
      <c r="K8" s="229" t="s">
        <v>259</v>
      </c>
      <c r="L8" s="229" t="s">
        <v>283</v>
      </c>
      <c r="M8" s="229" t="s">
        <v>249</v>
      </c>
    </row>
    <row r="9" spans="1:13" ht="14.25" customHeight="1">
      <c r="A9" s="195"/>
      <c r="B9" s="195"/>
      <c r="C9" s="77" t="s">
        <v>37</v>
      </c>
      <c r="D9" s="218"/>
      <c r="E9" s="77" t="s">
        <v>88</v>
      </c>
      <c r="F9" s="77" t="s">
        <v>90</v>
      </c>
      <c r="G9" s="218"/>
      <c r="H9" s="218"/>
      <c r="I9" s="218"/>
      <c r="K9" s="229"/>
      <c r="L9" s="229"/>
      <c r="M9" s="229"/>
    </row>
    <row r="10" spans="1:13">
      <c r="A10" s="196"/>
      <c r="B10" s="196"/>
      <c r="C10" s="77"/>
      <c r="D10" s="77" t="s">
        <v>39</v>
      </c>
      <c r="E10" s="77" t="s">
        <v>40</v>
      </c>
      <c r="F10" s="77" t="s">
        <v>41</v>
      </c>
      <c r="G10" s="77" t="s">
        <v>42</v>
      </c>
      <c r="H10" s="77"/>
      <c r="I10" s="77"/>
      <c r="K10" s="229"/>
      <c r="L10" s="229"/>
      <c r="M10" s="229"/>
    </row>
    <row r="11" spans="1:13" ht="16.5" customHeight="1">
      <c r="A11" s="196"/>
      <c r="B11" s="196"/>
      <c r="C11" s="8" t="s">
        <v>43</v>
      </c>
      <c r="D11" s="8" t="s">
        <v>44</v>
      </c>
      <c r="E11" s="8" t="s">
        <v>44</v>
      </c>
      <c r="F11" s="8" t="s">
        <v>44</v>
      </c>
      <c r="G11" s="8" t="s">
        <v>44</v>
      </c>
      <c r="H11" s="8" t="s">
        <v>45</v>
      </c>
      <c r="I11" s="8" t="s">
        <v>46</v>
      </c>
      <c r="K11" s="229"/>
      <c r="L11" s="229"/>
      <c r="M11" s="229"/>
    </row>
    <row r="12" spans="1:13" ht="18" customHeight="1" thickBot="1">
      <c r="A12" s="230"/>
      <c r="B12" s="230"/>
      <c r="C12" s="5" t="s">
        <v>93</v>
      </c>
      <c r="D12" s="5"/>
      <c r="E12" s="5"/>
      <c r="F12" s="5"/>
      <c r="G12" s="5"/>
      <c r="H12" s="5"/>
      <c r="I12" s="5" t="s">
        <v>94</v>
      </c>
      <c r="K12" s="229"/>
      <c r="L12" s="229"/>
      <c r="M12" s="229"/>
    </row>
    <row r="13" spans="1:13" ht="14.25" customHeight="1" thickTop="1">
      <c r="A13" s="227" t="s">
        <v>95</v>
      </c>
      <c r="B13" s="53" t="s">
        <v>203</v>
      </c>
      <c r="C13" s="91">
        <f>'4A_DOC'!$B$39*$L$13</f>
        <v>5.423824703471757</v>
      </c>
      <c r="D13" s="92">
        <v>0.4</v>
      </c>
      <c r="E13" s="92">
        <v>0.38</v>
      </c>
      <c r="F13" s="34">
        <v>0</v>
      </c>
      <c r="G13" s="93">
        <v>0.57999999999999996</v>
      </c>
      <c r="H13" s="92">
        <f>44/12</f>
        <v>3.6666666666666665</v>
      </c>
      <c r="I13" s="53">
        <f>C13*D13*E13*F13*G13*H13</f>
        <v>0</v>
      </c>
      <c r="K13" s="94">
        <f>'4B_N2O emission'!B12</f>
        <v>2000</v>
      </c>
      <c r="L13" s="97">
        <f>'4C1_Amount_Waste_OpenBurned'!G12</f>
        <v>8.1696410656299996</v>
      </c>
      <c r="M13" s="98">
        <f>I23</f>
        <v>1.4160761184075081</v>
      </c>
    </row>
    <row r="14" spans="1:13" ht="12.75" customHeight="1">
      <c r="A14" s="227"/>
      <c r="B14" s="53" t="s">
        <v>204</v>
      </c>
      <c r="C14" s="91">
        <f>'4A_DOC'!$B$40*$L$13</f>
        <v>1.049798876933455</v>
      </c>
      <c r="D14" s="92">
        <v>0.9</v>
      </c>
      <c r="E14" s="92">
        <v>0.46</v>
      </c>
      <c r="F14" s="34">
        <f>1/100</f>
        <v>0.01</v>
      </c>
      <c r="G14" s="93">
        <v>0.57999999999999996</v>
      </c>
      <c r="H14" s="92">
        <f t="shared" ref="H14:H21" si="0">44/12</f>
        <v>3.6666666666666665</v>
      </c>
      <c r="I14" s="53">
        <f t="shared" ref="I14:I21" si="1">C14*D14*E14*F14*G14*H14</f>
        <v>9.2428492320729121E-3</v>
      </c>
      <c r="K14" s="94">
        <f>'4B_N2O emission'!B13</f>
        <v>2001</v>
      </c>
      <c r="L14" s="97">
        <f>'4C1_Amount_Waste_OpenBurned'!G13</f>
        <v>8.3332153053599995</v>
      </c>
      <c r="M14" s="99">
        <f>I57</f>
        <v>1.4444290867457146</v>
      </c>
    </row>
    <row r="15" spans="1:13">
      <c r="A15" s="227"/>
      <c r="B15" s="53" t="s">
        <v>205</v>
      </c>
      <c r="C15" s="91">
        <f>'4A_DOC'!$B$41*$L$13</f>
        <v>0</v>
      </c>
      <c r="D15" s="92">
        <v>0.85</v>
      </c>
      <c r="E15" s="92">
        <v>0.5</v>
      </c>
      <c r="F15" s="34">
        <v>0</v>
      </c>
      <c r="G15" s="93">
        <v>0.57999999999999996</v>
      </c>
      <c r="H15" s="92">
        <f t="shared" si="0"/>
        <v>3.6666666666666665</v>
      </c>
      <c r="I15" s="53">
        <f t="shared" si="1"/>
        <v>0</v>
      </c>
      <c r="K15" s="94">
        <f>'4B_N2O emission'!B14</f>
        <v>2002</v>
      </c>
      <c r="L15" s="97">
        <f>'4C1_Amount_Waste_OpenBurned'!G14</f>
        <v>8.523281647320001</v>
      </c>
      <c r="M15" s="99">
        <f>I87</f>
        <v>1.4773740356853873</v>
      </c>
    </row>
    <row r="16" spans="1:13">
      <c r="A16" s="227"/>
      <c r="B16" s="53" t="s">
        <v>47</v>
      </c>
      <c r="C16" s="91">
        <f>'4A_DOC'!$B$42*$L$13</f>
        <v>6.617409263160301E-2</v>
      </c>
      <c r="D16" s="92">
        <v>0.8</v>
      </c>
      <c r="E16" s="92">
        <v>0.5</v>
      </c>
      <c r="F16" s="34">
        <f>20/100</f>
        <v>0.2</v>
      </c>
      <c r="G16" s="93">
        <v>0.57999999999999996</v>
      </c>
      <c r="H16" s="92">
        <f t="shared" si="0"/>
        <v>3.6666666666666665</v>
      </c>
      <c r="I16" s="53">
        <f t="shared" si="1"/>
        <v>1.125841895972339E-2</v>
      </c>
      <c r="K16" s="94">
        <f>'4B_N2O emission'!B15</f>
        <v>2003</v>
      </c>
      <c r="L16" s="97">
        <f>'4C1_Amount_Waste_OpenBurned'!G15</f>
        <v>8.7963022656299987</v>
      </c>
      <c r="M16" s="99">
        <f>I118</f>
        <v>1.5246977766326064</v>
      </c>
    </row>
    <row r="17" spans="1:13" ht="13.5" customHeight="1">
      <c r="A17" s="227"/>
      <c r="B17" s="53" t="s">
        <v>206</v>
      </c>
      <c r="C17" s="91">
        <f>'4A_DOC'!$B$43*$L$13</f>
        <v>0</v>
      </c>
      <c r="D17" s="92">
        <v>0.84</v>
      </c>
      <c r="E17" s="92">
        <v>0.67</v>
      </c>
      <c r="F17" s="34">
        <f>20/100</f>
        <v>0.2</v>
      </c>
      <c r="G17" s="93">
        <v>0.57999999999999996</v>
      </c>
      <c r="H17" s="92">
        <f t="shared" si="0"/>
        <v>3.6666666666666665</v>
      </c>
      <c r="I17" s="53">
        <f t="shared" si="1"/>
        <v>0</v>
      </c>
      <c r="K17" s="94">
        <f>'4B_N2O emission'!B16</f>
        <v>2004</v>
      </c>
      <c r="L17" s="97">
        <f>'4C1_Amount_Waste_OpenBurned'!G16</f>
        <v>8.8985420404099997</v>
      </c>
      <c r="M17" s="99">
        <f>I149</f>
        <v>1.5424194001720315</v>
      </c>
    </row>
    <row r="18" spans="1:13">
      <c r="A18" s="227"/>
      <c r="B18" s="53" t="s">
        <v>207</v>
      </c>
      <c r="C18" s="91">
        <f>'4A_DOC'!$B$44*$L$13</f>
        <v>0.87496855812897312</v>
      </c>
      <c r="D18" s="92">
        <v>1</v>
      </c>
      <c r="E18" s="92">
        <v>0.75</v>
      </c>
      <c r="F18" s="34">
        <f>100/100</f>
        <v>1</v>
      </c>
      <c r="G18" s="93">
        <v>0.57999999999999996</v>
      </c>
      <c r="H18" s="92">
        <f t="shared" si="0"/>
        <v>3.6666666666666665</v>
      </c>
      <c r="I18" s="53">
        <f t="shared" si="1"/>
        <v>1.3955748502157119</v>
      </c>
      <c r="K18" s="94">
        <f>'4B_N2O emission'!B17</f>
        <v>2005</v>
      </c>
      <c r="L18" s="97">
        <f>'4C1_Amount_Waste_OpenBurned'!G17</f>
        <v>9.1459008825800012</v>
      </c>
      <c r="M18" s="169">
        <f>I179</f>
        <v>1.5852950842149338</v>
      </c>
    </row>
    <row r="19" spans="1:13">
      <c r="A19" s="227"/>
      <c r="B19" s="53" t="s">
        <v>208</v>
      </c>
      <c r="C19" s="91">
        <f>'4A_DOC'!$B$45*$L$13</f>
        <v>0.144602646861651</v>
      </c>
      <c r="D19" s="92">
        <v>1</v>
      </c>
      <c r="E19" s="92">
        <v>0</v>
      </c>
      <c r="F19" s="34">
        <v>0</v>
      </c>
      <c r="G19" s="93">
        <v>0.57999999999999996</v>
      </c>
      <c r="H19" s="92">
        <f t="shared" si="0"/>
        <v>3.6666666666666665</v>
      </c>
      <c r="I19" s="53">
        <f t="shared" si="1"/>
        <v>0</v>
      </c>
      <c r="K19" s="94">
        <f>'4B_N2O emission'!B18</f>
        <v>2006</v>
      </c>
      <c r="L19" s="97">
        <f>'4C1_Amount_Waste_OpenBurned'!G18</f>
        <v>9.2513836290700002</v>
      </c>
      <c r="M19" s="99">
        <f>I209</f>
        <v>1.6035788248356735</v>
      </c>
    </row>
    <row r="20" spans="1:13">
      <c r="A20" s="227"/>
      <c r="B20" s="53" t="s">
        <v>209</v>
      </c>
      <c r="C20" s="91">
        <f>'4A_DOC'!$B$46*$L$13</f>
        <v>0.108656226172879</v>
      </c>
      <c r="D20" s="92">
        <v>1</v>
      </c>
      <c r="E20" s="92">
        <v>0</v>
      </c>
      <c r="F20" s="34">
        <v>0</v>
      </c>
      <c r="G20" s="93">
        <v>0.57999999999999996</v>
      </c>
      <c r="H20" s="92">
        <f t="shared" si="0"/>
        <v>3.6666666666666665</v>
      </c>
      <c r="I20" s="53">
        <f t="shared" si="1"/>
        <v>0</v>
      </c>
      <c r="K20" s="94">
        <f>'4B_N2O emission'!B19</f>
        <v>2007</v>
      </c>
      <c r="L20" s="97">
        <f>'4C1_Amount_Waste_OpenBurned'!G19</f>
        <v>9.3540933997500009</v>
      </c>
      <c r="M20" s="99">
        <f>I239</f>
        <v>1.6213819146187667</v>
      </c>
    </row>
    <row r="21" spans="1:13">
      <c r="A21" s="227"/>
      <c r="B21" s="53" t="s">
        <v>210</v>
      </c>
      <c r="C21" s="91">
        <f>'4A_DOC'!$B$47*$L$13</f>
        <v>0.50733471017562304</v>
      </c>
      <c r="D21" s="92">
        <v>0.9</v>
      </c>
      <c r="E21" s="92">
        <v>0</v>
      </c>
      <c r="F21" s="34">
        <v>0</v>
      </c>
      <c r="G21" s="93">
        <v>0.57999999999999996</v>
      </c>
      <c r="H21" s="92">
        <f t="shared" si="0"/>
        <v>3.6666666666666665</v>
      </c>
      <c r="I21" s="53">
        <f t="shared" si="1"/>
        <v>0</v>
      </c>
      <c r="K21" s="94">
        <f>'4B_N2O emission'!B20</f>
        <v>2008</v>
      </c>
      <c r="L21" s="97">
        <f>'4C1_Amount_Waste_OpenBurned'!G20</f>
        <v>9.4530118701700001</v>
      </c>
      <c r="M21" s="99">
        <f>I269</f>
        <v>1.6385278433695984</v>
      </c>
    </row>
    <row r="22" spans="1:13">
      <c r="A22" s="227" t="s">
        <v>48</v>
      </c>
      <c r="B22" s="227"/>
      <c r="C22" s="7"/>
      <c r="D22" s="53"/>
      <c r="E22" s="53"/>
      <c r="F22" s="53"/>
      <c r="G22" s="53"/>
      <c r="H22" s="53"/>
      <c r="I22" s="53"/>
      <c r="K22" s="94">
        <f>'4B_N2O emission'!B21</f>
        <v>2009</v>
      </c>
      <c r="L22" s="97">
        <f>'4C1_Amount_Waste_OpenBurned'!G21</f>
        <v>9.5468700513999991</v>
      </c>
      <c r="M22" s="99">
        <f>I299</f>
        <v>1.6547966522302626</v>
      </c>
    </row>
    <row r="23" spans="1:13">
      <c r="A23" s="186" t="s">
        <v>285</v>
      </c>
      <c r="B23" s="187"/>
      <c r="C23" s="187"/>
      <c r="D23" s="187"/>
      <c r="E23" s="187"/>
      <c r="F23" s="187"/>
      <c r="G23" s="187"/>
      <c r="H23" s="188"/>
      <c r="I23" s="95">
        <f>SUM(I13:I22)</f>
        <v>1.4160761184075081</v>
      </c>
      <c r="K23" s="94">
        <f>'4B_N2O emission'!B22</f>
        <v>2010</v>
      </c>
      <c r="L23" s="97">
        <f>'4C1_Amount_Waste_OpenBurned'!G22</f>
        <v>11.397400575000002</v>
      </c>
      <c r="M23" s="99">
        <f>I329</f>
        <v>1.9755564089689792</v>
      </c>
    </row>
    <row r="24" spans="1:13" ht="12.75" customHeight="1">
      <c r="A24" s="223" t="s">
        <v>53</v>
      </c>
      <c r="B24" s="224"/>
      <c r="C24" s="224"/>
      <c r="D24" s="224"/>
      <c r="E24" s="224"/>
      <c r="F24" s="224"/>
      <c r="G24" s="224"/>
      <c r="H24" s="224"/>
      <c r="I24" s="224"/>
      <c r="K24" s="94">
        <f>'4B_N2O emission'!B23</f>
        <v>0</v>
      </c>
      <c r="L24" s="97">
        <f>'4C1_Amount_Waste_OpenBurned'!G23</f>
        <v>0</v>
      </c>
      <c r="M24" s="99"/>
    </row>
    <row r="25" spans="1:13" ht="12.75" customHeight="1">
      <c r="A25" s="225" t="s">
        <v>54</v>
      </c>
      <c r="B25" s="226"/>
      <c r="C25" s="226"/>
      <c r="D25" s="226"/>
      <c r="E25" s="226"/>
      <c r="F25" s="226"/>
      <c r="G25" s="226"/>
      <c r="H25" s="226"/>
      <c r="I25" s="226"/>
      <c r="K25" s="94">
        <f>'4B_N2O emission'!B24</f>
        <v>0</v>
      </c>
      <c r="L25" s="97">
        <f>'4C1_Amount_Waste_OpenBurned'!G24</f>
        <v>0</v>
      </c>
      <c r="M25" s="99"/>
    </row>
    <row r="26" spans="1:13" ht="12.75" customHeight="1">
      <c r="A26" s="225" t="s">
        <v>55</v>
      </c>
      <c r="B26" s="226"/>
      <c r="C26" s="226"/>
      <c r="D26" s="226"/>
      <c r="E26" s="226"/>
      <c r="F26" s="226"/>
      <c r="G26" s="226"/>
      <c r="H26" s="226"/>
      <c r="I26" s="226"/>
      <c r="K26" s="94">
        <f>'4B_N2O emission'!B25</f>
        <v>0</v>
      </c>
      <c r="L26" s="97">
        <f>'4C1_Amount_Waste_OpenBurned'!G25</f>
        <v>0</v>
      </c>
      <c r="M26" s="98"/>
    </row>
    <row r="27" spans="1:13" ht="12.75" customHeight="1">
      <c r="A27" s="225" t="s">
        <v>96</v>
      </c>
      <c r="B27" s="226"/>
      <c r="C27" s="226"/>
      <c r="D27" s="226"/>
      <c r="E27" s="226"/>
      <c r="F27" s="226"/>
      <c r="G27" s="226"/>
      <c r="H27" s="226"/>
      <c r="I27" s="226"/>
      <c r="K27" s="94">
        <f>'4B_N2O emission'!B26</f>
        <v>0</v>
      </c>
      <c r="L27" s="97">
        <f>'4C1_Amount_Waste_OpenBurned'!G26</f>
        <v>0</v>
      </c>
      <c r="M27" s="99"/>
    </row>
    <row r="28" spans="1:13" ht="12.75" customHeight="1">
      <c r="A28" s="225" t="s">
        <v>97</v>
      </c>
      <c r="B28" s="226"/>
      <c r="C28" s="226"/>
      <c r="D28" s="226"/>
      <c r="E28" s="226"/>
      <c r="F28" s="226"/>
      <c r="G28" s="226"/>
      <c r="H28" s="226"/>
      <c r="I28" s="226"/>
      <c r="K28" s="94">
        <f>'4B_N2O emission'!B27</f>
        <v>0</v>
      </c>
      <c r="L28" s="97">
        <f>'4C1_Amount_Waste_OpenBurned'!G27</f>
        <v>0</v>
      </c>
      <c r="M28" s="99"/>
    </row>
    <row r="29" spans="1:13" ht="21.75" customHeight="1">
      <c r="A29" s="220" t="s">
        <v>200</v>
      </c>
      <c r="B29" s="221"/>
      <c r="C29" s="221"/>
      <c r="D29" s="221"/>
      <c r="E29" s="221"/>
      <c r="F29" s="221"/>
      <c r="G29" s="221"/>
      <c r="H29" s="221"/>
      <c r="I29" s="221"/>
      <c r="K29" s="94">
        <f>'4B_N2O emission'!B28</f>
        <v>0</v>
      </c>
      <c r="L29" s="97">
        <f>'4C1_Amount_Waste_OpenBurned'!G28</f>
        <v>0</v>
      </c>
      <c r="M29" s="99"/>
    </row>
    <row r="30" spans="1:13">
      <c r="K30" s="94">
        <f>'4B_N2O emission'!B29</f>
        <v>0</v>
      </c>
      <c r="L30" s="97">
        <f>'4C1_Amount_Waste_OpenBurned'!G29</f>
        <v>0</v>
      </c>
      <c r="M30" s="99"/>
    </row>
    <row r="31" spans="1:13">
      <c r="K31" s="94">
        <f>'4B_N2O emission'!B30</f>
        <v>0</v>
      </c>
      <c r="L31" s="97">
        <f>'4C1_Amount_Waste_OpenBurned'!G30</f>
        <v>0</v>
      </c>
      <c r="M31" s="99"/>
    </row>
    <row r="32" spans="1:13">
      <c r="K32" s="94">
        <f>'4B_N2O emission'!B31</f>
        <v>0</v>
      </c>
      <c r="L32" s="97">
        <f>'4C1_Amount_Waste_OpenBurned'!G31</f>
        <v>0</v>
      </c>
      <c r="M32" s="99"/>
    </row>
    <row r="33" spans="1:13">
      <c r="F33" s="101" t="s">
        <v>284</v>
      </c>
      <c r="K33" s="94">
        <f>'4B_N2O emission'!B32</f>
        <v>0</v>
      </c>
      <c r="L33" s="97">
        <f>'4C1_Amount_Waste_OpenBurned'!G32</f>
        <v>0</v>
      </c>
      <c r="M33" s="99"/>
    </row>
    <row r="36" spans="1:13">
      <c r="A36" s="184" t="s">
        <v>0</v>
      </c>
      <c r="B36" s="184"/>
      <c r="C36" s="185" t="s">
        <v>1</v>
      </c>
      <c r="D36" s="185"/>
      <c r="E36" s="185"/>
      <c r="F36" s="185"/>
      <c r="G36" s="185"/>
      <c r="H36" s="185"/>
      <c r="I36" s="185"/>
    </row>
    <row r="37" spans="1:13">
      <c r="A37" s="184" t="s">
        <v>2</v>
      </c>
      <c r="B37" s="184"/>
      <c r="C37" s="185" t="s">
        <v>75</v>
      </c>
      <c r="D37" s="185"/>
      <c r="E37" s="185"/>
      <c r="F37" s="185"/>
      <c r="G37" s="185"/>
      <c r="H37" s="185"/>
      <c r="I37" s="185"/>
    </row>
    <row r="38" spans="1:13">
      <c r="A38" s="184" t="s">
        <v>4</v>
      </c>
      <c r="B38" s="184"/>
      <c r="C38" s="185" t="s">
        <v>76</v>
      </c>
      <c r="D38" s="185"/>
      <c r="E38" s="185"/>
      <c r="F38" s="185"/>
      <c r="G38" s="185"/>
      <c r="H38" s="185"/>
      <c r="I38" s="185"/>
    </row>
    <row r="39" spans="1:13">
      <c r="A39" s="184" t="s">
        <v>6</v>
      </c>
      <c r="B39" s="184"/>
      <c r="C39" s="185" t="s">
        <v>77</v>
      </c>
      <c r="D39" s="185"/>
      <c r="E39" s="185"/>
      <c r="F39" s="185"/>
      <c r="G39" s="185"/>
      <c r="H39" s="185"/>
      <c r="I39" s="185"/>
    </row>
    <row r="40" spans="1:13">
      <c r="A40" s="217" t="s">
        <v>8</v>
      </c>
      <c r="B40" s="217"/>
      <c r="C40" s="217"/>
      <c r="D40" s="217" t="s">
        <v>9</v>
      </c>
      <c r="E40" s="222"/>
      <c r="F40" s="222"/>
      <c r="G40" s="222"/>
      <c r="H40" s="222"/>
      <c r="I40" s="90"/>
    </row>
    <row r="41" spans="1:13">
      <c r="A41" s="228"/>
      <c r="B41" s="228"/>
      <c r="C41" s="7" t="s">
        <v>58</v>
      </c>
      <c r="D41" s="7" t="s">
        <v>78</v>
      </c>
      <c r="E41" s="7" t="s">
        <v>79</v>
      </c>
      <c r="F41" s="7" t="s">
        <v>80</v>
      </c>
      <c r="G41" s="7" t="s">
        <v>81</v>
      </c>
      <c r="H41" s="7" t="s">
        <v>82</v>
      </c>
      <c r="I41" s="7" t="s">
        <v>83</v>
      </c>
    </row>
    <row r="42" spans="1:13" ht="25.5">
      <c r="A42" s="195" t="s">
        <v>84</v>
      </c>
      <c r="B42" s="195"/>
      <c r="C42" s="59" t="s">
        <v>85</v>
      </c>
      <c r="D42" s="228" t="s">
        <v>86</v>
      </c>
      <c r="E42" s="59" t="s">
        <v>87</v>
      </c>
      <c r="F42" s="59" t="s">
        <v>89</v>
      </c>
      <c r="G42" s="228" t="s">
        <v>91</v>
      </c>
      <c r="H42" s="228" t="s">
        <v>38</v>
      </c>
      <c r="I42" s="228" t="s">
        <v>92</v>
      </c>
    </row>
    <row r="43" spans="1:13" ht="14.25">
      <c r="A43" s="195"/>
      <c r="B43" s="195"/>
      <c r="C43" s="77" t="s">
        <v>37</v>
      </c>
      <c r="D43" s="218"/>
      <c r="E43" s="77" t="s">
        <v>88</v>
      </c>
      <c r="F43" s="77" t="s">
        <v>90</v>
      </c>
      <c r="G43" s="218"/>
      <c r="H43" s="218"/>
      <c r="I43" s="218"/>
    </row>
    <row r="44" spans="1:13">
      <c r="A44" s="196"/>
      <c r="B44" s="196"/>
      <c r="C44" s="77"/>
      <c r="D44" s="77" t="s">
        <v>39</v>
      </c>
      <c r="E44" s="77" t="s">
        <v>40</v>
      </c>
      <c r="F44" s="77" t="s">
        <v>41</v>
      </c>
      <c r="G44" s="77" t="s">
        <v>42</v>
      </c>
      <c r="H44" s="77"/>
      <c r="I44" s="77"/>
    </row>
    <row r="45" spans="1:13" ht="15.75">
      <c r="A45" s="196"/>
      <c r="B45" s="196"/>
      <c r="C45" s="8" t="s">
        <v>43</v>
      </c>
      <c r="D45" s="8" t="s">
        <v>44</v>
      </c>
      <c r="E45" s="8" t="s">
        <v>44</v>
      </c>
      <c r="F45" s="8" t="s">
        <v>44</v>
      </c>
      <c r="G45" s="8" t="s">
        <v>44</v>
      </c>
      <c r="H45" s="8" t="s">
        <v>45</v>
      </c>
      <c r="I45" s="8" t="s">
        <v>46</v>
      </c>
    </row>
    <row r="46" spans="1:13" ht="15" thickBot="1">
      <c r="A46" s="230"/>
      <c r="B46" s="230"/>
      <c r="C46" s="5" t="s">
        <v>93</v>
      </c>
      <c r="D46" s="5"/>
      <c r="E46" s="5"/>
      <c r="F46" s="5"/>
      <c r="G46" s="5"/>
      <c r="H46" s="5"/>
      <c r="I46" s="5" t="s">
        <v>94</v>
      </c>
    </row>
    <row r="47" spans="1:13" ht="13.5" thickTop="1">
      <c r="A47" s="227" t="s">
        <v>95</v>
      </c>
      <c r="B47" s="53" t="s">
        <v>203</v>
      </c>
      <c r="C47" s="91">
        <f>'4A_DOC'!$B$39*$L$14</f>
        <v>5.5324216412285043</v>
      </c>
      <c r="D47" s="92">
        <v>0.4</v>
      </c>
      <c r="E47" s="92">
        <v>0.38</v>
      </c>
      <c r="F47" s="34">
        <v>0</v>
      </c>
      <c r="G47" s="93">
        <v>0.57999999999999996</v>
      </c>
      <c r="H47" s="92">
        <f>44/12</f>
        <v>3.6666666666666665</v>
      </c>
      <c r="I47" s="53">
        <f>C47*D47*E47*F47*G47*H47</f>
        <v>0</v>
      </c>
    </row>
    <row r="48" spans="1:13">
      <c r="A48" s="227"/>
      <c r="B48" s="53" t="s">
        <v>204</v>
      </c>
      <c r="C48" s="91">
        <f>'4A_DOC'!$B$40*$L$14</f>
        <v>1.07081816673876</v>
      </c>
      <c r="D48" s="92">
        <v>0.9</v>
      </c>
      <c r="E48" s="92">
        <v>0.46</v>
      </c>
      <c r="F48" s="34">
        <f>1/100</f>
        <v>0.01</v>
      </c>
      <c r="G48" s="93">
        <v>0.57999999999999996</v>
      </c>
      <c r="H48" s="92">
        <f t="shared" ref="H48:H55" si="2">44/12</f>
        <v>3.6666666666666665</v>
      </c>
      <c r="I48" s="53">
        <f t="shared" ref="I48:I55" si="3">C48*D48*E48*F48*G48*H48</f>
        <v>9.4279114672347394E-3</v>
      </c>
    </row>
    <row r="49" spans="1:9">
      <c r="A49" s="227"/>
      <c r="B49" s="53" t="s">
        <v>205</v>
      </c>
      <c r="C49" s="91">
        <f>'4A_DOC'!$B$41*$L$14</f>
        <v>0</v>
      </c>
      <c r="D49" s="92">
        <v>0.85</v>
      </c>
      <c r="E49" s="92">
        <v>0.5</v>
      </c>
      <c r="F49" s="34">
        <v>0</v>
      </c>
      <c r="G49" s="93">
        <v>0.57999999999999996</v>
      </c>
      <c r="H49" s="92">
        <f t="shared" si="2"/>
        <v>3.6666666666666665</v>
      </c>
      <c r="I49" s="53">
        <f t="shared" si="3"/>
        <v>0</v>
      </c>
    </row>
    <row r="50" spans="1:9">
      <c r="A50" s="227"/>
      <c r="B50" s="53" t="s">
        <v>47</v>
      </c>
      <c r="C50" s="91">
        <f>'4A_DOC'!$B$42*$L$14</f>
        <v>6.7499043973416009E-2</v>
      </c>
      <c r="D50" s="92">
        <v>0.8</v>
      </c>
      <c r="E50" s="92">
        <v>0.5</v>
      </c>
      <c r="F50" s="34">
        <f>20/100</f>
        <v>0.2</v>
      </c>
      <c r="G50" s="93">
        <v>0.57999999999999996</v>
      </c>
      <c r="H50" s="92">
        <f t="shared" si="2"/>
        <v>3.6666666666666665</v>
      </c>
      <c r="I50" s="53">
        <f t="shared" si="3"/>
        <v>1.148383734801051E-2</v>
      </c>
    </row>
    <row r="51" spans="1:9">
      <c r="A51" s="227"/>
      <c r="B51" s="53" t="s">
        <v>206</v>
      </c>
      <c r="C51" s="91">
        <f>'4A_DOC'!$B$43*$L$14</f>
        <v>0</v>
      </c>
      <c r="D51" s="92">
        <v>0.84</v>
      </c>
      <c r="E51" s="92">
        <v>0.67</v>
      </c>
      <c r="F51" s="34">
        <f>20/100</f>
        <v>0.2</v>
      </c>
      <c r="G51" s="93">
        <v>0.57999999999999996</v>
      </c>
      <c r="H51" s="92">
        <f t="shared" si="2"/>
        <v>3.6666666666666665</v>
      </c>
      <c r="I51" s="53">
        <f t="shared" si="3"/>
        <v>0</v>
      </c>
    </row>
    <row r="52" spans="1:9">
      <c r="A52" s="227"/>
      <c r="B52" s="53" t="s">
        <v>207</v>
      </c>
      <c r="C52" s="91">
        <f>'4A_DOC'!$B$44*$L$14</f>
        <v>0.89248735920405609</v>
      </c>
      <c r="D52" s="92">
        <v>1</v>
      </c>
      <c r="E52" s="92">
        <v>0.75</v>
      </c>
      <c r="F52" s="34">
        <f>100/100</f>
        <v>1</v>
      </c>
      <c r="G52" s="93">
        <v>0.57999999999999996</v>
      </c>
      <c r="H52" s="92">
        <f t="shared" si="2"/>
        <v>3.6666666666666665</v>
      </c>
      <c r="I52" s="53">
        <f t="shared" si="3"/>
        <v>1.4235173379304693</v>
      </c>
    </row>
    <row r="53" spans="1:9">
      <c r="A53" s="227"/>
      <c r="B53" s="53" t="s">
        <v>208</v>
      </c>
      <c r="C53" s="91">
        <f>'4A_DOC'!$B$45*$L$14</f>
        <v>0.14749791090487199</v>
      </c>
      <c r="D53" s="92">
        <v>1</v>
      </c>
      <c r="E53" s="92">
        <v>0</v>
      </c>
      <c r="F53" s="34">
        <v>0</v>
      </c>
      <c r="G53" s="93">
        <v>0.57999999999999996</v>
      </c>
      <c r="H53" s="92">
        <f t="shared" si="2"/>
        <v>3.6666666666666665</v>
      </c>
      <c r="I53" s="53">
        <f t="shared" si="3"/>
        <v>0</v>
      </c>
    </row>
    <row r="54" spans="1:9">
      <c r="A54" s="227"/>
      <c r="B54" s="53" t="s">
        <v>209</v>
      </c>
      <c r="C54" s="91">
        <f>'4A_DOC'!$B$46*$L$14</f>
        <v>0.110831763561288</v>
      </c>
      <c r="D54" s="92">
        <v>1</v>
      </c>
      <c r="E54" s="92">
        <v>0</v>
      </c>
      <c r="F54" s="34">
        <v>0</v>
      </c>
      <c r="G54" s="93">
        <v>0.57999999999999996</v>
      </c>
      <c r="H54" s="92">
        <f t="shared" si="2"/>
        <v>3.6666666666666665</v>
      </c>
      <c r="I54" s="53">
        <f t="shared" si="3"/>
        <v>0</v>
      </c>
    </row>
    <row r="55" spans="1:9">
      <c r="A55" s="227"/>
      <c r="B55" s="53" t="s">
        <v>210</v>
      </c>
      <c r="C55" s="91">
        <f>'4A_DOC'!$B$47*$L$14</f>
        <v>0.51749267046285596</v>
      </c>
      <c r="D55" s="92">
        <v>0.9</v>
      </c>
      <c r="E55" s="92">
        <v>0</v>
      </c>
      <c r="F55" s="34">
        <v>0</v>
      </c>
      <c r="G55" s="93">
        <v>0.57999999999999996</v>
      </c>
      <c r="H55" s="92">
        <f t="shared" si="2"/>
        <v>3.6666666666666665</v>
      </c>
      <c r="I55" s="53">
        <f t="shared" si="3"/>
        <v>0</v>
      </c>
    </row>
    <row r="56" spans="1:9">
      <c r="A56" s="227" t="s">
        <v>48</v>
      </c>
      <c r="B56" s="227"/>
      <c r="C56" s="7"/>
      <c r="D56" s="53"/>
      <c r="E56" s="53"/>
      <c r="F56" s="53"/>
      <c r="G56" s="53"/>
      <c r="H56" s="53"/>
      <c r="I56" s="53"/>
    </row>
    <row r="57" spans="1:9">
      <c r="A57" s="186" t="s">
        <v>286</v>
      </c>
      <c r="B57" s="187"/>
      <c r="C57" s="187"/>
      <c r="D57" s="187"/>
      <c r="E57" s="187"/>
      <c r="F57" s="187"/>
      <c r="G57" s="187"/>
      <c r="H57" s="188"/>
      <c r="I57" s="95">
        <f>SUM(I47:I56)</f>
        <v>1.4444290867457146</v>
      </c>
    </row>
    <row r="58" spans="1:9">
      <c r="A58" s="223" t="s">
        <v>53</v>
      </c>
      <c r="B58" s="224"/>
      <c r="C58" s="224"/>
      <c r="D58" s="224"/>
      <c r="E58" s="224"/>
      <c r="F58" s="224"/>
      <c r="G58" s="224"/>
      <c r="H58" s="224"/>
      <c r="I58" s="224"/>
    </row>
    <row r="59" spans="1:9">
      <c r="A59" s="225" t="s">
        <v>54</v>
      </c>
      <c r="B59" s="226"/>
      <c r="C59" s="226"/>
      <c r="D59" s="226"/>
      <c r="E59" s="226"/>
      <c r="F59" s="226"/>
      <c r="G59" s="226"/>
      <c r="H59" s="226"/>
      <c r="I59" s="226"/>
    </row>
    <row r="60" spans="1:9">
      <c r="A60" s="225" t="s">
        <v>55</v>
      </c>
      <c r="B60" s="226"/>
      <c r="C60" s="226"/>
      <c r="D60" s="226"/>
      <c r="E60" s="226"/>
      <c r="F60" s="226"/>
      <c r="G60" s="226"/>
      <c r="H60" s="226"/>
      <c r="I60" s="226"/>
    </row>
    <row r="61" spans="1:9">
      <c r="A61" s="225" t="s">
        <v>96</v>
      </c>
      <c r="B61" s="226"/>
      <c r="C61" s="226"/>
      <c r="D61" s="226"/>
      <c r="E61" s="226"/>
      <c r="F61" s="226"/>
      <c r="G61" s="226"/>
      <c r="H61" s="226"/>
      <c r="I61" s="226"/>
    </row>
    <row r="62" spans="1:9">
      <c r="A62" s="225" t="s">
        <v>97</v>
      </c>
      <c r="B62" s="226"/>
      <c r="C62" s="226"/>
      <c r="D62" s="226"/>
      <c r="E62" s="226"/>
      <c r="F62" s="226"/>
      <c r="G62" s="226"/>
      <c r="H62" s="226"/>
      <c r="I62" s="226"/>
    </row>
    <row r="63" spans="1:9">
      <c r="A63" s="220" t="s">
        <v>200</v>
      </c>
      <c r="B63" s="221"/>
      <c r="C63" s="221"/>
      <c r="D63" s="221"/>
      <c r="E63" s="221"/>
      <c r="F63" s="221"/>
      <c r="G63" s="221"/>
      <c r="H63" s="221"/>
      <c r="I63" s="221"/>
    </row>
    <row r="66" spans="1:9">
      <c r="A66" s="184" t="s">
        <v>0</v>
      </c>
      <c r="B66" s="184"/>
      <c r="C66" s="185" t="s">
        <v>1</v>
      </c>
      <c r="D66" s="185"/>
      <c r="E66" s="185"/>
      <c r="F66" s="185"/>
      <c r="G66" s="185"/>
      <c r="H66" s="185"/>
      <c r="I66" s="185"/>
    </row>
    <row r="67" spans="1:9">
      <c r="A67" s="184" t="s">
        <v>2</v>
      </c>
      <c r="B67" s="184"/>
      <c r="C67" s="185" t="s">
        <v>75</v>
      </c>
      <c r="D67" s="185"/>
      <c r="E67" s="185"/>
      <c r="F67" s="185"/>
      <c r="G67" s="185"/>
      <c r="H67" s="185"/>
      <c r="I67" s="185"/>
    </row>
    <row r="68" spans="1:9">
      <c r="A68" s="184" t="s">
        <v>4</v>
      </c>
      <c r="B68" s="184"/>
      <c r="C68" s="185" t="s">
        <v>76</v>
      </c>
      <c r="D68" s="185"/>
      <c r="E68" s="185"/>
      <c r="F68" s="185"/>
      <c r="G68" s="185"/>
      <c r="H68" s="185"/>
      <c r="I68" s="185"/>
    </row>
    <row r="69" spans="1:9">
      <c r="A69" s="184" t="s">
        <v>6</v>
      </c>
      <c r="B69" s="184"/>
      <c r="C69" s="185" t="s">
        <v>77</v>
      </c>
      <c r="D69" s="185"/>
      <c r="E69" s="185"/>
      <c r="F69" s="185"/>
      <c r="G69" s="185"/>
      <c r="H69" s="185"/>
      <c r="I69" s="185"/>
    </row>
    <row r="70" spans="1:9">
      <c r="A70" s="217" t="s">
        <v>8</v>
      </c>
      <c r="B70" s="217"/>
      <c r="C70" s="217"/>
      <c r="D70" s="217" t="s">
        <v>9</v>
      </c>
      <c r="E70" s="222"/>
      <c r="F70" s="222"/>
      <c r="G70" s="222"/>
      <c r="H70" s="222"/>
      <c r="I70" s="90"/>
    </row>
    <row r="71" spans="1:9">
      <c r="A71" s="228"/>
      <c r="B71" s="228"/>
      <c r="C71" s="7" t="s">
        <v>58</v>
      </c>
      <c r="D71" s="7" t="s">
        <v>78</v>
      </c>
      <c r="E71" s="7" t="s">
        <v>79</v>
      </c>
      <c r="F71" s="7" t="s">
        <v>80</v>
      </c>
      <c r="G71" s="7" t="s">
        <v>81</v>
      </c>
      <c r="H71" s="7" t="s">
        <v>82</v>
      </c>
      <c r="I71" s="7" t="s">
        <v>83</v>
      </c>
    </row>
    <row r="72" spans="1:9" ht="25.5">
      <c r="A72" s="195" t="s">
        <v>84</v>
      </c>
      <c r="B72" s="195"/>
      <c r="C72" s="59" t="s">
        <v>85</v>
      </c>
      <c r="D72" s="228" t="s">
        <v>86</v>
      </c>
      <c r="E72" s="59" t="s">
        <v>87</v>
      </c>
      <c r="F72" s="59" t="s">
        <v>89</v>
      </c>
      <c r="G72" s="228" t="s">
        <v>91</v>
      </c>
      <c r="H72" s="228" t="s">
        <v>38</v>
      </c>
      <c r="I72" s="228" t="s">
        <v>92</v>
      </c>
    </row>
    <row r="73" spans="1:9" ht="14.25">
      <c r="A73" s="195"/>
      <c r="B73" s="195"/>
      <c r="C73" s="77" t="s">
        <v>37</v>
      </c>
      <c r="D73" s="218"/>
      <c r="E73" s="77" t="s">
        <v>88</v>
      </c>
      <c r="F73" s="77" t="s">
        <v>90</v>
      </c>
      <c r="G73" s="218"/>
      <c r="H73" s="218"/>
      <c r="I73" s="218"/>
    </row>
    <row r="74" spans="1:9">
      <c r="A74" s="196"/>
      <c r="B74" s="196"/>
      <c r="C74" s="77"/>
      <c r="D74" s="77" t="s">
        <v>39</v>
      </c>
      <c r="E74" s="77" t="s">
        <v>40</v>
      </c>
      <c r="F74" s="77" t="s">
        <v>41</v>
      </c>
      <c r="G74" s="77" t="s">
        <v>42</v>
      </c>
      <c r="H74" s="77"/>
      <c r="I74" s="77"/>
    </row>
    <row r="75" spans="1:9" ht="15.75">
      <c r="A75" s="196"/>
      <c r="B75" s="196"/>
      <c r="C75" s="8" t="s">
        <v>43</v>
      </c>
      <c r="D75" s="8" t="s">
        <v>44</v>
      </c>
      <c r="E75" s="8" t="s">
        <v>44</v>
      </c>
      <c r="F75" s="8" t="s">
        <v>44</v>
      </c>
      <c r="G75" s="8" t="s">
        <v>44</v>
      </c>
      <c r="H75" s="8" t="s">
        <v>45</v>
      </c>
      <c r="I75" s="8" t="s">
        <v>46</v>
      </c>
    </row>
    <row r="76" spans="1:9" ht="15" thickBot="1">
      <c r="A76" s="230"/>
      <c r="B76" s="230"/>
      <c r="C76" s="5" t="s">
        <v>93</v>
      </c>
      <c r="D76" s="5"/>
      <c r="E76" s="5"/>
      <c r="F76" s="5"/>
      <c r="G76" s="5"/>
      <c r="H76" s="5"/>
      <c r="I76" s="5" t="s">
        <v>94</v>
      </c>
    </row>
    <row r="77" spans="1:9" ht="13.5" thickTop="1">
      <c r="A77" s="227" t="s">
        <v>95</v>
      </c>
      <c r="B77" s="53" t="s">
        <v>203</v>
      </c>
      <c r="C77" s="91">
        <f>'4A_DOC'!$B$39*$L$15</f>
        <v>5.6586066856557489</v>
      </c>
      <c r="D77" s="92">
        <v>0.4</v>
      </c>
      <c r="E77" s="92">
        <v>0.38</v>
      </c>
      <c r="F77" s="34">
        <v>0</v>
      </c>
      <c r="G77" s="93">
        <v>0.57999999999999996</v>
      </c>
      <c r="H77" s="92">
        <f>44/12</f>
        <v>3.6666666666666665</v>
      </c>
      <c r="I77" s="53">
        <f>C77*D77*E77*F77*G77*H77</f>
        <v>0</v>
      </c>
    </row>
    <row r="78" spans="1:9">
      <c r="A78" s="227"/>
      <c r="B78" s="53" t="s">
        <v>204</v>
      </c>
      <c r="C78" s="91">
        <f>'4A_DOC'!$B$40*$L$15</f>
        <v>1.0952416916806202</v>
      </c>
      <c r="D78" s="92">
        <v>0.9</v>
      </c>
      <c r="E78" s="92">
        <v>0.46</v>
      </c>
      <c r="F78" s="34">
        <f>1/100</f>
        <v>0.01</v>
      </c>
      <c r="G78" s="93">
        <v>0.57999999999999996</v>
      </c>
      <c r="H78" s="92">
        <f t="shared" ref="H78:H85" si="4">44/12</f>
        <v>3.6666666666666665</v>
      </c>
      <c r="I78" s="53">
        <f t="shared" ref="I78:I85" si="5">C78*D78*E78*F78*G78*H78</f>
        <v>9.6429459502328542E-3</v>
      </c>
    </row>
    <row r="79" spans="1:9">
      <c r="A79" s="227"/>
      <c r="B79" s="53" t="s">
        <v>205</v>
      </c>
      <c r="C79" s="91">
        <f>'4A_DOC'!$B$41*$L$15</f>
        <v>0</v>
      </c>
      <c r="D79" s="92">
        <v>0.85</v>
      </c>
      <c r="E79" s="92">
        <v>0.5</v>
      </c>
      <c r="F79" s="34">
        <v>0</v>
      </c>
      <c r="G79" s="93">
        <v>0.57999999999999996</v>
      </c>
      <c r="H79" s="92">
        <f t="shared" si="4"/>
        <v>3.6666666666666665</v>
      </c>
      <c r="I79" s="53">
        <f t="shared" si="5"/>
        <v>0</v>
      </c>
    </row>
    <row r="80" spans="1:9">
      <c r="A80" s="227"/>
      <c r="B80" s="53" t="s">
        <v>47</v>
      </c>
      <c r="C80" s="91">
        <f>'4A_DOC'!$B$42*$L$15</f>
        <v>6.9038581343292021E-2</v>
      </c>
      <c r="D80" s="92">
        <v>0.8</v>
      </c>
      <c r="E80" s="92">
        <v>0.5</v>
      </c>
      <c r="F80" s="34">
        <f>20/100</f>
        <v>0.2</v>
      </c>
      <c r="G80" s="93">
        <v>0.57999999999999996</v>
      </c>
      <c r="H80" s="92">
        <f t="shared" si="4"/>
        <v>3.6666666666666665</v>
      </c>
      <c r="I80" s="53">
        <f t="shared" si="5"/>
        <v>1.174576397253875E-2</v>
      </c>
    </row>
    <row r="81" spans="1:9">
      <c r="A81" s="227"/>
      <c r="B81" s="53" t="s">
        <v>206</v>
      </c>
      <c r="C81" s="91">
        <f>'4A_DOC'!$B$43*$L$15</f>
        <v>0</v>
      </c>
      <c r="D81" s="92">
        <v>0.84</v>
      </c>
      <c r="E81" s="92">
        <v>0.67</v>
      </c>
      <c r="F81" s="34">
        <f>20/100</f>
        <v>0.2</v>
      </c>
      <c r="G81" s="93">
        <v>0.57999999999999996</v>
      </c>
      <c r="H81" s="92">
        <f t="shared" si="4"/>
        <v>3.6666666666666665</v>
      </c>
      <c r="I81" s="53">
        <f t="shared" si="5"/>
        <v>0</v>
      </c>
    </row>
    <row r="82" spans="1:9">
      <c r="A82" s="227"/>
      <c r="B82" s="53" t="s">
        <v>207</v>
      </c>
      <c r="C82" s="91">
        <f>'4A_DOC'!$B$44*$L$15</f>
        <v>0.91284346442797226</v>
      </c>
      <c r="D82" s="92">
        <v>1</v>
      </c>
      <c r="E82" s="92">
        <v>0.75</v>
      </c>
      <c r="F82" s="34">
        <f>100/100</f>
        <v>1</v>
      </c>
      <c r="G82" s="93">
        <v>0.57999999999999996</v>
      </c>
      <c r="H82" s="92">
        <f t="shared" si="4"/>
        <v>3.6666666666666665</v>
      </c>
      <c r="I82" s="53">
        <f t="shared" si="5"/>
        <v>1.4559853257626156</v>
      </c>
    </row>
    <row r="83" spans="1:9">
      <c r="A83" s="227"/>
      <c r="B83" s="53" t="s">
        <v>208</v>
      </c>
      <c r="C83" s="91">
        <f>'4A_DOC'!$B$45*$L$15</f>
        <v>0.15086208515756402</v>
      </c>
      <c r="D83" s="92">
        <v>1</v>
      </c>
      <c r="E83" s="92">
        <v>0</v>
      </c>
      <c r="F83" s="34">
        <v>0</v>
      </c>
      <c r="G83" s="93">
        <v>0.57999999999999996</v>
      </c>
      <c r="H83" s="92">
        <f t="shared" si="4"/>
        <v>3.6666666666666665</v>
      </c>
      <c r="I83" s="53">
        <f t="shared" si="5"/>
        <v>0</v>
      </c>
    </row>
    <row r="84" spans="1:9">
      <c r="A84" s="227"/>
      <c r="B84" s="53" t="s">
        <v>209</v>
      </c>
      <c r="C84" s="91">
        <f>'4A_DOC'!$B$46*$L$15</f>
        <v>0.11335964590935602</v>
      </c>
      <c r="D84" s="92">
        <v>1</v>
      </c>
      <c r="E84" s="92">
        <v>0</v>
      </c>
      <c r="F84" s="34">
        <v>0</v>
      </c>
      <c r="G84" s="93">
        <v>0.57999999999999996</v>
      </c>
      <c r="H84" s="92">
        <f t="shared" si="4"/>
        <v>3.6666666666666665</v>
      </c>
      <c r="I84" s="53">
        <f t="shared" si="5"/>
        <v>0</v>
      </c>
    </row>
    <row r="85" spans="1:9">
      <c r="A85" s="227"/>
      <c r="B85" s="53" t="s">
        <v>210</v>
      </c>
      <c r="C85" s="91">
        <f>'4A_DOC'!$B$47*$L$15</f>
        <v>0.5292957902985721</v>
      </c>
      <c r="D85" s="92">
        <v>0.9</v>
      </c>
      <c r="E85" s="92">
        <v>0</v>
      </c>
      <c r="F85" s="34">
        <v>0</v>
      </c>
      <c r="G85" s="93">
        <v>0.57999999999999996</v>
      </c>
      <c r="H85" s="92">
        <f t="shared" si="4"/>
        <v>3.6666666666666665</v>
      </c>
      <c r="I85" s="53">
        <f t="shared" si="5"/>
        <v>0</v>
      </c>
    </row>
    <row r="86" spans="1:9">
      <c r="A86" s="227" t="s">
        <v>48</v>
      </c>
      <c r="B86" s="227"/>
      <c r="C86" s="7"/>
      <c r="D86" s="53"/>
      <c r="E86" s="53"/>
      <c r="F86" s="53"/>
      <c r="G86" s="53"/>
      <c r="H86" s="53"/>
      <c r="I86" s="53"/>
    </row>
    <row r="87" spans="1:9">
      <c r="A87" s="186" t="s">
        <v>287</v>
      </c>
      <c r="B87" s="187"/>
      <c r="C87" s="187"/>
      <c r="D87" s="187"/>
      <c r="E87" s="187"/>
      <c r="F87" s="187"/>
      <c r="G87" s="187"/>
      <c r="H87" s="188"/>
      <c r="I87" s="95">
        <f>SUM(I77:I86)</f>
        <v>1.4773740356853873</v>
      </c>
    </row>
    <row r="88" spans="1:9">
      <c r="A88" s="223" t="s">
        <v>53</v>
      </c>
      <c r="B88" s="224"/>
      <c r="C88" s="224"/>
      <c r="D88" s="224"/>
      <c r="E88" s="224"/>
      <c r="F88" s="224"/>
      <c r="G88" s="224"/>
      <c r="H88" s="224"/>
      <c r="I88" s="224"/>
    </row>
    <row r="89" spans="1:9">
      <c r="A89" s="225" t="s">
        <v>54</v>
      </c>
      <c r="B89" s="226"/>
      <c r="C89" s="226"/>
      <c r="D89" s="226"/>
      <c r="E89" s="226"/>
      <c r="F89" s="226"/>
      <c r="G89" s="226"/>
      <c r="H89" s="226"/>
      <c r="I89" s="226"/>
    </row>
    <row r="90" spans="1:9">
      <c r="A90" s="225" t="s">
        <v>55</v>
      </c>
      <c r="B90" s="226"/>
      <c r="C90" s="226"/>
      <c r="D90" s="226"/>
      <c r="E90" s="226"/>
      <c r="F90" s="226"/>
      <c r="G90" s="226"/>
      <c r="H90" s="226"/>
      <c r="I90" s="226"/>
    </row>
    <row r="91" spans="1:9">
      <c r="A91" s="225" t="s">
        <v>96</v>
      </c>
      <c r="B91" s="226"/>
      <c r="C91" s="226"/>
      <c r="D91" s="226"/>
      <c r="E91" s="226"/>
      <c r="F91" s="226"/>
      <c r="G91" s="226"/>
      <c r="H91" s="226"/>
      <c r="I91" s="226"/>
    </row>
    <row r="92" spans="1:9">
      <c r="A92" s="225" t="s">
        <v>97</v>
      </c>
      <c r="B92" s="226"/>
      <c r="C92" s="226"/>
      <c r="D92" s="226"/>
      <c r="E92" s="226"/>
      <c r="F92" s="226"/>
      <c r="G92" s="226"/>
      <c r="H92" s="226"/>
      <c r="I92" s="226"/>
    </row>
    <row r="93" spans="1:9">
      <c r="A93" s="220" t="s">
        <v>200</v>
      </c>
      <c r="B93" s="221"/>
      <c r="C93" s="221"/>
      <c r="D93" s="221"/>
      <c r="E93" s="221"/>
      <c r="F93" s="221"/>
      <c r="G93" s="221"/>
      <c r="H93" s="221"/>
      <c r="I93" s="221"/>
    </row>
    <row r="97" spans="1:9">
      <c r="A97" s="184" t="s">
        <v>0</v>
      </c>
      <c r="B97" s="184"/>
      <c r="C97" s="185" t="s">
        <v>1</v>
      </c>
      <c r="D97" s="185"/>
      <c r="E97" s="185"/>
      <c r="F97" s="185"/>
      <c r="G97" s="185"/>
      <c r="H97" s="185"/>
      <c r="I97" s="185"/>
    </row>
    <row r="98" spans="1:9">
      <c r="A98" s="184" t="s">
        <v>2</v>
      </c>
      <c r="B98" s="184"/>
      <c r="C98" s="185" t="s">
        <v>75</v>
      </c>
      <c r="D98" s="185"/>
      <c r="E98" s="185"/>
      <c r="F98" s="185"/>
      <c r="G98" s="185"/>
      <c r="H98" s="185"/>
      <c r="I98" s="185"/>
    </row>
    <row r="99" spans="1:9">
      <c r="A99" s="184" t="s">
        <v>4</v>
      </c>
      <c r="B99" s="184"/>
      <c r="C99" s="185" t="s">
        <v>76</v>
      </c>
      <c r="D99" s="185"/>
      <c r="E99" s="185"/>
      <c r="F99" s="185"/>
      <c r="G99" s="185"/>
      <c r="H99" s="185"/>
      <c r="I99" s="185"/>
    </row>
    <row r="100" spans="1:9">
      <c r="A100" s="184" t="s">
        <v>6</v>
      </c>
      <c r="B100" s="184"/>
      <c r="C100" s="185" t="s">
        <v>77</v>
      </c>
      <c r="D100" s="185"/>
      <c r="E100" s="185"/>
      <c r="F100" s="185"/>
      <c r="G100" s="185"/>
      <c r="H100" s="185"/>
      <c r="I100" s="185"/>
    </row>
    <row r="101" spans="1:9">
      <c r="A101" s="217" t="s">
        <v>8</v>
      </c>
      <c r="B101" s="217"/>
      <c r="C101" s="217"/>
      <c r="D101" s="217" t="s">
        <v>9</v>
      </c>
      <c r="E101" s="222"/>
      <c r="F101" s="222"/>
      <c r="G101" s="222"/>
      <c r="H101" s="222"/>
      <c r="I101" s="90"/>
    </row>
    <row r="102" spans="1:9">
      <c r="A102" s="228"/>
      <c r="B102" s="228"/>
      <c r="C102" s="7" t="s">
        <v>58</v>
      </c>
      <c r="D102" s="7" t="s">
        <v>78</v>
      </c>
      <c r="E102" s="7" t="s">
        <v>79</v>
      </c>
      <c r="F102" s="7" t="s">
        <v>80</v>
      </c>
      <c r="G102" s="7" t="s">
        <v>81</v>
      </c>
      <c r="H102" s="7" t="s">
        <v>82</v>
      </c>
      <c r="I102" s="7" t="s">
        <v>83</v>
      </c>
    </row>
    <row r="103" spans="1:9" ht="25.5">
      <c r="A103" s="195" t="s">
        <v>84</v>
      </c>
      <c r="B103" s="195"/>
      <c r="C103" s="59" t="s">
        <v>85</v>
      </c>
      <c r="D103" s="228" t="s">
        <v>86</v>
      </c>
      <c r="E103" s="59" t="s">
        <v>87</v>
      </c>
      <c r="F103" s="59" t="s">
        <v>89</v>
      </c>
      <c r="G103" s="228" t="s">
        <v>91</v>
      </c>
      <c r="H103" s="228" t="s">
        <v>38</v>
      </c>
      <c r="I103" s="228" t="s">
        <v>92</v>
      </c>
    </row>
    <row r="104" spans="1:9" ht="14.25">
      <c r="A104" s="195"/>
      <c r="B104" s="195"/>
      <c r="C104" s="77" t="s">
        <v>37</v>
      </c>
      <c r="D104" s="218"/>
      <c r="E104" s="77" t="s">
        <v>88</v>
      </c>
      <c r="F104" s="77" t="s">
        <v>90</v>
      </c>
      <c r="G104" s="218"/>
      <c r="H104" s="218"/>
      <c r="I104" s="218"/>
    </row>
    <row r="105" spans="1:9">
      <c r="A105" s="196"/>
      <c r="B105" s="196"/>
      <c r="C105" s="77"/>
      <c r="D105" s="77" t="s">
        <v>39</v>
      </c>
      <c r="E105" s="77" t="s">
        <v>40</v>
      </c>
      <c r="F105" s="77" t="s">
        <v>41</v>
      </c>
      <c r="G105" s="77" t="s">
        <v>42</v>
      </c>
      <c r="H105" s="77"/>
      <c r="I105" s="77"/>
    </row>
    <row r="106" spans="1:9" ht="15.75">
      <c r="A106" s="196"/>
      <c r="B106" s="196"/>
      <c r="C106" s="8" t="s">
        <v>43</v>
      </c>
      <c r="D106" s="8" t="s">
        <v>44</v>
      </c>
      <c r="E106" s="8" t="s">
        <v>44</v>
      </c>
      <c r="F106" s="8" t="s">
        <v>44</v>
      </c>
      <c r="G106" s="8" t="s">
        <v>44</v>
      </c>
      <c r="H106" s="8" t="s">
        <v>45</v>
      </c>
      <c r="I106" s="8" t="s">
        <v>46</v>
      </c>
    </row>
    <row r="107" spans="1:9" ht="15" thickBot="1">
      <c r="A107" s="230"/>
      <c r="B107" s="230"/>
      <c r="C107" s="5" t="s">
        <v>93</v>
      </c>
      <c r="D107" s="5"/>
      <c r="E107" s="5"/>
      <c r="F107" s="5"/>
      <c r="G107" s="5"/>
      <c r="H107" s="5"/>
      <c r="I107" s="5" t="s">
        <v>94</v>
      </c>
    </row>
    <row r="108" spans="1:9" ht="13.5" thickTop="1">
      <c r="A108" s="227" t="s">
        <v>95</v>
      </c>
      <c r="B108" s="53" t="s">
        <v>203</v>
      </c>
      <c r="C108" s="91">
        <f>'4A_DOC'!$B$39*$L$16</f>
        <v>5.8398650741517564</v>
      </c>
      <c r="D108" s="92">
        <v>0.4</v>
      </c>
      <c r="E108" s="92">
        <v>0.38</v>
      </c>
      <c r="F108" s="34">
        <v>0</v>
      </c>
      <c r="G108" s="93">
        <v>0.57999999999999996</v>
      </c>
      <c r="H108" s="92">
        <f>44/12</f>
        <v>3.6666666666666665</v>
      </c>
      <c r="I108" s="53">
        <f>C108*D108*E108*F108*G108*H108</f>
        <v>0</v>
      </c>
    </row>
    <row r="109" spans="1:9">
      <c r="A109" s="227"/>
      <c r="B109" s="53" t="s">
        <v>204</v>
      </c>
      <c r="C109" s="91">
        <f>'4A_DOC'!$B$40*$L$16</f>
        <v>1.1303248411334548</v>
      </c>
      <c r="D109" s="92">
        <v>0.9</v>
      </c>
      <c r="E109" s="92">
        <v>0.46</v>
      </c>
      <c r="F109" s="34">
        <f>1/100</f>
        <v>0.01</v>
      </c>
      <c r="G109" s="93">
        <v>0.57999999999999996</v>
      </c>
      <c r="H109" s="92">
        <f t="shared" ref="H109:H116" si="6">44/12</f>
        <v>3.6666666666666665</v>
      </c>
      <c r="I109" s="53">
        <f t="shared" ref="I109:I116" si="7">C109*D109*E109*F109*G109*H109</f>
        <v>9.9518320312753893E-3</v>
      </c>
    </row>
    <row r="110" spans="1:9">
      <c r="A110" s="227"/>
      <c r="B110" s="53" t="s">
        <v>205</v>
      </c>
      <c r="C110" s="91">
        <f>'4A_DOC'!$B$41*$L$16</f>
        <v>0</v>
      </c>
      <c r="D110" s="92">
        <v>0.85</v>
      </c>
      <c r="E110" s="92">
        <v>0.5</v>
      </c>
      <c r="F110" s="34">
        <v>0</v>
      </c>
      <c r="G110" s="93">
        <v>0.57999999999999996</v>
      </c>
      <c r="H110" s="92">
        <f t="shared" si="6"/>
        <v>3.6666666666666665</v>
      </c>
      <c r="I110" s="53">
        <f t="shared" si="7"/>
        <v>0</v>
      </c>
    </row>
    <row r="111" spans="1:9">
      <c r="A111" s="227"/>
      <c r="B111" s="53" t="s">
        <v>47</v>
      </c>
      <c r="C111" s="91">
        <f>'4A_DOC'!$B$42*$L$16</f>
        <v>7.1250048351603007E-2</v>
      </c>
      <c r="D111" s="92">
        <v>0.8</v>
      </c>
      <c r="E111" s="92">
        <v>0.5</v>
      </c>
      <c r="F111" s="34">
        <f>20/100</f>
        <v>0.2</v>
      </c>
      <c r="G111" s="93">
        <v>0.57999999999999996</v>
      </c>
      <c r="H111" s="92">
        <f t="shared" si="6"/>
        <v>3.6666666666666665</v>
      </c>
      <c r="I111" s="53">
        <f t="shared" si="7"/>
        <v>1.2122008226219392E-2</v>
      </c>
    </row>
    <row r="112" spans="1:9">
      <c r="A112" s="227"/>
      <c r="B112" s="53" t="s">
        <v>206</v>
      </c>
      <c r="C112" s="91">
        <f>'4A_DOC'!$B$43*$L$16</f>
        <v>0</v>
      </c>
      <c r="D112" s="92">
        <v>0.84</v>
      </c>
      <c r="E112" s="92">
        <v>0.67</v>
      </c>
      <c r="F112" s="34">
        <f>20/100</f>
        <v>0.2</v>
      </c>
      <c r="G112" s="93">
        <v>0.57999999999999996</v>
      </c>
      <c r="H112" s="92">
        <f t="shared" si="6"/>
        <v>3.6666666666666665</v>
      </c>
      <c r="I112" s="53">
        <f t="shared" si="7"/>
        <v>0</v>
      </c>
    </row>
    <row r="113" spans="1:9">
      <c r="A113" s="227"/>
      <c r="B113" s="53" t="s">
        <v>207</v>
      </c>
      <c r="C113" s="91">
        <f>'4A_DOC'!$B$44*$L$16</f>
        <v>0.94208397264897303</v>
      </c>
      <c r="D113" s="92">
        <v>1</v>
      </c>
      <c r="E113" s="92">
        <v>0.75</v>
      </c>
      <c r="F113" s="34">
        <f>100/100</f>
        <v>1</v>
      </c>
      <c r="G113" s="93">
        <v>0.57999999999999996</v>
      </c>
      <c r="H113" s="92">
        <f t="shared" si="6"/>
        <v>3.6666666666666665</v>
      </c>
      <c r="I113" s="53">
        <f t="shared" si="7"/>
        <v>1.5026239363751117</v>
      </c>
    </row>
    <row r="114" spans="1:9">
      <c r="A114" s="227"/>
      <c r="B114" s="53" t="s">
        <v>208</v>
      </c>
      <c r="C114" s="91">
        <f>'4A_DOC'!$B$45*$L$16</f>
        <v>0.15569455010165098</v>
      </c>
      <c r="D114" s="92">
        <v>1</v>
      </c>
      <c r="E114" s="92">
        <v>0</v>
      </c>
      <c r="F114" s="34">
        <v>0</v>
      </c>
      <c r="G114" s="93">
        <v>0.57999999999999996</v>
      </c>
      <c r="H114" s="92">
        <f t="shared" si="6"/>
        <v>3.6666666666666665</v>
      </c>
      <c r="I114" s="53">
        <f t="shared" si="7"/>
        <v>0</v>
      </c>
    </row>
    <row r="115" spans="1:9">
      <c r="A115" s="227"/>
      <c r="B115" s="53" t="s">
        <v>209</v>
      </c>
      <c r="C115" s="91">
        <f>'4A_DOC'!$B$46*$L$16</f>
        <v>0.11699082013287899</v>
      </c>
      <c r="D115" s="92">
        <v>1</v>
      </c>
      <c r="E115" s="92">
        <v>0</v>
      </c>
      <c r="F115" s="34">
        <v>0</v>
      </c>
      <c r="G115" s="93">
        <v>0.57999999999999996</v>
      </c>
      <c r="H115" s="92">
        <f t="shared" si="6"/>
        <v>3.6666666666666665</v>
      </c>
      <c r="I115" s="53">
        <f t="shared" si="7"/>
        <v>0</v>
      </c>
    </row>
    <row r="116" spans="1:9">
      <c r="A116" s="227"/>
      <c r="B116" s="53" t="s">
        <v>210</v>
      </c>
      <c r="C116" s="91">
        <f>'4A_DOC'!$B$47*$L$16</f>
        <v>0.54625037069562299</v>
      </c>
      <c r="D116" s="92">
        <v>0.9</v>
      </c>
      <c r="E116" s="92">
        <v>0</v>
      </c>
      <c r="F116" s="34">
        <v>0</v>
      </c>
      <c r="G116" s="93">
        <v>0.57999999999999996</v>
      </c>
      <c r="H116" s="92">
        <f t="shared" si="6"/>
        <v>3.6666666666666665</v>
      </c>
      <c r="I116" s="53">
        <f t="shared" si="7"/>
        <v>0</v>
      </c>
    </row>
    <row r="117" spans="1:9">
      <c r="A117" s="227" t="s">
        <v>48</v>
      </c>
      <c r="B117" s="227"/>
      <c r="C117" s="7"/>
      <c r="D117" s="53"/>
      <c r="E117" s="53"/>
      <c r="F117" s="53"/>
      <c r="G117" s="53"/>
      <c r="H117" s="53"/>
      <c r="I117" s="53"/>
    </row>
    <row r="118" spans="1:9">
      <c r="A118" s="186" t="s">
        <v>288</v>
      </c>
      <c r="B118" s="187"/>
      <c r="C118" s="187"/>
      <c r="D118" s="187"/>
      <c r="E118" s="187"/>
      <c r="F118" s="187"/>
      <c r="G118" s="187"/>
      <c r="H118" s="188"/>
      <c r="I118" s="95">
        <f>SUM(I108:I117)</f>
        <v>1.5246977766326064</v>
      </c>
    </row>
    <row r="119" spans="1:9">
      <c r="A119" s="223" t="s">
        <v>53</v>
      </c>
      <c r="B119" s="224"/>
      <c r="C119" s="224"/>
      <c r="D119" s="224"/>
      <c r="E119" s="224"/>
      <c r="F119" s="224"/>
      <c r="G119" s="224"/>
      <c r="H119" s="224"/>
      <c r="I119" s="224"/>
    </row>
    <row r="120" spans="1:9">
      <c r="A120" s="225" t="s">
        <v>54</v>
      </c>
      <c r="B120" s="226"/>
      <c r="C120" s="226"/>
      <c r="D120" s="226"/>
      <c r="E120" s="226"/>
      <c r="F120" s="226"/>
      <c r="G120" s="226"/>
      <c r="H120" s="226"/>
      <c r="I120" s="226"/>
    </row>
    <row r="121" spans="1:9">
      <c r="A121" s="225" t="s">
        <v>55</v>
      </c>
      <c r="B121" s="226"/>
      <c r="C121" s="226"/>
      <c r="D121" s="226"/>
      <c r="E121" s="226"/>
      <c r="F121" s="226"/>
      <c r="G121" s="226"/>
      <c r="H121" s="226"/>
      <c r="I121" s="226"/>
    </row>
    <row r="122" spans="1:9">
      <c r="A122" s="225" t="s">
        <v>96</v>
      </c>
      <c r="B122" s="226"/>
      <c r="C122" s="226"/>
      <c r="D122" s="226"/>
      <c r="E122" s="226"/>
      <c r="F122" s="226"/>
      <c r="G122" s="226"/>
      <c r="H122" s="226"/>
      <c r="I122" s="226"/>
    </row>
    <row r="123" spans="1:9">
      <c r="A123" s="225" t="s">
        <v>97</v>
      </c>
      <c r="B123" s="226"/>
      <c r="C123" s="226"/>
      <c r="D123" s="226"/>
      <c r="E123" s="226"/>
      <c r="F123" s="226"/>
      <c r="G123" s="226"/>
      <c r="H123" s="226"/>
      <c r="I123" s="226"/>
    </row>
    <row r="124" spans="1:9">
      <c r="A124" s="220" t="s">
        <v>200</v>
      </c>
      <c r="B124" s="221"/>
      <c r="C124" s="221"/>
      <c r="D124" s="221"/>
      <c r="E124" s="221"/>
      <c r="F124" s="221"/>
      <c r="G124" s="221"/>
      <c r="H124" s="221"/>
      <c r="I124" s="221"/>
    </row>
    <row r="128" spans="1:9">
      <c r="A128" s="184" t="s">
        <v>0</v>
      </c>
      <c r="B128" s="184"/>
      <c r="C128" s="185" t="s">
        <v>1</v>
      </c>
      <c r="D128" s="185"/>
      <c r="E128" s="185"/>
      <c r="F128" s="185"/>
      <c r="G128" s="185"/>
      <c r="H128" s="185"/>
      <c r="I128" s="185"/>
    </row>
    <row r="129" spans="1:9">
      <c r="A129" s="184" t="s">
        <v>2</v>
      </c>
      <c r="B129" s="184"/>
      <c r="C129" s="185" t="s">
        <v>75</v>
      </c>
      <c r="D129" s="185"/>
      <c r="E129" s="185"/>
      <c r="F129" s="185"/>
      <c r="G129" s="185"/>
      <c r="H129" s="185"/>
      <c r="I129" s="185"/>
    </row>
    <row r="130" spans="1:9">
      <c r="A130" s="184" t="s">
        <v>4</v>
      </c>
      <c r="B130" s="184"/>
      <c r="C130" s="185" t="s">
        <v>76</v>
      </c>
      <c r="D130" s="185"/>
      <c r="E130" s="185"/>
      <c r="F130" s="185"/>
      <c r="G130" s="185"/>
      <c r="H130" s="185"/>
      <c r="I130" s="185"/>
    </row>
    <row r="131" spans="1:9">
      <c r="A131" s="184" t="s">
        <v>6</v>
      </c>
      <c r="B131" s="184"/>
      <c r="C131" s="185" t="s">
        <v>77</v>
      </c>
      <c r="D131" s="185"/>
      <c r="E131" s="185"/>
      <c r="F131" s="185"/>
      <c r="G131" s="185"/>
      <c r="H131" s="185"/>
      <c r="I131" s="185"/>
    </row>
    <row r="132" spans="1:9">
      <c r="A132" s="217" t="s">
        <v>8</v>
      </c>
      <c r="B132" s="217"/>
      <c r="C132" s="217"/>
      <c r="D132" s="217" t="s">
        <v>9</v>
      </c>
      <c r="E132" s="222"/>
      <c r="F132" s="222"/>
      <c r="G132" s="222"/>
      <c r="H132" s="222"/>
      <c r="I132" s="90"/>
    </row>
    <row r="133" spans="1:9">
      <c r="A133" s="228"/>
      <c r="B133" s="228"/>
      <c r="C133" s="7" t="s">
        <v>58</v>
      </c>
      <c r="D133" s="7" t="s">
        <v>78</v>
      </c>
      <c r="E133" s="7" t="s">
        <v>79</v>
      </c>
      <c r="F133" s="7" t="s">
        <v>80</v>
      </c>
      <c r="G133" s="7" t="s">
        <v>81</v>
      </c>
      <c r="H133" s="7" t="s">
        <v>82</v>
      </c>
      <c r="I133" s="7" t="s">
        <v>83</v>
      </c>
    </row>
    <row r="134" spans="1:9" ht="25.5">
      <c r="A134" s="195" t="s">
        <v>84</v>
      </c>
      <c r="B134" s="195"/>
      <c r="C134" s="59" t="s">
        <v>85</v>
      </c>
      <c r="D134" s="228" t="s">
        <v>86</v>
      </c>
      <c r="E134" s="59" t="s">
        <v>87</v>
      </c>
      <c r="F134" s="59" t="s">
        <v>89</v>
      </c>
      <c r="G134" s="228" t="s">
        <v>91</v>
      </c>
      <c r="H134" s="228" t="s">
        <v>38</v>
      </c>
      <c r="I134" s="228" t="s">
        <v>92</v>
      </c>
    </row>
    <row r="135" spans="1:9" ht="14.25">
      <c r="A135" s="195"/>
      <c r="B135" s="195"/>
      <c r="C135" s="77" t="s">
        <v>37</v>
      </c>
      <c r="D135" s="218"/>
      <c r="E135" s="77" t="s">
        <v>88</v>
      </c>
      <c r="F135" s="77" t="s">
        <v>90</v>
      </c>
      <c r="G135" s="218"/>
      <c r="H135" s="218"/>
      <c r="I135" s="218"/>
    </row>
    <row r="136" spans="1:9">
      <c r="A136" s="196"/>
      <c r="B136" s="196"/>
      <c r="C136" s="77"/>
      <c r="D136" s="77" t="s">
        <v>39</v>
      </c>
      <c r="E136" s="77" t="s">
        <v>40</v>
      </c>
      <c r="F136" s="77" t="s">
        <v>41</v>
      </c>
      <c r="G136" s="77" t="s">
        <v>42</v>
      </c>
      <c r="H136" s="77"/>
      <c r="I136" s="77"/>
    </row>
    <row r="137" spans="1:9" ht="15.75">
      <c r="A137" s="196"/>
      <c r="B137" s="196"/>
      <c r="C137" s="8" t="s">
        <v>43</v>
      </c>
      <c r="D137" s="8" t="s">
        <v>44</v>
      </c>
      <c r="E137" s="8" t="s">
        <v>44</v>
      </c>
      <c r="F137" s="8" t="s">
        <v>44</v>
      </c>
      <c r="G137" s="8" t="s">
        <v>44</v>
      </c>
      <c r="H137" s="8" t="s">
        <v>45</v>
      </c>
      <c r="I137" s="8" t="s">
        <v>46</v>
      </c>
    </row>
    <row r="138" spans="1:9" ht="15" thickBot="1">
      <c r="A138" s="230"/>
      <c r="B138" s="230"/>
      <c r="C138" s="5" t="s">
        <v>93</v>
      </c>
      <c r="D138" s="5"/>
      <c r="E138" s="5"/>
      <c r="F138" s="5"/>
      <c r="G138" s="5"/>
      <c r="H138" s="5"/>
      <c r="I138" s="5" t="s">
        <v>94</v>
      </c>
    </row>
    <row r="139" spans="1:9" ht="13.5" thickTop="1">
      <c r="A139" s="227" t="s">
        <v>95</v>
      </c>
      <c r="B139" s="53" t="s">
        <v>203</v>
      </c>
      <c r="C139" s="91">
        <f>'4A_DOC'!$B$39*$L$17</f>
        <v>5.9077420606281992</v>
      </c>
      <c r="D139" s="92">
        <v>0.4</v>
      </c>
      <c r="E139" s="92">
        <v>0.38</v>
      </c>
      <c r="F139" s="34">
        <v>0</v>
      </c>
      <c r="G139" s="93">
        <v>0.57999999999999996</v>
      </c>
      <c r="H139" s="92">
        <f>44/12</f>
        <v>3.6666666666666665</v>
      </c>
      <c r="I139" s="53">
        <f>C139*D139*E139*F139*G139*H139</f>
        <v>0</v>
      </c>
    </row>
    <row r="140" spans="1:9">
      <c r="A140" s="227"/>
      <c r="B140" s="53" t="s">
        <v>204</v>
      </c>
      <c r="C140" s="91">
        <f>'4A_DOC'!$B$40*$L$17</f>
        <v>1.1434626521926849</v>
      </c>
      <c r="D140" s="92">
        <v>0.9</v>
      </c>
      <c r="E140" s="92">
        <v>0.46</v>
      </c>
      <c r="F140" s="34">
        <f>1/100</f>
        <v>0.01</v>
      </c>
      <c r="G140" s="93">
        <v>0.57999999999999996</v>
      </c>
      <c r="H140" s="92">
        <f t="shared" ref="H140:H147" si="8">44/12</f>
        <v>3.6666666666666665</v>
      </c>
      <c r="I140" s="53">
        <f t="shared" ref="I140:I147" si="9">C140*D140*E140*F140*G140*H140</f>
        <v>1.0067502574965276E-2</v>
      </c>
    </row>
    <row r="141" spans="1:9">
      <c r="A141" s="227"/>
      <c r="B141" s="53" t="s">
        <v>205</v>
      </c>
      <c r="C141" s="91">
        <f>'4A_DOC'!$B$41*$L$17</f>
        <v>0</v>
      </c>
      <c r="D141" s="92">
        <v>0.85</v>
      </c>
      <c r="E141" s="92">
        <v>0.5</v>
      </c>
      <c r="F141" s="34">
        <v>0</v>
      </c>
      <c r="G141" s="93">
        <v>0.57999999999999996</v>
      </c>
      <c r="H141" s="92">
        <f t="shared" si="8"/>
        <v>3.6666666666666665</v>
      </c>
      <c r="I141" s="53">
        <f t="shared" si="9"/>
        <v>0</v>
      </c>
    </row>
    <row r="142" spans="1:9">
      <c r="A142" s="227"/>
      <c r="B142" s="53" t="s">
        <v>47</v>
      </c>
      <c r="C142" s="91">
        <f>'4A_DOC'!$B$42*$L$17</f>
        <v>7.2078190527321007E-2</v>
      </c>
      <c r="D142" s="92">
        <v>0.8</v>
      </c>
      <c r="E142" s="92">
        <v>0.5</v>
      </c>
      <c r="F142" s="34">
        <f>20/100</f>
        <v>0.2</v>
      </c>
      <c r="G142" s="93">
        <v>0.57999999999999996</v>
      </c>
      <c r="H142" s="92">
        <f t="shared" si="8"/>
        <v>3.6666666666666665</v>
      </c>
      <c r="I142" s="53">
        <f t="shared" si="9"/>
        <v>1.2262902815048214E-2</v>
      </c>
    </row>
    <row r="143" spans="1:9">
      <c r="A143" s="227"/>
      <c r="B143" s="53" t="s">
        <v>206</v>
      </c>
      <c r="C143" s="91">
        <f>'4A_DOC'!$B$43*$L$17</f>
        <v>0</v>
      </c>
      <c r="D143" s="92">
        <v>0.84</v>
      </c>
      <c r="E143" s="92">
        <v>0.67</v>
      </c>
      <c r="F143" s="34">
        <f>20/100</f>
        <v>0.2</v>
      </c>
      <c r="G143" s="93">
        <v>0.57999999999999996</v>
      </c>
      <c r="H143" s="92">
        <f t="shared" si="8"/>
        <v>3.6666666666666665</v>
      </c>
      <c r="I143" s="53">
        <f t="shared" si="9"/>
        <v>0</v>
      </c>
    </row>
    <row r="144" spans="1:9">
      <c r="A144" s="227"/>
      <c r="B144" s="53" t="s">
        <v>207</v>
      </c>
      <c r="C144" s="91">
        <f>'4A_DOC'!$B$44*$L$17</f>
        <v>0.95303385252791106</v>
      </c>
      <c r="D144" s="92">
        <v>1</v>
      </c>
      <c r="E144" s="92">
        <v>0.75</v>
      </c>
      <c r="F144" s="34">
        <f>100/100</f>
        <v>1</v>
      </c>
      <c r="G144" s="93">
        <v>0.57999999999999996</v>
      </c>
      <c r="H144" s="92">
        <f t="shared" si="8"/>
        <v>3.6666666666666665</v>
      </c>
      <c r="I144" s="53">
        <f t="shared" si="9"/>
        <v>1.520088994782018</v>
      </c>
    </row>
    <row r="145" spans="1:9">
      <c r="A145" s="227"/>
      <c r="B145" s="53" t="s">
        <v>208</v>
      </c>
      <c r="C145" s="91">
        <f>'4A_DOC'!$B$45*$L$17</f>
        <v>0.15750419411525701</v>
      </c>
      <c r="D145" s="92">
        <v>1</v>
      </c>
      <c r="E145" s="92">
        <v>0</v>
      </c>
      <c r="F145" s="34">
        <v>0</v>
      </c>
      <c r="G145" s="93">
        <v>0.57999999999999996</v>
      </c>
      <c r="H145" s="92">
        <f t="shared" si="8"/>
        <v>3.6666666666666665</v>
      </c>
      <c r="I145" s="53">
        <f t="shared" si="9"/>
        <v>0</v>
      </c>
    </row>
    <row r="146" spans="1:9">
      <c r="A146" s="227"/>
      <c r="B146" s="53" t="s">
        <v>209</v>
      </c>
      <c r="C146" s="91">
        <f>'4A_DOC'!$B$46*$L$17</f>
        <v>0.118350609137453</v>
      </c>
      <c r="D146" s="92">
        <v>1</v>
      </c>
      <c r="E146" s="92">
        <v>0</v>
      </c>
      <c r="F146" s="34">
        <v>0</v>
      </c>
      <c r="G146" s="93">
        <v>0.57999999999999996</v>
      </c>
      <c r="H146" s="92">
        <f t="shared" si="8"/>
        <v>3.6666666666666665</v>
      </c>
      <c r="I146" s="53">
        <f t="shared" si="9"/>
        <v>0</v>
      </c>
    </row>
    <row r="147" spans="1:9">
      <c r="A147" s="227"/>
      <c r="B147" s="53" t="s">
        <v>210</v>
      </c>
      <c r="C147" s="91">
        <f>'4A_DOC'!$B$47*$L$17</f>
        <v>0.55259946070946098</v>
      </c>
      <c r="D147" s="92">
        <v>0.9</v>
      </c>
      <c r="E147" s="92">
        <v>0</v>
      </c>
      <c r="F147" s="34">
        <v>0</v>
      </c>
      <c r="G147" s="93">
        <v>0.57999999999999996</v>
      </c>
      <c r="H147" s="92">
        <f t="shared" si="8"/>
        <v>3.6666666666666665</v>
      </c>
      <c r="I147" s="53">
        <f t="shared" si="9"/>
        <v>0</v>
      </c>
    </row>
    <row r="148" spans="1:9">
      <c r="A148" s="227" t="s">
        <v>48</v>
      </c>
      <c r="B148" s="227"/>
      <c r="C148" s="7"/>
      <c r="D148" s="53"/>
      <c r="E148" s="53"/>
      <c r="F148" s="53"/>
      <c r="G148" s="53"/>
      <c r="H148" s="53"/>
      <c r="I148" s="53"/>
    </row>
    <row r="149" spans="1:9">
      <c r="A149" s="186" t="s">
        <v>289</v>
      </c>
      <c r="B149" s="187"/>
      <c r="C149" s="187"/>
      <c r="D149" s="187"/>
      <c r="E149" s="187"/>
      <c r="F149" s="187"/>
      <c r="G149" s="187"/>
      <c r="H149" s="188"/>
      <c r="I149" s="95">
        <f>SUM(I139:I148)</f>
        <v>1.5424194001720315</v>
      </c>
    </row>
    <row r="150" spans="1:9">
      <c r="A150" s="223" t="s">
        <v>53</v>
      </c>
      <c r="B150" s="224"/>
      <c r="C150" s="224"/>
      <c r="D150" s="224"/>
      <c r="E150" s="224"/>
      <c r="F150" s="224"/>
      <c r="G150" s="224"/>
      <c r="H150" s="224"/>
      <c r="I150" s="224"/>
    </row>
    <row r="151" spans="1:9">
      <c r="A151" s="225" t="s">
        <v>54</v>
      </c>
      <c r="B151" s="226"/>
      <c r="C151" s="226"/>
      <c r="D151" s="226"/>
      <c r="E151" s="226"/>
      <c r="F151" s="226"/>
      <c r="G151" s="226"/>
      <c r="H151" s="226"/>
      <c r="I151" s="226"/>
    </row>
    <row r="152" spans="1:9">
      <c r="A152" s="225" t="s">
        <v>55</v>
      </c>
      <c r="B152" s="226"/>
      <c r="C152" s="226"/>
      <c r="D152" s="226"/>
      <c r="E152" s="226"/>
      <c r="F152" s="226"/>
      <c r="G152" s="226"/>
      <c r="H152" s="226"/>
      <c r="I152" s="226"/>
    </row>
    <row r="153" spans="1:9">
      <c r="A153" s="225" t="s">
        <v>96</v>
      </c>
      <c r="B153" s="226"/>
      <c r="C153" s="226"/>
      <c r="D153" s="226"/>
      <c r="E153" s="226"/>
      <c r="F153" s="226"/>
      <c r="G153" s="226"/>
      <c r="H153" s="226"/>
      <c r="I153" s="226"/>
    </row>
    <row r="154" spans="1:9">
      <c r="A154" s="225" t="s">
        <v>97</v>
      </c>
      <c r="B154" s="226"/>
      <c r="C154" s="226"/>
      <c r="D154" s="226"/>
      <c r="E154" s="226"/>
      <c r="F154" s="226"/>
      <c r="G154" s="226"/>
      <c r="H154" s="226"/>
      <c r="I154" s="226"/>
    </row>
    <row r="155" spans="1:9">
      <c r="A155" s="220" t="s">
        <v>200</v>
      </c>
      <c r="B155" s="221"/>
      <c r="C155" s="221"/>
      <c r="D155" s="221"/>
      <c r="E155" s="221"/>
      <c r="F155" s="221"/>
      <c r="G155" s="221"/>
      <c r="H155" s="221"/>
      <c r="I155" s="221"/>
    </row>
    <row r="158" spans="1:9">
      <c r="A158" s="184" t="s">
        <v>0</v>
      </c>
      <c r="B158" s="184"/>
      <c r="C158" s="185" t="s">
        <v>1</v>
      </c>
      <c r="D158" s="185"/>
      <c r="E158" s="185"/>
      <c r="F158" s="185"/>
      <c r="G158" s="185"/>
      <c r="H158" s="185"/>
      <c r="I158" s="185"/>
    </row>
    <row r="159" spans="1:9">
      <c r="A159" s="184" t="s">
        <v>2</v>
      </c>
      <c r="B159" s="184"/>
      <c r="C159" s="185" t="s">
        <v>75</v>
      </c>
      <c r="D159" s="185"/>
      <c r="E159" s="185"/>
      <c r="F159" s="185"/>
      <c r="G159" s="185"/>
      <c r="H159" s="185"/>
      <c r="I159" s="185"/>
    </row>
    <row r="160" spans="1:9">
      <c r="A160" s="184" t="s">
        <v>4</v>
      </c>
      <c r="B160" s="184"/>
      <c r="C160" s="185" t="s">
        <v>76</v>
      </c>
      <c r="D160" s="185"/>
      <c r="E160" s="185"/>
      <c r="F160" s="185"/>
      <c r="G160" s="185"/>
      <c r="H160" s="185"/>
      <c r="I160" s="185"/>
    </row>
    <row r="161" spans="1:9">
      <c r="A161" s="184" t="s">
        <v>6</v>
      </c>
      <c r="B161" s="184"/>
      <c r="C161" s="185" t="s">
        <v>77</v>
      </c>
      <c r="D161" s="185"/>
      <c r="E161" s="185"/>
      <c r="F161" s="185"/>
      <c r="G161" s="185"/>
      <c r="H161" s="185"/>
      <c r="I161" s="185"/>
    </row>
    <row r="162" spans="1:9">
      <c r="A162" s="217" t="s">
        <v>8</v>
      </c>
      <c r="B162" s="217"/>
      <c r="C162" s="217"/>
      <c r="D162" s="217" t="s">
        <v>9</v>
      </c>
      <c r="E162" s="222"/>
      <c r="F162" s="222"/>
      <c r="G162" s="222"/>
      <c r="H162" s="222"/>
      <c r="I162" s="90"/>
    </row>
    <row r="163" spans="1:9">
      <c r="A163" s="228"/>
      <c r="B163" s="228"/>
      <c r="C163" s="7" t="s">
        <v>58</v>
      </c>
      <c r="D163" s="7" t="s">
        <v>78</v>
      </c>
      <c r="E163" s="7" t="s">
        <v>79</v>
      </c>
      <c r="F163" s="7" t="s">
        <v>80</v>
      </c>
      <c r="G163" s="7" t="s">
        <v>81</v>
      </c>
      <c r="H163" s="7" t="s">
        <v>82</v>
      </c>
      <c r="I163" s="7" t="s">
        <v>83</v>
      </c>
    </row>
    <row r="164" spans="1:9" ht="25.5">
      <c r="A164" s="195" t="s">
        <v>84</v>
      </c>
      <c r="B164" s="195"/>
      <c r="C164" s="59" t="s">
        <v>85</v>
      </c>
      <c r="D164" s="228" t="s">
        <v>86</v>
      </c>
      <c r="E164" s="59" t="s">
        <v>87</v>
      </c>
      <c r="F164" s="59" t="s">
        <v>89</v>
      </c>
      <c r="G164" s="228" t="s">
        <v>91</v>
      </c>
      <c r="H164" s="228" t="s">
        <v>38</v>
      </c>
      <c r="I164" s="228" t="s">
        <v>92</v>
      </c>
    </row>
    <row r="165" spans="1:9" ht="14.25">
      <c r="A165" s="195"/>
      <c r="B165" s="195"/>
      <c r="C165" s="77" t="s">
        <v>37</v>
      </c>
      <c r="D165" s="218"/>
      <c r="E165" s="77" t="s">
        <v>88</v>
      </c>
      <c r="F165" s="77" t="s">
        <v>90</v>
      </c>
      <c r="G165" s="218"/>
      <c r="H165" s="218"/>
      <c r="I165" s="218"/>
    </row>
    <row r="166" spans="1:9">
      <c r="A166" s="196"/>
      <c r="B166" s="196"/>
      <c r="C166" s="77"/>
      <c r="D166" s="77" t="s">
        <v>39</v>
      </c>
      <c r="E166" s="77" t="s">
        <v>40</v>
      </c>
      <c r="F166" s="77" t="s">
        <v>41</v>
      </c>
      <c r="G166" s="77" t="s">
        <v>42</v>
      </c>
      <c r="H166" s="77"/>
      <c r="I166" s="77"/>
    </row>
    <row r="167" spans="1:9" ht="15.75">
      <c r="A167" s="196"/>
      <c r="B167" s="196"/>
      <c r="C167" s="8" t="s">
        <v>43</v>
      </c>
      <c r="D167" s="8" t="s">
        <v>44</v>
      </c>
      <c r="E167" s="8" t="s">
        <v>44</v>
      </c>
      <c r="F167" s="8" t="s">
        <v>44</v>
      </c>
      <c r="G167" s="8" t="s">
        <v>44</v>
      </c>
      <c r="H167" s="8" t="s">
        <v>45</v>
      </c>
      <c r="I167" s="8" t="s">
        <v>46</v>
      </c>
    </row>
    <row r="168" spans="1:9" ht="15" thickBot="1">
      <c r="A168" s="230"/>
      <c r="B168" s="230"/>
      <c r="C168" s="5" t="s">
        <v>93</v>
      </c>
      <c r="D168" s="5"/>
      <c r="E168" s="5"/>
      <c r="F168" s="5"/>
      <c r="G168" s="5"/>
      <c r="H168" s="5"/>
      <c r="I168" s="5" t="s">
        <v>94</v>
      </c>
    </row>
    <row r="169" spans="1:9" ht="13.5" thickTop="1">
      <c r="A169" s="227" t="s">
        <v>95</v>
      </c>
      <c r="B169" s="53" t="s">
        <v>203</v>
      </c>
      <c r="C169" s="91">
        <f>'4A_DOC'!$B$39*$L$18</f>
        <v>6.0719635959448635</v>
      </c>
      <c r="D169" s="92">
        <v>0.4</v>
      </c>
      <c r="E169" s="92">
        <v>0.38</v>
      </c>
      <c r="F169" s="34">
        <v>0</v>
      </c>
      <c r="G169" s="93">
        <v>0.57999999999999996</v>
      </c>
      <c r="H169" s="92">
        <f>44/12</f>
        <v>3.6666666666666665</v>
      </c>
      <c r="I169" s="53">
        <f>C169*D169*E169*F169*G169*H169</f>
        <v>0</v>
      </c>
    </row>
    <row r="170" spans="1:9">
      <c r="A170" s="227"/>
      <c r="B170" s="53" t="s">
        <v>204</v>
      </c>
      <c r="C170" s="91">
        <f>'4A_DOC'!$B$40*$L$18</f>
        <v>1.1752482634115302</v>
      </c>
      <c r="D170" s="92">
        <v>0.9</v>
      </c>
      <c r="E170" s="92">
        <v>0.46</v>
      </c>
      <c r="F170" s="34">
        <f>1/100</f>
        <v>0.01</v>
      </c>
      <c r="G170" s="93">
        <v>0.57999999999999996</v>
      </c>
      <c r="H170" s="92">
        <f t="shared" ref="H170:H177" si="10">44/12</f>
        <v>3.6666666666666665</v>
      </c>
      <c r="I170" s="53">
        <f t="shared" ref="I170:I177" si="11">C170*D170*E170*F170*G170*H170</f>
        <v>1.0347355810380477E-2</v>
      </c>
    </row>
    <row r="171" spans="1:9">
      <c r="A171" s="227"/>
      <c r="B171" s="53" t="s">
        <v>205</v>
      </c>
      <c r="C171" s="91">
        <f>'4A_DOC'!$B$41*$L$18</f>
        <v>0</v>
      </c>
      <c r="D171" s="92">
        <v>0.85</v>
      </c>
      <c r="E171" s="92">
        <v>0.5</v>
      </c>
      <c r="F171" s="34">
        <v>0</v>
      </c>
      <c r="G171" s="93">
        <v>0.57999999999999996</v>
      </c>
      <c r="H171" s="92">
        <f t="shared" si="10"/>
        <v>3.6666666666666665</v>
      </c>
      <c r="I171" s="53">
        <f t="shared" si="11"/>
        <v>0</v>
      </c>
    </row>
    <row r="172" spans="1:9">
      <c r="A172" s="227"/>
      <c r="B172" s="53" t="s">
        <v>47</v>
      </c>
      <c r="C172" s="91">
        <f>'4A_DOC'!$B$42*$L$18</f>
        <v>7.4081797148898024E-2</v>
      </c>
      <c r="D172" s="92">
        <v>0.8</v>
      </c>
      <c r="E172" s="92">
        <v>0.5</v>
      </c>
      <c r="F172" s="34">
        <f>20/100</f>
        <v>0.2</v>
      </c>
      <c r="G172" s="93">
        <v>0.57999999999999996</v>
      </c>
      <c r="H172" s="92">
        <f t="shared" si="10"/>
        <v>3.6666666666666665</v>
      </c>
      <c r="I172" s="53">
        <f t="shared" si="11"/>
        <v>1.2603783088265852E-2</v>
      </c>
    </row>
    <row r="173" spans="1:9">
      <c r="A173" s="227"/>
      <c r="B173" s="53" t="s">
        <v>206</v>
      </c>
      <c r="C173" s="91">
        <f>'4A_DOC'!$B$43*$L$18</f>
        <v>0</v>
      </c>
      <c r="D173" s="92">
        <v>0.84</v>
      </c>
      <c r="E173" s="92">
        <v>0.67</v>
      </c>
      <c r="F173" s="34">
        <f>20/100</f>
        <v>0.2</v>
      </c>
      <c r="G173" s="93">
        <v>0.57999999999999996</v>
      </c>
      <c r="H173" s="92">
        <f t="shared" si="10"/>
        <v>3.6666666666666665</v>
      </c>
      <c r="I173" s="53">
        <f t="shared" si="11"/>
        <v>0</v>
      </c>
    </row>
    <row r="174" spans="1:9">
      <c r="A174" s="227"/>
      <c r="B174" s="53" t="s">
        <v>207</v>
      </c>
      <c r="C174" s="91">
        <f>'4A_DOC'!$B$44*$L$18</f>
        <v>0.97952598452431827</v>
      </c>
      <c r="D174" s="92">
        <v>1</v>
      </c>
      <c r="E174" s="92">
        <v>0.75</v>
      </c>
      <c r="F174" s="34">
        <f>100/100</f>
        <v>1</v>
      </c>
      <c r="G174" s="93">
        <v>0.57999999999999996</v>
      </c>
      <c r="H174" s="92">
        <f t="shared" si="10"/>
        <v>3.6666666666666665</v>
      </c>
      <c r="I174" s="53">
        <f t="shared" si="11"/>
        <v>1.5623439453162875</v>
      </c>
    </row>
    <row r="175" spans="1:9">
      <c r="A175" s="227"/>
      <c r="B175" s="53" t="s">
        <v>208</v>
      </c>
      <c r="C175" s="91">
        <f>'4A_DOC'!$B$45*$L$18</f>
        <v>0.16188244562166604</v>
      </c>
      <c r="D175" s="92">
        <v>1</v>
      </c>
      <c r="E175" s="92">
        <v>0</v>
      </c>
      <c r="F175" s="34">
        <v>0</v>
      </c>
      <c r="G175" s="93">
        <v>0.57999999999999996</v>
      </c>
      <c r="H175" s="92">
        <f t="shared" si="10"/>
        <v>3.6666666666666665</v>
      </c>
      <c r="I175" s="53">
        <f t="shared" si="11"/>
        <v>0</v>
      </c>
    </row>
    <row r="176" spans="1:9">
      <c r="A176" s="227"/>
      <c r="B176" s="53" t="s">
        <v>209</v>
      </c>
      <c r="C176" s="91">
        <f>'4A_DOC'!$B$46*$L$18</f>
        <v>0.12164048173831403</v>
      </c>
      <c r="D176" s="92">
        <v>1</v>
      </c>
      <c r="E176" s="92">
        <v>0</v>
      </c>
      <c r="F176" s="34">
        <v>0</v>
      </c>
      <c r="G176" s="93">
        <v>0.57999999999999996</v>
      </c>
      <c r="H176" s="92">
        <f t="shared" si="10"/>
        <v>3.6666666666666665</v>
      </c>
      <c r="I176" s="53">
        <f t="shared" si="11"/>
        <v>0</v>
      </c>
    </row>
    <row r="177" spans="1:9">
      <c r="A177" s="227"/>
      <c r="B177" s="53" t="s">
        <v>210</v>
      </c>
      <c r="C177" s="91">
        <f>'4A_DOC'!$B$47*$L$18</f>
        <v>0.56796044480821806</v>
      </c>
      <c r="D177" s="92">
        <v>0.9</v>
      </c>
      <c r="E177" s="92">
        <v>0</v>
      </c>
      <c r="F177" s="34">
        <v>0</v>
      </c>
      <c r="G177" s="93">
        <v>0.57999999999999996</v>
      </c>
      <c r="H177" s="92">
        <f t="shared" si="10"/>
        <v>3.6666666666666665</v>
      </c>
      <c r="I177" s="53">
        <f t="shared" si="11"/>
        <v>0</v>
      </c>
    </row>
    <row r="178" spans="1:9">
      <c r="A178" s="227" t="s">
        <v>48</v>
      </c>
      <c r="B178" s="227"/>
      <c r="C178" s="7"/>
      <c r="D178" s="53"/>
      <c r="E178" s="53"/>
      <c r="F178" s="53"/>
      <c r="G178" s="53"/>
      <c r="H178" s="53"/>
      <c r="I178" s="53"/>
    </row>
    <row r="179" spans="1:9">
      <c r="A179" s="186" t="s">
        <v>290</v>
      </c>
      <c r="B179" s="187"/>
      <c r="C179" s="187"/>
      <c r="D179" s="187"/>
      <c r="E179" s="187"/>
      <c r="F179" s="187"/>
      <c r="G179" s="187"/>
      <c r="H179" s="188"/>
      <c r="I179" s="95">
        <f>SUM(I169:I178)</f>
        <v>1.5852950842149338</v>
      </c>
    </row>
    <row r="180" spans="1:9">
      <c r="A180" s="223" t="s">
        <v>53</v>
      </c>
      <c r="B180" s="224"/>
      <c r="C180" s="224"/>
      <c r="D180" s="224"/>
      <c r="E180" s="224"/>
      <c r="F180" s="224"/>
      <c r="G180" s="224"/>
      <c r="H180" s="224"/>
      <c r="I180" s="224"/>
    </row>
    <row r="181" spans="1:9">
      <c r="A181" s="225" t="s">
        <v>54</v>
      </c>
      <c r="B181" s="226"/>
      <c r="C181" s="226"/>
      <c r="D181" s="226"/>
      <c r="E181" s="226"/>
      <c r="F181" s="226"/>
      <c r="G181" s="226"/>
      <c r="H181" s="226"/>
      <c r="I181" s="226"/>
    </row>
    <row r="182" spans="1:9">
      <c r="A182" s="225" t="s">
        <v>55</v>
      </c>
      <c r="B182" s="226"/>
      <c r="C182" s="226"/>
      <c r="D182" s="226"/>
      <c r="E182" s="226"/>
      <c r="F182" s="226"/>
      <c r="G182" s="226"/>
      <c r="H182" s="226"/>
      <c r="I182" s="226"/>
    </row>
    <row r="183" spans="1:9">
      <c r="A183" s="225" t="s">
        <v>96</v>
      </c>
      <c r="B183" s="226"/>
      <c r="C183" s="226"/>
      <c r="D183" s="226"/>
      <c r="E183" s="226"/>
      <c r="F183" s="226"/>
      <c r="G183" s="226"/>
      <c r="H183" s="226"/>
      <c r="I183" s="226"/>
    </row>
    <row r="184" spans="1:9">
      <c r="A184" s="225" t="s">
        <v>97</v>
      </c>
      <c r="B184" s="226"/>
      <c r="C184" s="226"/>
      <c r="D184" s="226"/>
      <c r="E184" s="226"/>
      <c r="F184" s="226"/>
      <c r="G184" s="226"/>
      <c r="H184" s="226"/>
      <c r="I184" s="226"/>
    </row>
    <row r="185" spans="1:9">
      <c r="A185" s="220" t="s">
        <v>200</v>
      </c>
      <c r="B185" s="221"/>
      <c r="C185" s="221"/>
      <c r="D185" s="221"/>
      <c r="E185" s="221"/>
      <c r="F185" s="221"/>
      <c r="G185" s="221"/>
      <c r="H185" s="221"/>
      <c r="I185" s="221"/>
    </row>
    <row r="188" spans="1:9">
      <c r="A188" s="184" t="s">
        <v>0</v>
      </c>
      <c r="B188" s="184"/>
      <c r="C188" s="185" t="s">
        <v>1</v>
      </c>
      <c r="D188" s="185"/>
      <c r="E188" s="185"/>
      <c r="F188" s="185"/>
      <c r="G188" s="185"/>
      <c r="H188" s="185"/>
      <c r="I188" s="185"/>
    </row>
    <row r="189" spans="1:9">
      <c r="A189" s="184" t="s">
        <v>2</v>
      </c>
      <c r="B189" s="184"/>
      <c r="C189" s="185" t="s">
        <v>75</v>
      </c>
      <c r="D189" s="185"/>
      <c r="E189" s="185"/>
      <c r="F189" s="185"/>
      <c r="G189" s="185"/>
      <c r="H189" s="185"/>
      <c r="I189" s="185"/>
    </row>
    <row r="190" spans="1:9">
      <c r="A190" s="184" t="s">
        <v>4</v>
      </c>
      <c r="B190" s="184"/>
      <c r="C190" s="185" t="s">
        <v>76</v>
      </c>
      <c r="D190" s="185"/>
      <c r="E190" s="185"/>
      <c r="F190" s="185"/>
      <c r="G190" s="185"/>
      <c r="H190" s="185"/>
      <c r="I190" s="185"/>
    </row>
    <row r="191" spans="1:9">
      <c r="A191" s="184" t="s">
        <v>6</v>
      </c>
      <c r="B191" s="184"/>
      <c r="C191" s="185" t="s">
        <v>77</v>
      </c>
      <c r="D191" s="185"/>
      <c r="E191" s="185"/>
      <c r="F191" s="185"/>
      <c r="G191" s="185"/>
      <c r="H191" s="185"/>
      <c r="I191" s="185"/>
    </row>
    <row r="192" spans="1:9">
      <c r="A192" s="217" t="s">
        <v>8</v>
      </c>
      <c r="B192" s="217"/>
      <c r="C192" s="217"/>
      <c r="D192" s="217" t="s">
        <v>9</v>
      </c>
      <c r="E192" s="222"/>
      <c r="F192" s="222"/>
      <c r="G192" s="222"/>
      <c r="H192" s="222"/>
      <c r="I192" s="90"/>
    </row>
    <row r="193" spans="1:9">
      <c r="A193" s="228"/>
      <c r="B193" s="228"/>
      <c r="C193" s="7" t="s">
        <v>58</v>
      </c>
      <c r="D193" s="7" t="s">
        <v>78</v>
      </c>
      <c r="E193" s="7" t="s">
        <v>79</v>
      </c>
      <c r="F193" s="7" t="s">
        <v>80</v>
      </c>
      <c r="G193" s="7" t="s">
        <v>81</v>
      </c>
      <c r="H193" s="7" t="s">
        <v>82</v>
      </c>
      <c r="I193" s="7" t="s">
        <v>83</v>
      </c>
    </row>
    <row r="194" spans="1:9" ht="25.5">
      <c r="A194" s="195" t="s">
        <v>84</v>
      </c>
      <c r="B194" s="195"/>
      <c r="C194" s="59" t="s">
        <v>85</v>
      </c>
      <c r="D194" s="228" t="s">
        <v>86</v>
      </c>
      <c r="E194" s="59" t="s">
        <v>87</v>
      </c>
      <c r="F194" s="59" t="s">
        <v>89</v>
      </c>
      <c r="G194" s="228" t="s">
        <v>91</v>
      </c>
      <c r="H194" s="228" t="s">
        <v>38</v>
      </c>
      <c r="I194" s="228" t="s">
        <v>92</v>
      </c>
    </row>
    <row r="195" spans="1:9" ht="14.25">
      <c r="A195" s="195"/>
      <c r="B195" s="195"/>
      <c r="C195" s="77" t="s">
        <v>37</v>
      </c>
      <c r="D195" s="218"/>
      <c r="E195" s="77" t="s">
        <v>88</v>
      </c>
      <c r="F195" s="77" t="s">
        <v>90</v>
      </c>
      <c r="G195" s="218"/>
      <c r="H195" s="218"/>
      <c r="I195" s="218"/>
    </row>
    <row r="196" spans="1:9">
      <c r="A196" s="196"/>
      <c r="B196" s="196"/>
      <c r="C196" s="77"/>
      <c r="D196" s="77" t="s">
        <v>39</v>
      </c>
      <c r="E196" s="77" t="s">
        <v>40</v>
      </c>
      <c r="F196" s="77" t="s">
        <v>41</v>
      </c>
      <c r="G196" s="77" t="s">
        <v>42</v>
      </c>
      <c r="H196" s="77"/>
      <c r="I196" s="77"/>
    </row>
    <row r="197" spans="1:9" ht="15.75">
      <c r="A197" s="196"/>
      <c r="B197" s="196"/>
      <c r="C197" s="8" t="s">
        <v>43</v>
      </c>
      <c r="D197" s="8" t="s">
        <v>44</v>
      </c>
      <c r="E197" s="8" t="s">
        <v>44</v>
      </c>
      <c r="F197" s="8" t="s">
        <v>44</v>
      </c>
      <c r="G197" s="8" t="s">
        <v>44</v>
      </c>
      <c r="H197" s="8" t="s">
        <v>45</v>
      </c>
      <c r="I197" s="8" t="s">
        <v>46</v>
      </c>
    </row>
    <row r="198" spans="1:9" ht="15" thickBot="1">
      <c r="A198" s="230"/>
      <c r="B198" s="230"/>
      <c r="C198" s="5" t="s">
        <v>93</v>
      </c>
      <c r="D198" s="5"/>
      <c r="E198" s="5"/>
      <c r="F198" s="5"/>
      <c r="G198" s="5"/>
      <c r="H198" s="5"/>
      <c r="I198" s="5" t="s">
        <v>94</v>
      </c>
    </row>
    <row r="199" spans="1:9" ht="13.5" thickTop="1">
      <c r="A199" s="227" t="s">
        <v>95</v>
      </c>
      <c r="B199" s="53" t="s">
        <v>203</v>
      </c>
      <c r="C199" s="91">
        <f>'4A_DOC'!$B$39*$L$19</f>
        <v>6.141993591339574</v>
      </c>
      <c r="D199" s="92">
        <v>0.4</v>
      </c>
      <c r="E199" s="92">
        <v>0.38</v>
      </c>
      <c r="F199" s="34">
        <v>0</v>
      </c>
      <c r="G199" s="93">
        <v>0.57999999999999996</v>
      </c>
      <c r="H199" s="92">
        <f>44/12</f>
        <v>3.6666666666666665</v>
      </c>
      <c r="I199" s="53">
        <f>C199*D199*E199*F199*G199*H199</f>
        <v>0</v>
      </c>
    </row>
    <row r="200" spans="1:9">
      <c r="A200" s="227"/>
      <c r="B200" s="53" t="s">
        <v>204</v>
      </c>
      <c r="C200" s="91">
        <f>'4A_DOC'!$B$40*$L$19</f>
        <v>1.188802796335495</v>
      </c>
      <c r="D200" s="92">
        <v>0.9</v>
      </c>
      <c r="E200" s="92">
        <v>0.46</v>
      </c>
      <c r="F200" s="34">
        <f>1/100</f>
        <v>0.01</v>
      </c>
      <c r="G200" s="93">
        <v>0.57999999999999996</v>
      </c>
      <c r="H200" s="92">
        <f t="shared" ref="H200:H207" si="12">44/12</f>
        <v>3.6666666666666665</v>
      </c>
      <c r="I200" s="53">
        <f t="shared" ref="I200:I207" si="13">C200*D200*E200*F200*G200*H200</f>
        <v>1.0466695340056233E-2</v>
      </c>
    </row>
    <row r="201" spans="1:9">
      <c r="A201" s="227"/>
      <c r="B201" s="53" t="s">
        <v>205</v>
      </c>
      <c r="C201" s="91">
        <f>'4A_DOC'!$B$41*$L$19</f>
        <v>0</v>
      </c>
      <c r="D201" s="92">
        <v>0.85</v>
      </c>
      <c r="E201" s="92">
        <v>0.5</v>
      </c>
      <c r="F201" s="34">
        <v>0</v>
      </c>
      <c r="G201" s="93">
        <v>0.57999999999999996</v>
      </c>
      <c r="H201" s="92">
        <f t="shared" si="12"/>
        <v>3.6666666666666665</v>
      </c>
      <c r="I201" s="53">
        <f t="shared" si="13"/>
        <v>0</v>
      </c>
    </row>
    <row r="202" spans="1:9">
      <c r="A202" s="227"/>
      <c r="B202" s="53" t="s">
        <v>47</v>
      </c>
      <c r="C202" s="91">
        <f>'4A_DOC'!$B$42*$L$19</f>
        <v>7.4936207395467011E-2</v>
      </c>
      <c r="D202" s="92">
        <v>0.8</v>
      </c>
      <c r="E202" s="92">
        <v>0.5</v>
      </c>
      <c r="F202" s="34">
        <f>20/100</f>
        <v>0.2</v>
      </c>
      <c r="G202" s="93">
        <v>0.57999999999999996</v>
      </c>
      <c r="H202" s="92">
        <f t="shared" si="12"/>
        <v>3.6666666666666665</v>
      </c>
      <c r="I202" s="53">
        <f t="shared" si="13"/>
        <v>1.2749146751548786E-2</v>
      </c>
    </row>
    <row r="203" spans="1:9">
      <c r="A203" s="227"/>
      <c r="B203" s="53" t="s">
        <v>206</v>
      </c>
      <c r="C203" s="91">
        <f>'4A_DOC'!$B$43*$L$19</f>
        <v>0</v>
      </c>
      <c r="D203" s="92">
        <v>0.84</v>
      </c>
      <c r="E203" s="92">
        <v>0.67</v>
      </c>
      <c r="F203" s="34">
        <f>20/100</f>
        <v>0.2</v>
      </c>
      <c r="G203" s="93">
        <v>0.57999999999999996</v>
      </c>
      <c r="H203" s="92">
        <f t="shared" si="12"/>
        <v>3.6666666666666665</v>
      </c>
      <c r="I203" s="53">
        <f t="shared" si="13"/>
        <v>0</v>
      </c>
    </row>
    <row r="204" spans="1:9">
      <c r="A204" s="227"/>
      <c r="B204" s="53" t="s">
        <v>207</v>
      </c>
      <c r="C204" s="91">
        <f>'4A_DOC'!$B$44*$L$19</f>
        <v>0.99082318667339719</v>
      </c>
      <c r="D204" s="92">
        <v>1</v>
      </c>
      <c r="E204" s="92">
        <v>0.75</v>
      </c>
      <c r="F204" s="34">
        <f>100/100</f>
        <v>1</v>
      </c>
      <c r="G204" s="93">
        <v>0.57999999999999996</v>
      </c>
      <c r="H204" s="92">
        <f t="shared" si="12"/>
        <v>3.6666666666666665</v>
      </c>
      <c r="I204" s="53">
        <f t="shared" si="13"/>
        <v>1.5803629827440684</v>
      </c>
    </row>
    <row r="205" spans="1:9">
      <c r="A205" s="227"/>
      <c r="B205" s="53" t="s">
        <v>208</v>
      </c>
      <c r="C205" s="91">
        <f>'4A_DOC'!$B$45*$L$19</f>
        <v>0.163749490234539</v>
      </c>
      <c r="D205" s="92">
        <v>1</v>
      </c>
      <c r="E205" s="92">
        <v>0</v>
      </c>
      <c r="F205" s="34">
        <v>0</v>
      </c>
      <c r="G205" s="93">
        <v>0.57999999999999996</v>
      </c>
      <c r="H205" s="92">
        <f t="shared" si="12"/>
        <v>3.6666666666666665</v>
      </c>
      <c r="I205" s="53">
        <f t="shared" si="13"/>
        <v>0</v>
      </c>
    </row>
    <row r="206" spans="1:9">
      <c r="A206" s="227"/>
      <c r="B206" s="53" t="s">
        <v>209</v>
      </c>
      <c r="C206" s="91">
        <f>'4A_DOC'!$B$46*$L$19</f>
        <v>0.12304340226663102</v>
      </c>
      <c r="D206" s="92">
        <v>1</v>
      </c>
      <c r="E206" s="92">
        <v>0</v>
      </c>
      <c r="F206" s="34">
        <v>0</v>
      </c>
      <c r="G206" s="93">
        <v>0.57999999999999996</v>
      </c>
      <c r="H206" s="92">
        <f t="shared" si="12"/>
        <v>3.6666666666666665</v>
      </c>
      <c r="I206" s="53">
        <f t="shared" si="13"/>
        <v>0</v>
      </c>
    </row>
    <row r="207" spans="1:9">
      <c r="A207" s="227"/>
      <c r="B207" s="53" t="s">
        <v>210</v>
      </c>
      <c r="C207" s="91">
        <f>'4A_DOC'!$B$47*$L$19</f>
        <v>0.57451092336524701</v>
      </c>
      <c r="D207" s="92">
        <v>0.9</v>
      </c>
      <c r="E207" s="92">
        <v>0</v>
      </c>
      <c r="F207" s="34">
        <v>0</v>
      </c>
      <c r="G207" s="93">
        <v>0.57999999999999996</v>
      </c>
      <c r="H207" s="92">
        <f t="shared" si="12"/>
        <v>3.6666666666666665</v>
      </c>
      <c r="I207" s="53">
        <f t="shared" si="13"/>
        <v>0</v>
      </c>
    </row>
    <row r="208" spans="1:9">
      <c r="A208" s="227" t="s">
        <v>48</v>
      </c>
      <c r="B208" s="227"/>
      <c r="C208" s="7"/>
      <c r="D208" s="53"/>
      <c r="E208" s="53"/>
      <c r="F208" s="53"/>
      <c r="G208" s="53"/>
      <c r="H208" s="53"/>
      <c r="I208" s="53"/>
    </row>
    <row r="209" spans="1:9">
      <c r="A209" s="186" t="s">
        <v>291</v>
      </c>
      <c r="B209" s="187"/>
      <c r="C209" s="187"/>
      <c r="D209" s="187"/>
      <c r="E209" s="187"/>
      <c r="F209" s="187"/>
      <c r="G209" s="187"/>
      <c r="H209" s="188"/>
      <c r="I209" s="95">
        <f>SUM(I199:I208)</f>
        <v>1.6035788248356735</v>
      </c>
    </row>
    <row r="210" spans="1:9">
      <c r="A210" s="223" t="s">
        <v>53</v>
      </c>
      <c r="B210" s="224"/>
      <c r="C210" s="224"/>
      <c r="D210" s="224"/>
      <c r="E210" s="224"/>
      <c r="F210" s="224"/>
      <c r="G210" s="224"/>
      <c r="H210" s="224"/>
      <c r="I210" s="224"/>
    </row>
    <row r="211" spans="1:9">
      <c r="A211" s="225" t="s">
        <v>54</v>
      </c>
      <c r="B211" s="226"/>
      <c r="C211" s="226"/>
      <c r="D211" s="226"/>
      <c r="E211" s="226"/>
      <c r="F211" s="226"/>
      <c r="G211" s="226"/>
      <c r="H211" s="226"/>
      <c r="I211" s="226"/>
    </row>
    <row r="212" spans="1:9">
      <c r="A212" s="225" t="s">
        <v>55</v>
      </c>
      <c r="B212" s="226"/>
      <c r="C212" s="226"/>
      <c r="D212" s="226"/>
      <c r="E212" s="226"/>
      <c r="F212" s="226"/>
      <c r="G212" s="226"/>
      <c r="H212" s="226"/>
      <c r="I212" s="226"/>
    </row>
    <row r="213" spans="1:9">
      <c r="A213" s="225" t="s">
        <v>96</v>
      </c>
      <c r="B213" s="226"/>
      <c r="C213" s="226"/>
      <c r="D213" s="226"/>
      <c r="E213" s="226"/>
      <c r="F213" s="226"/>
      <c r="G213" s="226"/>
      <c r="H213" s="226"/>
      <c r="I213" s="226"/>
    </row>
    <row r="214" spans="1:9">
      <c r="A214" s="225" t="s">
        <v>97</v>
      </c>
      <c r="B214" s="226"/>
      <c r="C214" s="226"/>
      <c r="D214" s="226"/>
      <c r="E214" s="226"/>
      <c r="F214" s="226"/>
      <c r="G214" s="226"/>
      <c r="H214" s="226"/>
      <c r="I214" s="226"/>
    </row>
    <row r="215" spans="1:9">
      <c r="A215" s="220" t="s">
        <v>200</v>
      </c>
      <c r="B215" s="221"/>
      <c r="C215" s="221"/>
      <c r="D215" s="221"/>
      <c r="E215" s="221"/>
      <c r="F215" s="221"/>
      <c r="G215" s="221"/>
      <c r="H215" s="221"/>
      <c r="I215" s="221"/>
    </row>
    <row r="218" spans="1:9">
      <c r="A218" s="184" t="s">
        <v>0</v>
      </c>
      <c r="B218" s="184"/>
      <c r="C218" s="185" t="s">
        <v>1</v>
      </c>
      <c r="D218" s="185"/>
      <c r="E218" s="185"/>
      <c r="F218" s="185"/>
      <c r="G218" s="185"/>
      <c r="H218" s="185"/>
      <c r="I218" s="185"/>
    </row>
    <row r="219" spans="1:9">
      <c r="A219" s="184" t="s">
        <v>2</v>
      </c>
      <c r="B219" s="184"/>
      <c r="C219" s="185" t="s">
        <v>75</v>
      </c>
      <c r="D219" s="185"/>
      <c r="E219" s="185"/>
      <c r="F219" s="185"/>
      <c r="G219" s="185"/>
      <c r="H219" s="185"/>
      <c r="I219" s="185"/>
    </row>
    <row r="220" spans="1:9">
      <c r="A220" s="184" t="s">
        <v>4</v>
      </c>
      <c r="B220" s="184"/>
      <c r="C220" s="185" t="s">
        <v>76</v>
      </c>
      <c r="D220" s="185"/>
      <c r="E220" s="185"/>
      <c r="F220" s="185"/>
      <c r="G220" s="185"/>
      <c r="H220" s="185"/>
      <c r="I220" s="185"/>
    </row>
    <row r="221" spans="1:9">
      <c r="A221" s="184" t="s">
        <v>6</v>
      </c>
      <c r="B221" s="184"/>
      <c r="C221" s="185" t="s">
        <v>77</v>
      </c>
      <c r="D221" s="185"/>
      <c r="E221" s="185"/>
      <c r="F221" s="185"/>
      <c r="G221" s="185"/>
      <c r="H221" s="185"/>
      <c r="I221" s="185"/>
    </row>
    <row r="222" spans="1:9">
      <c r="A222" s="217" t="s">
        <v>8</v>
      </c>
      <c r="B222" s="217"/>
      <c r="C222" s="217"/>
      <c r="D222" s="217" t="s">
        <v>9</v>
      </c>
      <c r="E222" s="222"/>
      <c r="F222" s="222"/>
      <c r="G222" s="222"/>
      <c r="H222" s="222"/>
      <c r="I222" s="90"/>
    </row>
    <row r="223" spans="1:9">
      <c r="A223" s="228"/>
      <c r="B223" s="228"/>
      <c r="C223" s="7" t="s">
        <v>58</v>
      </c>
      <c r="D223" s="7" t="s">
        <v>78</v>
      </c>
      <c r="E223" s="7" t="s">
        <v>79</v>
      </c>
      <c r="F223" s="7" t="s">
        <v>80</v>
      </c>
      <c r="G223" s="7" t="s">
        <v>81</v>
      </c>
      <c r="H223" s="7" t="s">
        <v>82</v>
      </c>
      <c r="I223" s="7" t="s">
        <v>83</v>
      </c>
    </row>
    <row r="224" spans="1:9" ht="25.5">
      <c r="A224" s="195" t="s">
        <v>84</v>
      </c>
      <c r="B224" s="195"/>
      <c r="C224" s="59" t="s">
        <v>85</v>
      </c>
      <c r="D224" s="228" t="s">
        <v>86</v>
      </c>
      <c r="E224" s="59" t="s">
        <v>87</v>
      </c>
      <c r="F224" s="59" t="s">
        <v>89</v>
      </c>
      <c r="G224" s="228" t="s">
        <v>91</v>
      </c>
      <c r="H224" s="228" t="s">
        <v>38</v>
      </c>
      <c r="I224" s="228" t="s">
        <v>92</v>
      </c>
    </row>
    <row r="225" spans="1:9" ht="14.25">
      <c r="A225" s="195"/>
      <c r="B225" s="195"/>
      <c r="C225" s="77" t="s">
        <v>37</v>
      </c>
      <c r="D225" s="218"/>
      <c r="E225" s="77" t="s">
        <v>88</v>
      </c>
      <c r="F225" s="77" t="s">
        <v>90</v>
      </c>
      <c r="G225" s="218"/>
      <c r="H225" s="218"/>
      <c r="I225" s="218"/>
    </row>
    <row r="226" spans="1:9">
      <c r="A226" s="196"/>
      <c r="B226" s="196"/>
      <c r="C226" s="77"/>
      <c r="D226" s="77" t="s">
        <v>39</v>
      </c>
      <c r="E226" s="77" t="s">
        <v>40</v>
      </c>
      <c r="F226" s="77" t="s">
        <v>41</v>
      </c>
      <c r="G226" s="77" t="s">
        <v>42</v>
      </c>
      <c r="H226" s="77"/>
      <c r="I226" s="77"/>
    </row>
    <row r="227" spans="1:9" ht="15.75">
      <c r="A227" s="196"/>
      <c r="B227" s="196"/>
      <c r="C227" s="8" t="s">
        <v>43</v>
      </c>
      <c r="D227" s="8" t="s">
        <v>44</v>
      </c>
      <c r="E227" s="8" t="s">
        <v>44</v>
      </c>
      <c r="F227" s="8" t="s">
        <v>44</v>
      </c>
      <c r="G227" s="8" t="s">
        <v>44</v>
      </c>
      <c r="H227" s="8" t="s">
        <v>45</v>
      </c>
      <c r="I227" s="8" t="s">
        <v>46</v>
      </c>
    </row>
    <row r="228" spans="1:9" ht="15" thickBot="1">
      <c r="A228" s="230"/>
      <c r="B228" s="230"/>
      <c r="C228" s="5" t="s">
        <v>93</v>
      </c>
      <c r="D228" s="5"/>
      <c r="E228" s="5"/>
      <c r="F228" s="5"/>
      <c r="G228" s="5"/>
      <c r="H228" s="5"/>
      <c r="I228" s="5" t="s">
        <v>94</v>
      </c>
    </row>
    <row r="229" spans="1:9" ht="13.5" thickTop="1">
      <c r="A229" s="227" t="s">
        <v>95</v>
      </c>
      <c r="B229" s="53" t="s">
        <v>203</v>
      </c>
      <c r="C229" s="91">
        <f>'4A_DOC'!$B$39*$L$20</f>
        <v>6.2101826080940263</v>
      </c>
      <c r="D229" s="92">
        <v>0.4</v>
      </c>
      <c r="E229" s="92">
        <v>0.38</v>
      </c>
      <c r="F229" s="34">
        <v>0</v>
      </c>
      <c r="G229" s="93">
        <v>0.57999999999999996</v>
      </c>
      <c r="H229" s="92">
        <f>44/12</f>
        <v>3.6666666666666665</v>
      </c>
      <c r="I229" s="53">
        <f>C229*D229*E229*F229*G229*H229</f>
        <v>0</v>
      </c>
    </row>
    <row r="230" spans="1:9">
      <c r="A230" s="227"/>
      <c r="B230" s="53" t="s">
        <v>204</v>
      </c>
      <c r="C230" s="91">
        <f>'4A_DOC'!$B$40*$L$20</f>
        <v>1.2020010018678751</v>
      </c>
      <c r="D230" s="92">
        <v>0.9</v>
      </c>
      <c r="E230" s="92">
        <v>0.46</v>
      </c>
      <c r="F230" s="34">
        <f>1/100</f>
        <v>0.01</v>
      </c>
      <c r="G230" s="93">
        <v>0.57999999999999996</v>
      </c>
      <c r="H230" s="92">
        <f t="shared" ref="H230:H237" si="14">44/12</f>
        <v>3.6666666666666665</v>
      </c>
      <c r="I230" s="53">
        <f t="shared" ref="I230:I237" si="15">C230*D230*E230*F230*G230*H230</f>
        <v>1.0582897620845518E-2</v>
      </c>
    </row>
    <row r="231" spans="1:9">
      <c r="A231" s="227"/>
      <c r="B231" s="53" t="s">
        <v>205</v>
      </c>
      <c r="C231" s="91">
        <f>'4A_DOC'!$B$41*$L$20</f>
        <v>0</v>
      </c>
      <c r="D231" s="92">
        <v>0.85</v>
      </c>
      <c r="E231" s="92">
        <v>0.5</v>
      </c>
      <c r="F231" s="34">
        <v>0</v>
      </c>
      <c r="G231" s="93">
        <v>0.57999999999999996</v>
      </c>
      <c r="H231" s="92">
        <f t="shared" si="14"/>
        <v>3.6666666666666665</v>
      </c>
      <c r="I231" s="53">
        <f t="shared" si="15"/>
        <v>0</v>
      </c>
    </row>
    <row r="232" spans="1:9">
      <c r="A232" s="227"/>
      <c r="B232" s="53" t="s">
        <v>47</v>
      </c>
      <c r="C232" s="91">
        <f>'4A_DOC'!$B$42*$L$20</f>
        <v>7.5768156537975015E-2</v>
      </c>
      <c r="D232" s="92">
        <v>0.8</v>
      </c>
      <c r="E232" s="92">
        <v>0.5</v>
      </c>
      <c r="F232" s="34">
        <f>20/100</f>
        <v>0.2</v>
      </c>
      <c r="G232" s="93">
        <v>0.57999999999999996</v>
      </c>
      <c r="H232" s="92">
        <f t="shared" si="14"/>
        <v>3.6666666666666665</v>
      </c>
      <c r="I232" s="53">
        <f t="shared" si="15"/>
        <v>1.2890689032327483E-2</v>
      </c>
    </row>
    <row r="233" spans="1:9">
      <c r="A233" s="227"/>
      <c r="B233" s="53" t="s">
        <v>206</v>
      </c>
      <c r="C233" s="91">
        <f>'4A_DOC'!$B$43*$L$20</f>
        <v>0</v>
      </c>
      <c r="D233" s="92">
        <v>0.84</v>
      </c>
      <c r="E233" s="92">
        <v>0.67</v>
      </c>
      <c r="F233" s="34">
        <f>20/100</f>
        <v>0.2</v>
      </c>
      <c r="G233" s="93">
        <v>0.57999999999999996</v>
      </c>
      <c r="H233" s="92">
        <f t="shared" si="14"/>
        <v>3.6666666666666665</v>
      </c>
      <c r="I233" s="53">
        <f t="shared" si="15"/>
        <v>0</v>
      </c>
    </row>
    <row r="234" spans="1:9">
      <c r="A234" s="227"/>
      <c r="B234" s="53" t="s">
        <v>207</v>
      </c>
      <c r="C234" s="91">
        <f>'4A_DOC'!$B$44*$L$20</f>
        <v>1.0018234031132252</v>
      </c>
      <c r="D234" s="92">
        <v>1</v>
      </c>
      <c r="E234" s="92">
        <v>0.75</v>
      </c>
      <c r="F234" s="34">
        <f>100/100</f>
        <v>1</v>
      </c>
      <c r="G234" s="93">
        <v>0.57999999999999996</v>
      </c>
      <c r="H234" s="92">
        <f t="shared" si="14"/>
        <v>3.6666666666666665</v>
      </c>
      <c r="I234" s="53">
        <f t="shared" si="15"/>
        <v>1.5979083279655937</v>
      </c>
    </row>
    <row r="235" spans="1:9">
      <c r="A235" s="227"/>
      <c r="B235" s="53" t="s">
        <v>208</v>
      </c>
      <c r="C235" s="91">
        <f>'4A_DOC'!$B$45*$L$20</f>
        <v>0.16556745317557503</v>
      </c>
      <c r="D235" s="92">
        <v>1</v>
      </c>
      <c r="E235" s="92">
        <v>0</v>
      </c>
      <c r="F235" s="34">
        <v>0</v>
      </c>
      <c r="G235" s="93">
        <v>0.57999999999999996</v>
      </c>
      <c r="H235" s="92">
        <f t="shared" si="14"/>
        <v>3.6666666666666665</v>
      </c>
      <c r="I235" s="53">
        <f t="shared" si="15"/>
        <v>0</v>
      </c>
    </row>
    <row r="236" spans="1:9">
      <c r="A236" s="227"/>
      <c r="B236" s="53" t="s">
        <v>209</v>
      </c>
      <c r="C236" s="91">
        <f>'4A_DOC'!$B$46*$L$20</f>
        <v>0.12440944221667502</v>
      </c>
      <c r="D236" s="92">
        <v>1</v>
      </c>
      <c r="E236" s="92">
        <v>0</v>
      </c>
      <c r="F236" s="34">
        <v>0</v>
      </c>
      <c r="G236" s="93">
        <v>0.57999999999999996</v>
      </c>
      <c r="H236" s="92">
        <f t="shared" si="14"/>
        <v>3.6666666666666665</v>
      </c>
      <c r="I236" s="53">
        <f t="shared" si="15"/>
        <v>0</v>
      </c>
    </row>
    <row r="237" spans="1:9">
      <c r="A237" s="227"/>
      <c r="B237" s="53" t="s">
        <v>210</v>
      </c>
      <c r="C237" s="91">
        <f>'4A_DOC'!$B$47*$L$20</f>
        <v>0.58088920012447509</v>
      </c>
      <c r="D237" s="92">
        <v>0.9</v>
      </c>
      <c r="E237" s="92">
        <v>0</v>
      </c>
      <c r="F237" s="34">
        <v>0</v>
      </c>
      <c r="G237" s="93">
        <v>0.57999999999999996</v>
      </c>
      <c r="H237" s="92">
        <f t="shared" si="14"/>
        <v>3.6666666666666665</v>
      </c>
      <c r="I237" s="53">
        <f t="shared" si="15"/>
        <v>0</v>
      </c>
    </row>
    <row r="238" spans="1:9">
      <c r="A238" s="227" t="s">
        <v>48</v>
      </c>
      <c r="B238" s="227"/>
      <c r="C238" s="7"/>
      <c r="D238" s="53"/>
      <c r="E238" s="53"/>
      <c r="F238" s="53"/>
      <c r="G238" s="53"/>
      <c r="H238" s="53"/>
      <c r="I238" s="53"/>
    </row>
    <row r="239" spans="1:9">
      <c r="A239" s="186" t="s">
        <v>292</v>
      </c>
      <c r="B239" s="187"/>
      <c r="C239" s="187"/>
      <c r="D239" s="187"/>
      <c r="E239" s="187"/>
      <c r="F239" s="187"/>
      <c r="G239" s="187"/>
      <c r="H239" s="188"/>
      <c r="I239" s="95">
        <f>SUM(I229:I238)</f>
        <v>1.6213819146187667</v>
      </c>
    </row>
    <row r="240" spans="1:9">
      <c r="A240" s="223" t="s">
        <v>53</v>
      </c>
      <c r="B240" s="224"/>
      <c r="C240" s="224"/>
      <c r="D240" s="224"/>
      <c r="E240" s="224"/>
      <c r="F240" s="224"/>
      <c r="G240" s="224"/>
      <c r="H240" s="224"/>
      <c r="I240" s="224"/>
    </row>
    <row r="241" spans="1:9">
      <c r="A241" s="225" t="s">
        <v>54</v>
      </c>
      <c r="B241" s="226"/>
      <c r="C241" s="226"/>
      <c r="D241" s="226"/>
      <c r="E241" s="226"/>
      <c r="F241" s="226"/>
      <c r="G241" s="226"/>
      <c r="H241" s="226"/>
      <c r="I241" s="226"/>
    </row>
    <row r="242" spans="1:9">
      <c r="A242" s="225" t="s">
        <v>55</v>
      </c>
      <c r="B242" s="226"/>
      <c r="C242" s="226"/>
      <c r="D242" s="226"/>
      <c r="E242" s="226"/>
      <c r="F242" s="226"/>
      <c r="G242" s="226"/>
      <c r="H242" s="226"/>
      <c r="I242" s="226"/>
    </row>
    <row r="243" spans="1:9">
      <c r="A243" s="225" t="s">
        <v>96</v>
      </c>
      <c r="B243" s="226"/>
      <c r="C243" s="226"/>
      <c r="D243" s="226"/>
      <c r="E243" s="226"/>
      <c r="F243" s="226"/>
      <c r="G243" s="226"/>
      <c r="H243" s="226"/>
      <c r="I243" s="226"/>
    </row>
    <row r="244" spans="1:9">
      <c r="A244" s="225" t="s">
        <v>97</v>
      </c>
      <c r="B244" s="226"/>
      <c r="C244" s="226"/>
      <c r="D244" s="226"/>
      <c r="E244" s="226"/>
      <c r="F244" s="226"/>
      <c r="G244" s="226"/>
      <c r="H244" s="226"/>
      <c r="I244" s="226"/>
    </row>
    <row r="245" spans="1:9">
      <c r="A245" s="220" t="s">
        <v>200</v>
      </c>
      <c r="B245" s="221"/>
      <c r="C245" s="221"/>
      <c r="D245" s="221"/>
      <c r="E245" s="221"/>
      <c r="F245" s="221"/>
      <c r="G245" s="221"/>
      <c r="H245" s="221"/>
      <c r="I245" s="221"/>
    </row>
    <row r="248" spans="1:9">
      <c r="A248" s="184" t="s">
        <v>0</v>
      </c>
      <c r="B248" s="184"/>
      <c r="C248" s="185" t="s">
        <v>1</v>
      </c>
      <c r="D248" s="185"/>
      <c r="E248" s="185"/>
      <c r="F248" s="185"/>
      <c r="G248" s="185"/>
      <c r="H248" s="185"/>
      <c r="I248" s="185"/>
    </row>
    <row r="249" spans="1:9">
      <c r="A249" s="184" t="s">
        <v>2</v>
      </c>
      <c r="B249" s="184"/>
      <c r="C249" s="185" t="s">
        <v>75</v>
      </c>
      <c r="D249" s="185"/>
      <c r="E249" s="185"/>
      <c r="F249" s="185"/>
      <c r="G249" s="185"/>
      <c r="H249" s="185"/>
      <c r="I249" s="185"/>
    </row>
    <row r="250" spans="1:9">
      <c r="A250" s="184" t="s">
        <v>4</v>
      </c>
      <c r="B250" s="184"/>
      <c r="C250" s="185" t="s">
        <v>76</v>
      </c>
      <c r="D250" s="185"/>
      <c r="E250" s="185"/>
      <c r="F250" s="185"/>
      <c r="G250" s="185"/>
      <c r="H250" s="185"/>
      <c r="I250" s="185"/>
    </row>
    <row r="251" spans="1:9">
      <c r="A251" s="184" t="s">
        <v>6</v>
      </c>
      <c r="B251" s="184"/>
      <c r="C251" s="185" t="s">
        <v>77</v>
      </c>
      <c r="D251" s="185"/>
      <c r="E251" s="185"/>
      <c r="F251" s="185"/>
      <c r="G251" s="185"/>
      <c r="H251" s="185"/>
      <c r="I251" s="185"/>
    </row>
    <row r="252" spans="1:9">
      <c r="A252" s="217" t="s">
        <v>8</v>
      </c>
      <c r="B252" s="217"/>
      <c r="C252" s="217"/>
      <c r="D252" s="217" t="s">
        <v>9</v>
      </c>
      <c r="E252" s="222"/>
      <c r="F252" s="222"/>
      <c r="G252" s="222"/>
      <c r="H252" s="222"/>
      <c r="I252" s="90"/>
    </row>
    <row r="253" spans="1:9">
      <c r="A253" s="228"/>
      <c r="B253" s="228"/>
      <c r="C253" s="7" t="s">
        <v>58</v>
      </c>
      <c r="D253" s="7" t="s">
        <v>78</v>
      </c>
      <c r="E253" s="7" t="s">
        <v>79</v>
      </c>
      <c r="F253" s="7" t="s">
        <v>80</v>
      </c>
      <c r="G253" s="7" t="s">
        <v>81</v>
      </c>
      <c r="H253" s="7" t="s">
        <v>82</v>
      </c>
      <c r="I253" s="7" t="s">
        <v>83</v>
      </c>
    </row>
    <row r="254" spans="1:9" ht="25.5">
      <c r="A254" s="195" t="s">
        <v>84</v>
      </c>
      <c r="B254" s="195"/>
      <c r="C254" s="59" t="s">
        <v>85</v>
      </c>
      <c r="D254" s="228" t="s">
        <v>86</v>
      </c>
      <c r="E254" s="59" t="s">
        <v>87</v>
      </c>
      <c r="F254" s="59" t="s">
        <v>89</v>
      </c>
      <c r="G254" s="228" t="s">
        <v>91</v>
      </c>
      <c r="H254" s="228" t="s">
        <v>38</v>
      </c>
      <c r="I254" s="228" t="s">
        <v>92</v>
      </c>
    </row>
    <row r="255" spans="1:9" ht="14.25">
      <c r="A255" s="195"/>
      <c r="B255" s="195"/>
      <c r="C255" s="77" t="s">
        <v>37</v>
      </c>
      <c r="D255" s="218"/>
      <c r="E255" s="77" t="s">
        <v>88</v>
      </c>
      <c r="F255" s="77" t="s">
        <v>90</v>
      </c>
      <c r="G255" s="218"/>
      <c r="H255" s="218"/>
      <c r="I255" s="218"/>
    </row>
    <row r="256" spans="1:9">
      <c r="A256" s="196"/>
      <c r="B256" s="196"/>
      <c r="C256" s="77"/>
      <c r="D256" s="77" t="s">
        <v>39</v>
      </c>
      <c r="E256" s="77" t="s">
        <v>40</v>
      </c>
      <c r="F256" s="77" t="s">
        <v>41</v>
      </c>
      <c r="G256" s="77" t="s">
        <v>42</v>
      </c>
      <c r="H256" s="77"/>
      <c r="I256" s="77"/>
    </row>
    <row r="257" spans="1:9" ht="15.75">
      <c r="A257" s="196"/>
      <c r="B257" s="196"/>
      <c r="C257" s="8" t="s">
        <v>43</v>
      </c>
      <c r="D257" s="8" t="s">
        <v>44</v>
      </c>
      <c r="E257" s="8" t="s">
        <v>44</v>
      </c>
      <c r="F257" s="8" t="s">
        <v>44</v>
      </c>
      <c r="G257" s="8" t="s">
        <v>44</v>
      </c>
      <c r="H257" s="8" t="s">
        <v>45</v>
      </c>
      <c r="I257" s="8" t="s">
        <v>46</v>
      </c>
    </row>
    <row r="258" spans="1:9" ht="15" thickBot="1">
      <c r="A258" s="230"/>
      <c r="B258" s="230"/>
      <c r="C258" s="5" t="s">
        <v>93</v>
      </c>
      <c r="D258" s="5"/>
      <c r="E258" s="5"/>
      <c r="F258" s="5"/>
      <c r="G258" s="5"/>
      <c r="H258" s="5"/>
      <c r="I258" s="5" t="s">
        <v>94</v>
      </c>
    </row>
    <row r="259" spans="1:9" ht="13.5" thickTop="1">
      <c r="A259" s="227" t="s">
        <v>95</v>
      </c>
      <c r="B259" s="53" t="s">
        <v>203</v>
      </c>
      <c r="C259" s="91">
        <f>'4A_DOC'!$B$39*$L$21</f>
        <v>6.2758545806058637</v>
      </c>
      <c r="D259" s="92">
        <v>0.4</v>
      </c>
      <c r="E259" s="92">
        <v>0.38</v>
      </c>
      <c r="F259" s="34">
        <v>0</v>
      </c>
      <c r="G259" s="93">
        <v>0.57999999999999996</v>
      </c>
      <c r="H259" s="92">
        <f>44/12</f>
        <v>3.6666666666666665</v>
      </c>
      <c r="I259" s="53">
        <f>C259*D259*E259*F259*G259*H259</f>
        <v>0</v>
      </c>
    </row>
    <row r="260" spans="1:9">
      <c r="A260" s="227"/>
      <c r="B260" s="53" t="s">
        <v>204</v>
      </c>
      <c r="C260" s="91">
        <f>'4A_DOC'!$B$40*$L$21</f>
        <v>1.2147120253168451</v>
      </c>
      <c r="D260" s="92">
        <v>0.9</v>
      </c>
      <c r="E260" s="92">
        <v>0.46</v>
      </c>
      <c r="F260" s="34">
        <f>1/100</f>
        <v>0.01</v>
      </c>
      <c r="G260" s="93">
        <v>0.57999999999999996</v>
      </c>
      <c r="H260" s="92">
        <f t="shared" ref="H260:H267" si="16">44/12</f>
        <v>3.6666666666666665</v>
      </c>
      <c r="I260" s="53">
        <f t="shared" ref="I260:I267" si="17">C260*D260*E260*F260*G260*H260</f>
        <v>1.0694810555699629E-2</v>
      </c>
    </row>
    <row r="261" spans="1:9">
      <c r="A261" s="227"/>
      <c r="B261" s="53" t="s">
        <v>205</v>
      </c>
      <c r="C261" s="91">
        <f>'4A_DOC'!$B$41*$L$21</f>
        <v>0</v>
      </c>
      <c r="D261" s="92">
        <v>0.85</v>
      </c>
      <c r="E261" s="92">
        <v>0.5</v>
      </c>
      <c r="F261" s="34">
        <v>0</v>
      </c>
      <c r="G261" s="93">
        <v>0.57999999999999996</v>
      </c>
      <c r="H261" s="92">
        <f t="shared" si="16"/>
        <v>3.6666666666666665</v>
      </c>
      <c r="I261" s="53">
        <f t="shared" si="17"/>
        <v>0</v>
      </c>
    </row>
    <row r="262" spans="1:9">
      <c r="A262" s="227"/>
      <c r="B262" s="53" t="s">
        <v>47</v>
      </c>
      <c r="C262" s="91">
        <f>'4A_DOC'!$B$42*$L$21</f>
        <v>7.6569396148377017E-2</v>
      </c>
      <c r="D262" s="92">
        <v>0.8</v>
      </c>
      <c r="E262" s="92">
        <v>0.5</v>
      </c>
      <c r="F262" s="34">
        <f>20/100</f>
        <v>0.2</v>
      </c>
      <c r="G262" s="93">
        <v>0.57999999999999996</v>
      </c>
      <c r="H262" s="92">
        <f t="shared" si="16"/>
        <v>3.6666666666666665</v>
      </c>
      <c r="I262" s="53">
        <f t="shared" si="17"/>
        <v>1.3027006598043877E-2</v>
      </c>
    </row>
    <row r="263" spans="1:9">
      <c r="A263" s="227"/>
      <c r="B263" s="53" t="s">
        <v>206</v>
      </c>
      <c r="C263" s="91">
        <f>'4A_DOC'!$B$43*$L$21</f>
        <v>0</v>
      </c>
      <c r="D263" s="92">
        <v>0.84</v>
      </c>
      <c r="E263" s="92">
        <v>0.67</v>
      </c>
      <c r="F263" s="34">
        <f>20/100</f>
        <v>0.2</v>
      </c>
      <c r="G263" s="93">
        <v>0.57999999999999996</v>
      </c>
      <c r="H263" s="92">
        <f t="shared" si="16"/>
        <v>3.6666666666666665</v>
      </c>
      <c r="I263" s="53">
        <f t="shared" si="17"/>
        <v>0</v>
      </c>
    </row>
    <row r="264" spans="1:9">
      <c r="A264" s="227"/>
      <c r="B264" s="53" t="s">
        <v>207</v>
      </c>
      <c r="C264" s="91">
        <f>'4A_DOC'!$B$44*$L$21</f>
        <v>1.012417571295207</v>
      </c>
      <c r="D264" s="92">
        <v>1</v>
      </c>
      <c r="E264" s="92">
        <v>0.75</v>
      </c>
      <c r="F264" s="34">
        <f>100/100</f>
        <v>1</v>
      </c>
      <c r="G264" s="93">
        <v>0.57999999999999996</v>
      </c>
      <c r="H264" s="92">
        <f t="shared" si="16"/>
        <v>3.6666666666666665</v>
      </c>
      <c r="I264" s="53">
        <f t="shared" si="17"/>
        <v>1.614806026215855</v>
      </c>
    </row>
    <row r="265" spans="1:9">
      <c r="A265" s="227"/>
      <c r="B265" s="53" t="s">
        <v>208</v>
      </c>
      <c r="C265" s="91">
        <f>'4A_DOC'!$B$45*$L$21</f>
        <v>0.16731831010200901</v>
      </c>
      <c r="D265" s="92">
        <v>1</v>
      </c>
      <c r="E265" s="92">
        <v>0</v>
      </c>
      <c r="F265" s="34">
        <v>0</v>
      </c>
      <c r="G265" s="93">
        <v>0.57999999999999996</v>
      </c>
      <c r="H265" s="92">
        <f t="shared" si="16"/>
        <v>3.6666666666666665</v>
      </c>
      <c r="I265" s="53">
        <f t="shared" si="17"/>
        <v>0</v>
      </c>
    </row>
    <row r="266" spans="1:9">
      <c r="A266" s="227"/>
      <c r="B266" s="53" t="s">
        <v>209</v>
      </c>
      <c r="C266" s="91">
        <f>'4A_DOC'!$B$46*$L$21</f>
        <v>0.12572505787326102</v>
      </c>
      <c r="D266" s="92">
        <v>1</v>
      </c>
      <c r="E266" s="92">
        <v>0</v>
      </c>
      <c r="F266" s="34">
        <v>0</v>
      </c>
      <c r="G266" s="93">
        <v>0.57999999999999996</v>
      </c>
      <c r="H266" s="92">
        <f t="shared" si="16"/>
        <v>3.6666666666666665</v>
      </c>
      <c r="I266" s="53">
        <f t="shared" si="17"/>
        <v>0</v>
      </c>
    </row>
    <row r="267" spans="1:9">
      <c r="A267" s="227"/>
      <c r="B267" s="53" t="s">
        <v>210</v>
      </c>
      <c r="C267" s="91">
        <f>'4A_DOC'!$B$47*$L$21</f>
        <v>0.58703203713755703</v>
      </c>
      <c r="D267" s="92">
        <v>0.9</v>
      </c>
      <c r="E267" s="92">
        <v>0</v>
      </c>
      <c r="F267" s="34">
        <v>0</v>
      </c>
      <c r="G267" s="93">
        <v>0.57999999999999996</v>
      </c>
      <c r="H267" s="92">
        <f t="shared" si="16"/>
        <v>3.6666666666666665</v>
      </c>
      <c r="I267" s="53">
        <f t="shared" si="17"/>
        <v>0</v>
      </c>
    </row>
    <row r="268" spans="1:9">
      <c r="A268" s="227" t="s">
        <v>48</v>
      </c>
      <c r="B268" s="227"/>
      <c r="C268" s="7"/>
      <c r="D268" s="53"/>
      <c r="E268" s="53"/>
      <c r="F268" s="53"/>
      <c r="G268" s="53"/>
      <c r="H268" s="53"/>
      <c r="I268" s="53"/>
    </row>
    <row r="269" spans="1:9">
      <c r="A269" s="186" t="s">
        <v>293</v>
      </c>
      <c r="B269" s="187"/>
      <c r="C269" s="187"/>
      <c r="D269" s="187"/>
      <c r="E269" s="187"/>
      <c r="F269" s="187"/>
      <c r="G269" s="187"/>
      <c r="H269" s="188"/>
      <c r="I269" s="95">
        <f>SUM(I259:I268)</f>
        <v>1.6385278433695984</v>
      </c>
    </row>
    <row r="270" spans="1:9">
      <c r="A270" s="223" t="s">
        <v>53</v>
      </c>
      <c r="B270" s="224"/>
      <c r="C270" s="224"/>
      <c r="D270" s="224"/>
      <c r="E270" s="224"/>
      <c r="F270" s="224"/>
      <c r="G270" s="224"/>
      <c r="H270" s="224"/>
      <c r="I270" s="224"/>
    </row>
    <row r="271" spans="1:9">
      <c r="A271" s="225" t="s">
        <v>54</v>
      </c>
      <c r="B271" s="226"/>
      <c r="C271" s="226"/>
      <c r="D271" s="226"/>
      <c r="E271" s="226"/>
      <c r="F271" s="226"/>
      <c r="G271" s="226"/>
      <c r="H271" s="226"/>
      <c r="I271" s="226"/>
    </row>
    <row r="272" spans="1:9">
      <c r="A272" s="225" t="s">
        <v>55</v>
      </c>
      <c r="B272" s="226"/>
      <c r="C272" s="226"/>
      <c r="D272" s="226"/>
      <c r="E272" s="226"/>
      <c r="F272" s="226"/>
      <c r="G272" s="226"/>
      <c r="H272" s="226"/>
      <c r="I272" s="226"/>
    </row>
    <row r="273" spans="1:9">
      <c r="A273" s="225" t="s">
        <v>96</v>
      </c>
      <c r="B273" s="226"/>
      <c r="C273" s="226"/>
      <c r="D273" s="226"/>
      <c r="E273" s="226"/>
      <c r="F273" s="226"/>
      <c r="G273" s="226"/>
      <c r="H273" s="226"/>
      <c r="I273" s="226"/>
    </row>
    <row r="274" spans="1:9">
      <c r="A274" s="225" t="s">
        <v>97</v>
      </c>
      <c r="B274" s="226"/>
      <c r="C274" s="226"/>
      <c r="D274" s="226"/>
      <c r="E274" s="226"/>
      <c r="F274" s="226"/>
      <c r="G274" s="226"/>
      <c r="H274" s="226"/>
      <c r="I274" s="226"/>
    </row>
    <row r="275" spans="1:9">
      <c r="A275" s="220" t="s">
        <v>200</v>
      </c>
      <c r="B275" s="221"/>
      <c r="C275" s="221"/>
      <c r="D275" s="221"/>
      <c r="E275" s="221"/>
      <c r="F275" s="221"/>
      <c r="G275" s="221"/>
      <c r="H275" s="221"/>
      <c r="I275" s="221"/>
    </row>
    <row r="278" spans="1:9">
      <c r="A278" s="184" t="s">
        <v>0</v>
      </c>
      <c r="B278" s="184"/>
      <c r="C278" s="185" t="s">
        <v>1</v>
      </c>
      <c r="D278" s="185"/>
      <c r="E278" s="185"/>
      <c r="F278" s="185"/>
      <c r="G278" s="185"/>
      <c r="H278" s="185"/>
      <c r="I278" s="185"/>
    </row>
    <row r="279" spans="1:9">
      <c r="A279" s="184" t="s">
        <v>2</v>
      </c>
      <c r="B279" s="184"/>
      <c r="C279" s="185" t="s">
        <v>75</v>
      </c>
      <c r="D279" s="185"/>
      <c r="E279" s="185"/>
      <c r="F279" s="185"/>
      <c r="G279" s="185"/>
      <c r="H279" s="185"/>
      <c r="I279" s="185"/>
    </row>
    <row r="280" spans="1:9">
      <c r="A280" s="184" t="s">
        <v>4</v>
      </c>
      <c r="B280" s="184"/>
      <c r="C280" s="185" t="s">
        <v>76</v>
      </c>
      <c r="D280" s="185"/>
      <c r="E280" s="185"/>
      <c r="F280" s="185"/>
      <c r="G280" s="185"/>
      <c r="H280" s="185"/>
      <c r="I280" s="185"/>
    </row>
    <row r="281" spans="1:9">
      <c r="A281" s="184" t="s">
        <v>6</v>
      </c>
      <c r="B281" s="184"/>
      <c r="C281" s="185" t="s">
        <v>77</v>
      </c>
      <c r="D281" s="185"/>
      <c r="E281" s="185"/>
      <c r="F281" s="185"/>
      <c r="G281" s="185"/>
      <c r="H281" s="185"/>
      <c r="I281" s="185"/>
    </row>
    <row r="282" spans="1:9">
      <c r="A282" s="217" t="s">
        <v>8</v>
      </c>
      <c r="B282" s="217"/>
      <c r="C282" s="217"/>
      <c r="D282" s="217" t="s">
        <v>9</v>
      </c>
      <c r="E282" s="222"/>
      <c r="F282" s="222"/>
      <c r="G282" s="222"/>
      <c r="H282" s="222"/>
      <c r="I282" s="90"/>
    </row>
    <row r="283" spans="1:9">
      <c r="A283" s="228"/>
      <c r="B283" s="228"/>
      <c r="C283" s="7" t="s">
        <v>58</v>
      </c>
      <c r="D283" s="7" t="s">
        <v>78</v>
      </c>
      <c r="E283" s="7" t="s">
        <v>79</v>
      </c>
      <c r="F283" s="7" t="s">
        <v>80</v>
      </c>
      <c r="G283" s="7" t="s">
        <v>81</v>
      </c>
      <c r="H283" s="7" t="s">
        <v>82</v>
      </c>
      <c r="I283" s="7" t="s">
        <v>83</v>
      </c>
    </row>
    <row r="284" spans="1:9" ht="25.5">
      <c r="A284" s="195" t="s">
        <v>84</v>
      </c>
      <c r="B284" s="195"/>
      <c r="C284" s="59" t="s">
        <v>85</v>
      </c>
      <c r="D284" s="228" t="s">
        <v>86</v>
      </c>
      <c r="E284" s="59" t="s">
        <v>87</v>
      </c>
      <c r="F284" s="59" t="s">
        <v>89</v>
      </c>
      <c r="G284" s="228" t="s">
        <v>91</v>
      </c>
      <c r="H284" s="228" t="s">
        <v>38</v>
      </c>
      <c r="I284" s="228" t="s">
        <v>92</v>
      </c>
    </row>
    <row r="285" spans="1:9" ht="14.25">
      <c r="A285" s="195"/>
      <c r="B285" s="195"/>
      <c r="C285" s="77" t="s">
        <v>37</v>
      </c>
      <c r="D285" s="218"/>
      <c r="E285" s="77" t="s">
        <v>88</v>
      </c>
      <c r="F285" s="77" t="s">
        <v>90</v>
      </c>
      <c r="G285" s="218"/>
      <c r="H285" s="218"/>
      <c r="I285" s="218"/>
    </row>
    <row r="286" spans="1:9">
      <c r="A286" s="196"/>
      <c r="B286" s="196"/>
      <c r="C286" s="77"/>
      <c r="D286" s="77" t="s">
        <v>39</v>
      </c>
      <c r="E286" s="77" t="s">
        <v>40</v>
      </c>
      <c r="F286" s="77" t="s">
        <v>41</v>
      </c>
      <c r="G286" s="77" t="s">
        <v>42</v>
      </c>
      <c r="H286" s="77"/>
      <c r="I286" s="77"/>
    </row>
    <row r="287" spans="1:9" ht="15.75">
      <c r="A287" s="196"/>
      <c r="B287" s="196"/>
      <c r="C287" s="8" t="s">
        <v>43</v>
      </c>
      <c r="D287" s="8" t="s">
        <v>44</v>
      </c>
      <c r="E287" s="8" t="s">
        <v>44</v>
      </c>
      <c r="F287" s="8" t="s">
        <v>44</v>
      </c>
      <c r="G287" s="8" t="s">
        <v>44</v>
      </c>
      <c r="H287" s="8" t="s">
        <v>45</v>
      </c>
      <c r="I287" s="8" t="s">
        <v>46</v>
      </c>
    </row>
    <row r="288" spans="1:9" ht="15" thickBot="1">
      <c r="A288" s="230"/>
      <c r="B288" s="230"/>
      <c r="C288" s="5" t="s">
        <v>93</v>
      </c>
      <c r="D288" s="5"/>
      <c r="E288" s="5"/>
      <c r="F288" s="5"/>
      <c r="G288" s="5"/>
      <c r="H288" s="5"/>
      <c r="I288" s="5" t="s">
        <v>94</v>
      </c>
    </row>
    <row r="289" spans="1:9" ht="13.5" thickTop="1">
      <c r="A289" s="227" t="s">
        <v>95</v>
      </c>
      <c r="B289" s="53" t="s">
        <v>203</v>
      </c>
      <c r="C289" s="91">
        <f>'4A_DOC'!$B$39*$L$22</f>
        <v>6.3381670271244595</v>
      </c>
      <c r="D289" s="92">
        <v>0.4</v>
      </c>
      <c r="E289" s="92">
        <v>0.38</v>
      </c>
      <c r="F289" s="34">
        <v>0</v>
      </c>
      <c r="G289" s="93">
        <v>0.57999999999999996</v>
      </c>
      <c r="H289" s="92">
        <f>44/12</f>
        <v>3.6666666666666665</v>
      </c>
      <c r="I289" s="53">
        <f>C289*D289*E289*F289*G289*H289</f>
        <v>0</v>
      </c>
    </row>
    <row r="290" spans="1:9">
      <c r="A290" s="227"/>
      <c r="B290" s="53" t="s">
        <v>204</v>
      </c>
      <c r="C290" s="91">
        <f>'4A_DOC'!$B$40*$L$22</f>
        <v>1.2267728016049</v>
      </c>
      <c r="D290" s="92">
        <v>0.9</v>
      </c>
      <c r="E290" s="92">
        <v>0.46</v>
      </c>
      <c r="F290" s="34">
        <f>1/100</f>
        <v>0.01</v>
      </c>
      <c r="G290" s="93">
        <v>0.57999999999999996</v>
      </c>
      <c r="H290" s="92">
        <f t="shared" ref="H290:H297" si="18">44/12</f>
        <v>3.6666666666666665</v>
      </c>
      <c r="I290" s="53">
        <f t="shared" ref="I290:I297" si="19">C290*D290*E290*F290*G290*H290</f>
        <v>1.080099845445018E-2</v>
      </c>
    </row>
    <row r="291" spans="1:9">
      <c r="A291" s="227"/>
      <c r="B291" s="53" t="s">
        <v>205</v>
      </c>
      <c r="C291" s="91">
        <f>'4A_DOC'!$B$41*$L$22</f>
        <v>0</v>
      </c>
      <c r="D291" s="92">
        <v>0.85</v>
      </c>
      <c r="E291" s="92">
        <v>0.5</v>
      </c>
      <c r="F291" s="34">
        <v>0</v>
      </c>
      <c r="G291" s="93">
        <v>0.57999999999999996</v>
      </c>
      <c r="H291" s="92">
        <f t="shared" si="18"/>
        <v>3.6666666666666665</v>
      </c>
      <c r="I291" s="53">
        <f t="shared" si="19"/>
        <v>0</v>
      </c>
    </row>
    <row r="292" spans="1:9">
      <c r="A292" s="227"/>
      <c r="B292" s="53" t="s">
        <v>47</v>
      </c>
      <c r="C292" s="91">
        <f>'4A_DOC'!$B$42*$L$22</f>
        <v>7.7329647416340005E-2</v>
      </c>
      <c r="D292" s="92">
        <v>0.8</v>
      </c>
      <c r="E292" s="92">
        <v>0.5</v>
      </c>
      <c r="F292" s="34">
        <f>20/100</f>
        <v>0.2</v>
      </c>
      <c r="G292" s="93">
        <v>0.57999999999999996</v>
      </c>
      <c r="H292" s="92">
        <f t="shared" si="18"/>
        <v>3.6666666666666665</v>
      </c>
      <c r="I292" s="53">
        <f t="shared" si="19"/>
        <v>1.3156350680433313E-2</v>
      </c>
    </row>
    <row r="293" spans="1:9">
      <c r="A293" s="227"/>
      <c r="B293" s="53" t="s">
        <v>206</v>
      </c>
      <c r="C293" s="91">
        <f>'4A_DOC'!$B$43*$L$22</f>
        <v>0</v>
      </c>
      <c r="D293" s="92">
        <v>0.84</v>
      </c>
      <c r="E293" s="92">
        <v>0.67</v>
      </c>
      <c r="F293" s="34">
        <f>20/100</f>
        <v>0.2</v>
      </c>
      <c r="G293" s="93">
        <v>0.57999999999999996</v>
      </c>
      <c r="H293" s="92">
        <f t="shared" si="18"/>
        <v>3.6666666666666665</v>
      </c>
      <c r="I293" s="53">
        <f t="shared" si="19"/>
        <v>0</v>
      </c>
    </row>
    <row r="294" spans="1:9">
      <c r="A294" s="227"/>
      <c r="B294" s="53" t="s">
        <v>207</v>
      </c>
      <c r="C294" s="91">
        <f>'4A_DOC'!$B$44*$L$22</f>
        <v>1.02246978250494</v>
      </c>
      <c r="D294" s="92">
        <v>1</v>
      </c>
      <c r="E294" s="92">
        <v>0.75</v>
      </c>
      <c r="F294" s="34">
        <f>100/100</f>
        <v>1</v>
      </c>
      <c r="G294" s="93">
        <v>0.57999999999999996</v>
      </c>
      <c r="H294" s="92">
        <f t="shared" si="18"/>
        <v>3.6666666666666665</v>
      </c>
      <c r="I294" s="53">
        <f t="shared" si="19"/>
        <v>1.6308393030953792</v>
      </c>
    </row>
    <row r="295" spans="1:9">
      <c r="A295" s="227"/>
      <c r="B295" s="53" t="s">
        <v>208</v>
      </c>
      <c r="C295" s="91">
        <f>'4A_DOC'!$B$45*$L$22</f>
        <v>0.16897959990977998</v>
      </c>
      <c r="D295" s="92">
        <v>1</v>
      </c>
      <c r="E295" s="92">
        <v>0</v>
      </c>
      <c r="F295" s="34">
        <v>0</v>
      </c>
      <c r="G295" s="93">
        <v>0.57999999999999996</v>
      </c>
      <c r="H295" s="92">
        <f t="shared" si="18"/>
        <v>3.6666666666666665</v>
      </c>
      <c r="I295" s="53">
        <f t="shared" si="19"/>
        <v>0</v>
      </c>
    </row>
    <row r="296" spans="1:9">
      <c r="A296" s="227"/>
      <c r="B296" s="53" t="s">
        <v>209</v>
      </c>
      <c r="C296" s="91">
        <f>'4A_DOC'!$B$46*$L$22</f>
        <v>0.12697337168362</v>
      </c>
      <c r="D296" s="92">
        <v>1</v>
      </c>
      <c r="E296" s="92">
        <v>0</v>
      </c>
      <c r="F296" s="34">
        <v>0</v>
      </c>
      <c r="G296" s="93">
        <v>0.57999999999999996</v>
      </c>
      <c r="H296" s="92">
        <f t="shared" si="18"/>
        <v>3.6666666666666665</v>
      </c>
      <c r="I296" s="53">
        <f t="shared" si="19"/>
        <v>0</v>
      </c>
    </row>
    <row r="297" spans="1:9">
      <c r="A297" s="227"/>
      <c r="B297" s="53" t="s">
        <v>210</v>
      </c>
      <c r="C297" s="91">
        <f>'4A_DOC'!$B$47*$L$22</f>
        <v>0.59286063019194002</v>
      </c>
      <c r="D297" s="92">
        <v>0.9</v>
      </c>
      <c r="E297" s="92">
        <v>0</v>
      </c>
      <c r="F297" s="34">
        <v>0</v>
      </c>
      <c r="G297" s="93">
        <v>0.57999999999999996</v>
      </c>
      <c r="H297" s="92">
        <f t="shared" si="18"/>
        <v>3.6666666666666665</v>
      </c>
      <c r="I297" s="53">
        <f t="shared" si="19"/>
        <v>0</v>
      </c>
    </row>
    <row r="298" spans="1:9">
      <c r="A298" s="227" t="s">
        <v>48</v>
      </c>
      <c r="B298" s="227"/>
      <c r="C298" s="7"/>
      <c r="D298" s="53"/>
      <c r="E298" s="53"/>
      <c r="F298" s="53"/>
      <c r="G298" s="53"/>
      <c r="H298" s="53"/>
      <c r="I298" s="53"/>
    </row>
    <row r="299" spans="1:9">
      <c r="A299" s="186" t="s">
        <v>294</v>
      </c>
      <c r="B299" s="187"/>
      <c r="C299" s="187"/>
      <c r="D299" s="187"/>
      <c r="E299" s="187"/>
      <c r="F299" s="187"/>
      <c r="G299" s="187"/>
      <c r="H299" s="188"/>
      <c r="I299" s="95">
        <f>SUM(I289:I298)</f>
        <v>1.6547966522302626</v>
      </c>
    </row>
    <row r="300" spans="1:9">
      <c r="A300" s="223" t="s">
        <v>53</v>
      </c>
      <c r="B300" s="224"/>
      <c r="C300" s="224"/>
      <c r="D300" s="224"/>
      <c r="E300" s="224"/>
      <c r="F300" s="224"/>
      <c r="G300" s="224"/>
      <c r="H300" s="224"/>
      <c r="I300" s="224"/>
    </row>
    <row r="301" spans="1:9">
      <c r="A301" s="225" t="s">
        <v>54</v>
      </c>
      <c r="B301" s="226"/>
      <c r="C301" s="226"/>
      <c r="D301" s="226"/>
      <c r="E301" s="226"/>
      <c r="F301" s="226"/>
      <c r="G301" s="226"/>
      <c r="H301" s="226"/>
      <c r="I301" s="226"/>
    </row>
    <row r="302" spans="1:9">
      <c r="A302" s="225" t="s">
        <v>55</v>
      </c>
      <c r="B302" s="226"/>
      <c r="C302" s="226"/>
      <c r="D302" s="226"/>
      <c r="E302" s="226"/>
      <c r="F302" s="226"/>
      <c r="G302" s="226"/>
      <c r="H302" s="226"/>
      <c r="I302" s="226"/>
    </row>
    <row r="303" spans="1:9">
      <c r="A303" s="225" t="s">
        <v>96</v>
      </c>
      <c r="B303" s="226"/>
      <c r="C303" s="226"/>
      <c r="D303" s="226"/>
      <c r="E303" s="226"/>
      <c r="F303" s="226"/>
      <c r="G303" s="226"/>
      <c r="H303" s="226"/>
      <c r="I303" s="226"/>
    </row>
    <row r="304" spans="1:9">
      <c r="A304" s="225" t="s">
        <v>97</v>
      </c>
      <c r="B304" s="226"/>
      <c r="C304" s="226"/>
      <c r="D304" s="226"/>
      <c r="E304" s="226"/>
      <c r="F304" s="226"/>
      <c r="G304" s="226"/>
      <c r="H304" s="226"/>
      <c r="I304" s="226"/>
    </row>
    <row r="305" spans="1:9">
      <c r="A305" s="220" t="s">
        <v>200</v>
      </c>
      <c r="B305" s="221"/>
      <c r="C305" s="221"/>
      <c r="D305" s="221"/>
      <c r="E305" s="221"/>
      <c r="F305" s="221"/>
      <c r="G305" s="221"/>
      <c r="H305" s="221"/>
      <c r="I305" s="221"/>
    </row>
    <row r="308" spans="1:9">
      <c r="A308" s="184" t="s">
        <v>0</v>
      </c>
      <c r="B308" s="184"/>
      <c r="C308" s="185" t="s">
        <v>1</v>
      </c>
      <c r="D308" s="185"/>
      <c r="E308" s="185"/>
      <c r="F308" s="185"/>
      <c r="G308" s="185"/>
      <c r="H308" s="185"/>
      <c r="I308" s="185"/>
    </row>
    <row r="309" spans="1:9">
      <c r="A309" s="184" t="s">
        <v>2</v>
      </c>
      <c r="B309" s="184"/>
      <c r="C309" s="185" t="s">
        <v>75</v>
      </c>
      <c r="D309" s="185"/>
      <c r="E309" s="185"/>
      <c r="F309" s="185"/>
      <c r="G309" s="185"/>
      <c r="H309" s="185"/>
      <c r="I309" s="185"/>
    </row>
    <row r="310" spans="1:9">
      <c r="A310" s="184" t="s">
        <v>4</v>
      </c>
      <c r="B310" s="184"/>
      <c r="C310" s="185" t="s">
        <v>76</v>
      </c>
      <c r="D310" s="185"/>
      <c r="E310" s="185"/>
      <c r="F310" s="185"/>
      <c r="G310" s="185"/>
      <c r="H310" s="185"/>
      <c r="I310" s="185"/>
    </row>
    <row r="311" spans="1:9">
      <c r="A311" s="184" t="s">
        <v>6</v>
      </c>
      <c r="B311" s="184"/>
      <c r="C311" s="185" t="s">
        <v>77</v>
      </c>
      <c r="D311" s="185"/>
      <c r="E311" s="185"/>
      <c r="F311" s="185"/>
      <c r="G311" s="185"/>
      <c r="H311" s="185"/>
      <c r="I311" s="185"/>
    </row>
    <row r="312" spans="1:9">
      <c r="A312" s="217" t="s">
        <v>8</v>
      </c>
      <c r="B312" s="217"/>
      <c r="C312" s="217"/>
      <c r="D312" s="217" t="s">
        <v>9</v>
      </c>
      <c r="E312" s="222"/>
      <c r="F312" s="222"/>
      <c r="G312" s="222"/>
      <c r="H312" s="222"/>
      <c r="I312" s="90"/>
    </row>
    <row r="313" spans="1:9">
      <c r="A313" s="228"/>
      <c r="B313" s="228"/>
      <c r="C313" s="7" t="s">
        <v>58</v>
      </c>
      <c r="D313" s="7" t="s">
        <v>78</v>
      </c>
      <c r="E313" s="7" t="s">
        <v>79</v>
      </c>
      <c r="F313" s="7" t="s">
        <v>80</v>
      </c>
      <c r="G313" s="7" t="s">
        <v>81</v>
      </c>
      <c r="H313" s="7" t="s">
        <v>82</v>
      </c>
      <c r="I313" s="7" t="s">
        <v>83</v>
      </c>
    </row>
    <row r="314" spans="1:9" ht="25.5">
      <c r="A314" s="195" t="s">
        <v>84</v>
      </c>
      <c r="B314" s="195"/>
      <c r="C314" s="59" t="s">
        <v>85</v>
      </c>
      <c r="D314" s="228" t="s">
        <v>86</v>
      </c>
      <c r="E314" s="59" t="s">
        <v>87</v>
      </c>
      <c r="F314" s="59" t="s">
        <v>89</v>
      </c>
      <c r="G314" s="228" t="s">
        <v>91</v>
      </c>
      <c r="H314" s="228" t="s">
        <v>38</v>
      </c>
      <c r="I314" s="228" t="s">
        <v>92</v>
      </c>
    </row>
    <row r="315" spans="1:9" ht="14.25">
      <c r="A315" s="195"/>
      <c r="B315" s="195"/>
      <c r="C315" s="77" t="s">
        <v>37</v>
      </c>
      <c r="D315" s="218"/>
      <c r="E315" s="77" t="s">
        <v>88</v>
      </c>
      <c r="F315" s="77" t="s">
        <v>90</v>
      </c>
      <c r="G315" s="218"/>
      <c r="H315" s="218"/>
      <c r="I315" s="218"/>
    </row>
    <row r="316" spans="1:9">
      <c r="A316" s="196"/>
      <c r="B316" s="196"/>
      <c r="C316" s="77"/>
      <c r="D316" s="77" t="s">
        <v>39</v>
      </c>
      <c r="E316" s="77" t="s">
        <v>40</v>
      </c>
      <c r="F316" s="77" t="s">
        <v>41</v>
      </c>
      <c r="G316" s="77" t="s">
        <v>42</v>
      </c>
      <c r="H316" s="77"/>
      <c r="I316" s="77"/>
    </row>
    <row r="317" spans="1:9" ht="15.75">
      <c r="A317" s="196"/>
      <c r="B317" s="196"/>
      <c r="C317" s="8" t="s">
        <v>43</v>
      </c>
      <c r="D317" s="8" t="s">
        <v>44</v>
      </c>
      <c r="E317" s="8" t="s">
        <v>44</v>
      </c>
      <c r="F317" s="8" t="s">
        <v>44</v>
      </c>
      <c r="G317" s="8" t="s">
        <v>44</v>
      </c>
      <c r="H317" s="8" t="s">
        <v>45</v>
      </c>
      <c r="I317" s="8" t="s">
        <v>46</v>
      </c>
    </row>
    <row r="318" spans="1:9" ht="15" thickBot="1">
      <c r="A318" s="230"/>
      <c r="B318" s="230"/>
      <c r="C318" s="5" t="s">
        <v>93</v>
      </c>
      <c r="D318" s="5"/>
      <c r="E318" s="5"/>
      <c r="F318" s="5"/>
      <c r="G318" s="5"/>
      <c r="H318" s="5"/>
      <c r="I318" s="5" t="s">
        <v>94</v>
      </c>
    </row>
    <row r="319" spans="1:9" ht="13.5" thickTop="1">
      <c r="A319" s="227" t="s">
        <v>95</v>
      </c>
      <c r="B319" s="53" t="s">
        <v>203</v>
      </c>
      <c r="C319" s="91">
        <f>'4A_DOC'!$B$39*$L$23</f>
        <v>7.5667342417425019</v>
      </c>
      <c r="D319" s="92">
        <v>0.4</v>
      </c>
      <c r="E319" s="92">
        <v>0.38</v>
      </c>
      <c r="F319" s="34">
        <v>0</v>
      </c>
      <c r="G319" s="93">
        <v>0.57999999999999996</v>
      </c>
      <c r="H319" s="92">
        <f>44/12</f>
        <v>3.6666666666666665</v>
      </c>
      <c r="I319" s="53">
        <f>C319*D319*E319*F319*G319*H319</f>
        <v>0</v>
      </c>
    </row>
    <row r="320" spans="1:9">
      <c r="A320" s="227"/>
      <c r="B320" s="53" t="s">
        <v>204</v>
      </c>
      <c r="C320" s="91">
        <f>'4A_DOC'!$B$40*$L$23</f>
        <v>1.4645659738875003</v>
      </c>
      <c r="D320" s="92">
        <v>0.9</v>
      </c>
      <c r="E320" s="92">
        <v>0.46</v>
      </c>
      <c r="F320" s="34">
        <f>1/100</f>
        <v>0.01</v>
      </c>
      <c r="G320" s="93">
        <v>0.57999999999999996</v>
      </c>
      <c r="H320" s="92">
        <f t="shared" ref="H320:H327" si="20">44/12</f>
        <v>3.6666666666666665</v>
      </c>
      <c r="I320" s="53">
        <f t="shared" ref="I320:I327" si="21">C320*D320*E320*F320*G320*H320</f>
        <v>1.2894624660495109E-2</v>
      </c>
    </row>
    <row r="321" spans="1:9">
      <c r="A321" s="227"/>
      <c r="B321" s="53" t="s">
        <v>205</v>
      </c>
      <c r="C321" s="91">
        <f>'4A_DOC'!$B$41*$L$23</f>
        <v>0</v>
      </c>
      <c r="D321" s="92">
        <v>0.85</v>
      </c>
      <c r="E321" s="92">
        <v>0.5</v>
      </c>
      <c r="F321" s="34">
        <v>0</v>
      </c>
      <c r="G321" s="93">
        <v>0.57999999999999996</v>
      </c>
      <c r="H321" s="92">
        <f t="shared" si="20"/>
        <v>3.6666666666666665</v>
      </c>
      <c r="I321" s="53">
        <f t="shared" si="21"/>
        <v>0</v>
      </c>
    </row>
    <row r="322" spans="1:9">
      <c r="A322" s="227"/>
      <c r="B322" s="53" t="s">
        <v>47</v>
      </c>
      <c r="C322" s="91">
        <f>'4A_DOC'!$B$42*$L$23</f>
        <v>9.2318944657500041E-2</v>
      </c>
      <c r="D322" s="92">
        <v>0.8</v>
      </c>
      <c r="E322" s="92">
        <v>0.5</v>
      </c>
      <c r="F322" s="34">
        <f>20/100</f>
        <v>0.2</v>
      </c>
      <c r="G322" s="93">
        <v>0.57999999999999996</v>
      </c>
      <c r="H322" s="92">
        <f t="shared" si="20"/>
        <v>3.6666666666666665</v>
      </c>
      <c r="I322" s="53">
        <f t="shared" si="21"/>
        <v>1.5706529784396007E-2</v>
      </c>
    </row>
    <row r="323" spans="1:9">
      <c r="A323" s="227"/>
      <c r="B323" s="53" t="s">
        <v>206</v>
      </c>
      <c r="C323" s="91">
        <f>'4A_DOC'!$B$43*$L$23</f>
        <v>0</v>
      </c>
      <c r="D323" s="92">
        <v>0.84</v>
      </c>
      <c r="E323" s="92">
        <v>0.67</v>
      </c>
      <c r="F323" s="34">
        <f>20/100</f>
        <v>0.2</v>
      </c>
      <c r="G323" s="93">
        <v>0.57999999999999996</v>
      </c>
      <c r="H323" s="92">
        <f t="shared" si="20"/>
        <v>3.6666666666666665</v>
      </c>
      <c r="I323" s="53">
        <f t="shared" si="21"/>
        <v>0</v>
      </c>
    </row>
    <row r="324" spans="1:9">
      <c r="A324" s="227"/>
      <c r="B324" s="53" t="s">
        <v>207</v>
      </c>
      <c r="C324" s="91">
        <f>'4A_DOC'!$B$44*$L$23</f>
        <v>1.2206616015825005</v>
      </c>
      <c r="D324" s="92">
        <v>1</v>
      </c>
      <c r="E324" s="92">
        <v>0.75</v>
      </c>
      <c r="F324" s="34">
        <f>100/100</f>
        <v>1</v>
      </c>
      <c r="G324" s="93">
        <v>0.57999999999999996</v>
      </c>
      <c r="H324" s="92">
        <f t="shared" si="20"/>
        <v>3.6666666666666665</v>
      </c>
      <c r="I324" s="53">
        <f t="shared" si="21"/>
        <v>1.946955254524088</v>
      </c>
    </row>
    <row r="325" spans="1:9">
      <c r="A325" s="227"/>
      <c r="B325" s="53" t="s">
        <v>208</v>
      </c>
      <c r="C325" s="91">
        <f>'4A_DOC'!$B$45*$L$23</f>
        <v>0.20173399017750004</v>
      </c>
      <c r="D325" s="92">
        <v>1</v>
      </c>
      <c r="E325" s="92">
        <v>0</v>
      </c>
      <c r="F325" s="34">
        <v>0</v>
      </c>
      <c r="G325" s="93">
        <v>0.57999999999999996</v>
      </c>
      <c r="H325" s="92">
        <f t="shared" si="20"/>
        <v>3.6666666666666665</v>
      </c>
      <c r="I325" s="53">
        <f t="shared" si="21"/>
        <v>0</v>
      </c>
    </row>
    <row r="326" spans="1:9">
      <c r="A326" s="227"/>
      <c r="B326" s="53" t="s">
        <v>209</v>
      </c>
      <c r="C326" s="91">
        <f>'4A_DOC'!$B$46*$L$23</f>
        <v>0.15158542764750005</v>
      </c>
      <c r="D326" s="92">
        <v>1</v>
      </c>
      <c r="E326" s="92">
        <v>0</v>
      </c>
      <c r="F326" s="34">
        <v>0</v>
      </c>
      <c r="G326" s="93">
        <v>0.57999999999999996</v>
      </c>
      <c r="H326" s="92">
        <f t="shared" si="20"/>
        <v>3.6666666666666665</v>
      </c>
      <c r="I326" s="53">
        <f t="shared" si="21"/>
        <v>0</v>
      </c>
    </row>
    <row r="327" spans="1:9">
      <c r="A327" s="227"/>
      <c r="B327" s="53" t="s">
        <v>210</v>
      </c>
      <c r="C327" s="91">
        <f>'4A_DOC'!$B$47*$L$23</f>
        <v>0.70777857570750013</v>
      </c>
      <c r="D327" s="92">
        <v>0.9</v>
      </c>
      <c r="E327" s="92">
        <v>0</v>
      </c>
      <c r="F327" s="34">
        <v>0</v>
      </c>
      <c r="G327" s="93">
        <v>0.57999999999999996</v>
      </c>
      <c r="H327" s="92">
        <f t="shared" si="20"/>
        <v>3.6666666666666665</v>
      </c>
      <c r="I327" s="53">
        <f t="shared" si="21"/>
        <v>0</v>
      </c>
    </row>
    <row r="328" spans="1:9">
      <c r="A328" s="227" t="s">
        <v>48</v>
      </c>
      <c r="B328" s="227"/>
      <c r="C328" s="7"/>
      <c r="D328" s="53"/>
      <c r="E328" s="53"/>
      <c r="F328" s="53"/>
      <c r="G328" s="53"/>
      <c r="H328" s="53"/>
      <c r="I328" s="53"/>
    </row>
    <row r="329" spans="1:9">
      <c r="A329" s="186" t="s">
        <v>295</v>
      </c>
      <c r="B329" s="187"/>
      <c r="C329" s="187"/>
      <c r="D329" s="187"/>
      <c r="E329" s="187"/>
      <c r="F329" s="187"/>
      <c r="G329" s="187"/>
      <c r="H329" s="188"/>
      <c r="I329" s="95">
        <f>SUM(I319:I328)</f>
        <v>1.9755564089689792</v>
      </c>
    </row>
    <row r="330" spans="1:9">
      <c r="A330" s="223" t="s">
        <v>53</v>
      </c>
      <c r="B330" s="224"/>
      <c r="C330" s="224"/>
      <c r="D330" s="224"/>
      <c r="E330" s="224"/>
      <c r="F330" s="224"/>
      <c r="G330" s="224"/>
      <c r="H330" s="224"/>
      <c r="I330" s="224"/>
    </row>
    <row r="331" spans="1:9">
      <c r="A331" s="225" t="s">
        <v>54</v>
      </c>
      <c r="B331" s="226"/>
      <c r="C331" s="226"/>
      <c r="D331" s="226"/>
      <c r="E331" s="226"/>
      <c r="F331" s="226"/>
      <c r="G331" s="226"/>
      <c r="H331" s="226"/>
      <c r="I331" s="226"/>
    </row>
    <row r="332" spans="1:9">
      <c r="A332" s="225" t="s">
        <v>55</v>
      </c>
      <c r="B332" s="226"/>
      <c r="C332" s="226"/>
      <c r="D332" s="226"/>
      <c r="E332" s="226"/>
      <c r="F332" s="226"/>
      <c r="G332" s="226"/>
      <c r="H332" s="226"/>
      <c r="I332" s="226"/>
    </row>
    <row r="333" spans="1:9">
      <c r="A333" s="225" t="s">
        <v>96</v>
      </c>
      <c r="B333" s="226"/>
      <c r="C333" s="226"/>
      <c r="D333" s="226"/>
      <c r="E333" s="226"/>
      <c r="F333" s="226"/>
      <c r="G333" s="226"/>
      <c r="H333" s="226"/>
      <c r="I333" s="226"/>
    </row>
    <row r="334" spans="1:9">
      <c r="A334" s="225" t="s">
        <v>97</v>
      </c>
      <c r="B334" s="226"/>
      <c r="C334" s="226"/>
      <c r="D334" s="226"/>
      <c r="E334" s="226"/>
      <c r="F334" s="226"/>
      <c r="G334" s="226"/>
      <c r="H334" s="226"/>
      <c r="I334" s="226"/>
    </row>
    <row r="335" spans="1:9">
      <c r="A335" s="220" t="s">
        <v>200</v>
      </c>
      <c r="B335" s="221"/>
      <c r="C335" s="221"/>
      <c r="D335" s="221"/>
      <c r="E335" s="221"/>
      <c r="F335" s="221"/>
      <c r="G335" s="221"/>
      <c r="H335" s="221"/>
      <c r="I335" s="221"/>
    </row>
  </sheetData>
  <mergeCells count="289">
    <mergeCell ref="A331:I331"/>
    <mergeCell ref="A332:I332"/>
    <mergeCell ref="A333:I333"/>
    <mergeCell ref="A334:I334"/>
    <mergeCell ref="A335:I335"/>
    <mergeCell ref="A318:B318"/>
    <mergeCell ref="A319:A327"/>
    <mergeCell ref="A328:B328"/>
    <mergeCell ref="A329:H329"/>
    <mergeCell ref="A330:I330"/>
    <mergeCell ref="A314:B317"/>
    <mergeCell ref="D314:D315"/>
    <mergeCell ref="G314:G315"/>
    <mergeCell ref="H314:H315"/>
    <mergeCell ref="I314:I315"/>
    <mergeCell ref="A311:B311"/>
    <mergeCell ref="C311:I311"/>
    <mergeCell ref="A312:C312"/>
    <mergeCell ref="D312:H312"/>
    <mergeCell ref="A313:B313"/>
    <mergeCell ref="A308:B308"/>
    <mergeCell ref="C308:I308"/>
    <mergeCell ref="A309:B309"/>
    <mergeCell ref="C309:I309"/>
    <mergeCell ref="A310:B310"/>
    <mergeCell ref="C310:I310"/>
    <mergeCell ref="A301:I301"/>
    <mergeCell ref="A302:I302"/>
    <mergeCell ref="A303:I303"/>
    <mergeCell ref="A304:I304"/>
    <mergeCell ref="A305:I305"/>
    <mergeCell ref="A288:B288"/>
    <mergeCell ref="A289:A297"/>
    <mergeCell ref="A298:B298"/>
    <mergeCell ref="A299:H299"/>
    <mergeCell ref="A300:I300"/>
    <mergeCell ref="A284:B287"/>
    <mergeCell ref="D284:D285"/>
    <mergeCell ref="G284:G285"/>
    <mergeCell ref="H284:H285"/>
    <mergeCell ref="I284:I285"/>
    <mergeCell ref="A281:B281"/>
    <mergeCell ref="C281:I281"/>
    <mergeCell ref="A282:C282"/>
    <mergeCell ref="D282:H282"/>
    <mergeCell ref="A283:B283"/>
    <mergeCell ref="A278:B278"/>
    <mergeCell ref="C278:I278"/>
    <mergeCell ref="A279:B279"/>
    <mergeCell ref="C279:I279"/>
    <mergeCell ref="A280:B280"/>
    <mergeCell ref="C280:I280"/>
    <mergeCell ref="A271:I271"/>
    <mergeCell ref="A272:I272"/>
    <mergeCell ref="A273:I273"/>
    <mergeCell ref="A274:I274"/>
    <mergeCell ref="A275:I275"/>
    <mergeCell ref="A258:B258"/>
    <mergeCell ref="A259:A267"/>
    <mergeCell ref="A268:B268"/>
    <mergeCell ref="A269:H269"/>
    <mergeCell ref="A270:I270"/>
    <mergeCell ref="A254:B257"/>
    <mergeCell ref="D254:D255"/>
    <mergeCell ref="G254:G255"/>
    <mergeCell ref="H254:H255"/>
    <mergeCell ref="I254:I255"/>
    <mergeCell ref="A251:B251"/>
    <mergeCell ref="C251:I251"/>
    <mergeCell ref="A252:C252"/>
    <mergeCell ref="D252:H252"/>
    <mergeCell ref="A253:B253"/>
    <mergeCell ref="A248:B248"/>
    <mergeCell ref="C248:I248"/>
    <mergeCell ref="A249:B249"/>
    <mergeCell ref="C249:I249"/>
    <mergeCell ref="A250:B250"/>
    <mergeCell ref="C250:I250"/>
    <mergeCell ref="A241:I241"/>
    <mergeCell ref="A242:I242"/>
    <mergeCell ref="A243:I243"/>
    <mergeCell ref="A244:I244"/>
    <mergeCell ref="A245:I245"/>
    <mergeCell ref="A228:B228"/>
    <mergeCell ref="A229:A237"/>
    <mergeCell ref="A238:B238"/>
    <mergeCell ref="A239:H239"/>
    <mergeCell ref="A240:I240"/>
    <mergeCell ref="A224:B227"/>
    <mergeCell ref="D224:D225"/>
    <mergeCell ref="G224:G225"/>
    <mergeCell ref="H224:H225"/>
    <mergeCell ref="I224:I225"/>
    <mergeCell ref="A221:B221"/>
    <mergeCell ref="C221:I221"/>
    <mergeCell ref="A222:C222"/>
    <mergeCell ref="D222:H222"/>
    <mergeCell ref="A223:B223"/>
    <mergeCell ref="A218:B218"/>
    <mergeCell ref="C218:I218"/>
    <mergeCell ref="A219:B219"/>
    <mergeCell ref="C219:I219"/>
    <mergeCell ref="A220:B220"/>
    <mergeCell ref="C220:I220"/>
    <mergeCell ref="A211:I211"/>
    <mergeCell ref="A212:I212"/>
    <mergeCell ref="A213:I213"/>
    <mergeCell ref="A214:I214"/>
    <mergeCell ref="A215:I215"/>
    <mergeCell ref="A198:B198"/>
    <mergeCell ref="A199:A207"/>
    <mergeCell ref="A208:B208"/>
    <mergeCell ref="A209:H209"/>
    <mergeCell ref="A210:I210"/>
    <mergeCell ref="A194:B197"/>
    <mergeCell ref="D194:D195"/>
    <mergeCell ref="G194:G195"/>
    <mergeCell ref="H194:H195"/>
    <mergeCell ref="I194:I195"/>
    <mergeCell ref="A191:B191"/>
    <mergeCell ref="C191:I191"/>
    <mergeCell ref="A192:C192"/>
    <mergeCell ref="D192:H192"/>
    <mergeCell ref="A193:B193"/>
    <mergeCell ref="A188:B188"/>
    <mergeCell ref="C188:I188"/>
    <mergeCell ref="A189:B189"/>
    <mergeCell ref="C189:I189"/>
    <mergeCell ref="A190:B190"/>
    <mergeCell ref="C190:I190"/>
    <mergeCell ref="A181:I181"/>
    <mergeCell ref="A182:I182"/>
    <mergeCell ref="A183:I183"/>
    <mergeCell ref="A184:I184"/>
    <mergeCell ref="A185:I185"/>
    <mergeCell ref="A168:B168"/>
    <mergeCell ref="A169:A177"/>
    <mergeCell ref="A178:B178"/>
    <mergeCell ref="A179:H179"/>
    <mergeCell ref="A180:I180"/>
    <mergeCell ref="A164:B167"/>
    <mergeCell ref="D164:D165"/>
    <mergeCell ref="G164:G165"/>
    <mergeCell ref="H164:H165"/>
    <mergeCell ref="I164:I165"/>
    <mergeCell ref="A161:B161"/>
    <mergeCell ref="C161:I161"/>
    <mergeCell ref="A162:C162"/>
    <mergeCell ref="D162:H162"/>
    <mergeCell ref="A163:B163"/>
    <mergeCell ref="A158:B158"/>
    <mergeCell ref="C158:I158"/>
    <mergeCell ref="A159:B159"/>
    <mergeCell ref="C159:I159"/>
    <mergeCell ref="A160:B160"/>
    <mergeCell ref="C160:I160"/>
    <mergeCell ref="A151:I151"/>
    <mergeCell ref="A152:I152"/>
    <mergeCell ref="A153:I153"/>
    <mergeCell ref="A154:I154"/>
    <mergeCell ref="A155:I155"/>
    <mergeCell ref="A138:B138"/>
    <mergeCell ref="A139:A147"/>
    <mergeCell ref="A148:B148"/>
    <mergeCell ref="A149:H149"/>
    <mergeCell ref="A150:I150"/>
    <mergeCell ref="A134:B137"/>
    <mergeCell ref="D134:D135"/>
    <mergeCell ref="G134:G135"/>
    <mergeCell ref="H134:H135"/>
    <mergeCell ref="I134:I135"/>
    <mergeCell ref="A131:B131"/>
    <mergeCell ref="C131:I131"/>
    <mergeCell ref="A132:C132"/>
    <mergeCell ref="D132:H132"/>
    <mergeCell ref="A133:B133"/>
    <mergeCell ref="A128:B128"/>
    <mergeCell ref="C128:I128"/>
    <mergeCell ref="A129:B129"/>
    <mergeCell ref="C129:I129"/>
    <mergeCell ref="A130:B130"/>
    <mergeCell ref="C130:I130"/>
    <mergeCell ref="A120:I120"/>
    <mergeCell ref="A121:I121"/>
    <mergeCell ref="A122:I122"/>
    <mergeCell ref="A123:I123"/>
    <mergeCell ref="A124:I124"/>
    <mergeCell ref="A107:B107"/>
    <mergeCell ref="A108:A116"/>
    <mergeCell ref="A117:B117"/>
    <mergeCell ref="A118:H118"/>
    <mergeCell ref="A119:I119"/>
    <mergeCell ref="A103:B106"/>
    <mergeCell ref="D103:D104"/>
    <mergeCell ref="G103:G104"/>
    <mergeCell ref="H103:H104"/>
    <mergeCell ref="I103:I104"/>
    <mergeCell ref="A100:B100"/>
    <mergeCell ref="C100:I100"/>
    <mergeCell ref="A101:C101"/>
    <mergeCell ref="D101:H101"/>
    <mergeCell ref="A102:B102"/>
    <mergeCell ref="A97:B97"/>
    <mergeCell ref="C97:I97"/>
    <mergeCell ref="A98:B98"/>
    <mergeCell ref="C98:I98"/>
    <mergeCell ref="A99:B99"/>
    <mergeCell ref="C99:I99"/>
    <mergeCell ref="A89:I89"/>
    <mergeCell ref="A90:I90"/>
    <mergeCell ref="A91:I91"/>
    <mergeCell ref="A92:I92"/>
    <mergeCell ref="A93:I93"/>
    <mergeCell ref="A76:B76"/>
    <mergeCell ref="A77:A85"/>
    <mergeCell ref="A86:B86"/>
    <mergeCell ref="A87:H87"/>
    <mergeCell ref="A88:I88"/>
    <mergeCell ref="H72:H73"/>
    <mergeCell ref="I72:I73"/>
    <mergeCell ref="A72:B75"/>
    <mergeCell ref="D72:D73"/>
    <mergeCell ref="G72:G73"/>
    <mergeCell ref="A69:B69"/>
    <mergeCell ref="C69:I69"/>
    <mergeCell ref="A70:C70"/>
    <mergeCell ref="D70:H70"/>
    <mergeCell ref="A71:B71"/>
    <mergeCell ref="A66:B66"/>
    <mergeCell ref="C66:I66"/>
    <mergeCell ref="A67:B67"/>
    <mergeCell ref="C67:I67"/>
    <mergeCell ref="A68:B68"/>
    <mergeCell ref="C68:I68"/>
    <mergeCell ref="A59:I59"/>
    <mergeCell ref="A60:I60"/>
    <mergeCell ref="A61:I61"/>
    <mergeCell ref="A62:I62"/>
    <mergeCell ref="A63:I63"/>
    <mergeCell ref="A46:B46"/>
    <mergeCell ref="A47:A55"/>
    <mergeCell ref="A56:B56"/>
    <mergeCell ref="A57:H57"/>
    <mergeCell ref="A58:I58"/>
    <mergeCell ref="A42:B45"/>
    <mergeCell ref="D42:D43"/>
    <mergeCell ref="G42:G43"/>
    <mergeCell ref="H42:H43"/>
    <mergeCell ref="I42:I43"/>
    <mergeCell ref="A39:B39"/>
    <mergeCell ref="C39:I39"/>
    <mergeCell ref="A40:C40"/>
    <mergeCell ref="D40:H40"/>
    <mergeCell ref="A41:B41"/>
    <mergeCell ref="A36:B36"/>
    <mergeCell ref="C36:I36"/>
    <mergeCell ref="A37:B37"/>
    <mergeCell ref="C37:I37"/>
    <mergeCell ref="A38:B38"/>
    <mergeCell ref="C38:I38"/>
    <mergeCell ref="K8:K12"/>
    <mergeCell ref="L8:L12"/>
    <mergeCell ref="M8:M12"/>
    <mergeCell ref="A12:B12"/>
    <mergeCell ref="A22:B22"/>
    <mergeCell ref="A2:B2"/>
    <mergeCell ref="C2:I2"/>
    <mergeCell ref="A3:B3"/>
    <mergeCell ref="C3:I3"/>
    <mergeCell ref="C5:I5"/>
    <mergeCell ref="A4:B4"/>
    <mergeCell ref="C4:I4"/>
    <mergeCell ref="A5:B5"/>
    <mergeCell ref="A29:I29"/>
    <mergeCell ref="D6:H6"/>
    <mergeCell ref="A6:C6"/>
    <mergeCell ref="A8:B11"/>
    <mergeCell ref="A24:I24"/>
    <mergeCell ref="A25:I25"/>
    <mergeCell ref="A26:I26"/>
    <mergeCell ref="A27:I27"/>
    <mergeCell ref="A23:H23"/>
    <mergeCell ref="A13:A21"/>
    <mergeCell ref="A7:B7"/>
    <mergeCell ref="H8:H9"/>
    <mergeCell ref="I8:I9"/>
    <mergeCell ref="D8:D9"/>
    <mergeCell ref="A28:I28"/>
    <mergeCell ref="G8:G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C00000"/>
  </sheetPr>
  <dimension ref="A2:I34"/>
  <sheetViews>
    <sheetView topLeftCell="A5" zoomScaleNormal="100" workbookViewId="0">
      <selection activeCell="F17" sqref="F17"/>
    </sheetView>
  </sheetViews>
  <sheetFormatPr defaultRowHeight="12.75"/>
  <cols>
    <col min="1" max="1" width="24.140625" style="6" customWidth="1"/>
    <col min="2" max="2" width="24.85546875" style="6" customWidth="1"/>
    <col min="3" max="3" width="21.85546875" style="6" customWidth="1"/>
    <col min="4" max="4" width="19.42578125" style="6" customWidth="1"/>
    <col min="5" max="16384" width="9.140625" style="6"/>
  </cols>
  <sheetData>
    <row r="2" spans="1:9">
      <c r="A2" s="76" t="s">
        <v>0</v>
      </c>
      <c r="B2" s="185" t="s">
        <v>1</v>
      </c>
      <c r="C2" s="185"/>
      <c r="D2" s="185"/>
    </row>
    <row r="3" spans="1:9">
      <c r="A3" s="76" t="s">
        <v>2</v>
      </c>
      <c r="B3" s="185" t="s">
        <v>75</v>
      </c>
      <c r="C3" s="185"/>
      <c r="D3" s="185"/>
    </row>
    <row r="4" spans="1:9">
      <c r="A4" s="76" t="s">
        <v>4</v>
      </c>
      <c r="B4" s="185" t="s">
        <v>76</v>
      </c>
      <c r="C4" s="185"/>
      <c r="D4" s="185"/>
    </row>
    <row r="5" spans="1:9">
      <c r="A5" s="76" t="s">
        <v>6</v>
      </c>
      <c r="B5" s="185" t="s">
        <v>100</v>
      </c>
      <c r="C5" s="185"/>
      <c r="D5" s="185"/>
    </row>
    <row r="6" spans="1:9">
      <c r="A6" s="217"/>
      <c r="B6" s="217"/>
      <c r="C6" s="90"/>
      <c r="D6" s="90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195" t="s">
        <v>84</v>
      </c>
      <c r="B8" s="59" t="s">
        <v>107</v>
      </c>
      <c r="C8" s="59" t="s">
        <v>101</v>
      </c>
      <c r="D8" s="59" t="s">
        <v>98</v>
      </c>
    </row>
    <row r="9" spans="1:9" ht="30">
      <c r="A9" s="196"/>
      <c r="B9" s="8" t="s">
        <v>43</v>
      </c>
      <c r="C9" s="8" t="s">
        <v>102</v>
      </c>
      <c r="D9" s="8" t="s">
        <v>99</v>
      </c>
    </row>
    <row r="10" spans="1:9" ht="15" thickBot="1">
      <c r="A10" s="196"/>
      <c r="B10" s="78"/>
      <c r="C10" s="78"/>
      <c r="D10" s="5" t="s">
        <v>103</v>
      </c>
    </row>
    <row r="11" spans="1:9" ht="13.5" thickTop="1">
      <c r="A11" s="7">
        <f>'4B_N2O emission'!B12</f>
        <v>2000</v>
      </c>
      <c r="B11" s="104">
        <f>'4C1_Amount_Waste_OpenBurned'!G12</f>
        <v>8.1696410656299996</v>
      </c>
      <c r="C11" s="80">
        <f>$H$11</f>
        <v>6500</v>
      </c>
      <c r="D11" s="102">
        <f>B11*C11/(10^6)</f>
        <v>5.3102666926594995E-2</v>
      </c>
      <c r="E11" s="6" t="s">
        <v>250</v>
      </c>
      <c r="H11" s="6">
        <v>6500</v>
      </c>
      <c r="I11" s="6" t="s">
        <v>251</v>
      </c>
    </row>
    <row r="12" spans="1:9">
      <c r="A12" s="7">
        <f>'4B_N2O emission'!B13</f>
        <v>2001</v>
      </c>
      <c r="B12" s="105">
        <f>'4C1_Amount_Waste_OpenBurned'!G13</f>
        <v>8.3332153053599995</v>
      </c>
      <c r="C12" s="53">
        <f t="shared" ref="C12:C31" si="0">$H$11</f>
        <v>6500</v>
      </c>
      <c r="D12" s="92">
        <f t="shared" ref="D12:D31" si="1">B12*C12/(10^6)</f>
        <v>5.4165899484839998E-2</v>
      </c>
    </row>
    <row r="13" spans="1:9">
      <c r="A13" s="7">
        <f>'4B_N2O emission'!B14</f>
        <v>2002</v>
      </c>
      <c r="B13" s="105">
        <f>'4C1_Amount_Waste_OpenBurned'!G14</f>
        <v>8.523281647320001</v>
      </c>
      <c r="C13" s="53">
        <f t="shared" si="0"/>
        <v>6500</v>
      </c>
      <c r="D13" s="92">
        <f t="shared" si="1"/>
        <v>5.5401330707580007E-2</v>
      </c>
    </row>
    <row r="14" spans="1:9">
      <c r="A14" s="7">
        <f>'4B_N2O emission'!B15</f>
        <v>2003</v>
      </c>
      <c r="B14" s="105">
        <f>'4C1_Amount_Waste_OpenBurned'!G15</f>
        <v>8.7963022656299987</v>
      </c>
      <c r="C14" s="53">
        <f t="shared" si="0"/>
        <v>6500</v>
      </c>
      <c r="D14" s="92">
        <f t="shared" si="1"/>
        <v>5.7175964726594988E-2</v>
      </c>
    </row>
    <row r="15" spans="1:9">
      <c r="A15" s="7">
        <f>'4B_N2O emission'!B16</f>
        <v>2004</v>
      </c>
      <c r="B15" s="105">
        <f>'4C1_Amount_Waste_OpenBurned'!G16</f>
        <v>8.8985420404099997</v>
      </c>
      <c r="C15" s="53">
        <f t="shared" si="0"/>
        <v>6500</v>
      </c>
      <c r="D15" s="92">
        <f t="shared" si="1"/>
        <v>5.7840523262664999E-2</v>
      </c>
    </row>
    <row r="16" spans="1:9">
      <c r="A16" s="7">
        <f>'4B_N2O emission'!B17</f>
        <v>2005</v>
      </c>
      <c r="B16" s="105">
        <f>'4C1_Amount_Waste_OpenBurned'!G17</f>
        <v>9.1459008825800012</v>
      </c>
      <c r="C16" s="53">
        <f t="shared" si="0"/>
        <v>6500</v>
      </c>
      <c r="D16" s="92">
        <f t="shared" si="1"/>
        <v>5.9448355736770007E-2</v>
      </c>
    </row>
    <row r="17" spans="1:4">
      <c r="A17" s="7">
        <f>'4B_N2O emission'!B18</f>
        <v>2006</v>
      </c>
      <c r="B17" s="105">
        <f>'4C1_Amount_Waste_OpenBurned'!G18</f>
        <v>9.2513836290700002</v>
      </c>
      <c r="C17" s="53">
        <f t="shared" si="0"/>
        <v>6500</v>
      </c>
      <c r="D17" s="92">
        <f t="shared" si="1"/>
        <v>6.0133993588955006E-2</v>
      </c>
    </row>
    <row r="18" spans="1:4">
      <c r="A18" s="7">
        <f>'4B_N2O emission'!B19</f>
        <v>2007</v>
      </c>
      <c r="B18" s="105">
        <f>'4C1_Amount_Waste_OpenBurned'!G19</f>
        <v>9.3540933997500009</v>
      </c>
      <c r="C18" s="53">
        <f t="shared" si="0"/>
        <v>6500</v>
      </c>
      <c r="D18" s="92">
        <f t="shared" si="1"/>
        <v>6.0801607098375003E-2</v>
      </c>
    </row>
    <row r="19" spans="1:4">
      <c r="A19" s="7">
        <f>'4B_N2O emission'!B20</f>
        <v>2008</v>
      </c>
      <c r="B19" s="105">
        <f>'4C1_Amount_Waste_OpenBurned'!G20</f>
        <v>9.4530118701700001</v>
      </c>
      <c r="C19" s="53">
        <f t="shared" si="0"/>
        <v>6500</v>
      </c>
      <c r="D19" s="92">
        <f t="shared" si="1"/>
        <v>6.1444577156104997E-2</v>
      </c>
    </row>
    <row r="20" spans="1:4">
      <c r="A20" s="7">
        <f>'4B_N2O emission'!B21</f>
        <v>2009</v>
      </c>
      <c r="B20" s="105">
        <f>'4C1_Amount_Waste_OpenBurned'!G21</f>
        <v>9.5468700513999991</v>
      </c>
      <c r="C20" s="53">
        <f>$H$11</f>
        <v>6500</v>
      </c>
      <c r="D20" s="92">
        <f t="shared" si="1"/>
        <v>6.2054655334099998E-2</v>
      </c>
    </row>
    <row r="21" spans="1:4">
      <c r="A21" s="7">
        <f>'4B_N2O emission'!B22</f>
        <v>2010</v>
      </c>
      <c r="B21" s="105">
        <f>'4C1_Amount_Waste_OpenBurned'!G22</f>
        <v>11.397400575000002</v>
      </c>
      <c r="C21" s="53">
        <f t="shared" si="0"/>
        <v>6500</v>
      </c>
      <c r="D21" s="92">
        <f t="shared" si="1"/>
        <v>7.4083103737500017E-2</v>
      </c>
    </row>
    <row r="22" spans="1:4">
      <c r="A22" s="7">
        <f>'4B_N2O emission'!B23</f>
        <v>0</v>
      </c>
      <c r="B22" s="105">
        <f>'4C1_Amount_Waste_OpenBurned'!G23</f>
        <v>0</v>
      </c>
      <c r="C22" s="53">
        <f t="shared" si="0"/>
        <v>6500</v>
      </c>
      <c r="D22" s="92">
        <f t="shared" si="1"/>
        <v>0</v>
      </c>
    </row>
    <row r="23" spans="1:4">
      <c r="A23" s="7">
        <f>'4B_N2O emission'!B24</f>
        <v>0</v>
      </c>
      <c r="B23" s="105">
        <f>'4C1_Amount_Waste_OpenBurned'!G24</f>
        <v>0</v>
      </c>
      <c r="C23" s="53">
        <f t="shared" si="0"/>
        <v>6500</v>
      </c>
      <c r="D23" s="92">
        <f t="shared" si="1"/>
        <v>0</v>
      </c>
    </row>
    <row r="24" spans="1:4">
      <c r="A24" s="7">
        <f>'4B_N2O emission'!B25</f>
        <v>0</v>
      </c>
      <c r="B24" s="105">
        <f>'4C1_Amount_Waste_OpenBurned'!G25</f>
        <v>0</v>
      </c>
      <c r="C24" s="53">
        <f t="shared" si="0"/>
        <v>6500</v>
      </c>
      <c r="D24" s="92">
        <f t="shared" si="1"/>
        <v>0</v>
      </c>
    </row>
    <row r="25" spans="1:4">
      <c r="A25" s="7">
        <f>'4B_N2O emission'!B26</f>
        <v>0</v>
      </c>
      <c r="B25" s="105">
        <f>'4C1_Amount_Waste_OpenBurned'!G26</f>
        <v>0</v>
      </c>
      <c r="C25" s="53">
        <f t="shared" si="0"/>
        <v>6500</v>
      </c>
      <c r="D25" s="92">
        <f t="shared" si="1"/>
        <v>0</v>
      </c>
    </row>
    <row r="26" spans="1:4">
      <c r="A26" s="7">
        <f>'4B_N2O emission'!B27</f>
        <v>0</v>
      </c>
      <c r="B26" s="105">
        <f>'4C1_Amount_Waste_OpenBurned'!G27</f>
        <v>0</v>
      </c>
      <c r="C26" s="53">
        <f t="shared" si="0"/>
        <v>6500</v>
      </c>
      <c r="D26" s="92">
        <f t="shared" si="1"/>
        <v>0</v>
      </c>
    </row>
    <row r="27" spans="1:4">
      <c r="A27" s="7">
        <f>'4B_N2O emission'!B28</f>
        <v>0</v>
      </c>
      <c r="B27" s="105">
        <f>'4C1_Amount_Waste_OpenBurned'!G28</f>
        <v>0</v>
      </c>
      <c r="C27" s="53">
        <f t="shared" si="0"/>
        <v>6500</v>
      </c>
      <c r="D27" s="92">
        <f t="shared" si="1"/>
        <v>0</v>
      </c>
    </row>
    <row r="28" spans="1:4">
      <c r="A28" s="7">
        <f>'4B_N2O emission'!B29</f>
        <v>0</v>
      </c>
      <c r="B28" s="105">
        <f>'4C1_Amount_Waste_OpenBurned'!G29</f>
        <v>0</v>
      </c>
      <c r="C28" s="53">
        <f t="shared" si="0"/>
        <v>6500</v>
      </c>
      <c r="D28" s="92">
        <f t="shared" si="1"/>
        <v>0</v>
      </c>
    </row>
    <row r="29" spans="1:4">
      <c r="A29" s="7">
        <f>'4B_N2O emission'!B30</f>
        <v>0</v>
      </c>
      <c r="B29" s="105">
        <f>'4C1_Amount_Waste_OpenBurned'!G30</f>
        <v>0</v>
      </c>
      <c r="C29" s="53">
        <f t="shared" si="0"/>
        <v>6500</v>
      </c>
      <c r="D29" s="92">
        <f t="shared" si="1"/>
        <v>0</v>
      </c>
    </row>
    <row r="30" spans="1:4">
      <c r="A30" s="7">
        <f>'4B_N2O emission'!B31</f>
        <v>0</v>
      </c>
      <c r="B30" s="105">
        <f>'4C1_Amount_Waste_OpenBurned'!G31</f>
        <v>0</v>
      </c>
      <c r="C30" s="53">
        <f t="shared" si="0"/>
        <v>6500</v>
      </c>
      <c r="D30" s="92">
        <f t="shared" si="1"/>
        <v>0</v>
      </c>
    </row>
    <row r="31" spans="1:4">
      <c r="A31" s="7">
        <f>'4B_N2O emission'!B32</f>
        <v>0</v>
      </c>
      <c r="B31" s="106">
        <f>'4C1_Amount_Waste_OpenBurned'!G32</f>
        <v>0</v>
      </c>
      <c r="C31" s="55">
        <f t="shared" si="0"/>
        <v>6500</v>
      </c>
      <c r="D31" s="103">
        <f t="shared" si="1"/>
        <v>0</v>
      </c>
    </row>
    <row r="32" spans="1:4">
      <c r="A32" s="223" t="s">
        <v>104</v>
      </c>
      <c r="B32" s="224"/>
      <c r="C32" s="224"/>
      <c r="D32" s="224"/>
    </row>
    <row r="33" spans="1:4">
      <c r="A33" s="225" t="s">
        <v>105</v>
      </c>
      <c r="B33" s="226"/>
      <c r="C33" s="226"/>
      <c r="D33" s="226"/>
    </row>
    <row r="34" spans="1:4">
      <c r="A34" s="220" t="s">
        <v>106</v>
      </c>
      <c r="B34" s="221"/>
      <c r="C34" s="221"/>
      <c r="D34" s="221"/>
    </row>
  </sheetData>
  <mergeCells count="9">
    <mergeCell ref="A32:D32"/>
    <mergeCell ref="A33:D33"/>
    <mergeCell ref="A34:D34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C00000"/>
  </sheetPr>
  <dimension ref="A2:I35"/>
  <sheetViews>
    <sheetView topLeftCell="A2" zoomScaleNormal="100" workbookViewId="0">
      <selection activeCell="B12" sqref="B12"/>
    </sheetView>
  </sheetViews>
  <sheetFormatPr defaultRowHeight="12.75"/>
  <cols>
    <col min="1" max="1" width="28" style="6" customWidth="1"/>
    <col min="2" max="4" width="29.28515625" style="6" customWidth="1"/>
    <col min="5" max="6" width="9.140625" style="6"/>
    <col min="7" max="7" width="14.42578125" style="6" customWidth="1"/>
    <col min="8" max="16384" width="9.140625" style="6"/>
  </cols>
  <sheetData>
    <row r="2" spans="1:9" ht="14.25" customHeight="1">
      <c r="A2" s="76" t="s">
        <v>0</v>
      </c>
      <c r="B2" s="185" t="s">
        <v>1</v>
      </c>
      <c r="C2" s="185"/>
      <c r="D2" s="185"/>
    </row>
    <row r="3" spans="1:9" ht="14.25" customHeight="1">
      <c r="A3" s="76" t="s">
        <v>2</v>
      </c>
      <c r="B3" s="185" t="s">
        <v>75</v>
      </c>
      <c r="C3" s="185"/>
      <c r="D3" s="185"/>
    </row>
    <row r="4" spans="1:9" ht="14.25" customHeight="1">
      <c r="A4" s="76" t="s">
        <v>4</v>
      </c>
      <c r="B4" s="185" t="s">
        <v>76</v>
      </c>
      <c r="C4" s="185"/>
      <c r="D4" s="185"/>
    </row>
    <row r="5" spans="1:9" ht="14.25" customHeight="1">
      <c r="A5" s="76" t="s">
        <v>6</v>
      </c>
      <c r="B5" s="185" t="s">
        <v>111</v>
      </c>
      <c r="C5" s="185"/>
      <c r="D5" s="185"/>
    </row>
    <row r="6" spans="1:9">
      <c r="A6" s="217"/>
      <c r="B6" s="217"/>
      <c r="C6" s="90"/>
      <c r="D6" s="90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195" t="s">
        <v>84</v>
      </c>
      <c r="B8" s="59" t="s">
        <v>116</v>
      </c>
      <c r="C8" s="59" t="s">
        <v>108</v>
      </c>
      <c r="D8" s="59" t="s">
        <v>109</v>
      </c>
    </row>
    <row r="9" spans="1:9" ht="16.5" customHeight="1">
      <c r="A9" s="196"/>
      <c r="B9" s="8" t="s">
        <v>112</v>
      </c>
      <c r="C9" s="8" t="s">
        <v>113</v>
      </c>
      <c r="D9" s="8" t="s">
        <v>110</v>
      </c>
    </row>
    <row r="10" spans="1:9" ht="15" thickBot="1">
      <c r="A10" s="52"/>
      <c r="B10" s="78"/>
      <c r="C10" s="78"/>
      <c r="D10" s="5" t="s">
        <v>114</v>
      </c>
    </row>
    <row r="11" spans="1:9" ht="13.5" customHeight="1" thickTop="1">
      <c r="A11" s="54" t="s">
        <v>201</v>
      </c>
      <c r="E11" s="96" t="s">
        <v>253</v>
      </c>
      <c r="H11" s="6">
        <v>0.15</v>
      </c>
      <c r="I11" s="6" t="s">
        <v>252</v>
      </c>
    </row>
    <row r="12" spans="1:9" ht="13.5" customHeight="1">
      <c r="A12" s="8">
        <f>'4B_N2O emission'!B12</f>
        <v>2000</v>
      </c>
      <c r="B12" s="105">
        <f>'4C1_Amount_Waste_OpenBurned'!G12</f>
        <v>8.1696410656299996</v>
      </c>
      <c r="C12" s="53">
        <f>$H$11*1000</f>
        <v>150</v>
      </c>
      <c r="D12" s="107">
        <f>B12*C12/(10^6)</f>
        <v>1.2254461598445001E-3</v>
      </c>
    </row>
    <row r="13" spans="1:9" ht="13.5" customHeight="1">
      <c r="A13" s="8">
        <f>'4B_N2O emission'!B13</f>
        <v>2001</v>
      </c>
      <c r="B13" s="105">
        <f>'4C1_Amount_Waste_OpenBurned'!G13</f>
        <v>8.3332153053599995</v>
      </c>
      <c r="C13" s="53">
        <f t="shared" ref="C13:C32" si="0">$H$11*1000</f>
        <v>150</v>
      </c>
      <c r="D13" s="107">
        <f t="shared" ref="D13:D32" si="1">B13*C13/(10^6)</f>
        <v>1.249982295804E-3</v>
      </c>
    </row>
    <row r="14" spans="1:9" ht="13.5" customHeight="1">
      <c r="A14" s="8">
        <f>'4B_N2O emission'!B14</f>
        <v>2002</v>
      </c>
      <c r="B14" s="105">
        <f>'4C1_Amount_Waste_OpenBurned'!G14</f>
        <v>8.523281647320001</v>
      </c>
      <c r="C14" s="53">
        <f t="shared" si="0"/>
        <v>150</v>
      </c>
      <c r="D14" s="107">
        <f t="shared" si="1"/>
        <v>1.2784922470980003E-3</v>
      </c>
    </row>
    <row r="15" spans="1:9" ht="13.5" customHeight="1">
      <c r="A15" s="8">
        <f>'4B_N2O emission'!B15</f>
        <v>2003</v>
      </c>
      <c r="B15" s="105">
        <f>'4C1_Amount_Waste_OpenBurned'!G15</f>
        <v>8.7963022656299987</v>
      </c>
      <c r="C15" s="53">
        <f t="shared" si="0"/>
        <v>150</v>
      </c>
      <c r="D15" s="107">
        <f t="shared" si="1"/>
        <v>1.3194453398444998E-3</v>
      </c>
    </row>
    <row r="16" spans="1:9" ht="13.5" customHeight="1">
      <c r="A16" s="8">
        <f>'4B_N2O emission'!B16</f>
        <v>2004</v>
      </c>
      <c r="B16" s="105">
        <f>'4C1_Amount_Waste_OpenBurned'!G16</f>
        <v>8.8985420404099997</v>
      </c>
      <c r="C16" s="53">
        <f t="shared" si="0"/>
        <v>150</v>
      </c>
      <c r="D16" s="107">
        <f t="shared" si="1"/>
        <v>1.3347813060614999E-3</v>
      </c>
    </row>
    <row r="17" spans="1:4" ht="13.5" customHeight="1">
      <c r="A17" s="8">
        <f>'4B_N2O emission'!B17</f>
        <v>2005</v>
      </c>
      <c r="B17" s="105">
        <f>'4C1_Amount_Waste_OpenBurned'!G17</f>
        <v>9.1459008825800012</v>
      </c>
      <c r="C17" s="53">
        <f t="shared" si="0"/>
        <v>150</v>
      </c>
      <c r="D17" s="107">
        <f t="shared" si="1"/>
        <v>1.371885132387E-3</v>
      </c>
    </row>
    <row r="18" spans="1:4" ht="13.5" customHeight="1">
      <c r="A18" s="8">
        <f>'4B_N2O emission'!B18</f>
        <v>2006</v>
      </c>
      <c r="B18" s="105">
        <f>'4C1_Amount_Waste_OpenBurned'!G18</f>
        <v>9.2513836290700002</v>
      </c>
      <c r="C18" s="53">
        <f t="shared" si="0"/>
        <v>150</v>
      </c>
      <c r="D18" s="107">
        <f t="shared" si="1"/>
        <v>1.3877075443605E-3</v>
      </c>
    </row>
    <row r="19" spans="1:4" ht="13.5" customHeight="1">
      <c r="A19" s="8">
        <f>'4B_N2O emission'!B19</f>
        <v>2007</v>
      </c>
      <c r="B19" s="105">
        <f>'4C1_Amount_Waste_OpenBurned'!G19</f>
        <v>9.3540933997500009</v>
      </c>
      <c r="C19" s="53">
        <f t="shared" si="0"/>
        <v>150</v>
      </c>
      <c r="D19" s="107">
        <f t="shared" si="1"/>
        <v>1.4031140099625002E-3</v>
      </c>
    </row>
    <row r="20" spans="1:4" ht="13.5" customHeight="1">
      <c r="A20" s="8">
        <f>'4B_N2O emission'!B20</f>
        <v>2008</v>
      </c>
      <c r="B20" s="105">
        <f>'4C1_Amount_Waste_OpenBurned'!G20</f>
        <v>9.4530118701700001</v>
      </c>
      <c r="C20" s="53">
        <f t="shared" si="0"/>
        <v>150</v>
      </c>
      <c r="D20" s="107">
        <f t="shared" si="1"/>
        <v>1.4179517805254999E-3</v>
      </c>
    </row>
    <row r="21" spans="1:4" ht="13.5" customHeight="1">
      <c r="A21" s="8">
        <f>'4B_N2O emission'!B21</f>
        <v>2009</v>
      </c>
      <c r="B21" s="105">
        <f>'4C1_Amount_Waste_OpenBurned'!G21</f>
        <v>9.5468700513999991</v>
      </c>
      <c r="C21" s="53">
        <f t="shared" si="0"/>
        <v>150</v>
      </c>
      <c r="D21" s="107">
        <f t="shared" si="1"/>
        <v>1.4320305077099998E-3</v>
      </c>
    </row>
    <row r="22" spans="1:4" ht="13.5" customHeight="1">
      <c r="A22" s="8">
        <f>'4B_N2O emission'!B22</f>
        <v>2010</v>
      </c>
      <c r="B22" s="105">
        <f>'4C1_Amount_Waste_OpenBurned'!G22</f>
        <v>11.397400575000002</v>
      </c>
      <c r="C22" s="53">
        <f t="shared" si="0"/>
        <v>150</v>
      </c>
      <c r="D22" s="107">
        <f t="shared" si="1"/>
        <v>1.7096100862500005E-3</v>
      </c>
    </row>
    <row r="23" spans="1:4" ht="13.5" customHeight="1">
      <c r="A23" s="8">
        <f>'4B_N2O emission'!B23</f>
        <v>0</v>
      </c>
      <c r="B23" s="105">
        <f>'4C1_Amount_Waste_OpenBurned'!G23</f>
        <v>0</v>
      </c>
      <c r="C23" s="53">
        <f t="shared" si="0"/>
        <v>150</v>
      </c>
      <c r="D23" s="107">
        <f t="shared" si="1"/>
        <v>0</v>
      </c>
    </row>
    <row r="24" spans="1:4" ht="13.5" customHeight="1">
      <c r="A24" s="8">
        <f>'4B_N2O emission'!B24</f>
        <v>0</v>
      </c>
      <c r="B24" s="105">
        <f>'4C1_Amount_Waste_OpenBurned'!G24</f>
        <v>0</v>
      </c>
      <c r="C24" s="53">
        <f t="shared" si="0"/>
        <v>150</v>
      </c>
      <c r="D24" s="107">
        <f t="shared" si="1"/>
        <v>0</v>
      </c>
    </row>
    <row r="25" spans="1:4" ht="13.5" customHeight="1">
      <c r="A25" s="8">
        <f>'4B_N2O emission'!B25</f>
        <v>0</v>
      </c>
      <c r="B25" s="105">
        <f>'4C1_Amount_Waste_OpenBurned'!G25</f>
        <v>0</v>
      </c>
      <c r="C25" s="53">
        <f t="shared" si="0"/>
        <v>150</v>
      </c>
      <c r="D25" s="107">
        <f t="shared" si="1"/>
        <v>0</v>
      </c>
    </row>
    <row r="26" spans="1:4" ht="13.5" customHeight="1">
      <c r="A26" s="8">
        <f>'4B_N2O emission'!B26</f>
        <v>0</v>
      </c>
      <c r="B26" s="105">
        <f>'4C1_Amount_Waste_OpenBurned'!G26</f>
        <v>0</v>
      </c>
      <c r="C26" s="53">
        <f t="shared" si="0"/>
        <v>150</v>
      </c>
      <c r="D26" s="107">
        <f t="shared" si="1"/>
        <v>0</v>
      </c>
    </row>
    <row r="27" spans="1:4" ht="13.5" customHeight="1">
      <c r="A27" s="8">
        <f>'4B_N2O emission'!B27</f>
        <v>0</v>
      </c>
      <c r="B27" s="105">
        <f>'4C1_Amount_Waste_OpenBurned'!G27</f>
        <v>0</v>
      </c>
      <c r="C27" s="53">
        <f t="shared" si="0"/>
        <v>150</v>
      </c>
      <c r="D27" s="107">
        <f t="shared" si="1"/>
        <v>0</v>
      </c>
    </row>
    <row r="28" spans="1:4" ht="13.5" customHeight="1">
      <c r="A28" s="8">
        <f>'4B_N2O emission'!B28</f>
        <v>0</v>
      </c>
      <c r="B28" s="105">
        <f>'4C1_Amount_Waste_OpenBurned'!G28</f>
        <v>0</v>
      </c>
      <c r="C28" s="53">
        <f t="shared" si="0"/>
        <v>150</v>
      </c>
      <c r="D28" s="107">
        <f t="shared" si="1"/>
        <v>0</v>
      </c>
    </row>
    <row r="29" spans="1:4" ht="13.5" customHeight="1">
      <c r="A29" s="8">
        <f>'4B_N2O emission'!B29</f>
        <v>0</v>
      </c>
      <c r="B29" s="105">
        <f>'4C1_Amount_Waste_OpenBurned'!G29</f>
        <v>0</v>
      </c>
      <c r="C29" s="53">
        <f t="shared" si="0"/>
        <v>150</v>
      </c>
      <c r="D29" s="107">
        <f t="shared" si="1"/>
        <v>0</v>
      </c>
    </row>
    <row r="30" spans="1:4" ht="13.5" customHeight="1">
      <c r="A30" s="8">
        <f>'4B_N2O emission'!B30</f>
        <v>0</v>
      </c>
      <c r="B30" s="105">
        <f>'4C1_Amount_Waste_OpenBurned'!G30</f>
        <v>0</v>
      </c>
      <c r="C30" s="53">
        <f t="shared" si="0"/>
        <v>150</v>
      </c>
      <c r="D30" s="107">
        <f t="shared" si="1"/>
        <v>0</v>
      </c>
    </row>
    <row r="31" spans="1:4" ht="13.5" customHeight="1">
      <c r="A31" s="8">
        <f>'4B_N2O emission'!B31</f>
        <v>0</v>
      </c>
      <c r="B31" s="105">
        <f>'4C1_Amount_Waste_OpenBurned'!G31</f>
        <v>0</v>
      </c>
      <c r="C31" s="53">
        <f t="shared" si="0"/>
        <v>150</v>
      </c>
      <c r="D31" s="107">
        <f t="shared" si="1"/>
        <v>0</v>
      </c>
    </row>
    <row r="32" spans="1:4" ht="13.5" customHeight="1">
      <c r="A32" s="8">
        <f>'4B_N2O emission'!B32</f>
        <v>0</v>
      </c>
      <c r="B32" s="106">
        <f>'4C1_Amount_Waste_OpenBurned'!G32</f>
        <v>0</v>
      </c>
      <c r="C32" s="55">
        <f t="shared" si="0"/>
        <v>150</v>
      </c>
      <c r="D32" s="108">
        <f t="shared" si="1"/>
        <v>0</v>
      </c>
    </row>
    <row r="33" spans="1:4" ht="15" customHeight="1">
      <c r="A33" s="223" t="s">
        <v>104</v>
      </c>
      <c r="B33" s="224"/>
      <c r="C33" s="224"/>
      <c r="D33" s="224"/>
    </row>
    <row r="34" spans="1:4" ht="15" customHeight="1">
      <c r="A34" s="225" t="s">
        <v>115</v>
      </c>
      <c r="B34" s="226"/>
      <c r="C34" s="226"/>
      <c r="D34" s="226"/>
    </row>
    <row r="35" spans="1:4" ht="12.75" customHeight="1">
      <c r="A35" s="220" t="s">
        <v>106</v>
      </c>
      <c r="B35" s="221"/>
      <c r="C35" s="221"/>
      <c r="D35" s="221"/>
    </row>
  </sheetData>
  <mergeCells count="9">
    <mergeCell ref="A33:D33"/>
    <mergeCell ref="A34:D34"/>
    <mergeCell ref="A35:D35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9" tint="-0.249977111117893"/>
  </sheetPr>
  <dimension ref="A2:J34"/>
  <sheetViews>
    <sheetView topLeftCell="A6" zoomScaleNormal="100" workbookViewId="0">
      <selection activeCell="B12" sqref="B12"/>
    </sheetView>
  </sheetViews>
  <sheetFormatPr defaultRowHeight="12.75"/>
  <cols>
    <col min="1" max="1" width="25.28515625" style="6" customWidth="1"/>
    <col min="2" max="5" width="25.5703125" style="6" customWidth="1"/>
    <col min="6" max="7" width="9.140625" style="6"/>
    <col min="8" max="8" width="11.5703125" style="6" customWidth="1"/>
    <col min="9" max="16384" width="9.140625" style="6"/>
  </cols>
  <sheetData>
    <row r="2" spans="1:10" ht="14.25" customHeight="1">
      <c r="A2" s="109" t="s">
        <v>0</v>
      </c>
      <c r="B2" s="185" t="s">
        <v>1</v>
      </c>
      <c r="C2" s="185"/>
      <c r="D2" s="185"/>
      <c r="E2" s="185"/>
    </row>
    <row r="3" spans="1:10" ht="14.25" customHeight="1">
      <c r="A3" s="109" t="s">
        <v>2</v>
      </c>
      <c r="B3" s="185" t="s">
        <v>117</v>
      </c>
      <c r="C3" s="185"/>
      <c r="D3" s="185"/>
      <c r="E3" s="185"/>
    </row>
    <row r="4" spans="1:10" ht="14.25" customHeight="1">
      <c r="A4" s="109" t="s">
        <v>4</v>
      </c>
      <c r="B4" s="185" t="s">
        <v>118</v>
      </c>
      <c r="C4" s="185"/>
      <c r="D4" s="185"/>
      <c r="E4" s="185"/>
    </row>
    <row r="5" spans="1:10" ht="14.25" customHeight="1">
      <c r="A5" s="109" t="s">
        <v>6</v>
      </c>
      <c r="B5" s="185" t="s">
        <v>119</v>
      </c>
      <c r="C5" s="185"/>
      <c r="D5" s="185"/>
      <c r="E5" s="185"/>
    </row>
    <row r="6" spans="1:10">
      <c r="A6" s="217" t="s">
        <v>8</v>
      </c>
      <c r="B6" s="234"/>
      <c r="C6" s="234"/>
      <c r="D6" s="234"/>
      <c r="E6" s="234"/>
    </row>
    <row r="7" spans="1:10">
      <c r="A7" s="71"/>
      <c r="B7" s="59" t="s">
        <v>11</v>
      </c>
      <c r="C7" s="59" t="s">
        <v>12</v>
      </c>
      <c r="D7" s="59" t="s">
        <v>13</v>
      </c>
      <c r="E7" s="59" t="s">
        <v>14</v>
      </c>
    </row>
    <row r="8" spans="1:10" ht="28.5" customHeight="1">
      <c r="A8" s="185" t="s">
        <v>120</v>
      </c>
      <c r="B8" s="7" t="s">
        <v>59</v>
      </c>
      <c r="C8" s="7" t="s">
        <v>121</v>
      </c>
      <c r="D8" s="7" t="s">
        <v>122</v>
      </c>
      <c r="E8" s="7" t="s">
        <v>244</v>
      </c>
    </row>
    <row r="9" spans="1:10" ht="14.25">
      <c r="A9" s="233"/>
      <c r="B9" s="7" t="s">
        <v>124</v>
      </c>
      <c r="C9" s="7" t="s">
        <v>125</v>
      </c>
      <c r="D9" s="7" t="s">
        <v>126</v>
      </c>
      <c r="E9" s="7" t="s">
        <v>127</v>
      </c>
    </row>
    <row r="10" spans="1:10" ht="14.25">
      <c r="A10" s="233"/>
      <c r="B10" s="7" t="s">
        <v>128</v>
      </c>
      <c r="C10" s="7" t="s">
        <v>129</v>
      </c>
      <c r="D10" s="7"/>
      <c r="E10" s="7" t="s">
        <v>130</v>
      </c>
    </row>
    <row r="11" spans="1:10">
      <c r="A11" s="53"/>
      <c r="B11" s="53"/>
      <c r="C11" s="53"/>
      <c r="D11" s="53"/>
      <c r="E11" s="7" t="s">
        <v>131</v>
      </c>
    </row>
    <row r="12" spans="1:10">
      <c r="A12" s="7">
        <f>'4B_N2O emission'!B12</f>
        <v>2000</v>
      </c>
      <c r="B12" s="112">
        <f>'4C1_Amount_Waste_OpenBurned'!B12</f>
        <v>521471</v>
      </c>
      <c r="C12" s="55">
        <f>$I$12*365/1000</f>
        <v>14.6</v>
      </c>
      <c r="D12" s="110">
        <v>1</v>
      </c>
      <c r="E12" s="111">
        <f>B12*C12*D12</f>
        <v>7613476.5999999996</v>
      </c>
      <c r="F12" s="6" t="s">
        <v>254</v>
      </c>
      <c r="I12" s="6">
        <v>40</v>
      </c>
      <c r="J12" s="6" t="s">
        <v>255</v>
      </c>
    </row>
    <row r="13" spans="1:10">
      <c r="A13" s="7">
        <f>'4B_N2O emission'!B13</f>
        <v>2001</v>
      </c>
      <c r="B13" s="112">
        <f>'4C1_Amount_Waste_OpenBurned'!B13</f>
        <v>531912</v>
      </c>
      <c r="C13" s="55">
        <f t="shared" ref="C13:C32" si="0">$I$12*365/1000</f>
        <v>14.6</v>
      </c>
      <c r="D13" s="110">
        <v>1</v>
      </c>
      <c r="E13" s="111">
        <f t="shared" ref="E13:E32" si="1">B13*C13*D13</f>
        <v>7765915.2000000002</v>
      </c>
    </row>
    <row r="14" spans="1:10">
      <c r="A14" s="7">
        <f>'4B_N2O emission'!B14</f>
        <v>2002</v>
      </c>
      <c r="B14" s="112">
        <f>'4C1_Amount_Waste_OpenBurned'!B14</f>
        <v>544044</v>
      </c>
      <c r="C14" s="55">
        <f t="shared" si="0"/>
        <v>14.6</v>
      </c>
      <c r="D14" s="110">
        <v>1</v>
      </c>
      <c r="E14" s="111">
        <f t="shared" si="1"/>
        <v>7943042.3999999994</v>
      </c>
    </row>
    <row r="15" spans="1:10">
      <c r="A15" s="7">
        <f>'4B_N2O emission'!B15</f>
        <v>2003</v>
      </c>
      <c r="B15" s="112">
        <f>'4C1_Amount_Waste_OpenBurned'!B15</f>
        <v>561471</v>
      </c>
      <c r="C15" s="55">
        <f t="shared" si="0"/>
        <v>14.6</v>
      </c>
      <c r="D15" s="110">
        <v>1</v>
      </c>
      <c r="E15" s="111">
        <f t="shared" si="1"/>
        <v>8197476.5999999996</v>
      </c>
    </row>
    <row r="16" spans="1:10">
      <c r="A16" s="7">
        <f>'4B_N2O emission'!B16</f>
        <v>2004</v>
      </c>
      <c r="B16" s="112">
        <f>'4C1_Amount_Waste_OpenBurned'!B16</f>
        <v>567997</v>
      </c>
      <c r="C16" s="55">
        <f t="shared" si="0"/>
        <v>14.6</v>
      </c>
      <c r="D16" s="110">
        <v>1</v>
      </c>
      <c r="E16" s="111">
        <f t="shared" si="1"/>
        <v>8292756.2000000002</v>
      </c>
    </row>
    <row r="17" spans="1:5">
      <c r="A17" s="7">
        <f>'4B_N2O emission'!B17</f>
        <v>2005</v>
      </c>
      <c r="B17" s="112">
        <f>'4C1_Amount_Waste_OpenBurned'!B17</f>
        <v>583786</v>
      </c>
      <c r="C17" s="55">
        <f t="shared" si="0"/>
        <v>14.6</v>
      </c>
      <c r="D17" s="110">
        <v>1</v>
      </c>
      <c r="E17" s="111">
        <f t="shared" si="1"/>
        <v>8523275.5999999996</v>
      </c>
    </row>
    <row r="18" spans="1:5">
      <c r="A18" s="7">
        <f>'4B_N2O emission'!B18</f>
        <v>2006</v>
      </c>
      <c r="B18" s="112">
        <f>'4C1_Amount_Waste_OpenBurned'!B18</f>
        <v>590519</v>
      </c>
      <c r="C18" s="55">
        <f t="shared" si="0"/>
        <v>14.6</v>
      </c>
      <c r="D18" s="110">
        <v>1</v>
      </c>
      <c r="E18" s="111">
        <f t="shared" si="1"/>
        <v>8621577.4000000004</v>
      </c>
    </row>
    <row r="19" spans="1:5">
      <c r="A19" s="7">
        <f>'4B_N2O emission'!B19</f>
        <v>2007</v>
      </c>
      <c r="B19" s="112">
        <f>'4C1_Amount_Waste_OpenBurned'!B19</f>
        <v>597075</v>
      </c>
      <c r="C19" s="55">
        <f t="shared" si="0"/>
        <v>14.6</v>
      </c>
      <c r="D19" s="110">
        <v>1</v>
      </c>
      <c r="E19" s="111">
        <f t="shared" si="1"/>
        <v>8717295</v>
      </c>
    </row>
    <row r="20" spans="1:5">
      <c r="A20" s="7">
        <f>'4B_N2O emission'!B20</f>
        <v>2008</v>
      </c>
      <c r="B20" s="112">
        <f>'4C1_Amount_Waste_OpenBurned'!B20</f>
        <v>603389</v>
      </c>
      <c r="C20" s="55">
        <f t="shared" si="0"/>
        <v>14.6</v>
      </c>
      <c r="D20" s="110">
        <v>1</v>
      </c>
      <c r="E20" s="111">
        <f t="shared" si="1"/>
        <v>8809479.4000000004</v>
      </c>
    </row>
    <row r="21" spans="1:5">
      <c r="A21" s="7">
        <f>'4B_N2O emission'!B21</f>
        <v>2009</v>
      </c>
      <c r="B21" s="112">
        <f>'4C1_Amount_Waste_OpenBurned'!B21</f>
        <v>609380</v>
      </c>
      <c r="C21" s="55">
        <f t="shared" si="0"/>
        <v>14.6</v>
      </c>
      <c r="D21" s="110">
        <v>1</v>
      </c>
      <c r="E21" s="111">
        <f t="shared" si="1"/>
        <v>8896948</v>
      </c>
    </row>
    <row r="22" spans="1:5">
      <c r="A22" s="7">
        <f>'4B_N2O emission'!B22</f>
        <v>2010</v>
      </c>
      <c r="B22" s="112">
        <f>'4C1_Amount_Waste_OpenBurned'!B22</f>
        <v>727500</v>
      </c>
      <c r="C22" s="55">
        <f t="shared" si="0"/>
        <v>14.6</v>
      </c>
      <c r="D22" s="110">
        <v>1</v>
      </c>
      <c r="E22" s="111">
        <f t="shared" si="1"/>
        <v>10621500</v>
      </c>
    </row>
    <row r="23" spans="1:5">
      <c r="A23" s="7">
        <f>'4B_N2O emission'!B23</f>
        <v>0</v>
      </c>
      <c r="B23" s="112">
        <f>'4C1_Amount_Waste_OpenBurned'!B23</f>
        <v>0</v>
      </c>
      <c r="C23" s="55">
        <f t="shared" si="0"/>
        <v>14.6</v>
      </c>
      <c r="D23" s="110">
        <v>1</v>
      </c>
      <c r="E23" s="111">
        <f t="shared" si="1"/>
        <v>0</v>
      </c>
    </row>
    <row r="24" spans="1:5">
      <c r="A24" s="7">
        <f>'4B_N2O emission'!B24</f>
        <v>0</v>
      </c>
      <c r="B24" s="112">
        <f>'4C1_Amount_Waste_OpenBurned'!B24</f>
        <v>0</v>
      </c>
      <c r="C24" s="55">
        <f t="shared" si="0"/>
        <v>14.6</v>
      </c>
      <c r="D24" s="110">
        <v>1</v>
      </c>
      <c r="E24" s="111">
        <f t="shared" si="1"/>
        <v>0</v>
      </c>
    </row>
    <row r="25" spans="1:5">
      <c r="A25" s="7">
        <f>'4B_N2O emission'!B25</f>
        <v>0</v>
      </c>
      <c r="B25" s="112">
        <f>'4C1_Amount_Waste_OpenBurned'!B25</f>
        <v>0</v>
      </c>
      <c r="C25" s="55">
        <f t="shared" si="0"/>
        <v>14.6</v>
      </c>
      <c r="D25" s="110">
        <v>1</v>
      </c>
      <c r="E25" s="111">
        <f t="shared" si="1"/>
        <v>0</v>
      </c>
    </row>
    <row r="26" spans="1:5">
      <c r="A26" s="7">
        <f>'4B_N2O emission'!B26</f>
        <v>0</v>
      </c>
      <c r="B26" s="112">
        <f>'4C1_Amount_Waste_OpenBurned'!B26</f>
        <v>0</v>
      </c>
      <c r="C26" s="55">
        <f t="shared" si="0"/>
        <v>14.6</v>
      </c>
      <c r="D26" s="110">
        <v>1</v>
      </c>
      <c r="E26" s="111">
        <f t="shared" si="1"/>
        <v>0</v>
      </c>
    </row>
    <row r="27" spans="1:5">
      <c r="A27" s="7">
        <f>'4B_N2O emission'!B27</f>
        <v>0</v>
      </c>
      <c r="B27" s="112">
        <f>'4C1_Amount_Waste_OpenBurned'!B27</f>
        <v>0</v>
      </c>
      <c r="C27" s="55">
        <f t="shared" si="0"/>
        <v>14.6</v>
      </c>
      <c r="D27" s="110">
        <v>1</v>
      </c>
      <c r="E27" s="111">
        <f t="shared" si="1"/>
        <v>0</v>
      </c>
    </row>
    <row r="28" spans="1:5">
      <c r="A28" s="7">
        <f>'4B_N2O emission'!B28</f>
        <v>0</v>
      </c>
      <c r="B28" s="112">
        <f>'4C1_Amount_Waste_OpenBurned'!B28</f>
        <v>0</v>
      </c>
      <c r="C28" s="55">
        <f t="shared" si="0"/>
        <v>14.6</v>
      </c>
      <c r="D28" s="110">
        <v>1</v>
      </c>
      <c r="E28" s="111">
        <f t="shared" si="1"/>
        <v>0</v>
      </c>
    </row>
    <row r="29" spans="1:5">
      <c r="A29" s="7">
        <f>'4B_N2O emission'!B29</f>
        <v>0</v>
      </c>
      <c r="B29" s="112">
        <f>'4C1_Amount_Waste_OpenBurned'!B29</f>
        <v>0</v>
      </c>
      <c r="C29" s="55">
        <f t="shared" si="0"/>
        <v>14.6</v>
      </c>
      <c r="D29" s="110">
        <v>1</v>
      </c>
      <c r="E29" s="111">
        <f t="shared" si="1"/>
        <v>0</v>
      </c>
    </row>
    <row r="30" spans="1:5">
      <c r="A30" s="7">
        <f>'4B_N2O emission'!B30</f>
        <v>0</v>
      </c>
      <c r="B30" s="112">
        <f>'4C1_Amount_Waste_OpenBurned'!B30</f>
        <v>0</v>
      </c>
      <c r="C30" s="55">
        <f t="shared" si="0"/>
        <v>14.6</v>
      </c>
      <c r="D30" s="110">
        <v>1</v>
      </c>
      <c r="E30" s="111">
        <f t="shared" si="1"/>
        <v>0</v>
      </c>
    </row>
    <row r="31" spans="1:5">
      <c r="A31" s="7">
        <f>'4B_N2O emission'!B31</f>
        <v>0</v>
      </c>
      <c r="B31" s="112">
        <f>'4C1_Amount_Waste_OpenBurned'!B31</f>
        <v>0</v>
      </c>
      <c r="C31" s="55">
        <f t="shared" si="0"/>
        <v>14.6</v>
      </c>
      <c r="D31" s="110">
        <v>1</v>
      </c>
      <c r="E31" s="111">
        <f t="shared" si="1"/>
        <v>0</v>
      </c>
    </row>
    <row r="32" spans="1:5">
      <c r="A32" s="7">
        <f>'4B_N2O emission'!B32</f>
        <v>0</v>
      </c>
      <c r="B32" s="112">
        <f>'4C1_Amount_Waste_OpenBurned'!B32</f>
        <v>0</v>
      </c>
      <c r="C32" s="55">
        <f t="shared" si="0"/>
        <v>14.6</v>
      </c>
      <c r="D32" s="110">
        <v>1</v>
      </c>
      <c r="E32" s="111">
        <f t="shared" si="1"/>
        <v>0</v>
      </c>
    </row>
    <row r="33" spans="1:5">
      <c r="A33" s="223" t="s">
        <v>132</v>
      </c>
      <c r="B33" s="231"/>
      <c r="C33" s="231"/>
      <c r="D33" s="231"/>
      <c r="E33" s="231"/>
    </row>
    <row r="34" spans="1:5" ht="12" customHeight="1">
      <c r="A34" s="220" t="s">
        <v>133</v>
      </c>
      <c r="B34" s="232"/>
      <c r="C34" s="232"/>
      <c r="D34" s="232"/>
      <c r="E34" s="232"/>
    </row>
  </sheetData>
  <mergeCells count="8">
    <mergeCell ref="B2:E2"/>
    <mergeCell ref="B3:E3"/>
    <mergeCell ref="A33:E33"/>
    <mergeCell ref="A34:E34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9" tint="-0.249977111117893"/>
  </sheetPr>
  <dimension ref="A2:D26"/>
  <sheetViews>
    <sheetView topLeftCell="A7" zoomScaleNormal="100" workbookViewId="0">
      <selection activeCell="F12" sqref="F12"/>
    </sheetView>
  </sheetViews>
  <sheetFormatPr defaultRowHeight="12.75"/>
  <cols>
    <col min="1" max="1" width="45.140625" style="6" customWidth="1"/>
    <col min="2" max="4" width="25.7109375" style="6" customWidth="1"/>
    <col min="5" max="16384" width="9.140625" style="6"/>
  </cols>
  <sheetData>
    <row r="2" spans="1:4" ht="14.25" customHeight="1">
      <c r="A2" s="109" t="s">
        <v>0</v>
      </c>
      <c r="B2" s="185" t="s">
        <v>1</v>
      </c>
      <c r="C2" s="233"/>
      <c r="D2" s="233"/>
    </row>
    <row r="3" spans="1:4" ht="14.25" customHeight="1">
      <c r="A3" s="109" t="s">
        <v>2</v>
      </c>
      <c r="B3" s="185" t="s">
        <v>117</v>
      </c>
      <c r="C3" s="233"/>
      <c r="D3" s="233"/>
    </row>
    <row r="4" spans="1:4" ht="14.25" customHeight="1">
      <c r="A4" s="109" t="s">
        <v>4</v>
      </c>
      <c r="B4" s="185" t="s">
        <v>118</v>
      </c>
      <c r="C4" s="233"/>
      <c r="D4" s="233"/>
    </row>
    <row r="5" spans="1:4" ht="14.25" customHeight="1">
      <c r="A5" s="109" t="s">
        <v>6</v>
      </c>
      <c r="B5" s="185" t="s">
        <v>134</v>
      </c>
      <c r="C5" s="233"/>
      <c r="D5" s="233"/>
    </row>
    <row r="6" spans="1:4">
      <c r="A6" s="217" t="s">
        <v>9</v>
      </c>
      <c r="B6" s="234"/>
      <c r="C6" s="234"/>
      <c r="D6" s="234"/>
    </row>
    <row r="7" spans="1:4">
      <c r="A7" s="59"/>
      <c r="B7" s="7" t="s">
        <v>11</v>
      </c>
      <c r="C7" s="7" t="s">
        <v>12</v>
      </c>
      <c r="D7" s="7" t="s">
        <v>13</v>
      </c>
    </row>
    <row r="8" spans="1:4" ht="25.5">
      <c r="A8" s="195" t="s">
        <v>144</v>
      </c>
      <c r="B8" s="59" t="s">
        <v>135</v>
      </c>
      <c r="C8" s="59" t="s">
        <v>136</v>
      </c>
      <c r="D8" s="59" t="s">
        <v>137</v>
      </c>
    </row>
    <row r="9" spans="1:4" ht="15.75">
      <c r="A9" s="196"/>
      <c r="B9" s="77" t="s">
        <v>138</v>
      </c>
      <c r="C9" s="77" t="s">
        <v>139</v>
      </c>
      <c r="D9" s="77" t="s">
        <v>140</v>
      </c>
    </row>
    <row r="10" spans="1:4" ht="15.75">
      <c r="A10" s="196"/>
      <c r="B10" s="8" t="s">
        <v>141</v>
      </c>
      <c r="C10" s="8"/>
      <c r="D10" s="8" t="s">
        <v>142</v>
      </c>
    </row>
    <row r="11" spans="1:4" ht="13.5" thickBot="1">
      <c r="A11" s="197"/>
      <c r="B11" s="5"/>
      <c r="C11" s="5"/>
      <c r="D11" s="5" t="s">
        <v>143</v>
      </c>
    </row>
    <row r="12" spans="1:4" ht="14.25" customHeight="1" thickTop="1">
      <c r="A12" s="238" t="s">
        <v>215</v>
      </c>
      <c r="B12" s="239"/>
      <c r="C12" s="239"/>
      <c r="D12" s="240"/>
    </row>
    <row r="13" spans="1:4">
      <c r="A13" s="113" t="s">
        <v>212</v>
      </c>
      <c r="B13" s="53">
        <v>0.6</v>
      </c>
      <c r="C13" s="114">
        <v>0.1</v>
      </c>
      <c r="D13" s="53">
        <f>B13*C13</f>
        <v>0.06</v>
      </c>
    </row>
    <row r="14" spans="1:4">
      <c r="A14" s="53" t="s">
        <v>213</v>
      </c>
      <c r="B14" s="53">
        <v>0.6</v>
      </c>
      <c r="C14" s="53">
        <v>0.5</v>
      </c>
      <c r="D14" s="53">
        <f>B14*C14</f>
        <v>0.3</v>
      </c>
    </row>
    <row r="15" spans="1:4" ht="13.5" customHeight="1">
      <c r="A15" s="53" t="s">
        <v>214</v>
      </c>
      <c r="B15" s="53">
        <v>0.6</v>
      </c>
      <c r="C15" s="53">
        <v>0</v>
      </c>
      <c r="D15" s="53">
        <f>B15*C15</f>
        <v>0</v>
      </c>
    </row>
    <row r="16" spans="1:4">
      <c r="A16" s="235" t="s">
        <v>211</v>
      </c>
      <c r="B16" s="236"/>
      <c r="C16" s="236"/>
      <c r="D16" s="237"/>
    </row>
    <row r="17" spans="1:4" ht="12.75" customHeight="1">
      <c r="A17" s="53" t="s">
        <v>216</v>
      </c>
      <c r="B17" s="53">
        <v>0.6</v>
      </c>
      <c r="C17" s="53">
        <v>0</v>
      </c>
      <c r="D17" s="53">
        <f>B17*C17</f>
        <v>0</v>
      </c>
    </row>
    <row r="18" spans="1:4" ht="23.25" customHeight="1">
      <c r="A18" s="53" t="s">
        <v>217</v>
      </c>
      <c r="B18" s="53">
        <v>0.6</v>
      </c>
      <c r="C18" s="53">
        <v>0.3</v>
      </c>
      <c r="D18" s="53">
        <f t="shared" ref="D18:D26" si="0">B18*C18</f>
        <v>0.18</v>
      </c>
    </row>
    <row r="19" spans="1:4">
      <c r="A19" s="53" t="s">
        <v>218</v>
      </c>
      <c r="B19" s="53">
        <v>0.6</v>
      </c>
      <c r="C19" s="53">
        <v>0.8</v>
      </c>
      <c r="D19" s="53">
        <f t="shared" si="0"/>
        <v>0.48</v>
      </c>
    </row>
    <row r="20" spans="1:4">
      <c r="A20" s="53" t="s">
        <v>219</v>
      </c>
      <c r="B20" s="53">
        <v>0.6</v>
      </c>
      <c r="C20" s="53">
        <v>0.8</v>
      </c>
      <c r="D20" s="53">
        <f t="shared" si="0"/>
        <v>0.48</v>
      </c>
    </row>
    <row r="21" spans="1:4">
      <c r="A21" s="53" t="s">
        <v>220</v>
      </c>
      <c r="B21" s="53">
        <v>0.6</v>
      </c>
      <c r="C21" s="53">
        <v>0.2</v>
      </c>
      <c r="D21" s="53">
        <f t="shared" si="0"/>
        <v>0.12</v>
      </c>
    </row>
    <row r="22" spans="1:4">
      <c r="A22" s="53" t="s">
        <v>221</v>
      </c>
      <c r="B22" s="53">
        <v>0.6</v>
      </c>
      <c r="C22" s="53">
        <v>0.5</v>
      </c>
      <c r="D22" s="53">
        <f t="shared" si="0"/>
        <v>0.3</v>
      </c>
    </row>
    <row r="23" spans="1:4" ht="28.15" customHeight="1">
      <c r="A23" s="53" t="s">
        <v>245</v>
      </c>
      <c r="B23" s="53">
        <v>0.6</v>
      </c>
      <c r="C23" s="53">
        <v>0.1</v>
      </c>
      <c r="D23" s="53">
        <f t="shared" si="0"/>
        <v>0.06</v>
      </c>
    </row>
    <row r="24" spans="1:4" ht="25.5">
      <c r="A24" s="53" t="s">
        <v>222</v>
      </c>
      <c r="B24" s="53">
        <v>0.6</v>
      </c>
      <c r="C24" s="53">
        <v>0.5</v>
      </c>
      <c r="D24" s="53">
        <f t="shared" si="0"/>
        <v>0.3</v>
      </c>
    </row>
    <row r="25" spans="1:4" ht="29.45" customHeight="1">
      <c r="A25" s="53" t="s">
        <v>223</v>
      </c>
      <c r="B25" s="53">
        <v>0.6</v>
      </c>
      <c r="C25" s="53">
        <v>0.7</v>
      </c>
      <c r="D25" s="53">
        <f t="shared" si="0"/>
        <v>0.42</v>
      </c>
    </row>
    <row r="26" spans="1:4" ht="16.149999999999999" customHeight="1">
      <c r="A26" s="53" t="s">
        <v>224</v>
      </c>
      <c r="B26" s="53">
        <v>0.6</v>
      </c>
      <c r="C26" s="53">
        <v>0.1</v>
      </c>
      <c r="D26" s="53">
        <f t="shared" si="0"/>
        <v>0.06</v>
      </c>
    </row>
  </sheetData>
  <mergeCells count="8">
    <mergeCell ref="A16:D16"/>
    <mergeCell ref="A6:D6"/>
    <mergeCell ref="A8:A11"/>
    <mergeCell ref="B2:D2"/>
    <mergeCell ref="B3:D3"/>
    <mergeCell ref="B4:D4"/>
    <mergeCell ref="B5:D5"/>
    <mergeCell ref="A12:D12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4A_DOC</vt:lpstr>
      <vt:lpstr>4B_CH4 emissions</vt:lpstr>
      <vt:lpstr>4B_N2O emission</vt:lpstr>
      <vt:lpstr>4C1_Amount_Waste_OpenBurned</vt:lpstr>
      <vt:lpstr>4C2_CO2_OpenBurning</vt:lpstr>
      <vt:lpstr>4C2_CH4_OpenBurning</vt:lpstr>
      <vt:lpstr>4C2_N2O_OpenBurning</vt:lpstr>
      <vt:lpstr>4D1_TOW_DomesticWastewater</vt:lpstr>
      <vt:lpstr>4D1_CH4_EF_DomesticWastewater</vt:lpstr>
      <vt:lpstr>4D1_CH4_Domestic_Wastewater</vt:lpstr>
      <vt:lpstr>4D1_N_effluent</vt:lpstr>
      <vt:lpstr>4D1_Indirect_N2O</vt:lpstr>
      <vt:lpstr>REKAPITULASI</vt:lpstr>
      <vt:lpstr>'4B_N2O emission'!Print_Area</vt:lpstr>
      <vt:lpstr>'4C1_Amount_Waste_OpenBurned'!Print_Area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2008-12-22T09:51:13Z</cp:lastPrinted>
  <dcterms:created xsi:type="dcterms:W3CDTF">2007-03-22T01:36:09Z</dcterms:created>
  <dcterms:modified xsi:type="dcterms:W3CDTF">2017-09-14T06:26:57Z</dcterms:modified>
</cp:coreProperties>
</file>