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Mitigasi_2010-2030_IW\2_Kaltim\"/>
    </mc:Choice>
  </mc:AlternateContent>
  <bookViews>
    <workbookView xWindow="0" yWindow="0" windowWidth="20490" windowHeight="7755" tabRatio="820" firstSheet="1" activeTab="7"/>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C25" i="6" l="1"/>
  <c r="C26" i="6"/>
  <c r="C27" i="6"/>
  <c r="C28" i="6"/>
  <c r="C29" i="6"/>
  <c r="C30" i="6"/>
  <c r="C31" i="6"/>
  <c r="C32" i="6"/>
  <c r="C33" i="6"/>
  <c r="C34" i="6"/>
  <c r="C35" i="6"/>
  <c r="C36" i="6"/>
  <c r="C37" i="6"/>
  <c r="C38" i="6"/>
  <c r="C39" i="6"/>
  <c r="C40" i="6"/>
  <c r="C41" i="6"/>
  <c r="C42" i="6"/>
  <c r="C43" i="6"/>
  <c r="C24" i="6"/>
  <c r="C29" i="28" l="1"/>
  <c r="C30" i="28"/>
  <c r="C31" i="28"/>
  <c r="C32" i="28"/>
  <c r="C33" i="28"/>
  <c r="C34" i="28"/>
  <c r="C35" i="28"/>
  <c r="C36" i="28"/>
  <c r="C37" i="28"/>
  <c r="C38" i="28"/>
  <c r="C39" i="28"/>
  <c r="C40" i="28"/>
  <c r="C41" i="28"/>
  <c r="C42" i="28"/>
  <c r="R18" i="8" l="1"/>
  <c r="E21" i="6" l="1"/>
  <c r="S33" i="8"/>
  <c r="C13" i="8"/>
  <c r="E25" i="4" l="1"/>
  <c r="E24" i="4"/>
  <c r="E23" i="4"/>
  <c r="E22" i="4"/>
  <c r="E21" i="4"/>
  <c r="E20" i="4"/>
  <c r="E19" i="4"/>
  <c r="E18" i="4"/>
  <c r="E17" i="4"/>
  <c r="E16" i="4"/>
  <c r="E15" i="4"/>
  <c r="O8" i="6" l="1"/>
  <c r="N8" i="6"/>
  <c r="M8" i="6"/>
  <c r="L8" i="6"/>
  <c r="K8" i="6"/>
  <c r="J8" i="6"/>
  <c r="I8" i="6"/>
  <c r="F8" i="6"/>
  <c r="E8" i="6"/>
  <c r="C116" i="4" l="1"/>
  <c r="E116" i="4" s="1"/>
  <c r="C115" i="4"/>
  <c r="E115" i="4" s="1"/>
  <c r="C114" i="4"/>
  <c r="E114" i="4" s="1"/>
  <c r="C113" i="4"/>
  <c r="E113" i="4" s="1"/>
  <c r="E112" i="4"/>
  <c r="C111" i="4"/>
  <c r="E111" i="4" s="1"/>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3" i="38"/>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B19" i="39"/>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S98" i="8" s="1"/>
  <c r="M98" i="8"/>
  <c r="I97" i="8"/>
  <c r="J97" i="8"/>
  <c r="K97" i="8"/>
  <c r="L97" i="8"/>
  <c r="M97" i="8"/>
  <c r="S97" i="8"/>
  <c r="I96" i="8"/>
  <c r="J96" i="8"/>
  <c r="K96" i="8"/>
  <c r="L96" i="8"/>
  <c r="S96" i="8" s="1"/>
  <c r="M96" i="8"/>
  <c r="I95" i="8"/>
  <c r="J95" i="8"/>
  <c r="K95" i="8"/>
  <c r="L95" i="8"/>
  <c r="M95" i="8"/>
  <c r="S95" i="8"/>
  <c r="I94" i="8"/>
  <c r="J94" i="8"/>
  <c r="K94" i="8"/>
  <c r="L94" i="8"/>
  <c r="S94" i="8" s="1"/>
  <c r="M94" i="8"/>
  <c r="I93" i="8"/>
  <c r="J93" i="8"/>
  <c r="K93" i="8"/>
  <c r="L93" i="8"/>
  <c r="M93" i="8"/>
  <c r="S93" i="8"/>
  <c r="I92" i="8"/>
  <c r="J92" i="8"/>
  <c r="K92" i="8"/>
  <c r="L92" i="8"/>
  <c r="S92" i="8" s="1"/>
  <c r="M92" i="8"/>
  <c r="I91" i="8"/>
  <c r="J91" i="8"/>
  <c r="K91" i="8"/>
  <c r="L91" i="8"/>
  <c r="M91" i="8"/>
  <c r="S91" i="8"/>
  <c r="I90" i="8"/>
  <c r="J90" i="8"/>
  <c r="K90" i="8"/>
  <c r="L90" i="8"/>
  <c r="S90" i="8" s="1"/>
  <c r="M90" i="8"/>
  <c r="I89" i="8"/>
  <c r="J89" i="8"/>
  <c r="K89" i="8"/>
  <c r="L89" i="8"/>
  <c r="M89" i="8"/>
  <c r="S89" i="8"/>
  <c r="I88" i="8"/>
  <c r="J88" i="8"/>
  <c r="K88" i="8"/>
  <c r="L88" i="8"/>
  <c r="S88" i="8" s="1"/>
  <c r="M88" i="8"/>
  <c r="I87" i="8"/>
  <c r="J87" i="8"/>
  <c r="K87" i="8"/>
  <c r="L87" i="8"/>
  <c r="M87" i="8"/>
  <c r="S87" i="8"/>
  <c r="I86" i="8"/>
  <c r="J86" i="8"/>
  <c r="K86" i="8"/>
  <c r="L86" i="8"/>
  <c r="S86" i="8" s="1"/>
  <c r="M86" i="8"/>
  <c r="I85" i="8"/>
  <c r="J85" i="8"/>
  <c r="K85" i="8"/>
  <c r="L85" i="8"/>
  <c r="M85" i="8"/>
  <c r="S85" i="8"/>
  <c r="I84" i="8"/>
  <c r="J84" i="8"/>
  <c r="K84" i="8"/>
  <c r="L84" i="8"/>
  <c r="S84" i="8" s="1"/>
  <c r="M84" i="8"/>
  <c r="I83" i="8"/>
  <c r="J83" i="8"/>
  <c r="N83" i="8" s="1"/>
  <c r="K83" i="8"/>
  <c r="L83" i="8"/>
  <c r="M83" i="8"/>
  <c r="S83" i="8"/>
  <c r="I82" i="8"/>
  <c r="J82" i="8"/>
  <c r="K82" i="8"/>
  <c r="L82" i="8"/>
  <c r="S82" i="8" s="1"/>
  <c r="M82" i="8"/>
  <c r="I81" i="8"/>
  <c r="J81" i="8"/>
  <c r="K81" i="8"/>
  <c r="L81" i="8"/>
  <c r="M81" i="8"/>
  <c r="S81" i="8"/>
  <c r="I80" i="8"/>
  <c r="J80" i="8"/>
  <c r="K80" i="8"/>
  <c r="L80" i="8"/>
  <c r="S80" i="8" s="1"/>
  <c r="M80" i="8"/>
  <c r="I79" i="8"/>
  <c r="J79" i="8"/>
  <c r="K79" i="8"/>
  <c r="L79" i="8"/>
  <c r="M79" i="8"/>
  <c r="S79" i="8"/>
  <c r="I78" i="8"/>
  <c r="J78" i="8"/>
  <c r="K78" i="8"/>
  <c r="L78" i="8"/>
  <c r="S78" i="8" s="1"/>
  <c r="M78" i="8"/>
  <c r="I77" i="8"/>
  <c r="J77" i="8"/>
  <c r="K77" i="8"/>
  <c r="L77" i="8"/>
  <c r="M77" i="8"/>
  <c r="S77" i="8"/>
  <c r="I76" i="8"/>
  <c r="J76" i="8"/>
  <c r="K76" i="8"/>
  <c r="L76" i="8"/>
  <c r="S76" i="8" s="1"/>
  <c r="M76" i="8"/>
  <c r="I75" i="8"/>
  <c r="J75" i="8"/>
  <c r="K75" i="8"/>
  <c r="L75" i="8"/>
  <c r="M75" i="8"/>
  <c r="S75" i="8"/>
  <c r="I74" i="8"/>
  <c r="J74" i="8"/>
  <c r="K74" i="8"/>
  <c r="L74" i="8"/>
  <c r="S74" i="8" s="1"/>
  <c r="M74" i="8"/>
  <c r="I73" i="8"/>
  <c r="J73" i="8"/>
  <c r="K73" i="8"/>
  <c r="L73" i="8"/>
  <c r="M73" i="8"/>
  <c r="S73" i="8"/>
  <c r="I72" i="8"/>
  <c r="J72" i="8"/>
  <c r="K72" i="8"/>
  <c r="L72" i="8"/>
  <c r="S72" i="8" s="1"/>
  <c r="M72" i="8"/>
  <c r="I71" i="8"/>
  <c r="J71" i="8"/>
  <c r="K71" i="8"/>
  <c r="L71" i="8"/>
  <c r="M71" i="8"/>
  <c r="S71" i="8"/>
  <c r="I70" i="8"/>
  <c r="J70" i="8"/>
  <c r="K70" i="8"/>
  <c r="L70" i="8"/>
  <c r="S70" i="8" s="1"/>
  <c r="M70" i="8"/>
  <c r="I69" i="8"/>
  <c r="J69" i="8"/>
  <c r="K69" i="8"/>
  <c r="L69" i="8"/>
  <c r="M69" i="8"/>
  <c r="S69" i="8"/>
  <c r="I68" i="8"/>
  <c r="J68" i="8"/>
  <c r="K68" i="8"/>
  <c r="L68" i="8"/>
  <c r="S68" i="8" s="1"/>
  <c r="M68" i="8"/>
  <c r="I67" i="8"/>
  <c r="J67" i="8"/>
  <c r="N67" i="8" s="1"/>
  <c r="K67" i="8"/>
  <c r="L67" i="8"/>
  <c r="M67" i="8"/>
  <c r="I66" i="8"/>
  <c r="J66" i="8"/>
  <c r="K66" i="8"/>
  <c r="L66" i="8"/>
  <c r="S66" i="8" s="1"/>
  <c r="M66" i="8"/>
  <c r="I65" i="8"/>
  <c r="J65" i="8"/>
  <c r="K65" i="8"/>
  <c r="L65" i="8"/>
  <c r="M65" i="8"/>
  <c r="S65" i="8"/>
  <c r="I64" i="8"/>
  <c r="J64" i="8"/>
  <c r="K64" i="8"/>
  <c r="L64" i="8"/>
  <c r="S64" i="8" s="1"/>
  <c r="M64" i="8"/>
  <c r="I63" i="8"/>
  <c r="J63" i="8"/>
  <c r="K63" i="8"/>
  <c r="L63" i="8"/>
  <c r="M63" i="8"/>
  <c r="S63" i="8"/>
  <c r="I62" i="8"/>
  <c r="J62" i="8"/>
  <c r="K62" i="8"/>
  <c r="L62" i="8"/>
  <c r="S62" i="8" s="1"/>
  <c r="M62" i="8"/>
  <c r="I61" i="8"/>
  <c r="J61" i="8"/>
  <c r="K61" i="8"/>
  <c r="L61" i="8"/>
  <c r="M61" i="8"/>
  <c r="S61" i="8"/>
  <c r="I60" i="8"/>
  <c r="J60" i="8"/>
  <c r="K60" i="8"/>
  <c r="L60" i="8"/>
  <c r="S60" i="8" s="1"/>
  <c r="M60" i="8"/>
  <c r="I59" i="8"/>
  <c r="J59" i="8"/>
  <c r="K59" i="8"/>
  <c r="L59" i="8"/>
  <c r="M59" i="8"/>
  <c r="S59" i="8"/>
  <c r="I58" i="8"/>
  <c r="J58" i="8"/>
  <c r="K58" i="8"/>
  <c r="L58" i="8"/>
  <c r="S58" i="8" s="1"/>
  <c r="M58" i="8"/>
  <c r="I57" i="8"/>
  <c r="J57" i="8"/>
  <c r="K57" i="8"/>
  <c r="L57" i="8"/>
  <c r="M57" i="8"/>
  <c r="S57" i="8"/>
  <c r="I56" i="8"/>
  <c r="J56" i="8"/>
  <c r="K56" i="8"/>
  <c r="L56" i="8"/>
  <c r="S56" i="8" s="1"/>
  <c r="M56" i="8"/>
  <c r="I55" i="8"/>
  <c r="J55" i="8"/>
  <c r="K55" i="8"/>
  <c r="L55" i="8"/>
  <c r="M55" i="8"/>
  <c r="S55" i="8"/>
  <c r="I54" i="8"/>
  <c r="J54" i="8"/>
  <c r="K54" i="8"/>
  <c r="L54" i="8"/>
  <c r="S54" i="8" s="1"/>
  <c r="M54" i="8"/>
  <c r="I53" i="8"/>
  <c r="J53" i="8"/>
  <c r="K53" i="8"/>
  <c r="L53" i="8"/>
  <c r="M53" i="8"/>
  <c r="S53" i="8"/>
  <c r="I52" i="8"/>
  <c r="J52" i="8"/>
  <c r="K52" i="8"/>
  <c r="L52" i="8"/>
  <c r="S52" i="8" s="1"/>
  <c r="M52" i="8"/>
  <c r="I51" i="8"/>
  <c r="J51" i="8"/>
  <c r="N51" i="8" s="1"/>
  <c r="K51" i="8"/>
  <c r="L51" i="8"/>
  <c r="M51" i="8"/>
  <c r="S51" i="8"/>
  <c r="I50" i="8"/>
  <c r="J50" i="8"/>
  <c r="K50" i="8"/>
  <c r="L50" i="8"/>
  <c r="S50" i="8" s="1"/>
  <c r="M50" i="8"/>
  <c r="I49" i="8"/>
  <c r="J49" i="8"/>
  <c r="K49" i="8"/>
  <c r="L49" i="8"/>
  <c r="M49" i="8"/>
  <c r="S49" i="8"/>
  <c r="I48" i="8"/>
  <c r="J48" i="8"/>
  <c r="K48" i="8"/>
  <c r="L48" i="8"/>
  <c r="S48" i="8" s="1"/>
  <c r="M48" i="8"/>
  <c r="I47" i="8"/>
  <c r="J47" i="8"/>
  <c r="K47" i="8"/>
  <c r="L47" i="8"/>
  <c r="M47" i="8"/>
  <c r="S47" i="8"/>
  <c r="I46" i="8"/>
  <c r="J46" i="8"/>
  <c r="K46" i="8"/>
  <c r="L46" i="8"/>
  <c r="S46" i="8" s="1"/>
  <c r="M46" i="8"/>
  <c r="I45" i="8"/>
  <c r="J45" i="8"/>
  <c r="K45" i="8"/>
  <c r="L45" i="8"/>
  <c r="M45" i="8"/>
  <c r="S45" i="8"/>
  <c r="I44" i="8"/>
  <c r="J44" i="8"/>
  <c r="K44" i="8"/>
  <c r="L44" i="8"/>
  <c r="S44" i="8" s="1"/>
  <c r="M44" i="8"/>
  <c r="I43" i="8"/>
  <c r="J43" i="8"/>
  <c r="K43" i="8"/>
  <c r="L43" i="8"/>
  <c r="M43" i="8"/>
  <c r="S43" i="8"/>
  <c r="I42" i="8"/>
  <c r="J42" i="8"/>
  <c r="K42" i="8"/>
  <c r="L42" i="8"/>
  <c r="S42" i="8" s="1"/>
  <c r="M42" i="8"/>
  <c r="I41" i="8"/>
  <c r="J41" i="8"/>
  <c r="K41" i="8"/>
  <c r="L41" i="8"/>
  <c r="M41" i="8"/>
  <c r="S41" i="8"/>
  <c r="I40" i="8"/>
  <c r="J40" i="8"/>
  <c r="K40" i="8"/>
  <c r="L40" i="8"/>
  <c r="S40" i="8" s="1"/>
  <c r="M40" i="8"/>
  <c r="I39" i="8"/>
  <c r="J39" i="8"/>
  <c r="K39" i="8"/>
  <c r="L39" i="8"/>
  <c r="M39" i="8"/>
  <c r="S39" i="8"/>
  <c r="I38" i="8"/>
  <c r="J38" i="8"/>
  <c r="K38" i="8"/>
  <c r="L38" i="8"/>
  <c r="S38" i="8" s="1"/>
  <c r="M38" i="8"/>
  <c r="I37" i="8"/>
  <c r="J37" i="8"/>
  <c r="K37" i="8"/>
  <c r="L37" i="8"/>
  <c r="M37" i="8"/>
  <c r="S37" i="8"/>
  <c r="I36" i="8"/>
  <c r="J36" i="8"/>
  <c r="K36" i="8"/>
  <c r="L36" i="8"/>
  <c r="S36" i="8" s="1"/>
  <c r="M36" i="8"/>
  <c r="I35" i="8"/>
  <c r="J35" i="8"/>
  <c r="N35" i="8" s="1"/>
  <c r="K35" i="8"/>
  <c r="L35" i="8"/>
  <c r="M35" i="8"/>
  <c r="S35" i="8"/>
  <c r="I34" i="8"/>
  <c r="J34" i="8"/>
  <c r="K34" i="8"/>
  <c r="L34" i="8"/>
  <c r="S34" i="8" s="1"/>
  <c r="M34" i="8"/>
  <c r="I33" i="8"/>
  <c r="J33" i="8"/>
  <c r="K33" i="8"/>
  <c r="L33" i="8"/>
  <c r="M33" i="8"/>
  <c r="I32" i="8"/>
  <c r="J32" i="8"/>
  <c r="K32" i="8"/>
  <c r="L32" i="8"/>
  <c r="S32" i="8" s="1"/>
  <c r="M32" i="8"/>
  <c r="I31" i="8"/>
  <c r="J31" i="8"/>
  <c r="K31" i="8"/>
  <c r="L31" i="8"/>
  <c r="M31" i="8"/>
  <c r="S31" i="8"/>
  <c r="I30" i="8"/>
  <c r="J30" i="8"/>
  <c r="K30" i="8"/>
  <c r="L30" i="8"/>
  <c r="S30" i="8" s="1"/>
  <c r="M30" i="8"/>
  <c r="I29" i="8"/>
  <c r="J29" i="8"/>
  <c r="K29" i="8"/>
  <c r="L29" i="8"/>
  <c r="M29" i="8"/>
  <c r="S29" i="8"/>
  <c r="I28" i="8"/>
  <c r="J28" i="8"/>
  <c r="K28" i="8"/>
  <c r="L28" i="8"/>
  <c r="S28" i="8" s="1"/>
  <c r="M28" i="8"/>
  <c r="I27" i="8"/>
  <c r="J27" i="8"/>
  <c r="K27" i="8"/>
  <c r="L27" i="8"/>
  <c r="M27" i="8"/>
  <c r="S27" i="8"/>
  <c r="I26" i="8"/>
  <c r="J26" i="8"/>
  <c r="K26" i="8"/>
  <c r="L26" i="8"/>
  <c r="S26" i="8" s="1"/>
  <c r="M26" i="8"/>
  <c r="I25" i="8"/>
  <c r="J25" i="8"/>
  <c r="K25" i="8"/>
  <c r="L25" i="8"/>
  <c r="M25" i="8"/>
  <c r="S25" i="8"/>
  <c r="I24" i="8"/>
  <c r="J24" i="8"/>
  <c r="K24" i="8"/>
  <c r="L24" i="8"/>
  <c r="S24" i="8" s="1"/>
  <c r="M24" i="8"/>
  <c r="I23" i="8"/>
  <c r="J23" i="8"/>
  <c r="K23" i="8"/>
  <c r="L23" i="8"/>
  <c r="M23" i="8"/>
  <c r="S23" i="8"/>
  <c r="I22" i="8"/>
  <c r="J22" i="8"/>
  <c r="K22" i="8"/>
  <c r="L22" i="8"/>
  <c r="S22" i="8" s="1"/>
  <c r="M22" i="8"/>
  <c r="I21" i="8"/>
  <c r="J21" i="8"/>
  <c r="K21" i="8"/>
  <c r="L21" i="8"/>
  <c r="M21" i="8"/>
  <c r="S21" i="8"/>
  <c r="I20" i="8"/>
  <c r="J20" i="8"/>
  <c r="K20" i="8"/>
  <c r="L20" i="8"/>
  <c r="S20" i="8" s="1"/>
  <c r="M20" i="8"/>
  <c r="I19" i="8"/>
  <c r="J19" i="8"/>
  <c r="N19" i="8" s="1"/>
  <c r="K19" i="8"/>
  <c r="L19" i="8"/>
  <c r="M19" i="8"/>
  <c r="S19" i="8"/>
  <c r="I18" i="8"/>
  <c r="J18" i="8"/>
  <c r="K18" i="8"/>
  <c r="L18" i="8"/>
  <c r="S18" i="8" s="1"/>
  <c r="M18" i="8"/>
  <c r="D36" i="4"/>
  <c r="E36" i="4" s="1"/>
  <c r="C36" i="4"/>
  <c r="B36" i="4"/>
  <c r="L47" i="4"/>
  <c r="D47" i="4"/>
  <c r="E47" i="4" s="1"/>
  <c r="C47" i="4"/>
  <c r="B47" i="4"/>
  <c r="E51" i="4"/>
  <c r="E30" i="4"/>
  <c r="W7" i="40" s="1"/>
  <c r="K7" i="40"/>
  <c r="H28" i="4"/>
  <c r="I28" i="4"/>
  <c r="J28" i="4" s="1"/>
  <c r="C28" i="4"/>
  <c r="I17" i="4"/>
  <c r="J17" i="4" s="1"/>
  <c r="R28" i="4" s="1"/>
  <c r="H17" i="4"/>
  <c r="D17" i="4"/>
  <c r="C17" i="4"/>
  <c r="B17" i="4"/>
  <c r="D28" i="4"/>
  <c r="E28" i="4" s="1"/>
  <c r="O28" i="4" s="1"/>
  <c r="K6" i="40" s="1"/>
  <c r="L28" i="4"/>
  <c r="B28" i="4"/>
  <c r="V93" i="6"/>
  <c r="X93" i="6" s="1"/>
  <c r="P94" i="7" s="1"/>
  <c r="P99" i="40" s="1"/>
  <c r="V92" i="6"/>
  <c r="X92" i="6" s="1"/>
  <c r="P93" i="7"/>
  <c r="V91" i="6"/>
  <c r="X91" i="6" s="1"/>
  <c r="P92" i="7" s="1"/>
  <c r="V90" i="6"/>
  <c r="X90" i="6" s="1"/>
  <c r="P91" i="7"/>
  <c r="V89" i="6"/>
  <c r="X89" i="6" s="1"/>
  <c r="P90" i="7" s="1"/>
  <c r="V88" i="6"/>
  <c r="X88" i="6" s="1"/>
  <c r="P89" i="7"/>
  <c r="P94" i="40" s="1"/>
  <c r="V87" i="6"/>
  <c r="X87" i="6" s="1"/>
  <c r="P88" i="7" s="1"/>
  <c r="V86" i="6"/>
  <c r="X86" i="6" s="1"/>
  <c r="P87" i="7"/>
  <c r="V85" i="6"/>
  <c r="X85" i="6" s="1"/>
  <c r="P86" i="7" s="1"/>
  <c r="P91" i="40" s="1"/>
  <c r="V84" i="6"/>
  <c r="X84" i="6" s="1"/>
  <c r="P85" i="7"/>
  <c r="V83" i="6"/>
  <c r="X83" i="6" s="1"/>
  <c r="P84" i="7" s="1"/>
  <c r="V82" i="6"/>
  <c r="X82" i="6" s="1"/>
  <c r="P83" i="7"/>
  <c r="V81" i="6"/>
  <c r="X81" i="6" s="1"/>
  <c r="P82" i="7" s="1"/>
  <c r="V80" i="6"/>
  <c r="X80" i="6" s="1"/>
  <c r="P81" i="7"/>
  <c r="P86" i="40" s="1"/>
  <c r="V79" i="6"/>
  <c r="X79" i="6" s="1"/>
  <c r="P80" i="7" s="1"/>
  <c r="V78" i="6"/>
  <c r="X78" i="6" s="1"/>
  <c r="P79" i="7"/>
  <c r="V77" i="6"/>
  <c r="X77" i="6" s="1"/>
  <c r="P78" i="7" s="1"/>
  <c r="P83" i="40" s="1"/>
  <c r="V76" i="6"/>
  <c r="X76" i="6" s="1"/>
  <c r="P77" i="7"/>
  <c r="V75" i="6"/>
  <c r="X75" i="6" s="1"/>
  <c r="P76" i="7" s="1"/>
  <c r="V74" i="6"/>
  <c r="X74" i="6" s="1"/>
  <c r="P75" i="7"/>
  <c r="V73" i="6"/>
  <c r="X73" i="6" s="1"/>
  <c r="P74" i="7" s="1"/>
  <c r="V72" i="6"/>
  <c r="X72" i="6" s="1"/>
  <c r="P73" i="7"/>
  <c r="P78" i="40" s="1"/>
  <c r="V71" i="6"/>
  <c r="X71" i="6" s="1"/>
  <c r="P72" i="7" s="1"/>
  <c r="V70" i="6"/>
  <c r="X70" i="6" s="1"/>
  <c r="P71" i="7"/>
  <c r="V69" i="6"/>
  <c r="X69" i="6" s="1"/>
  <c r="P70" i="7" s="1"/>
  <c r="P75" i="40" s="1"/>
  <c r="V68" i="6"/>
  <c r="X68" i="6" s="1"/>
  <c r="P69" i="7"/>
  <c r="V67" i="6"/>
  <c r="X67" i="6" s="1"/>
  <c r="P68" i="7" s="1"/>
  <c r="V66" i="6"/>
  <c r="X66" i="6" s="1"/>
  <c r="P67" i="7"/>
  <c r="V65" i="6"/>
  <c r="X65" i="6" s="1"/>
  <c r="P66" i="7" s="1"/>
  <c r="V64" i="6"/>
  <c r="X64" i="6" s="1"/>
  <c r="P65" i="7"/>
  <c r="P70" i="40" s="1"/>
  <c r="V63" i="6"/>
  <c r="X63" i="6" s="1"/>
  <c r="P64" i="7" s="1"/>
  <c r="V62" i="6"/>
  <c r="X62" i="6" s="1"/>
  <c r="P63" i="7"/>
  <c r="V61" i="6"/>
  <c r="X61" i="6" s="1"/>
  <c r="P62" i="7" s="1"/>
  <c r="P67" i="40" s="1"/>
  <c r="V60" i="6"/>
  <c r="X60" i="6" s="1"/>
  <c r="P61" i="7"/>
  <c r="V59" i="6"/>
  <c r="X59" i="6" s="1"/>
  <c r="P60" i="7" s="1"/>
  <c r="V58" i="6"/>
  <c r="X58" i="6" s="1"/>
  <c r="P59" i="7"/>
  <c r="V57" i="6"/>
  <c r="X57" i="6" s="1"/>
  <c r="P58" i="7" s="1"/>
  <c r="V56" i="6"/>
  <c r="X56" i="6" s="1"/>
  <c r="P57" i="7"/>
  <c r="P62" i="40" s="1"/>
  <c r="V55" i="6"/>
  <c r="X55" i="6" s="1"/>
  <c r="P56" i="7" s="1"/>
  <c r="V54" i="6"/>
  <c r="X54" i="6" s="1"/>
  <c r="P55" i="7"/>
  <c r="V53" i="6"/>
  <c r="X53" i="6" s="1"/>
  <c r="P54" i="7" s="1"/>
  <c r="P59" i="40" s="1"/>
  <c r="V52" i="6"/>
  <c r="X52" i="6" s="1"/>
  <c r="P53" i="7"/>
  <c r="V51" i="6"/>
  <c r="X51" i="6" s="1"/>
  <c r="P52" i="7" s="1"/>
  <c r="V50" i="6"/>
  <c r="X50" i="6"/>
  <c r="P51" i="7" s="1"/>
  <c r="V49" i="6"/>
  <c r="X49" i="6" s="1"/>
  <c r="P50" i="7" s="1"/>
  <c r="V48" i="6"/>
  <c r="X48" i="6"/>
  <c r="P49" i="7" s="1"/>
  <c r="P54" i="40" s="1"/>
  <c r="V47" i="6"/>
  <c r="X47" i="6" s="1"/>
  <c r="P48" i="7" s="1"/>
  <c r="V46" i="6"/>
  <c r="X46" i="6"/>
  <c r="P47" i="7" s="1"/>
  <c r="V45" i="6"/>
  <c r="X45" i="6" s="1"/>
  <c r="P46" i="7" s="1"/>
  <c r="P51" i="40" s="1"/>
  <c r="V44" i="6"/>
  <c r="X44" i="6"/>
  <c r="P45" i="7" s="1"/>
  <c r="V43" i="6"/>
  <c r="X43" i="6" s="1"/>
  <c r="P44" i="7" s="1"/>
  <c r="V42" i="6"/>
  <c r="X42" i="6"/>
  <c r="P43" i="7" s="1"/>
  <c r="V41" i="6"/>
  <c r="X41" i="6" s="1"/>
  <c r="P42" i="7" s="1"/>
  <c r="V40" i="6"/>
  <c r="X40" i="6"/>
  <c r="P41" i="7" s="1"/>
  <c r="P46" i="40" s="1"/>
  <c r="V39" i="6"/>
  <c r="X39" i="6" s="1"/>
  <c r="P40" i="7" s="1"/>
  <c r="V38" i="6"/>
  <c r="X38" i="6"/>
  <c r="P39" i="7" s="1"/>
  <c r="V37" i="6"/>
  <c r="X37" i="6" s="1"/>
  <c r="P38" i="7" s="1"/>
  <c r="P43" i="40" s="1"/>
  <c r="V36" i="6"/>
  <c r="X36" i="6"/>
  <c r="P37" i="7" s="1"/>
  <c r="V35" i="6"/>
  <c r="X35" i="6" s="1"/>
  <c r="P36" i="7" s="1"/>
  <c r="V34" i="6"/>
  <c r="X34" i="6"/>
  <c r="P35" i="7" s="1"/>
  <c r="V33" i="6"/>
  <c r="X33" i="6" s="1"/>
  <c r="P34" i="7" s="1"/>
  <c r="V32" i="6"/>
  <c r="X32" i="6"/>
  <c r="P33" i="7" s="1"/>
  <c r="P38" i="40" s="1"/>
  <c r="V31" i="6"/>
  <c r="X31" i="6" s="1"/>
  <c r="P32" i="7" s="1"/>
  <c r="V30" i="6"/>
  <c r="X30" i="6"/>
  <c r="P31" i="7" s="1"/>
  <c r="V29" i="6"/>
  <c r="X29" i="6" s="1"/>
  <c r="P30" i="7" s="1"/>
  <c r="P35" i="40" s="1"/>
  <c r="V28" i="6"/>
  <c r="X28" i="6"/>
  <c r="P29" i="7" s="1"/>
  <c r="V27" i="6"/>
  <c r="X27" i="6" s="1"/>
  <c r="P28" i="7" s="1"/>
  <c r="V26" i="6"/>
  <c r="X26" i="6"/>
  <c r="P27" i="7" s="1"/>
  <c r="V25" i="6"/>
  <c r="X25" i="6" s="1"/>
  <c r="P26" i="7" s="1"/>
  <c r="V24" i="6"/>
  <c r="X24" i="6"/>
  <c r="P25" i="7" s="1"/>
  <c r="P30" i="40" s="1"/>
  <c r="V23" i="6"/>
  <c r="X23" i="6" s="1"/>
  <c r="P24" i="7" s="1"/>
  <c r="V22" i="6"/>
  <c r="X22" i="6"/>
  <c r="P23" i="7" s="1"/>
  <c r="V21" i="6"/>
  <c r="X21" i="6" s="1"/>
  <c r="P22" i="7" s="1"/>
  <c r="P27" i="40" s="1"/>
  <c r="V20" i="6"/>
  <c r="X20" i="6"/>
  <c r="P21" i="7" s="1"/>
  <c r="V19" i="6"/>
  <c r="X19" i="6" s="1"/>
  <c r="P20" i="7" s="1"/>
  <c r="V18" i="6"/>
  <c r="X18" i="6"/>
  <c r="P19" i="7" s="1"/>
  <c r="V17" i="6"/>
  <c r="X17" i="6" s="1"/>
  <c r="P18" i="7" s="1"/>
  <c r="V16" i="6"/>
  <c r="X16" i="6"/>
  <c r="P17" i="7" s="1"/>
  <c r="P22" i="40" s="1"/>
  <c r="V15" i="6"/>
  <c r="X15" i="6" s="1"/>
  <c r="P16" i="7" s="1"/>
  <c r="V14" i="6"/>
  <c r="X14" i="6"/>
  <c r="P15" i="7" s="1"/>
  <c r="V13" i="6"/>
  <c r="X13" i="6" s="1"/>
  <c r="P14" i="7" s="1"/>
  <c r="P19" i="40" s="1"/>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G13" i="8"/>
  <c r="F13" i="8"/>
  <c r="E13" i="8"/>
  <c r="D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I90" i="6"/>
  <c r="I89" i="6"/>
  <c r="I88" i="6"/>
  <c r="I87" i="6"/>
  <c r="I86" i="6"/>
  <c r="I85" i="6"/>
  <c r="I84" i="6"/>
  <c r="I83" i="6"/>
  <c r="I82" i="6"/>
  <c r="I81" i="6"/>
  <c r="I80" i="6"/>
  <c r="G81" i="7" s="1"/>
  <c r="P86" i="34" s="1"/>
  <c r="I79" i="6"/>
  <c r="I78" i="6"/>
  <c r="I77" i="6"/>
  <c r="I76" i="6"/>
  <c r="I75" i="6"/>
  <c r="I74" i="6"/>
  <c r="I73" i="6"/>
  <c r="I72" i="6"/>
  <c r="I71" i="6"/>
  <c r="I70" i="6"/>
  <c r="I69" i="6"/>
  <c r="I68" i="6"/>
  <c r="I67" i="6"/>
  <c r="I66" i="6"/>
  <c r="I65" i="6"/>
  <c r="I64" i="6"/>
  <c r="I63" i="6"/>
  <c r="I62" i="6"/>
  <c r="I61" i="6"/>
  <c r="G62" i="7" s="1"/>
  <c r="P67" i="34" s="1"/>
  <c r="I60" i="6"/>
  <c r="I59" i="6"/>
  <c r="I58" i="6"/>
  <c r="I57" i="6"/>
  <c r="I56" i="6"/>
  <c r="G57" i="7" s="1"/>
  <c r="P62" i="34" s="1"/>
  <c r="I55" i="6"/>
  <c r="G56" i="7" s="1"/>
  <c r="P61" i="34" s="1"/>
  <c r="I54" i="6"/>
  <c r="I53" i="6"/>
  <c r="G54" i="7" s="1"/>
  <c r="P59" i="34" s="1"/>
  <c r="I52" i="6"/>
  <c r="I51" i="6"/>
  <c r="I50" i="6"/>
  <c r="I49" i="6"/>
  <c r="I48" i="6"/>
  <c r="I47" i="6"/>
  <c r="G48" i="7" s="1"/>
  <c r="P53" i="34" s="1"/>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G93" i="6"/>
  <c r="G92" i="6"/>
  <c r="G91" i="6"/>
  <c r="G90" i="6"/>
  <c r="G89" i="6"/>
  <c r="G88" i="6"/>
  <c r="G87" i="6"/>
  <c r="G86" i="6"/>
  <c r="G85" i="6"/>
  <c r="G84" i="6"/>
  <c r="G83" i="6"/>
  <c r="G82" i="6"/>
  <c r="G81" i="6"/>
  <c r="G80" i="6"/>
  <c r="E81" i="7" s="1"/>
  <c r="P86" i="35" s="1"/>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J15" i="4" s="1"/>
  <c r="D21" i="4"/>
  <c r="O21" i="4"/>
  <c r="K6" i="35" s="1"/>
  <c r="D20" i="4"/>
  <c r="O20" i="4" s="1"/>
  <c r="K6" i="34" s="1"/>
  <c r="C15" i="4"/>
  <c r="I21" i="4"/>
  <c r="J21" i="4" s="1"/>
  <c r="I20" i="4"/>
  <c r="J20" i="4" s="1"/>
  <c r="R20" i="4" s="1"/>
  <c r="H21" i="4"/>
  <c r="H20" i="4"/>
  <c r="C21" i="4"/>
  <c r="C20" i="4"/>
  <c r="R21" i="4"/>
  <c r="B20" i="4"/>
  <c r="I25" i="4"/>
  <c r="J25" i="4" s="1"/>
  <c r="I24" i="4"/>
  <c r="J24" i="4" s="1"/>
  <c r="R24" i="4" s="1"/>
  <c r="I23" i="4"/>
  <c r="J23" i="4"/>
  <c r="R23" i="4" s="1"/>
  <c r="I22" i="4"/>
  <c r="J22" i="4" s="1"/>
  <c r="R22" i="4" s="1"/>
  <c r="D25" i="4"/>
  <c r="O25" i="4" s="1"/>
  <c r="D24" i="4"/>
  <c r="O24" i="4" s="1"/>
  <c r="D23" i="4"/>
  <c r="O23" i="4" s="1"/>
  <c r="D22" i="4"/>
  <c r="O22" i="4"/>
  <c r="H25" i="4"/>
  <c r="H24" i="4"/>
  <c r="H23" i="4"/>
  <c r="H22" i="4"/>
  <c r="C25" i="4"/>
  <c r="C24" i="4"/>
  <c r="C23" i="4"/>
  <c r="C22" i="4"/>
  <c r="R62" i="4"/>
  <c r="AC4" i="5"/>
  <c r="AB4" i="5"/>
  <c r="Z4" i="5"/>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R25" i="4"/>
  <c r="I19" i="4"/>
  <c r="J19" i="4" s="1"/>
  <c r="R19" i="4" s="1"/>
  <c r="I18" i="4"/>
  <c r="J18" i="4" s="1"/>
  <c r="R18" i="4" s="1"/>
  <c r="W6" i="33"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s="1"/>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M16" i="6"/>
  <c r="N16" i="6"/>
  <c r="M17" i="6"/>
  <c r="N17" i="6"/>
  <c r="M18" i="6"/>
  <c r="N18" i="6"/>
  <c r="M19" i="6"/>
  <c r="N19" i="6"/>
  <c r="M20" i="6"/>
  <c r="N20" i="6"/>
  <c r="M21" i="6"/>
  <c r="N21" i="6"/>
  <c r="M22" i="6"/>
  <c r="N22" i="6"/>
  <c r="M23" i="6"/>
  <c r="N23" i="6"/>
  <c r="M24" i="6"/>
  <c r="N24" i="6"/>
  <c r="M25" i="6"/>
  <c r="N25" i="6"/>
  <c r="M26" i="6"/>
  <c r="N26" i="6"/>
  <c r="M27" i="6"/>
  <c r="N27" i="6"/>
  <c r="M28" i="6"/>
  <c r="N28" i="6"/>
  <c r="M29" i="6"/>
  <c r="N29" i="6"/>
  <c r="M30" i="6"/>
  <c r="N30" i="6"/>
  <c r="M31" i="6"/>
  <c r="N31" i="6"/>
  <c r="M32" i="6"/>
  <c r="N32" i="6"/>
  <c r="M33" i="6"/>
  <c r="N33" i="6"/>
  <c r="O34" i="7"/>
  <c r="C39" i="37" s="1"/>
  <c r="M34" i="6"/>
  <c r="N34" i="6"/>
  <c r="M35" i="6"/>
  <c r="N35" i="6"/>
  <c r="M36" i="6"/>
  <c r="N36" i="6"/>
  <c r="M37" i="6"/>
  <c r="N37" i="6"/>
  <c r="M38" i="6"/>
  <c r="N38" i="6"/>
  <c r="M39" i="6"/>
  <c r="N39" i="6"/>
  <c r="M40" i="6"/>
  <c r="N40" i="6"/>
  <c r="M41" i="6"/>
  <c r="N41" i="6"/>
  <c r="M42" i="6"/>
  <c r="N42" i="6"/>
  <c r="L43" i="7" s="1"/>
  <c r="M43" i="6"/>
  <c r="K44" i="7" s="1"/>
  <c r="N43" i="6"/>
  <c r="M44" i="6"/>
  <c r="N44" i="6"/>
  <c r="M45" i="6"/>
  <c r="N45" i="6"/>
  <c r="M46" i="6"/>
  <c r="K47" i="7" s="1"/>
  <c r="N46" i="6"/>
  <c r="M47" i="6"/>
  <c r="N47" i="6"/>
  <c r="M48" i="6"/>
  <c r="N48" i="6"/>
  <c r="M49" i="6"/>
  <c r="N49" i="6"/>
  <c r="M50" i="6"/>
  <c r="N50" i="6"/>
  <c r="M51" i="6"/>
  <c r="N51" i="6"/>
  <c r="M52" i="6"/>
  <c r="N52" i="6"/>
  <c r="M53" i="6"/>
  <c r="N53" i="6"/>
  <c r="M54" i="6"/>
  <c r="N54" i="6"/>
  <c r="M55" i="6"/>
  <c r="N55" i="6"/>
  <c r="M56" i="6"/>
  <c r="N56" i="6"/>
  <c r="M57" i="6"/>
  <c r="N57" i="6"/>
  <c r="M58" i="6"/>
  <c r="N58" i="6"/>
  <c r="E59" i="7"/>
  <c r="P64" i="35" s="1"/>
  <c r="M59" i="6"/>
  <c r="N59" i="6"/>
  <c r="M60" i="6"/>
  <c r="N60" i="6"/>
  <c r="M61" i="6"/>
  <c r="N61" i="6"/>
  <c r="M62" i="6"/>
  <c r="N62" i="6"/>
  <c r="M63" i="6"/>
  <c r="N63" i="6"/>
  <c r="M64" i="6"/>
  <c r="N64" i="6"/>
  <c r="M65" i="6"/>
  <c r="N65" i="6"/>
  <c r="M66" i="6"/>
  <c r="N66" i="6"/>
  <c r="M67" i="6"/>
  <c r="N67" i="6"/>
  <c r="M68" i="6"/>
  <c r="N68" i="6"/>
  <c r="M69" i="6"/>
  <c r="N69" i="6"/>
  <c r="M70" i="6"/>
  <c r="N70" i="6"/>
  <c r="M71" i="6"/>
  <c r="N71" i="6"/>
  <c r="M72" i="6"/>
  <c r="N72" i="6"/>
  <c r="M73" i="6"/>
  <c r="N73" i="6"/>
  <c r="M74" i="6"/>
  <c r="N74" i="6"/>
  <c r="M75" i="6"/>
  <c r="N75" i="6"/>
  <c r="M76" i="6"/>
  <c r="N76" i="6"/>
  <c r="M77" i="6"/>
  <c r="N77" i="6"/>
  <c r="M78" i="6"/>
  <c r="N78" i="6"/>
  <c r="M79" i="6"/>
  <c r="N79" i="6"/>
  <c r="F80" i="7"/>
  <c r="M80" i="6"/>
  <c r="K81" i="7" s="1"/>
  <c r="N80" i="6"/>
  <c r="M81" i="6"/>
  <c r="K82" i="7" s="1"/>
  <c r="N81" i="6"/>
  <c r="G82" i="7"/>
  <c r="P87" i="34" s="1"/>
  <c r="M82" i="6"/>
  <c r="N82" i="6"/>
  <c r="M83" i="6"/>
  <c r="N83" i="6"/>
  <c r="M84" i="6"/>
  <c r="N84" i="6"/>
  <c r="M85" i="6"/>
  <c r="N85" i="6"/>
  <c r="L86" i="7" s="1"/>
  <c r="M86" i="6"/>
  <c r="N86" i="6"/>
  <c r="M87" i="6"/>
  <c r="N87" i="6"/>
  <c r="M88" i="6"/>
  <c r="N88" i="6"/>
  <c r="M89" i="6"/>
  <c r="N89" i="6"/>
  <c r="M90" i="6"/>
  <c r="N90" i="6"/>
  <c r="M91" i="6"/>
  <c r="N91" i="6"/>
  <c r="M92" i="6"/>
  <c r="N92" i="6"/>
  <c r="L93" i="7" s="1"/>
  <c r="M93" i="6"/>
  <c r="N93" i="6"/>
  <c r="M13" i="6"/>
  <c r="N1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K13" i="37"/>
  <c r="W13" i="33"/>
  <c r="E53" i="4"/>
  <c r="W4" i="5"/>
  <c r="X4" i="5"/>
  <c r="AH25" i="5" s="1"/>
  <c r="Y4" i="5"/>
  <c r="AA4" i="5"/>
  <c r="AD4" i="5"/>
  <c r="E58" i="4"/>
  <c r="E59" i="4"/>
  <c r="E55" i="4"/>
  <c r="F12" i="28" s="1"/>
  <c r="C94" i="8"/>
  <c r="D94" i="8"/>
  <c r="E94" i="8"/>
  <c r="F94" i="8"/>
  <c r="G94" i="8"/>
  <c r="C95" i="8"/>
  <c r="D95" i="8"/>
  <c r="E95" i="8"/>
  <c r="F95" i="8"/>
  <c r="G95" i="8"/>
  <c r="C96" i="8"/>
  <c r="D96" i="8"/>
  <c r="E96" i="8"/>
  <c r="F96" i="8"/>
  <c r="G96" i="8"/>
  <c r="C97" i="8"/>
  <c r="D97" i="8"/>
  <c r="E97" i="8"/>
  <c r="F97" i="8"/>
  <c r="G97" i="8"/>
  <c r="C98" i="8"/>
  <c r="D98" i="8"/>
  <c r="E98" i="8"/>
  <c r="F98" i="8"/>
  <c r="G98" i="8"/>
  <c r="B14" i="7"/>
  <c r="O19" i="37" s="1"/>
  <c r="O19" i="18"/>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F13" i="28"/>
  <c r="B17" i="17"/>
  <c r="B18" i="17" s="1"/>
  <c r="B19" i="17"/>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F75" i="28"/>
  <c r="E83" i="6"/>
  <c r="J17" i="6"/>
  <c r="K13" i="18"/>
  <c r="H76" i="6"/>
  <c r="J46" i="6"/>
  <c r="E70" i="6"/>
  <c r="E29" i="6"/>
  <c r="E18" i="6"/>
  <c r="E43" i="6"/>
  <c r="F43" i="6"/>
  <c r="H43" i="6"/>
  <c r="J43" i="6"/>
  <c r="K43" i="6"/>
  <c r="L43" i="6"/>
  <c r="E44" i="6"/>
  <c r="E35" i="6"/>
  <c r="E34" i="6"/>
  <c r="E37" i="6"/>
  <c r="E28" i="6"/>
  <c r="E20" i="6"/>
  <c r="E58" i="6"/>
  <c r="J41" i="6"/>
  <c r="E67" i="6"/>
  <c r="E23" i="6"/>
  <c r="J80" i="6"/>
  <c r="E63" i="6"/>
  <c r="F63" i="6"/>
  <c r="H63" i="6"/>
  <c r="J63" i="6"/>
  <c r="K63" i="6"/>
  <c r="L63" i="6"/>
  <c r="J53" i="6"/>
  <c r="E46" i="6"/>
  <c r="C47" i="7" s="1"/>
  <c r="P52" i="18" s="1"/>
  <c r="L65" i="6"/>
  <c r="E82" i="6"/>
  <c r="C83" i="7" s="1"/>
  <c r="E64" i="6"/>
  <c r="E76" i="6"/>
  <c r="E60" i="6"/>
  <c r="L13" i="6"/>
  <c r="J67" i="6"/>
  <c r="E55" i="6"/>
  <c r="E36" i="6"/>
  <c r="K51" i="6"/>
  <c r="E54" i="6"/>
  <c r="E13" i="6"/>
  <c r="E66" i="6"/>
  <c r="E79" i="6"/>
  <c r="F79" i="6"/>
  <c r="H79" i="6"/>
  <c r="J79" i="6"/>
  <c r="K79" i="6"/>
  <c r="L79" i="6"/>
  <c r="J42" i="6"/>
  <c r="E88" i="6"/>
  <c r="J22" i="6"/>
  <c r="J92" i="6"/>
  <c r="E87" i="6"/>
  <c r="E51" i="6"/>
  <c r="E33" i="6"/>
  <c r="J82" i="6"/>
  <c r="E45" i="6"/>
  <c r="E27" i="6"/>
  <c r="E74" i="6"/>
  <c r="E57" i="6"/>
  <c r="E78" i="7"/>
  <c r="P83" i="35" s="1"/>
  <c r="L89" i="6"/>
  <c r="K38" i="6"/>
  <c r="K28" i="6"/>
  <c r="L38" i="6"/>
  <c r="E38" i="6"/>
  <c r="F38" i="6"/>
  <c r="H38" i="6"/>
  <c r="J38" i="6"/>
  <c r="K17" i="6"/>
  <c r="F91" i="6"/>
  <c r="D92" i="7" s="1"/>
  <c r="C97" i="35" s="1"/>
  <c r="K42" i="6"/>
  <c r="F40" i="7"/>
  <c r="L93" i="6"/>
  <c r="L54" i="6"/>
  <c r="K23" i="6"/>
  <c r="K88" i="6"/>
  <c r="I89" i="7" s="1"/>
  <c r="L40" i="6"/>
  <c r="L24" i="6"/>
  <c r="L42" i="6"/>
  <c r="K65" i="6"/>
  <c r="F18" i="6"/>
  <c r="K26" i="6"/>
  <c r="O54" i="7"/>
  <c r="L34" i="6"/>
  <c r="F41" i="6"/>
  <c r="F93" i="6"/>
  <c r="F20" i="6"/>
  <c r="L71" i="6"/>
  <c r="G72" i="7"/>
  <c r="P77" i="34" s="1"/>
  <c r="L55" i="6"/>
  <c r="L25" i="6"/>
  <c r="K22" i="6"/>
  <c r="E22" i="6"/>
  <c r="F22" i="6"/>
  <c r="H22" i="6"/>
  <c r="L22" i="6"/>
  <c r="F92" i="6"/>
  <c r="K47" i="6"/>
  <c r="F26" i="6"/>
  <c r="L17" i="6"/>
  <c r="L75" i="6"/>
  <c r="F77" i="6"/>
  <c r="D78" i="7" s="1"/>
  <c r="C83" i="35" s="1"/>
  <c r="L52" i="6"/>
  <c r="L57" i="6"/>
  <c r="L70" i="6"/>
  <c r="L72" i="6"/>
  <c r="K25" i="6"/>
  <c r="K72" i="6"/>
  <c r="E72" i="6"/>
  <c r="F72" i="6"/>
  <c r="D73" i="7" s="1"/>
  <c r="C78" i="35" s="1"/>
  <c r="H72" i="6"/>
  <c r="J72" i="6"/>
  <c r="K46" i="6"/>
  <c r="I47" i="7" s="1"/>
  <c r="F53" i="6"/>
  <c r="L86" i="6"/>
  <c r="F48" i="7"/>
  <c r="C53" i="34" s="1"/>
  <c r="G74" i="7"/>
  <c r="P79" i="34" s="1"/>
  <c r="K92" i="6"/>
  <c r="F59" i="6"/>
  <c r="C46" i="7"/>
  <c r="C51" i="18" s="1"/>
  <c r="K48" i="6"/>
  <c r="L46" i="6"/>
  <c r="O68" i="7"/>
  <c r="O65" i="7"/>
  <c r="E79" i="7"/>
  <c r="P84" i="35" s="1"/>
  <c r="F19" i="6"/>
  <c r="L68" i="6"/>
  <c r="L39" i="6"/>
  <c r="L29" i="6"/>
  <c r="K77" i="6"/>
  <c r="K55" i="6"/>
  <c r="I56" i="7" s="1"/>
  <c r="K81" i="6"/>
  <c r="K59" i="6"/>
  <c r="K74" i="6"/>
  <c r="I75" i="7" s="1"/>
  <c r="L64" i="7"/>
  <c r="E71" i="7"/>
  <c r="P76" i="35" s="1"/>
  <c r="F86" i="6"/>
  <c r="H14" i="6"/>
  <c r="K68" i="6"/>
  <c r="L31" i="6"/>
  <c r="L59" i="6"/>
  <c r="L83" i="6"/>
  <c r="H86" i="6"/>
  <c r="H26" i="6"/>
  <c r="L18" i="6"/>
  <c r="L80" i="6"/>
  <c r="L81" i="6"/>
  <c r="L44" i="6"/>
  <c r="L82" i="6"/>
  <c r="L45" i="6"/>
  <c r="L78" i="6"/>
  <c r="K53" i="6"/>
  <c r="I54" i="7" s="1"/>
  <c r="K87" i="6"/>
  <c r="K33" i="6"/>
  <c r="K78" i="6"/>
  <c r="K19" i="6"/>
  <c r="K75" i="6"/>
  <c r="K52" i="6"/>
  <c r="K18" i="6"/>
  <c r="L23" i="6"/>
  <c r="H67" i="6"/>
  <c r="H80" i="6"/>
  <c r="H71" i="6"/>
  <c r="H53" i="6"/>
  <c r="K36" i="6"/>
  <c r="K70" i="6"/>
  <c r="L87" i="6"/>
  <c r="H36" i="6"/>
  <c r="F37" i="7" s="1"/>
  <c r="H48" i="6"/>
  <c r="L26" i="6"/>
  <c r="L27" i="6"/>
  <c r="L20" i="6"/>
  <c r="L49" i="6"/>
  <c r="L16" i="6"/>
  <c r="L50" i="6"/>
  <c r="L90" i="6"/>
  <c r="K34" i="6"/>
  <c r="K45" i="6"/>
  <c r="I46" i="7" s="1"/>
  <c r="K84" i="6"/>
  <c r="K57" i="6"/>
  <c r="K54" i="6"/>
  <c r="K27" i="6"/>
  <c r="K91" i="6"/>
  <c r="K16" i="6"/>
  <c r="H32" i="6"/>
  <c r="F32" i="6"/>
  <c r="F69" i="6"/>
  <c r="F48" i="6"/>
  <c r="F30" i="6"/>
  <c r="F84" i="6"/>
  <c r="F29" i="6"/>
  <c r="F60" i="6"/>
  <c r="F90" i="6"/>
  <c r="F27" i="6"/>
  <c r="F49" i="6"/>
  <c r="F73" i="6"/>
  <c r="F62" i="6"/>
  <c r="F46" i="6"/>
  <c r="F89" i="6"/>
  <c r="F28" i="6"/>
  <c r="F54" i="6"/>
  <c r="F51" i="6"/>
  <c r="F58" i="6"/>
  <c r="F67" i="6"/>
  <c r="F35" i="6"/>
  <c r="D36" i="7" s="1"/>
  <c r="C41" i="31" s="1"/>
  <c r="F15" i="6"/>
  <c r="F82" i="6"/>
  <c r="D83" i="7" s="1"/>
  <c r="F13" i="6"/>
  <c r="F33" i="6"/>
  <c r="F87" i="6"/>
  <c r="F61" i="6"/>
  <c r="F31" i="6"/>
  <c r="F75" i="6"/>
  <c r="F34" i="6"/>
  <c r="F55" i="6"/>
  <c r="L62" i="6"/>
  <c r="L51" i="6"/>
  <c r="L84" i="6"/>
  <c r="L60" i="6"/>
  <c r="L41" i="6"/>
  <c r="L21" i="6"/>
  <c r="L76" i="6"/>
  <c r="L53" i="6"/>
  <c r="J54" i="7" s="1"/>
  <c r="L33" i="6"/>
  <c r="L14" i="6"/>
  <c r="L48" i="6"/>
  <c r="L91" i="6"/>
  <c r="L47" i="6"/>
  <c r="L74" i="6"/>
  <c r="L67" i="6"/>
  <c r="J68" i="7" s="1"/>
  <c r="L56" i="6"/>
  <c r="L64" i="6"/>
  <c r="L73" i="6"/>
  <c r="L85" i="6"/>
  <c r="K37" i="6"/>
  <c r="K29" i="6"/>
  <c r="K32" i="6"/>
  <c r="K44" i="6"/>
  <c r="K24" i="6"/>
  <c r="K80" i="6"/>
  <c r="K67" i="6"/>
  <c r="K35" i="6"/>
  <c r="K40" i="6"/>
  <c r="K86" i="6"/>
  <c r="K73" i="6"/>
  <c r="K41" i="6"/>
  <c r="K56" i="6"/>
  <c r="K71" i="6"/>
  <c r="K21" i="6"/>
  <c r="K90" i="6"/>
  <c r="K66" i="6"/>
  <c r="K76" i="6"/>
  <c r="I77" i="7" s="1"/>
  <c r="K93" i="6"/>
  <c r="K61" i="6"/>
  <c r="K82" i="6"/>
  <c r="I83" i="7" s="1"/>
  <c r="K62" i="6"/>
  <c r="K20" i="6"/>
  <c r="K58" i="6"/>
  <c r="L15" i="6"/>
  <c r="L36" i="6"/>
  <c r="L61" i="6"/>
  <c r="L77" i="6"/>
  <c r="J78" i="7" s="1"/>
  <c r="F83" i="6"/>
  <c r="F57" i="6"/>
  <c r="F23" i="6"/>
  <c r="L32" i="6"/>
  <c r="L37" i="6"/>
  <c r="L19" i="6"/>
  <c r="L69" i="6"/>
  <c r="L28" i="6"/>
  <c r="L58" i="6"/>
  <c r="L88" i="6"/>
  <c r="J89" i="7" s="1"/>
  <c r="L35" i="6"/>
  <c r="L66" i="6"/>
  <c r="L92" i="6"/>
  <c r="K31" i="6"/>
  <c r="K85" i="6"/>
  <c r="K39" i="6"/>
  <c r="K30" i="6"/>
  <c r="K49" i="6"/>
  <c r="I50" i="7" s="1"/>
  <c r="K89" i="6"/>
  <c r="K13" i="6"/>
  <c r="K83" i="6"/>
  <c r="K14" i="6"/>
  <c r="K60" i="6"/>
  <c r="K64" i="6"/>
  <c r="F68" i="6"/>
  <c r="F24" i="6"/>
  <c r="K69" i="6"/>
  <c r="F39" i="6"/>
  <c r="F50" i="6"/>
  <c r="K15" i="6"/>
  <c r="F21" i="6"/>
  <c r="F37" i="6"/>
  <c r="E81" i="6"/>
  <c r="E42" i="6"/>
  <c r="E90" i="6"/>
  <c r="E15" i="6"/>
  <c r="E52" i="6"/>
  <c r="E85" i="6"/>
  <c r="E89" i="6"/>
  <c r="E69" i="6"/>
  <c r="E47" i="6"/>
  <c r="C48" i="7" s="1"/>
  <c r="E16" i="6"/>
  <c r="E86" i="6"/>
  <c r="E84" i="6"/>
  <c r="E41" i="6"/>
  <c r="E59" i="6"/>
  <c r="E26" i="6"/>
  <c r="E39" i="6"/>
  <c r="E48" i="6"/>
  <c r="E61" i="6"/>
  <c r="E91" i="6"/>
  <c r="C92" i="7" s="1"/>
  <c r="P97" i="18" s="1"/>
  <c r="E68" i="6"/>
  <c r="E53" i="6"/>
  <c r="E17" i="6"/>
  <c r="E93" i="6"/>
  <c r="E77" i="6"/>
  <c r="C78" i="7" s="1"/>
  <c r="E25" i="6"/>
  <c r="E73" i="6"/>
  <c r="E78" i="6"/>
  <c r="E62" i="6"/>
  <c r="C63" i="7" s="1"/>
  <c r="P68" i="18" s="1"/>
  <c r="E30" i="6"/>
  <c r="E80" i="6"/>
  <c r="C81" i="7" s="1"/>
  <c r="E50" i="6"/>
  <c r="E75" i="6"/>
  <c r="J91" i="6"/>
  <c r="J25" i="6"/>
  <c r="J44" i="6"/>
  <c r="J18" i="6"/>
  <c r="J86" i="6"/>
  <c r="J30" i="6"/>
  <c r="J73" i="6"/>
  <c r="J34" i="6"/>
  <c r="H35" i="7" s="1"/>
  <c r="P40" i="33" s="1"/>
  <c r="J74" i="6"/>
  <c r="H75" i="7" s="1"/>
  <c r="J15" i="6"/>
  <c r="J60" i="6"/>
  <c r="J31" i="6"/>
  <c r="J40" i="6"/>
  <c r="J62" i="6"/>
  <c r="J26" i="6"/>
  <c r="J57" i="6"/>
  <c r="J28" i="6"/>
  <c r="J54" i="6"/>
  <c r="J88" i="6"/>
  <c r="J19" i="6"/>
  <c r="J66" i="6"/>
  <c r="J50" i="6"/>
  <c r="J64" i="6"/>
  <c r="J27" i="6"/>
  <c r="J52" i="6"/>
  <c r="J76" i="6"/>
  <c r="H77" i="7" s="1"/>
  <c r="J83" i="6"/>
  <c r="J71" i="6"/>
  <c r="J59" i="6"/>
  <c r="J49" i="6"/>
  <c r="J37" i="6"/>
  <c r="J24" i="6"/>
  <c r="J85" i="6"/>
  <c r="J21" i="6"/>
  <c r="J58" i="6"/>
  <c r="J84" i="6"/>
  <c r="J75" i="6"/>
  <c r="J55" i="6"/>
  <c r="J29" i="6"/>
  <c r="J16" i="6"/>
  <c r="J47" i="6"/>
  <c r="H48" i="7" s="1"/>
  <c r="J68" i="6"/>
  <c r="J14" i="6"/>
  <c r="J87" i="6"/>
  <c r="J93" i="6"/>
  <c r="J39" i="6"/>
  <c r="J70" i="6"/>
  <c r="J51" i="6"/>
  <c r="J35" i="6"/>
  <c r="J13" i="6"/>
  <c r="J45" i="6"/>
  <c r="J77" i="6"/>
  <c r="H46" i="6"/>
  <c r="H52" i="6"/>
  <c r="H20" i="6"/>
  <c r="H84" i="6"/>
  <c r="J65" i="6"/>
  <c r="H27" i="6"/>
  <c r="J56" i="6"/>
  <c r="H74" i="6"/>
  <c r="J20" i="6"/>
  <c r="AH19" i="5"/>
  <c r="H45" i="6"/>
  <c r="H39" i="6"/>
  <c r="H85" i="6"/>
  <c r="H66" i="6"/>
  <c r="H59" i="6"/>
  <c r="H49" i="6"/>
  <c r="H78" i="6"/>
  <c r="H15" i="6"/>
  <c r="H51" i="6"/>
  <c r="H19" i="6"/>
  <c r="H89" i="6"/>
  <c r="H77" i="6"/>
  <c r="H37" i="6"/>
  <c r="H44" i="6"/>
  <c r="H68" i="6"/>
  <c r="H35" i="6"/>
  <c r="H24" i="6"/>
  <c r="H16" i="6"/>
  <c r="H90" i="6"/>
  <c r="H58" i="6"/>
  <c r="H33" i="6"/>
  <c r="H25" i="6"/>
  <c r="H75" i="6"/>
  <c r="H23" i="6"/>
  <c r="H54" i="6"/>
  <c r="H61" i="6"/>
  <c r="F62" i="7" s="1"/>
  <c r="H56" i="6"/>
  <c r="H87" i="6"/>
  <c r="H17" i="6"/>
  <c r="H60" i="6"/>
  <c r="H28" i="6"/>
  <c r="H18" i="6"/>
  <c r="H82" i="6"/>
  <c r="H42" i="6"/>
  <c r="H13" i="6"/>
  <c r="H73" i="6"/>
  <c r="H83" i="6"/>
  <c r="H57" i="6"/>
  <c r="H50" i="6"/>
  <c r="H62" i="6"/>
  <c r="H88" i="6"/>
  <c r="H40" i="6"/>
  <c r="H93" i="6"/>
  <c r="H70" i="6"/>
  <c r="H29" i="6"/>
  <c r="H64" i="6"/>
  <c r="H65" i="6"/>
  <c r="J33" i="6"/>
  <c r="J61" i="6"/>
  <c r="J90" i="6"/>
  <c r="H81" i="6"/>
  <c r="H21" i="6"/>
  <c r="H92" i="6"/>
  <c r="H30" i="6"/>
  <c r="H31" i="6"/>
  <c r="J32" i="6"/>
  <c r="H47" i="6"/>
  <c r="H34" i="6"/>
  <c r="F35" i="7" s="1"/>
  <c r="C40" i="32" s="1"/>
  <c r="H41" i="6"/>
  <c r="H55" i="6"/>
  <c r="F66" i="6"/>
  <c r="F64" i="6"/>
  <c r="F81" i="6"/>
  <c r="F45" i="6"/>
  <c r="F70" i="6"/>
  <c r="D71" i="7" s="1"/>
  <c r="P76" i="31" s="1"/>
  <c r="F56" i="6"/>
  <c r="D57" i="7" s="1"/>
  <c r="P62" i="31" s="1"/>
  <c r="F74" i="6"/>
  <c r="F88" i="6"/>
  <c r="D89" i="7" s="1"/>
  <c r="C94" i="35" s="1"/>
  <c r="F47" i="6"/>
  <c r="F14" i="6"/>
  <c r="F71" i="6"/>
  <c r="F44" i="6"/>
  <c r="F16" i="6"/>
  <c r="F65" i="6"/>
  <c r="F42" i="6"/>
  <c r="F85" i="6"/>
  <c r="F52" i="6"/>
  <c r="F17" i="6"/>
  <c r="F80" i="6"/>
  <c r="F36" i="6"/>
  <c r="F40" i="6"/>
  <c r="F25" i="6"/>
  <c r="F76" i="6"/>
  <c r="E19" i="6"/>
  <c r="E56" i="6"/>
  <c r="E24" i="6"/>
  <c r="E40" i="6"/>
  <c r="E49" i="6"/>
  <c r="E32" i="6"/>
  <c r="E31" i="6"/>
  <c r="E71" i="6"/>
  <c r="E92" i="6"/>
  <c r="H69" i="6"/>
  <c r="J89" i="6"/>
  <c r="J48" i="6"/>
  <c r="J23" i="6"/>
  <c r="J81" i="6"/>
  <c r="J69" i="6"/>
  <c r="J36" i="6"/>
  <c r="O81" i="7"/>
  <c r="C86" i="37" s="1"/>
  <c r="L89" i="7"/>
  <c r="L45" i="7"/>
  <c r="O43" i="7"/>
  <c r="P48" i="37" s="1"/>
  <c r="O48" i="7"/>
  <c r="C53" i="37" s="1"/>
  <c r="F70" i="28"/>
  <c r="F74" i="28"/>
  <c r="F48" i="28"/>
  <c r="F71" i="28"/>
  <c r="F47" i="28"/>
  <c r="F28" i="28"/>
  <c r="F18" i="28"/>
  <c r="F27" i="28"/>
  <c r="F49" i="28"/>
  <c r="F50" i="28"/>
  <c r="F68" i="28"/>
  <c r="F43" i="28"/>
  <c r="F21" i="28"/>
  <c r="F69" i="28"/>
  <c r="F44" i="28"/>
  <c r="F22" i="28"/>
  <c r="F58" i="28"/>
  <c r="F33" i="28"/>
  <c r="F34" i="28"/>
  <c r="F84" i="28"/>
  <c r="F64" i="28"/>
  <c r="F37" i="28"/>
  <c r="F85" i="28"/>
  <c r="F65" i="28"/>
  <c r="F38" i="28"/>
  <c r="F88" i="28"/>
  <c r="F86" i="28"/>
  <c r="F87" i="28"/>
  <c r="F92" i="28"/>
  <c r="F80" i="28"/>
  <c r="F53" i="28"/>
  <c r="F31" i="28"/>
  <c r="F81" i="28"/>
  <c r="F54" i="28"/>
  <c r="F32" i="28"/>
  <c r="F90" i="28"/>
  <c r="F78" i="28"/>
  <c r="F41" i="28"/>
  <c r="F79" i="28"/>
  <c r="F42" i="28"/>
  <c r="F89" i="28"/>
  <c r="F76" i="28"/>
  <c r="F66" i="28"/>
  <c r="F51" i="28"/>
  <c r="F39" i="28"/>
  <c r="F29" i="28"/>
  <c r="F19" i="28"/>
  <c r="F77" i="28"/>
  <c r="F67" i="28"/>
  <c r="F52" i="28"/>
  <c r="F40" i="28"/>
  <c r="F30" i="28"/>
  <c r="F20" i="28"/>
  <c r="F15" i="28"/>
  <c r="F62" i="28"/>
  <c r="F25" i="28"/>
  <c r="F63" i="28"/>
  <c r="F26" i="28"/>
  <c r="F14" i="28"/>
  <c r="F82" i="28"/>
  <c r="F72" i="28"/>
  <c r="F55" i="28"/>
  <c r="F45" i="28"/>
  <c r="F35" i="28"/>
  <c r="F23" i="28"/>
  <c r="F83" i="28"/>
  <c r="F73" i="28"/>
  <c r="F56" i="28"/>
  <c r="F46" i="28"/>
  <c r="F36" i="28"/>
  <c r="F24" i="28"/>
  <c r="F57" i="28"/>
  <c r="F91" i="28"/>
  <c r="F59" i="28"/>
  <c r="F16" i="28"/>
  <c r="W13" i="18"/>
  <c r="K7" i="18"/>
  <c r="W7" i="18"/>
  <c r="F60" i="28"/>
  <c r="F61" i="28"/>
  <c r="F17" i="28"/>
  <c r="B19" i="35"/>
  <c r="K7" i="31"/>
  <c r="W7" i="31"/>
  <c r="K13" i="31"/>
  <c r="W13" i="31"/>
  <c r="K7" i="32"/>
  <c r="W7" i="32"/>
  <c r="K13" i="32"/>
  <c r="W13" i="32"/>
  <c r="K7" i="33"/>
  <c r="K13" i="33"/>
  <c r="E74" i="7"/>
  <c r="P79" i="35" s="1"/>
  <c r="E54" i="7"/>
  <c r="P59" i="35" s="1"/>
  <c r="E46" i="7"/>
  <c r="P51" i="35" s="1"/>
  <c r="E35" i="7"/>
  <c r="P40" i="35" s="1"/>
  <c r="O46" i="4"/>
  <c r="K7" i="34"/>
  <c r="W7" i="34"/>
  <c r="K13" i="34"/>
  <c r="W13" i="34"/>
  <c r="K7" i="35"/>
  <c r="K13" i="35"/>
  <c r="O73" i="7"/>
  <c r="P78" i="37" s="1"/>
  <c r="J48" i="7"/>
  <c r="O52" i="7"/>
  <c r="C57" i="37" s="1"/>
  <c r="L77" i="7"/>
  <c r="G43" i="7"/>
  <c r="P48" i="34" s="1"/>
  <c r="K89" i="7"/>
  <c r="O89" i="7"/>
  <c r="P94" i="37" s="1"/>
  <c r="O79" i="7"/>
  <c r="C84" i="37" s="1"/>
  <c r="L37" i="7"/>
  <c r="O46" i="7"/>
  <c r="C51" i="37" s="1"/>
  <c r="G88" i="7"/>
  <c r="P93" i="34" s="1"/>
  <c r="L57" i="7"/>
  <c r="F65" i="7"/>
  <c r="P70" i="32" s="1"/>
  <c r="C75" i="7"/>
  <c r="C80" i="18" s="1"/>
  <c r="L74" i="7"/>
  <c r="O45" i="7"/>
  <c r="L72" i="7"/>
  <c r="I85" i="7"/>
  <c r="G92" i="7"/>
  <c r="P97" i="34" s="1"/>
  <c r="J92" i="7"/>
  <c r="K92" i="7"/>
  <c r="O92" i="7"/>
  <c r="P97" i="37" s="1"/>
  <c r="H76" i="7"/>
  <c r="P81" i="33" s="1"/>
  <c r="I49" i="7"/>
  <c r="L49" i="7"/>
  <c r="J81" i="7"/>
  <c r="F81" i="7"/>
  <c r="D81" i="7"/>
  <c r="C86" i="31" s="1"/>
  <c r="H81" i="7"/>
  <c r="C54" i="7"/>
  <c r="W13" i="35"/>
  <c r="W7" i="36"/>
  <c r="W13" i="36"/>
  <c r="W7" i="37"/>
  <c r="W13" i="37"/>
  <c r="K7" i="36"/>
  <c r="K13" i="36"/>
  <c r="C53" i="32"/>
  <c r="C97" i="37"/>
  <c r="P20" i="40"/>
  <c r="C20" i="40"/>
  <c r="P24" i="40"/>
  <c r="C24" i="40"/>
  <c r="P29" i="40"/>
  <c r="C29" i="40"/>
  <c r="P31" i="40"/>
  <c r="C31" i="40"/>
  <c r="P33" i="40"/>
  <c r="C33" i="40"/>
  <c r="P37" i="40"/>
  <c r="C37" i="40"/>
  <c r="P39" i="40"/>
  <c r="C39" i="40"/>
  <c r="P41" i="40"/>
  <c r="C41" i="40"/>
  <c r="P45" i="40"/>
  <c r="C45" i="40"/>
  <c r="P47" i="40"/>
  <c r="C47" i="40"/>
  <c r="P49" i="40"/>
  <c r="C49" i="40"/>
  <c r="P53" i="40"/>
  <c r="C53" i="40"/>
  <c r="P55" i="40"/>
  <c r="C55" i="40"/>
  <c r="P57" i="40"/>
  <c r="C57" i="40"/>
  <c r="P60" i="40"/>
  <c r="C60" i="40"/>
  <c r="C62" i="40"/>
  <c r="P64" i="40"/>
  <c r="C64" i="40"/>
  <c r="P66" i="40"/>
  <c r="C66" i="40"/>
  <c r="P68" i="40"/>
  <c r="C68" i="40"/>
  <c r="C70" i="40"/>
  <c r="P72" i="40"/>
  <c r="C72" i="40"/>
  <c r="P74" i="40"/>
  <c r="C74" i="40"/>
  <c r="P76" i="40"/>
  <c r="C76" i="40"/>
  <c r="C78" i="40"/>
  <c r="P80" i="40"/>
  <c r="C80" i="40"/>
  <c r="P82" i="40"/>
  <c r="C82" i="40"/>
  <c r="P84" i="40"/>
  <c r="C84" i="40"/>
  <c r="C86" i="40"/>
  <c r="P88" i="40"/>
  <c r="C88" i="40"/>
  <c r="P90" i="40"/>
  <c r="C90" i="40"/>
  <c r="P93" i="40"/>
  <c r="C93" i="40"/>
  <c r="P95" i="40"/>
  <c r="C95" i="40"/>
  <c r="P97" i="40"/>
  <c r="C97" i="40"/>
  <c r="C99" i="40"/>
  <c r="P51" i="37"/>
  <c r="P57" i="37"/>
  <c r="C19" i="40"/>
  <c r="P21" i="40"/>
  <c r="C21" i="40"/>
  <c r="P23" i="40"/>
  <c r="C23" i="40"/>
  <c r="P25" i="40"/>
  <c r="C25" i="40"/>
  <c r="P26" i="40"/>
  <c r="C26" i="40"/>
  <c r="P28" i="40"/>
  <c r="C28" i="40"/>
  <c r="C30" i="40"/>
  <c r="P32" i="40"/>
  <c r="C32" i="40"/>
  <c r="P34" i="40"/>
  <c r="C34" i="40"/>
  <c r="P36" i="40"/>
  <c r="C36" i="40"/>
  <c r="C38" i="40"/>
  <c r="P40" i="40"/>
  <c r="C40" i="40"/>
  <c r="P42" i="40"/>
  <c r="C42" i="40"/>
  <c r="P44" i="40"/>
  <c r="C44" i="40"/>
  <c r="C46" i="40"/>
  <c r="P48" i="40"/>
  <c r="C48" i="40"/>
  <c r="P50" i="40"/>
  <c r="C50" i="40"/>
  <c r="P52" i="40"/>
  <c r="C52" i="40"/>
  <c r="C54" i="40"/>
  <c r="P56" i="40"/>
  <c r="C56" i="40"/>
  <c r="P58" i="40"/>
  <c r="C58" i="40"/>
  <c r="P61" i="40"/>
  <c r="C61" i="40"/>
  <c r="P63" i="40"/>
  <c r="C63" i="40"/>
  <c r="P65" i="40"/>
  <c r="C65" i="40"/>
  <c r="P69" i="40"/>
  <c r="C69" i="40"/>
  <c r="P71" i="40"/>
  <c r="C71" i="40"/>
  <c r="P73" i="40"/>
  <c r="C73" i="40"/>
  <c r="P77" i="40"/>
  <c r="C77" i="40"/>
  <c r="P79" i="40"/>
  <c r="C79" i="40"/>
  <c r="P81" i="40"/>
  <c r="C81" i="40"/>
  <c r="P85" i="40"/>
  <c r="C85" i="40"/>
  <c r="P87" i="40"/>
  <c r="C87" i="40"/>
  <c r="P89" i="40"/>
  <c r="C89" i="40"/>
  <c r="P92" i="40"/>
  <c r="C92" i="40"/>
  <c r="P96" i="40"/>
  <c r="C96" i="40"/>
  <c r="P98" i="40"/>
  <c r="C98" i="40"/>
  <c r="F12" i="39"/>
  <c r="R16" i="4"/>
  <c r="O17" i="4"/>
  <c r="K6" i="32" s="1"/>
  <c r="W8" i="34"/>
  <c r="W6" i="36"/>
  <c r="W8" i="35"/>
  <c r="K8" i="33"/>
  <c r="K8" i="37"/>
  <c r="K12" i="37" s="1"/>
  <c r="W8" i="37"/>
  <c r="W10" i="35"/>
  <c r="K12" i="34"/>
  <c r="K9" i="34"/>
  <c r="K12" i="35"/>
  <c r="K9" i="37"/>
  <c r="W10" i="37"/>
  <c r="W12" i="37"/>
  <c r="W9" i="37"/>
  <c r="E19" i="35" l="1"/>
  <c r="R32" i="8"/>
  <c r="R29" i="8"/>
  <c r="B15" i="7"/>
  <c r="B20" i="33" s="1"/>
  <c r="B19" i="36"/>
  <c r="O19" i="32"/>
  <c r="O19" i="33"/>
  <c r="O19" i="40"/>
  <c r="O20" i="31"/>
  <c r="O19" i="34"/>
  <c r="B19" i="32"/>
  <c r="B19" i="18"/>
  <c r="B19" i="37"/>
  <c r="B19" i="31"/>
  <c r="O19" i="31"/>
  <c r="O19" i="36"/>
  <c r="O20" i="33"/>
  <c r="B16" i="7"/>
  <c r="B21" i="31" s="1"/>
  <c r="B19" i="33"/>
  <c r="O19" i="35"/>
  <c r="B19" i="40"/>
  <c r="B19" i="34"/>
  <c r="P97" i="31"/>
  <c r="C94" i="37"/>
  <c r="C40" i="33"/>
  <c r="P42" i="32"/>
  <c r="C42" i="32"/>
  <c r="R26" i="4"/>
  <c r="R15" i="4"/>
  <c r="S67" i="8"/>
  <c r="L79" i="7"/>
  <c r="H50" i="7"/>
  <c r="C55" i="33" s="1"/>
  <c r="O62" i="7"/>
  <c r="C67" i="37" s="1"/>
  <c r="E62" i="7"/>
  <c r="P67" i="35" s="1"/>
  <c r="AH16" i="5"/>
  <c r="H56" i="7"/>
  <c r="C74" i="7"/>
  <c r="P79" i="18" s="1"/>
  <c r="C62" i="7"/>
  <c r="P67" i="18" s="1"/>
  <c r="C43" i="7"/>
  <c r="C48" i="18" s="1"/>
  <c r="J65" i="7"/>
  <c r="G45" i="7"/>
  <c r="P50" i="34" s="1"/>
  <c r="G85" i="7"/>
  <c r="P90" i="34" s="1"/>
  <c r="F36" i="7"/>
  <c r="P41" i="32" s="1"/>
  <c r="H96" i="8"/>
  <c r="H20" i="8"/>
  <c r="L81" i="7"/>
  <c r="K10" i="37"/>
  <c r="C91" i="40"/>
  <c r="C83" i="40"/>
  <c r="C75" i="40"/>
  <c r="C51" i="40"/>
  <c r="C27" i="40"/>
  <c r="AH15" i="5"/>
  <c r="AH24" i="5"/>
  <c r="K73" i="7"/>
  <c r="K65" i="7"/>
  <c r="H74" i="7"/>
  <c r="P79" i="33" s="1"/>
  <c r="I57" i="7"/>
  <c r="H58" i="7"/>
  <c r="C63" i="33" s="1"/>
  <c r="W13" i="40"/>
  <c r="K13" i="40"/>
  <c r="C94" i="40"/>
  <c r="C67" i="40"/>
  <c r="C59" i="40"/>
  <c r="C43" i="40"/>
  <c r="C35" i="40"/>
  <c r="C22" i="40"/>
  <c r="C78" i="37"/>
  <c r="O74" i="7"/>
  <c r="K75" i="7"/>
  <c r="K56" i="7"/>
  <c r="F57" i="7"/>
  <c r="C62" i="32" s="1"/>
  <c r="D79" i="7"/>
  <c r="C84" i="31" s="1"/>
  <c r="P53" i="32"/>
  <c r="K48" i="7"/>
  <c r="H73" i="7"/>
  <c r="C78" i="33" s="1"/>
  <c r="O56" i="7"/>
  <c r="C57" i="7"/>
  <c r="C62" i="18" s="1"/>
  <c r="D48" i="7"/>
  <c r="C53" i="35" s="1"/>
  <c r="K63" i="7"/>
  <c r="H39" i="7"/>
  <c r="C44" i="33" s="1"/>
  <c r="J55" i="7"/>
  <c r="F83" i="7"/>
  <c r="C88" i="34" s="1"/>
  <c r="R81" i="8"/>
  <c r="E82" i="33" s="1"/>
  <c r="L65" i="7"/>
  <c r="L56" i="7"/>
  <c r="L54" i="7"/>
  <c r="L48" i="7"/>
  <c r="E48" i="7"/>
  <c r="P53" i="35" s="1"/>
  <c r="E92" i="7"/>
  <c r="P97" i="35" s="1"/>
  <c r="G89" i="7"/>
  <c r="P94" i="34" s="1"/>
  <c r="P73" i="37"/>
  <c r="C73" i="37"/>
  <c r="L71" i="7"/>
  <c r="L63" i="7"/>
  <c r="E68" i="7"/>
  <c r="P73" i="35" s="1"/>
  <c r="E72" i="7"/>
  <c r="P77" i="35" s="1"/>
  <c r="G68" i="7"/>
  <c r="P73" i="34" s="1"/>
  <c r="P86" i="37"/>
  <c r="I78" i="7"/>
  <c r="I39" i="7"/>
  <c r="H47" i="7"/>
  <c r="C52" i="33" s="1"/>
  <c r="E83" i="7"/>
  <c r="P88" i="35" s="1"/>
  <c r="L47" i="7"/>
  <c r="C72" i="7"/>
  <c r="C77" i="18" s="1"/>
  <c r="D72" i="7"/>
  <c r="P77" i="31" s="1"/>
  <c r="F63" i="7"/>
  <c r="C68" i="32" s="1"/>
  <c r="F78" i="7"/>
  <c r="J39" i="7"/>
  <c r="H83" i="7"/>
  <c r="C88" i="33" s="1"/>
  <c r="H42" i="7"/>
  <c r="C47" i="33" s="1"/>
  <c r="C71" i="7"/>
  <c r="P76" i="18" s="1"/>
  <c r="L78" i="7"/>
  <c r="K83" i="7"/>
  <c r="O72" i="7"/>
  <c r="C77" i="37" s="1"/>
  <c r="C70" i="32"/>
  <c r="J71" i="7"/>
  <c r="C39" i="7"/>
  <c r="P44" i="18" s="1"/>
  <c r="H68" i="7"/>
  <c r="J47" i="7"/>
  <c r="E47" i="7"/>
  <c r="P52" i="35" s="1"/>
  <c r="I71" i="7"/>
  <c r="F47" i="7"/>
  <c r="C52" i="32" s="1"/>
  <c r="H60" i="7"/>
  <c r="J83" i="7"/>
  <c r="K94" i="7"/>
  <c r="K78" i="7"/>
  <c r="K68" i="7"/>
  <c r="K51" i="7"/>
  <c r="K49" i="7"/>
  <c r="K45" i="7"/>
  <c r="K37" i="7"/>
  <c r="K35" i="7"/>
  <c r="G35" i="7"/>
  <c r="P40" i="34" s="1"/>
  <c r="G39" i="7"/>
  <c r="P44" i="34" s="1"/>
  <c r="G47" i="7"/>
  <c r="P52" i="34" s="1"/>
  <c r="G63" i="7"/>
  <c r="P68" i="34" s="1"/>
  <c r="G71" i="7"/>
  <c r="P76" i="34" s="1"/>
  <c r="G75" i="7"/>
  <c r="P80" i="34" s="1"/>
  <c r="G79" i="7"/>
  <c r="P84" i="34" s="1"/>
  <c r="C70" i="34"/>
  <c r="G78" i="7"/>
  <c r="P83" i="34" s="1"/>
  <c r="H72" i="7"/>
  <c r="D39" i="7"/>
  <c r="C44" i="31" s="1"/>
  <c r="O71" i="7"/>
  <c r="P76" i="37" s="1"/>
  <c r="C68" i="7"/>
  <c r="P73" i="18" s="1"/>
  <c r="O47" i="7"/>
  <c r="O40" i="7"/>
  <c r="P45" i="37" s="1"/>
  <c r="O78" i="7"/>
  <c r="I63" i="7"/>
  <c r="J63" i="7"/>
  <c r="D63" i="7"/>
  <c r="C68" i="35" s="1"/>
  <c r="C73" i="7"/>
  <c r="C78" i="18" s="1"/>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C45" i="32"/>
  <c r="P45" i="32"/>
  <c r="C48" i="37"/>
  <c r="J82" i="7"/>
  <c r="O50" i="7"/>
  <c r="E82" i="7"/>
  <c r="P87" i="35" s="1"/>
  <c r="F58" i="7"/>
  <c r="C63" i="34" s="1"/>
  <c r="H40" i="7"/>
  <c r="P45" i="33" s="1"/>
  <c r="D37" i="7"/>
  <c r="C42" i="35" s="1"/>
  <c r="I37" i="7"/>
  <c r="L88" i="7"/>
  <c r="C88" i="7"/>
  <c r="C93" i="18" s="1"/>
  <c r="E52" i="7"/>
  <c r="P57" i="35" s="1"/>
  <c r="I52" i="7"/>
  <c r="O35" i="7"/>
  <c r="J35" i="7"/>
  <c r="G77" i="7"/>
  <c r="P82" i="34" s="1"/>
  <c r="J77" i="7"/>
  <c r="C77" i="7"/>
  <c r="C82" i="18" s="1"/>
  <c r="C35" i="7"/>
  <c r="P40" i="18" s="1"/>
  <c r="K88" i="7"/>
  <c r="L52" i="7"/>
  <c r="L50" i="7"/>
  <c r="L46" i="7"/>
  <c r="L40" i="7"/>
  <c r="G40" i="7"/>
  <c r="P45" i="34" s="1"/>
  <c r="G52" i="7"/>
  <c r="P57" i="34" s="1"/>
  <c r="P53" i="37"/>
  <c r="C86" i="33"/>
  <c r="P86" i="33"/>
  <c r="H85" i="7"/>
  <c r="P90" i="33" s="1"/>
  <c r="P77" i="37"/>
  <c r="F45" i="7"/>
  <c r="P50" i="32" s="1"/>
  <c r="J88" i="7"/>
  <c r="K46" i="7"/>
  <c r="J37" i="7"/>
  <c r="F50" i="7"/>
  <c r="P55" i="32" s="1"/>
  <c r="O77" i="7"/>
  <c r="P82" i="37" s="1"/>
  <c r="H37" i="7"/>
  <c r="C42" i="33" s="1"/>
  <c r="L85" i="7"/>
  <c r="C37" i="7"/>
  <c r="C42" i="18" s="1"/>
  <c r="I58" i="7"/>
  <c r="I73" i="7"/>
  <c r="G49" i="7"/>
  <c r="P54" i="34" s="1"/>
  <c r="O49" i="7"/>
  <c r="C54" i="37" s="1"/>
  <c r="J43" i="7"/>
  <c r="F43" i="7"/>
  <c r="K77" i="7"/>
  <c r="K54" i="7"/>
  <c r="K52" i="7"/>
  <c r="K40" i="7"/>
  <c r="E45" i="7"/>
  <c r="P50" i="35" s="1"/>
  <c r="E57" i="7"/>
  <c r="P62" i="35" s="1"/>
  <c r="E77" i="7"/>
  <c r="P82" i="35" s="1"/>
  <c r="G65" i="7"/>
  <c r="P70" i="34" s="1"/>
  <c r="P84" i="37"/>
  <c r="C45" i="34"/>
  <c r="F82" i="7"/>
  <c r="H54" i="7"/>
  <c r="P59" i="33" s="1"/>
  <c r="C49" i="7"/>
  <c r="C54" i="18" s="1"/>
  <c r="O85" i="7"/>
  <c r="P90" i="37" s="1"/>
  <c r="L75" i="7"/>
  <c r="C56" i="7"/>
  <c r="H57" i="7"/>
  <c r="C62" i="33" s="1"/>
  <c r="L62" i="7"/>
  <c r="O88" i="7"/>
  <c r="H46" i="7"/>
  <c r="C51" i="33" s="1"/>
  <c r="G46" i="7"/>
  <c r="P51" i="34" s="1"/>
  <c r="G37" i="7"/>
  <c r="P42" i="34" s="1"/>
  <c r="G50" i="7"/>
  <c r="P55" i="34" s="1"/>
  <c r="F77" i="7"/>
  <c r="C82" i="34" s="1"/>
  <c r="H88" i="7"/>
  <c r="J46" i="7"/>
  <c r="L73" i="7"/>
  <c r="E43" i="7"/>
  <c r="P48" i="35" s="1"/>
  <c r="E85" i="7"/>
  <c r="P90" i="35" s="1"/>
  <c r="K50" i="7"/>
  <c r="J85" i="7"/>
  <c r="K85" i="7"/>
  <c r="D77" i="7"/>
  <c r="P82" i="31" s="1"/>
  <c r="F56" i="7"/>
  <c r="C61" i="32" s="1"/>
  <c r="F74" i="7"/>
  <c r="C79" i="34" s="1"/>
  <c r="F88" i="7"/>
  <c r="C93" i="32" s="1"/>
  <c r="F38" i="7"/>
  <c r="P43" i="32" s="1"/>
  <c r="F52" i="7"/>
  <c r="C57" i="34" s="1"/>
  <c r="F75" i="7"/>
  <c r="C80" i="32" s="1"/>
  <c r="F85" i="7"/>
  <c r="C90" i="32" s="1"/>
  <c r="H52" i="7"/>
  <c r="C40" i="7"/>
  <c r="C45" i="18" s="1"/>
  <c r="D40" i="7"/>
  <c r="C45" i="35" s="1"/>
  <c r="I65" i="7"/>
  <c r="I40" i="7"/>
  <c r="I62" i="7"/>
  <c r="I45" i="7"/>
  <c r="J49" i="7"/>
  <c r="D56" i="7"/>
  <c r="P61" i="31" s="1"/>
  <c r="D50" i="7"/>
  <c r="C55" i="35" s="1"/>
  <c r="J40" i="7"/>
  <c r="E63" i="7"/>
  <c r="P68" i="35" s="1"/>
  <c r="O63" i="7"/>
  <c r="P68" i="37" s="1"/>
  <c r="F68" i="7"/>
  <c r="L68" i="7"/>
  <c r="F39" i="7"/>
  <c r="P44" i="32" s="1"/>
  <c r="E39" i="7"/>
  <c r="P44" i="35" s="1"/>
  <c r="L39" i="7"/>
  <c r="O39" i="7"/>
  <c r="C44" i="37" s="1"/>
  <c r="J87" i="7"/>
  <c r="L83" i="7"/>
  <c r="G83" i="7"/>
  <c r="P88" i="34" s="1"/>
  <c r="O83" i="7"/>
  <c r="F51" i="7"/>
  <c r="P56" i="32" s="1"/>
  <c r="H71" i="7"/>
  <c r="C76" i="33" s="1"/>
  <c r="H45" i="7"/>
  <c r="P50" i="33" s="1"/>
  <c r="C79" i="7"/>
  <c r="C84" i="18" s="1"/>
  <c r="J36" i="7"/>
  <c r="I74" i="7"/>
  <c r="I68" i="7"/>
  <c r="D52" i="7"/>
  <c r="C57" i="31" s="1"/>
  <c r="D47" i="7"/>
  <c r="P52" i="31" s="1"/>
  <c r="D54" i="7"/>
  <c r="C59" i="31" s="1"/>
  <c r="J73" i="7"/>
  <c r="J56" i="7"/>
  <c r="H43" i="7"/>
  <c r="P48" i="33" s="1"/>
  <c r="E50" i="7"/>
  <c r="P55" i="35" s="1"/>
  <c r="R52" i="8"/>
  <c r="Q53" i="18" s="1"/>
  <c r="H75" i="8"/>
  <c r="R79" i="8"/>
  <c r="Q80" i="33" s="1"/>
  <c r="R33" i="8"/>
  <c r="E34" i="37" s="1"/>
  <c r="H36" i="8"/>
  <c r="H37" i="8"/>
  <c r="R49" i="8"/>
  <c r="R57" i="8"/>
  <c r="Q58" i="36" s="1"/>
  <c r="R58" i="36" s="1"/>
  <c r="H76" i="8"/>
  <c r="R21" i="8"/>
  <c r="E22" i="32" s="1"/>
  <c r="R25" i="8"/>
  <c r="E26" i="33" s="1"/>
  <c r="R82" i="8"/>
  <c r="Q83" i="34" s="1"/>
  <c r="R98" i="8"/>
  <c r="E99" i="37" s="1"/>
  <c r="R26" i="8"/>
  <c r="E27" i="34" s="1"/>
  <c r="H30" i="8"/>
  <c r="R37" i="8"/>
  <c r="E38" i="40" s="1"/>
  <c r="Q82" i="36"/>
  <c r="R82" i="36" s="1"/>
  <c r="R97" i="8"/>
  <c r="R19" i="8"/>
  <c r="E20" i="31" s="1"/>
  <c r="H23" i="8"/>
  <c r="R68" i="8"/>
  <c r="E69" i="36" s="1"/>
  <c r="R83" i="8"/>
  <c r="E84" i="31" s="1"/>
  <c r="H91" i="8"/>
  <c r="H39" i="8"/>
  <c r="H41" i="8"/>
  <c r="R51" i="8"/>
  <c r="E52" i="37" s="1"/>
  <c r="H56" i="8"/>
  <c r="R63" i="8"/>
  <c r="E64" i="36" s="1"/>
  <c r="R65" i="8"/>
  <c r="Q66" i="32" s="1"/>
  <c r="R67" i="8"/>
  <c r="E68" i="34" s="1"/>
  <c r="H69" i="8"/>
  <c r="R71" i="8"/>
  <c r="Q72" i="33" s="1"/>
  <c r="H73" i="8"/>
  <c r="R75" i="8"/>
  <c r="E76" i="18" s="1"/>
  <c r="H79" i="8"/>
  <c r="H82" i="8"/>
  <c r="H84" i="8"/>
  <c r="H86" i="8"/>
  <c r="H90" i="8"/>
  <c r="H92" i="8"/>
  <c r="R23" i="8"/>
  <c r="E24" i="18" s="1"/>
  <c r="Q82" i="18"/>
  <c r="R69" i="8"/>
  <c r="E70" i="33" s="1"/>
  <c r="R73" i="8"/>
  <c r="R55" i="8"/>
  <c r="H55" i="8"/>
  <c r="R59" i="8"/>
  <c r="Q60" i="40" s="1"/>
  <c r="H59" i="8"/>
  <c r="E82" i="18"/>
  <c r="Q82" i="37"/>
  <c r="H77" i="8"/>
  <c r="R77" i="8"/>
  <c r="R93" i="8"/>
  <c r="Q94" i="35" s="1"/>
  <c r="H93" i="8"/>
  <c r="R39" i="8"/>
  <c r="H98" i="8"/>
  <c r="H22" i="8"/>
  <c r="E30" i="36"/>
  <c r="H43" i="8"/>
  <c r="H47" i="8"/>
  <c r="H54" i="8"/>
  <c r="R61" i="8"/>
  <c r="H65" i="8"/>
  <c r="H68" i="8"/>
  <c r="H72" i="8"/>
  <c r="R87" i="8"/>
  <c r="E88" i="31" s="1"/>
  <c r="R91" i="8"/>
  <c r="Q92" i="40" s="1"/>
  <c r="E36" i="36"/>
  <c r="R85" i="8"/>
  <c r="H85" i="8"/>
  <c r="R89" i="8"/>
  <c r="R27" i="8"/>
  <c r="R53" i="8"/>
  <c r="H53" i="8"/>
  <c r="H87" i="8"/>
  <c r="I88" i="7"/>
  <c r="P79" i="32"/>
  <c r="C83" i="34"/>
  <c r="P83" i="32"/>
  <c r="C67" i="32"/>
  <c r="P67" i="32"/>
  <c r="C67" i="34"/>
  <c r="C62" i="34"/>
  <c r="P52" i="32"/>
  <c r="C42" i="34"/>
  <c r="F46" i="7"/>
  <c r="E56" i="7"/>
  <c r="P61" i="35" s="1"/>
  <c r="O62" i="6"/>
  <c r="M63" i="7" s="1"/>
  <c r="O74" i="6"/>
  <c r="M75" i="7" s="1"/>
  <c r="O23" i="6"/>
  <c r="P61" i="33"/>
  <c r="C61" i="33"/>
  <c r="P82" i="33"/>
  <c r="C82" i="33"/>
  <c r="P88" i="33"/>
  <c r="O89" i="6"/>
  <c r="M90" i="7" s="1"/>
  <c r="O76" i="6"/>
  <c r="M77" i="7" s="1"/>
  <c r="P78" i="33"/>
  <c r="O82" i="6"/>
  <c r="M83" i="7" s="1"/>
  <c r="O30" i="6"/>
  <c r="O24" i="6"/>
  <c r="P24" i="6" s="1"/>
  <c r="O83" i="6"/>
  <c r="P83" i="6" s="1"/>
  <c r="O42" i="6"/>
  <c r="M43" i="7" s="1"/>
  <c r="O72" i="6"/>
  <c r="M73" i="7" s="1"/>
  <c r="D49" i="7"/>
  <c r="P54" i="31" s="1"/>
  <c r="P21" i="6"/>
  <c r="C88" i="31"/>
  <c r="P88" i="31"/>
  <c r="C88" i="35"/>
  <c r="D65" i="7"/>
  <c r="C70" i="31" s="1"/>
  <c r="O88" i="6"/>
  <c r="M89" i="7" s="1"/>
  <c r="O50" i="6"/>
  <c r="P50" i="6" s="1"/>
  <c r="O20" i="6"/>
  <c r="O14" i="6"/>
  <c r="C97" i="31"/>
  <c r="O64" i="6"/>
  <c r="M65" i="7" s="1"/>
  <c r="O31" i="6"/>
  <c r="O49" i="6"/>
  <c r="M50" i="7" s="1"/>
  <c r="P62" i="18"/>
  <c r="C67" i="18"/>
  <c r="P23" i="6"/>
  <c r="P8" i="6"/>
  <c r="O61" i="6"/>
  <c r="P61" i="6" s="1"/>
  <c r="O43" i="6"/>
  <c r="M44" i="7" s="1"/>
  <c r="O38" i="6"/>
  <c r="M39" i="7" s="1"/>
  <c r="O59" i="6"/>
  <c r="P59" i="6" s="1"/>
  <c r="O78" i="6"/>
  <c r="P78" i="6" s="1"/>
  <c r="O16" i="6"/>
  <c r="O90" i="6"/>
  <c r="P90" i="6" s="1"/>
  <c r="O47" i="6"/>
  <c r="M48" i="7" s="1"/>
  <c r="O52" i="6"/>
  <c r="P52" i="6" s="1"/>
  <c r="O32" i="6"/>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O13" i="6"/>
  <c r="O25" i="6"/>
  <c r="O39" i="6"/>
  <c r="P39" i="6" s="1"/>
  <c r="O56" i="6"/>
  <c r="M57" i="7" s="1"/>
  <c r="O53" i="6"/>
  <c r="M54" i="7" s="1"/>
  <c r="O37" i="6"/>
  <c r="M38" i="7" s="1"/>
  <c r="O29" i="6"/>
  <c r="P29" i="6" s="1"/>
  <c r="O15" i="6"/>
  <c r="O41" i="6"/>
  <c r="M42" i="7" s="1"/>
  <c r="O65" i="6"/>
  <c r="M66" i="7" s="1"/>
  <c r="O71" i="6"/>
  <c r="P71" i="6" s="1"/>
  <c r="O68" i="6"/>
  <c r="P68" i="6" s="1"/>
  <c r="O45" i="6"/>
  <c r="M46" i="7" s="1"/>
  <c r="O28" i="6"/>
  <c r="O75" i="6"/>
  <c r="P75" i="6" s="1"/>
  <c r="C88" i="18"/>
  <c r="P86" i="18"/>
  <c r="C86" i="18"/>
  <c r="C50" i="7"/>
  <c r="C55" i="18" s="1"/>
  <c r="O19" i="6"/>
  <c r="P19" i="6" s="1"/>
  <c r="O58" i="6"/>
  <c r="M59" i="7" s="1"/>
  <c r="O27" i="6"/>
  <c r="O67" i="6"/>
  <c r="M68" i="7" s="1"/>
  <c r="O69" i="6"/>
  <c r="M70" i="7" s="1"/>
  <c r="O92" i="6"/>
  <c r="M93" i="7" s="1"/>
  <c r="O44" i="6"/>
  <c r="M45" i="7" s="1"/>
  <c r="O93" i="6"/>
  <c r="P93" i="6" s="1"/>
  <c r="O35" i="6"/>
  <c r="P35" i="6" s="1"/>
  <c r="O79" i="6"/>
  <c r="P79" i="6" s="1"/>
  <c r="O63" i="6"/>
  <c r="M64" i="7" s="1"/>
  <c r="P72" i="6"/>
  <c r="C59" i="18"/>
  <c r="P59" i="18"/>
  <c r="P65" i="33"/>
  <c r="C65" i="33"/>
  <c r="C55" i="31"/>
  <c r="F87" i="7"/>
  <c r="P92" i="32" s="1"/>
  <c r="G87" i="7"/>
  <c r="P92" i="34" s="1"/>
  <c r="O87" i="7"/>
  <c r="E87" i="7"/>
  <c r="P92" i="35" s="1"/>
  <c r="L87" i="7"/>
  <c r="H87" i="7"/>
  <c r="P92" i="33" s="1"/>
  <c r="D87" i="7"/>
  <c r="K87" i="7"/>
  <c r="G91" i="7"/>
  <c r="P96" i="34" s="1"/>
  <c r="F91" i="7"/>
  <c r="C96" i="32" s="1"/>
  <c r="L91" i="7"/>
  <c r="H91" i="7"/>
  <c r="D91" i="7"/>
  <c r="P96" i="31" s="1"/>
  <c r="J91" i="7"/>
  <c r="K76" i="7"/>
  <c r="L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L59" i="7"/>
  <c r="F59" i="7"/>
  <c r="G59" i="7"/>
  <c r="P64" i="34" s="1"/>
  <c r="O59" i="7"/>
  <c r="D59" i="7"/>
  <c r="C59" i="7"/>
  <c r="H59" i="7"/>
  <c r="P64" i="33" s="1"/>
  <c r="L34" i="7"/>
  <c r="K34" i="7"/>
  <c r="H34" i="7"/>
  <c r="C39" i="33" s="1"/>
  <c r="C34" i="7"/>
  <c r="C39" i="18" s="1"/>
  <c r="D34" i="7"/>
  <c r="P39" i="31" s="1"/>
  <c r="J34" i="7"/>
  <c r="E34" i="7"/>
  <c r="P39" i="35" s="1"/>
  <c r="F34" i="7"/>
  <c r="C39" i="34" s="1"/>
  <c r="P83" i="31"/>
  <c r="C83" i="31"/>
  <c r="G34" i="7"/>
  <c r="P39" i="34" s="1"/>
  <c r="I59" i="7"/>
  <c r="C50" i="37"/>
  <c r="P50" i="37"/>
  <c r="G84" i="7"/>
  <c r="P89" i="34" s="1"/>
  <c r="C87" i="7"/>
  <c r="K59"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O55" i="7"/>
  <c r="G55" i="7"/>
  <c r="P60" i="34" s="1"/>
  <c r="D55" i="7"/>
  <c r="C60" i="31" s="1"/>
  <c r="I55" i="7"/>
  <c r="E55" i="7"/>
  <c r="P60" i="35" s="1"/>
  <c r="K55" i="7"/>
  <c r="F55" i="7"/>
  <c r="L55" i="7"/>
  <c r="K60" i="7"/>
  <c r="E60" i="7"/>
  <c r="P65" i="35" s="1"/>
  <c r="G60" i="7"/>
  <c r="P65" i="34" s="1"/>
  <c r="I60" i="7"/>
  <c r="L60" i="7"/>
  <c r="O60"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E44" i="7"/>
  <c r="P49" i="35" s="1"/>
  <c r="O44" i="7"/>
  <c r="L44" i="7"/>
  <c r="F44" i="7"/>
  <c r="C49" i="32" s="1"/>
  <c r="G44" i="7"/>
  <c r="P49" i="34" s="1"/>
  <c r="H44" i="7"/>
  <c r="C49" i="33" s="1"/>
  <c r="C44" i="7"/>
  <c r="C49" i="18" s="1"/>
  <c r="D66" i="7"/>
  <c r="I66" i="7"/>
  <c r="J66" i="7"/>
  <c r="F66" i="7"/>
  <c r="K66" i="7"/>
  <c r="G66" i="7"/>
  <c r="P71" i="34" s="1"/>
  <c r="L66" i="7"/>
  <c r="H66" i="7"/>
  <c r="O66" i="7"/>
  <c r="E94" i="7"/>
  <c r="P99" i="35" s="1"/>
  <c r="I94" i="7"/>
  <c r="H94" i="7"/>
  <c r="M94" i="7"/>
  <c r="F94" i="7"/>
  <c r="K93" i="7"/>
  <c r="K67" i="7"/>
  <c r="K61" i="7"/>
  <c r="C82" i="31"/>
  <c r="G94" i="7"/>
  <c r="P99" i="34" s="1"/>
  <c r="O90" i="7"/>
  <c r="P54" i="37"/>
  <c r="C66" i="7"/>
  <c r="J61" i="7"/>
  <c r="O38" i="7"/>
  <c r="C38" i="7"/>
  <c r="O36" i="7"/>
  <c r="P41" i="37" s="1"/>
  <c r="P83" i="18"/>
  <c r="C83" i="18"/>
  <c r="C53" i="33"/>
  <c r="P53" i="33"/>
  <c r="I64" i="7"/>
  <c r="J67" i="7"/>
  <c r="C59" i="37"/>
  <c r="P59" i="37"/>
  <c r="F41" i="7"/>
  <c r="J41" i="7"/>
  <c r="I86" i="7"/>
  <c r="L90" i="7"/>
  <c r="C81" i="33"/>
  <c r="C77" i="33"/>
  <c r="P77" i="33"/>
  <c r="H55" i="7"/>
  <c r="C60" i="33" s="1"/>
  <c r="G70" i="7"/>
  <c r="P75" i="34" s="1"/>
  <c r="G53" i="7"/>
  <c r="P58" i="34" s="1"/>
  <c r="P70" i="37"/>
  <c r="C70" i="37"/>
  <c r="J44" i="7"/>
  <c r="C40" i="34"/>
  <c r="P40" i="32"/>
  <c r="O61" i="7"/>
  <c r="D41" i="7"/>
  <c r="O91" i="7"/>
  <c r="P53" i="18"/>
  <c r="C53" i="18"/>
  <c r="L67" i="7"/>
  <c r="E66" i="7"/>
  <c r="P71" i="35" s="1"/>
  <c r="C52" i="18"/>
  <c r="F64" i="7"/>
  <c r="O80" i="7"/>
  <c r="C78" i="31"/>
  <c r="C86" i="34"/>
  <c r="P86" i="32"/>
  <c r="C86" i="32"/>
  <c r="C62" i="35"/>
  <c r="C62" i="31"/>
  <c r="C51" i="7"/>
  <c r="J86" i="7"/>
  <c r="E37" i="7"/>
  <c r="P42" i="35" s="1"/>
  <c r="E40" i="7"/>
  <c r="P45" i="35" s="1"/>
  <c r="H89" i="7"/>
  <c r="C94" i="33" s="1"/>
  <c r="E89" i="7"/>
  <c r="P94" i="35" s="1"/>
  <c r="L92" i="7"/>
  <c r="I92" i="7"/>
  <c r="F92" i="7"/>
  <c r="E88" i="7"/>
  <c r="P93" i="35" s="1"/>
  <c r="D43" i="7"/>
  <c r="P48" i="31" s="1"/>
  <c r="I35" i="7"/>
  <c r="O37" i="7"/>
  <c r="D46" i="7"/>
  <c r="C51" i="31" s="1"/>
  <c r="F89" i="7"/>
  <c r="H67" i="7"/>
  <c r="C72" i="33" s="1"/>
  <c r="I90" i="7"/>
  <c r="D88" i="7"/>
  <c r="J60" i="7"/>
  <c r="E73" i="7"/>
  <c r="P78" i="35" s="1"/>
  <c r="G73" i="7"/>
  <c r="P78" i="34" s="1"/>
  <c r="F73" i="7"/>
  <c r="C93" i="7"/>
  <c r="F93" i="7"/>
  <c r="C98" i="32" s="1"/>
  <c r="F90" i="7"/>
  <c r="P95" i="32" s="1"/>
  <c r="I81" i="7"/>
  <c r="I34" i="7"/>
  <c r="D44" i="7"/>
  <c r="K64" i="7"/>
  <c r="P39" i="37"/>
  <c r="B20" i="32"/>
  <c r="O20" i="35"/>
  <c r="B20" i="40"/>
  <c r="O20" i="37"/>
  <c r="B20" i="36"/>
  <c r="O20" i="18"/>
  <c r="B20" i="37"/>
  <c r="B20" i="34"/>
  <c r="B20" i="31"/>
  <c r="O20" i="40"/>
  <c r="O20" i="32"/>
  <c r="O20" i="36"/>
  <c r="B20" i="35"/>
  <c r="O20" i="34"/>
  <c r="B20" i="18"/>
  <c r="P88" i="32"/>
  <c r="P54" i="18"/>
  <c r="P80" i="18"/>
  <c r="P84" i="31"/>
  <c r="C84" i="35"/>
  <c r="C80" i="33"/>
  <c r="P80" i="33"/>
  <c r="C95" i="32"/>
  <c r="C85" i="34"/>
  <c r="C8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E91" i="7"/>
  <c r="P96" i="35" s="1"/>
  <c r="K91" i="7"/>
  <c r="C91" i="7"/>
  <c r="P96" i="18" s="1"/>
  <c r="I91" i="7"/>
  <c r="R24" i="8"/>
  <c r="H24" i="8"/>
  <c r="H25" i="8"/>
  <c r="H26" i="8"/>
  <c r="R58" i="8"/>
  <c r="H58" i="8"/>
  <c r="H60" i="8"/>
  <c r="H61" i="8"/>
  <c r="R80" i="8"/>
  <c r="H80" i="8"/>
  <c r="H81" i="8"/>
  <c r="P53" i="31"/>
  <c r="C53" i="31"/>
  <c r="H78" i="7"/>
  <c r="D68" i="7"/>
  <c r="F54" i="7"/>
  <c r="D62" i="7"/>
  <c r="J62" i="7"/>
  <c r="K62" i="7"/>
  <c r="H62" i="7"/>
  <c r="J76" i="7"/>
  <c r="C76" i="7"/>
  <c r="P81" i="18" s="1"/>
  <c r="F76" i="7"/>
  <c r="C81" i="34" s="1"/>
  <c r="I76" i="7"/>
  <c r="D76" i="7"/>
  <c r="C81" i="31" s="1"/>
  <c r="F49" i="7"/>
  <c r="H49" i="7"/>
  <c r="P54" i="33" s="1"/>
  <c r="E49" i="7"/>
  <c r="P54" i="35" s="1"/>
  <c r="O57" i="7"/>
  <c r="K57" i="7"/>
  <c r="J57" i="7"/>
  <c r="C52" i="7"/>
  <c r="C89" i="7"/>
  <c r="C67" i="7"/>
  <c r="C55" i="7"/>
  <c r="AE29" i="5"/>
  <c r="H97" i="8"/>
  <c r="H18" i="8"/>
  <c r="H19" i="8"/>
  <c r="H32" i="8"/>
  <c r="H33" i="8"/>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K58" i="7"/>
  <c r="J58" i="7"/>
  <c r="E58" i="7"/>
  <c r="P63" i="35" s="1"/>
  <c r="D58" i="7"/>
  <c r="K43" i="7"/>
  <c r="K39" i="7"/>
  <c r="AH10" i="5"/>
  <c r="AH13" i="5"/>
  <c r="AH8" i="5"/>
  <c r="AH14" i="5"/>
  <c r="AH21" i="5"/>
  <c r="R86" i="8"/>
  <c r="R78" i="8"/>
  <c r="R90" i="8"/>
  <c r="R74" i="8"/>
  <c r="R64" i="8"/>
  <c r="R56" i="8"/>
  <c r="R48" i="8"/>
  <c r="R47" i="8"/>
  <c r="R46" i="8"/>
  <c r="R45" i="8"/>
  <c r="R44" i="8"/>
  <c r="R43" i="8"/>
  <c r="R42" i="8"/>
  <c r="R41" i="8"/>
  <c r="R40" i="8"/>
  <c r="R38" i="8"/>
  <c r="R30" i="8"/>
  <c r="R22" i="8"/>
  <c r="R94" i="8"/>
  <c r="C76" i="31"/>
  <c r="C76" i="35"/>
  <c r="H41" i="7"/>
  <c r="C90" i="7"/>
  <c r="K71" i="7"/>
  <c r="F71" i="7"/>
  <c r="P76" i="32" s="1"/>
  <c r="G69" i="7"/>
  <c r="P74" i="34" s="1"/>
  <c r="J69" i="7"/>
  <c r="M69" i="7"/>
  <c r="L69" i="7"/>
  <c r="D69" i="7"/>
  <c r="P74" i="31" s="1"/>
  <c r="C69" i="7"/>
  <c r="O69" i="7"/>
  <c r="D74" i="7"/>
  <c r="J74" i="7"/>
  <c r="I48" i="7"/>
  <c r="J45" i="7"/>
  <c r="C45" i="7"/>
  <c r="C50" i="18" s="1"/>
  <c r="D45" i="7"/>
  <c r="J52" i="7"/>
  <c r="F60" i="7"/>
  <c r="D60" i="7"/>
  <c r="C60" i="7"/>
  <c r="D85" i="7"/>
  <c r="C85" i="7"/>
  <c r="P90" i="18" s="1"/>
  <c r="J72" i="7"/>
  <c r="F72" i="7"/>
  <c r="K72" i="7"/>
  <c r="I72" i="7"/>
  <c r="I36" i="7"/>
  <c r="H36" i="7"/>
  <c r="C41" i="33" s="1"/>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W8" i="36"/>
  <c r="K8" i="36"/>
  <c r="W6" i="35"/>
  <c r="H10" i="39"/>
  <c r="R17" i="4"/>
  <c r="W8" i="18"/>
  <c r="K8" i="18"/>
  <c r="W9" i="34"/>
  <c r="W12" i="34"/>
  <c r="W10" i="34"/>
  <c r="K10" i="31"/>
  <c r="K12" i="31"/>
  <c r="K9" i="31"/>
  <c r="O21" i="34"/>
  <c r="O21" i="18"/>
  <c r="O21" i="37"/>
  <c r="B21" i="33"/>
  <c r="W12" i="33"/>
  <c r="W10" i="33"/>
  <c r="D12" i="39"/>
  <c r="W6" i="34"/>
  <c r="K9" i="18"/>
  <c r="P51" i="18"/>
  <c r="P93" i="32"/>
  <c r="P86" i="31"/>
  <c r="C71" i="35"/>
  <c r="C88" i="32"/>
  <c r="C83" i="32"/>
  <c r="P88" i="18"/>
  <c r="C86" i="35"/>
  <c r="C97" i="18"/>
  <c r="C64" i="33"/>
  <c r="C93" i="34"/>
  <c r="C68" i="18"/>
  <c r="P82" i="18"/>
  <c r="P90" i="32"/>
  <c r="C58" i="33"/>
  <c r="C94" i="31"/>
  <c r="P85" i="32"/>
  <c r="C63" i="37"/>
  <c r="P78" i="31"/>
  <c r="P68" i="32"/>
  <c r="P94" i="31"/>
  <c r="C90" i="34"/>
  <c r="P41" i="31"/>
  <c r="C41" i="35"/>
  <c r="P63" i="32"/>
  <c r="C63" i="32"/>
  <c r="E82" i="32" l="1"/>
  <c r="F82" i="33"/>
  <c r="H82" i="33" s="1"/>
  <c r="Q82" i="32"/>
  <c r="E36" i="32"/>
  <c r="E82" i="35"/>
  <c r="E36" i="40"/>
  <c r="F36" i="40" s="1"/>
  <c r="Q36" i="35"/>
  <c r="E36" i="35"/>
  <c r="Q84" i="40"/>
  <c r="R84" i="40" s="1"/>
  <c r="E36" i="34"/>
  <c r="E36" i="18"/>
  <c r="E82" i="31"/>
  <c r="F82" i="31" s="1"/>
  <c r="G82" i="31" s="1"/>
  <c r="Q36" i="18"/>
  <c r="Q20" i="32"/>
  <c r="Q36" i="37"/>
  <c r="E58" i="31"/>
  <c r="E34" i="40"/>
  <c r="F34" i="40" s="1"/>
  <c r="Q76" i="33"/>
  <c r="E96" i="31"/>
  <c r="E68" i="36"/>
  <c r="E35" i="40"/>
  <c r="F35" i="40" s="1"/>
  <c r="E52" i="33"/>
  <c r="Q96" i="33"/>
  <c r="Q96" i="40"/>
  <c r="R96" i="40" s="1"/>
  <c r="E83" i="32"/>
  <c r="F83" i="32" s="1"/>
  <c r="Q20" i="40"/>
  <c r="R20" i="40" s="1"/>
  <c r="E83" i="31"/>
  <c r="Q76" i="18"/>
  <c r="R76" i="18" s="1"/>
  <c r="E35" i="31"/>
  <c r="Q52" i="37"/>
  <c r="Q35" i="32"/>
  <c r="E52" i="34"/>
  <c r="E35" i="32"/>
  <c r="Q96" i="31"/>
  <c r="R96" i="31" s="1"/>
  <c r="Q35" i="34"/>
  <c r="E83" i="37"/>
  <c r="F83" i="37" s="1"/>
  <c r="H83" i="37" s="1"/>
  <c r="E35" i="33"/>
  <c r="Q96" i="32"/>
  <c r="Q35" i="36"/>
  <c r="R35" i="36" s="1"/>
  <c r="E96" i="34"/>
  <c r="F96" i="34" s="1"/>
  <c r="E96" i="36"/>
  <c r="E35" i="34"/>
  <c r="E36" i="37"/>
  <c r="E82" i="36"/>
  <c r="Q96" i="37"/>
  <c r="Q96" i="34"/>
  <c r="R96" i="34" s="1"/>
  <c r="E35" i="18"/>
  <c r="Q36" i="34"/>
  <c r="Q52" i="33"/>
  <c r="R52" i="33" s="1"/>
  <c r="T52" i="33" s="1"/>
  <c r="M37" i="7"/>
  <c r="C89" i="33"/>
  <c r="P55" i="33"/>
  <c r="C82" i="35"/>
  <c r="C76" i="18"/>
  <c r="P78" i="18"/>
  <c r="C45" i="33"/>
  <c r="P42" i="31"/>
  <c r="C41" i="34"/>
  <c r="B21" i="32"/>
  <c r="B21" i="18"/>
  <c r="O21" i="32"/>
  <c r="O21" i="33"/>
  <c r="O21" i="35"/>
  <c r="O21" i="40"/>
  <c r="B21" i="36"/>
  <c r="B21" i="35"/>
  <c r="B21" i="37"/>
  <c r="O21" i="36"/>
  <c r="P42" i="18"/>
  <c r="B21" i="40"/>
  <c r="B17" i="7"/>
  <c r="O21" i="31"/>
  <c r="B21" i="34"/>
  <c r="C42" i="31"/>
  <c r="C48" i="33"/>
  <c r="C41" i="32"/>
  <c r="C45" i="31"/>
  <c r="C50" i="32"/>
  <c r="P45" i="31"/>
  <c r="P48" i="18"/>
  <c r="P47" i="33"/>
  <c r="C50" i="33"/>
  <c r="C44" i="18"/>
  <c r="C39" i="32"/>
  <c r="P63" i="33"/>
  <c r="C59" i="33"/>
  <c r="C73" i="18"/>
  <c r="P51" i="33"/>
  <c r="C50" i="34"/>
  <c r="P41" i="33"/>
  <c r="P77" i="18"/>
  <c r="C48" i="35"/>
  <c r="P67" i="37"/>
  <c r="P44" i="33"/>
  <c r="C39" i="35"/>
  <c r="P80" i="32"/>
  <c r="C68" i="37"/>
  <c r="C52" i="31"/>
  <c r="P76" i="33"/>
  <c r="C82" i="37"/>
  <c r="F88" i="31"/>
  <c r="H88" i="31" s="1"/>
  <c r="E99" i="36"/>
  <c r="Q61" i="35"/>
  <c r="R61" i="35" s="1"/>
  <c r="T61" i="35" s="1"/>
  <c r="C80" i="34"/>
  <c r="M76" i="7"/>
  <c r="P55" i="31"/>
  <c r="P82" i="6"/>
  <c r="C79" i="18"/>
  <c r="C52" i="35"/>
  <c r="P62" i="32"/>
  <c r="C79" i="32"/>
  <c r="Q82" i="31"/>
  <c r="R82" i="31" s="1"/>
  <c r="Q82" i="40"/>
  <c r="R82" i="40" s="1"/>
  <c r="Q58" i="35"/>
  <c r="R58" i="35" s="1"/>
  <c r="S58" i="35" s="1"/>
  <c r="E76" i="31"/>
  <c r="E82" i="37"/>
  <c r="Q20" i="31"/>
  <c r="E82" i="34"/>
  <c r="E83" i="40"/>
  <c r="F83" i="40" s="1"/>
  <c r="E82" i="40"/>
  <c r="F82" i="40" s="1"/>
  <c r="Q34" i="40"/>
  <c r="R34" i="40" s="1"/>
  <c r="C77" i="35"/>
  <c r="C61" i="37"/>
  <c r="P61" i="37"/>
  <c r="F10" i="39"/>
  <c r="W6" i="18"/>
  <c r="Q83" i="33"/>
  <c r="P55" i="18"/>
  <c r="P76" i="6"/>
  <c r="C79" i="33"/>
  <c r="Q92" i="34"/>
  <c r="R92" i="34" s="1"/>
  <c r="Q82" i="35"/>
  <c r="R82" i="35" s="1"/>
  <c r="Q58" i="37"/>
  <c r="Q82" i="34"/>
  <c r="R82" i="34" s="1"/>
  <c r="Q82" i="33"/>
  <c r="R82" i="33" s="1"/>
  <c r="T82" i="33" s="1"/>
  <c r="E32" i="36"/>
  <c r="P79" i="37"/>
  <c r="C79" i="37"/>
  <c r="D10" i="39"/>
  <c r="W6" i="37"/>
  <c r="P73" i="33"/>
  <c r="C73" i="33"/>
  <c r="P68" i="31"/>
  <c r="C52" i="34"/>
  <c r="C52" i="37"/>
  <c r="P52" i="37"/>
  <c r="C69" i="18"/>
  <c r="C68" i="31"/>
  <c r="P44" i="31"/>
  <c r="P96" i="32"/>
  <c r="C61" i="34"/>
  <c r="C43" i="32"/>
  <c r="C61" i="31"/>
  <c r="C92" i="33"/>
  <c r="C56" i="34"/>
  <c r="C90" i="37"/>
  <c r="C56" i="32"/>
  <c r="P52" i="33"/>
  <c r="P42" i="33"/>
  <c r="C68" i="34"/>
  <c r="F68" i="34" s="1"/>
  <c r="P57" i="31"/>
  <c r="P44" i="37"/>
  <c r="P59" i="31"/>
  <c r="C44" i="35"/>
  <c r="C92" i="34"/>
  <c r="C82" i="32"/>
  <c r="F82" i="32" s="1"/>
  <c r="C39" i="31"/>
  <c r="C77" i="31"/>
  <c r="C55" i="32"/>
  <c r="C83" i="37"/>
  <c r="P83" i="37"/>
  <c r="R82" i="37"/>
  <c r="T82" i="37" s="1"/>
  <c r="P98" i="32"/>
  <c r="P49" i="33"/>
  <c r="C45" i="37"/>
  <c r="C76" i="37"/>
  <c r="Q35" i="33"/>
  <c r="E35" i="37"/>
  <c r="E69" i="34"/>
  <c r="E34" i="34"/>
  <c r="Q58" i="40"/>
  <c r="R58" i="40" s="1"/>
  <c r="Q96" i="35"/>
  <c r="R96" i="35" s="1"/>
  <c r="E96" i="33"/>
  <c r="E96" i="32"/>
  <c r="F96" i="32" s="1"/>
  <c r="E58" i="34"/>
  <c r="E68" i="18"/>
  <c r="Q35" i="40"/>
  <c r="R35" i="40" s="1"/>
  <c r="Q58" i="34"/>
  <c r="R58" i="34" s="1"/>
  <c r="E76" i="36"/>
  <c r="E72" i="18"/>
  <c r="E52" i="32"/>
  <c r="F52" i="32" s="1"/>
  <c r="E20" i="40"/>
  <c r="F20" i="40" s="1"/>
  <c r="Q35" i="18"/>
  <c r="Q35" i="35"/>
  <c r="E68" i="31"/>
  <c r="E35" i="35"/>
  <c r="Q96" i="36"/>
  <c r="R96" i="36" s="1"/>
  <c r="Q35" i="31"/>
  <c r="Q96" i="18"/>
  <c r="R96" i="18" s="1"/>
  <c r="S96" i="18" s="1"/>
  <c r="E96" i="40"/>
  <c r="F96" i="40" s="1"/>
  <c r="E35" i="36"/>
  <c r="Q76" i="36"/>
  <c r="R76" i="36" s="1"/>
  <c r="E96" i="35"/>
  <c r="Q20" i="33"/>
  <c r="E96" i="37"/>
  <c r="E61" i="18"/>
  <c r="Q70" i="36"/>
  <c r="R70" i="36" s="1"/>
  <c r="Q92" i="32"/>
  <c r="Q32" i="33"/>
  <c r="Q32" i="37"/>
  <c r="Q32" i="31"/>
  <c r="Q80" i="31"/>
  <c r="R80" i="31" s="1"/>
  <c r="E32" i="40"/>
  <c r="F32" i="40" s="1"/>
  <c r="Q53" i="33"/>
  <c r="R53" i="33" s="1"/>
  <c r="S53" i="33" s="1"/>
  <c r="Q61" i="31"/>
  <c r="R61" i="31" s="1"/>
  <c r="E94" i="32"/>
  <c r="Q61" i="40"/>
  <c r="R61" i="40" s="1"/>
  <c r="Q36" i="33"/>
  <c r="E36" i="33"/>
  <c r="Q36" i="40"/>
  <c r="R36" i="40" s="1"/>
  <c r="Q64" i="31"/>
  <c r="Q61" i="32"/>
  <c r="E61" i="37"/>
  <c r="E94" i="40"/>
  <c r="F94" i="40" s="1"/>
  <c r="Q80" i="34"/>
  <c r="R80" i="34" s="1"/>
  <c r="Q32" i="36"/>
  <c r="R32" i="36" s="1"/>
  <c r="E61" i="32"/>
  <c r="F61" i="32" s="1"/>
  <c r="E32" i="34"/>
  <c r="E32" i="31"/>
  <c r="Q64" i="36"/>
  <c r="R64" i="36" s="1"/>
  <c r="E61" i="36"/>
  <c r="Q69" i="32"/>
  <c r="Q61" i="33"/>
  <c r="R61" i="33" s="1"/>
  <c r="T61" i="33" s="1"/>
  <c r="Q61" i="36"/>
  <c r="R61" i="36" s="1"/>
  <c r="E32" i="32"/>
  <c r="E26" i="32"/>
  <c r="E61" i="33"/>
  <c r="Q32" i="35"/>
  <c r="E32" i="35"/>
  <c r="E61" i="31"/>
  <c r="Q61" i="18"/>
  <c r="Q61" i="34"/>
  <c r="R61" i="34" s="1"/>
  <c r="Q61" i="37"/>
  <c r="E52" i="40"/>
  <c r="F52" i="40" s="1"/>
  <c r="Q32" i="32"/>
  <c r="E61" i="35"/>
  <c r="E32" i="18"/>
  <c r="E61" i="34"/>
  <c r="Q32" i="18"/>
  <c r="E68" i="40"/>
  <c r="E32" i="37"/>
  <c r="Q32" i="40"/>
  <c r="R32" i="40" s="1"/>
  <c r="Q76" i="40"/>
  <c r="R76" i="40" s="1"/>
  <c r="E76" i="40"/>
  <c r="Q36" i="36"/>
  <c r="R36" i="36" s="1"/>
  <c r="Q36" i="31"/>
  <c r="E36" i="31"/>
  <c r="E22" i="35"/>
  <c r="E68" i="32"/>
  <c r="F68" i="32" s="1"/>
  <c r="Q52" i="35"/>
  <c r="R52" i="35" s="1"/>
  <c r="E20" i="34"/>
  <c r="E32" i="33"/>
  <c r="E22" i="40"/>
  <c r="E19" i="31"/>
  <c r="Q52" i="18"/>
  <c r="R52" i="18" s="1"/>
  <c r="Q52" i="40"/>
  <c r="R52" i="40" s="1"/>
  <c r="Q68" i="33"/>
  <c r="E68" i="35"/>
  <c r="F68" i="35" s="1"/>
  <c r="G68" i="35" s="1"/>
  <c r="Q68" i="36"/>
  <c r="R68" i="36" s="1"/>
  <c r="Q68" i="18"/>
  <c r="R68" i="18" s="1"/>
  <c r="E53" i="37"/>
  <c r="Q94" i="31"/>
  <c r="R94" i="31" s="1"/>
  <c r="T94" i="31" s="1"/>
  <c r="Q52" i="34"/>
  <c r="R52" i="34" s="1"/>
  <c r="Q68" i="32"/>
  <c r="Q68" i="31"/>
  <c r="Q68" i="34"/>
  <c r="R68" i="34" s="1"/>
  <c r="E76" i="37"/>
  <c r="F76" i="37" s="1"/>
  <c r="H76" i="37" s="1"/>
  <c r="Q76" i="31"/>
  <c r="R76" i="31" s="1"/>
  <c r="E76" i="34"/>
  <c r="Q22" i="35"/>
  <c r="E20" i="36"/>
  <c r="E52" i="36"/>
  <c r="Q20" i="34"/>
  <c r="E20" i="35"/>
  <c r="Q76" i="34"/>
  <c r="R76" i="34" s="1"/>
  <c r="E76" i="33"/>
  <c r="Q76" i="37"/>
  <c r="R76" i="37" s="1"/>
  <c r="S76" i="37" s="1"/>
  <c r="E22" i="31"/>
  <c r="Q52" i="31"/>
  <c r="R52" i="31" s="1"/>
  <c r="T52" i="31" s="1"/>
  <c r="Q20" i="18"/>
  <c r="Q20" i="35"/>
  <c r="E72" i="34"/>
  <c r="E22" i="36"/>
  <c r="E22" i="37"/>
  <c r="Q22" i="40"/>
  <c r="R22" i="40" s="1"/>
  <c r="Q68" i="40"/>
  <c r="R68" i="40" s="1"/>
  <c r="Q38" i="40"/>
  <c r="R38" i="40" s="1"/>
  <c r="E19" i="34"/>
  <c r="E94" i="36"/>
  <c r="E52" i="18"/>
  <c r="Q68" i="37"/>
  <c r="R68" i="37" s="1"/>
  <c r="T68" i="37" s="1"/>
  <c r="E68" i="33"/>
  <c r="Q76" i="32"/>
  <c r="E76" i="32"/>
  <c r="Q76" i="35"/>
  <c r="R76" i="35" s="1"/>
  <c r="T76" i="35" s="1"/>
  <c r="E76" i="35"/>
  <c r="E22" i="34"/>
  <c r="Q22" i="31"/>
  <c r="Q20" i="36"/>
  <c r="R20" i="36" s="1"/>
  <c r="E20" i="32"/>
  <c r="E20" i="18"/>
  <c r="E40" i="33"/>
  <c r="E40" i="40"/>
  <c r="F40" i="40" s="1"/>
  <c r="Q40" i="31"/>
  <c r="Q74" i="40"/>
  <c r="R74" i="40" s="1"/>
  <c r="E74" i="32"/>
  <c r="F74" i="32" s="1"/>
  <c r="Q74" i="36"/>
  <c r="R74" i="36" s="1"/>
  <c r="E70" i="40"/>
  <c r="F70" i="40" s="1"/>
  <c r="E70" i="37"/>
  <c r="Q66" i="33"/>
  <c r="Q66" i="34"/>
  <c r="R66" i="34" s="1"/>
  <c r="Q98" i="35"/>
  <c r="R98" i="35" s="1"/>
  <c r="Q98" i="32"/>
  <c r="Q53" i="40"/>
  <c r="R53" i="40" s="1"/>
  <c r="E53" i="40"/>
  <c r="F53" i="40" s="1"/>
  <c r="E53" i="31"/>
  <c r="E53" i="35"/>
  <c r="F53" i="35" s="1"/>
  <c r="Q53" i="32"/>
  <c r="Q53" i="36"/>
  <c r="R53" i="36" s="1"/>
  <c r="E53" i="34"/>
  <c r="F53" i="34" s="1"/>
  <c r="H53" i="34" s="1"/>
  <c r="E53" i="36"/>
  <c r="Q53" i="35"/>
  <c r="R53" i="35" s="1"/>
  <c r="T53" i="35" s="1"/>
  <c r="Q53" i="31"/>
  <c r="R53" i="31" s="1"/>
  <c r="Q53" i="34"/>
  <c r="R53" i="34" s="1"/>
  <c r="Q27" i="32"/>
  <c r="E74" i="36"/>
  <c r="Q84" i="33"/>
  <c r="R84" i="33" s="1"/>
  <c r="E53" i="18"/>
  <c r="E53" i="32"/>
  <c r="F53" i="32" s="1"/>
  <c r="E24" i="34"/>
  <c r="E24" i="36"/>
  <c r="Q24" i="18"/>
  <c r="E24" i="35"/>
  <c r="E72" i="31"/>
  <c r="Q72" i="40"/>
  <c r="R72" i="40" s="1"/>
  <c r="E72" i="36"/>
  <c r="E72" i="33"/>
  <c r="F72" i="33" s="1"/>
  <c r="Q72" i="34"/>
  <c r="R72" i="34" s="1"/>
  <c r="E72" i="40"/>
  <c r="F72" i="40" s="1"/>
  <c r="Q64" i="40"/>
  <c r="R64" i="40" s="1"/>
  <c r="Q64" i="34"/>
  <c r="R64" i="34" s="1"/>
  <c r="E64" i="37"/>
  <c r="E64" i="35"/>
  <c r="Q64" i="18"/>
  <c r="E64" i="32"/>
  <c r="E69" i="31"/>
  <c r="E69" i="18"/>
  <c r="E69" i="40"/>
  <c r="F69" i="40" s="1"/>
  <c r="E69" i="37"/>
  <c r="E99" i="34"/>
  <c r="E99" i="18"/>
  <c r="Q99" i="33"/>
  <c r="Q99" i="32"/>
  <c r="E83" i="35"/>
  <c r="Q83" i="37"/>
  <c r="Q83" i="36"/>
  <c r="R83" i="36" s="1"/>
  <c r="E83" i="36"/>
  <c r="Q83" i="32"/>
  <c r="E83" i="34"/>
  <c r="Q83" i="40"/>
  <c r="R83" i="40" s="1"/>
  <c r="Q83" i="35"/>
  <c r="R83" i="35" s="1"/>
  <c r="T83" i="35" s="1"/>
  <c r="Q83" i="31"/>
  <c r="R83" i="31" s="1"/>
  <c r="E58" i="36"/>
  <c r="E58" i="40"/>
  <c r="F58" i="40" s="1"/>
  <c r="E58" i="18"/>
  <c r="E58" i="32"/>
  <c r="E58" i="37"/>
  <c r="Q58" i="18"/>
  <c r="E34" i="32"/>
  <c r="Q34" i="31"/>
  <c r="E34" i="18"/>
  <c r="Q34" i="33"/>
  <c r="E34" i="36"/>
  <c r="Q34" i="32"/>
  <c r="Q69" i="33"/>
  <c r="Q53" i="37"/>
  <c r="R53" i="37" s="1"/>
  <c r="S53" i="37" s="1"/>
  <c r="Q83" i="18"/>
  <c r="R83" i="18" s="1"/>
  <c r="E83" i="18"/>
  <c r="Q69" i="40"/>
  <c r="R69" i="40" s="1"/>
  <c r="Q34" i="36"/>
  <c r="R34" i="36" s="1"/>
  <c r="Q58" i="31"/>
  <c r="R58" i="31" s="1"/>
  <c r="E58" i="35"/>
  <c r="E83" i="33"/>
  <c r="E53" i="33"/>
  <c r="Q58" i="32"/>
  <c r="Q72" i="18"/>
  <c r="E64" i="31"/>
  <c r="Q92" i="36"/>
  <c r="R92" i="36" s="1"/>
  <c r="E92" i="36"/>
  <c r="E92" i="31"/>
  <c r="E92" i="40"/>
  <c r="E92" i="32"/>
  <c r="E34" i="31"/>
  <c r="E80" i="18"/>
  <c r="E26" i="35"/>
  <c r="C93" i="37"/>
  <c r="P93" i="37"/>
  <c r="C87" i="34"/>
  <c r="C87" i="32"/>
  <c r="P81" i="32"/>
  <c r="P61" i="32"/>
  <c r="P91" i="32"/>
  <c r="P48" i="32"/>
  <c r="C48" i="34"/>
  <c r="C48" i="32"/>
  <c r="C58" i="35"/>
  <c r="C43" i="34"/>
  <c r="C98" i="34"/>
  <c r="P45" i="18"/>
  <c r="P93" i="18"/>
  <c r="C40" i="18"/>
  <c r="P84" i="18"/>
  <c r="P87" i="32"/>
  <c r="P57" i="32"/>
  <c r="R80" i="33"/>
  <c r="S80" i="33" s="1"/>
  <c r="C88" i="37"/>
  <c r="P88" i="37"/>
  <c r="P73" i="32"/>
  <c r="C73" i="32"/>
  <c r="C73" i="34"/>
  <c r="C40" i="37"/>
  <c r="P40" i="37"/>
  <c r="C44" i="34"/>
  <c r="C44" i="32"/>
  <c r="P55" i="37"/>
  <c r="C55" i="37"/>
  <c r="C57" i="35"/>
  <c r="C55" i="34"/>
  <c r="C57" i="32"/>
  <c r="C57" i="33"/>
  <c r="P57" i="33"/>
  <c r="P94" i="33"/>
  <c r="C49" i="34"/>
  <c r="C81" i="32"/>
  <c r="C90" i="33"/>
  <c r="C59" i="35"/>
  <c r="R53" i="18"/>
  <c r="T53" i="18" s="1"/>
  <c r="C54" i="31"/>
  <c r="C95" i="34"/>
  <c r="C61" i="35"/>
  <c r="P82" i="32"/>
  <c r="C96" i="34"/>
  <c r="P62" i="33"/>
  <c r="P93" i="33"/>
  <c r="C93" i="33"/>
  <c r="C61" i="18"/>
  <c r="P61" i="18"/>
  <c r="Q50" i="18"/>
  <c r="Q50" i="36"/>
  <c r="R50" i="36" s="1"/>
  <c r="Q50" i="32"/>
  <c r="Q50" i="31"/>
  <c r="Q50" i="40"/>
  <c r="R50" i="40" s="1"/>
  <c r="E50" i="36"/>
  <c r="Q50" i="34"/>
  <c r="R50" i="34" s="1"/>
  <c r="E50" i="40"/>
  <c r="Q50" i="37"/>
  <c r="R50" i="37" s="1"/>
  <c r="S50" i="37" s="1"/>
  <c r="E50" i="37"/>
  <c r="E50" i="18"/>
  <c r="F50" i="18" s="1"/>
  <c r="E50" i="31"/>
  <c r="Q50" i="33"/>
  <c r="R50" i="33" s="1"/>
  <c r="S50" i="33" s="1"/>
  <c r="Q50" i="35"/>
  <c r="R50" i="35" s="1"/>
  <c r="T50" i="35" s="1"/>
  <c r="E88" i="32"/>
  <c r="F88" i="32" s="1"/>
  <c r="Q26" i="36"/>
  <c r="R26" i="36" s="1"/>
  <c r="E50" i="32"/>
  <c r="F50" i="32" s="1"/>
  <c r="E62" i="40"/>
  <c r="E62" i="18"/>
  <c r="E62" i="33"/>
  <c r="E40" i="37"/>
  <c r="Q40" i="36"/>
  <c r="R40" i="36" s="1"/>
  <c r="Q40" i="18"/>
  <c r="R40" i="18" s="1"/>
  <c r="Q40" i="33"/>
  <c r="R40" i="33" s="1"/>
  <c r="S40" i="33" s="1"/>
  <c r="Q40" i="34"/>
  <c r="R40" i="34" s="1"/>
  <c r="E40" i="34"/>
  <c r="Q40" i="40"/>
  <c r="R40" i="40" s="1"/>
  <c r="E40" i="32"/>
  <c r="F40" i="32" s="1"/>
  <c r="E26" i="34"/>
  <c r="E26" i="36"/>
  <c r="Q26" i="37"/>
  <c r="Q26" i="35"/>
  <c r="Q26" i="33"/>
  <c r="E26" i="37"/>
  <c r="E26" i="40"/>
  <c r="F26" i="40" s="1"/>
  <c r="Q26" i="34"/>
  <c r="Q26" i="40"/>
  <c r="R26" i="40" s="1"/>
  <c r="E26" i="31"/>
  <c r="Q26" i="18"/>
  <c r="Q26" i="32"/>
  <c r="Q26" i="31"/>
  <c r="E26" i="18"/>
  <c r="Q80" i="35"/>
  <c r="R80" i="35" s="1"/>
  <c r="S80" i="35" s="1"/>
  <c r="Q80" i="18"/>
  <c r="R80" i="18" s="1"/>
  <c r="T80" i="18" s="1"/>
  <c r="E80" i="40"/>
  <c r="E80" i="33"/>
  <c r="Q80" i="32"/>
  <c r="E80" i="31"/>
  <c r="Q80" i="37"/>
  <c r="E80" i="36"/>
  <c r="E80" i="37"/>
  <c r="Q80" i="36"/>
  <c r="R80" i="36" s="1"/>
  <c r="E80" i="35"/>
  <c r="Q80" i="40"/>
  <c r="R80" i="40" s="1"/>
  <c r="E80" i="32"/>
  <c r="F80" i="32" s="1"/>
  <c r="E80" i="34"/>
  <c r="E50" i="35"/>
  <c r="E50" i="34"/>
  <c r="E50" i="33"/>
  <c r="E66" i="40"/>
  <c r="F66" i="40" s="1"/>
  <c r="E66" i="18"/>
  <c r="Q66" i="31"/>
  <c r="E66" i="31"/>
  <c r="E66" i="32"/>
  <c r="E66" i="35"/>
  <c r="E84" i="32"/>
  <c r="Q84" i="34"/>
  <c r="R84" i="34" s="1"/>
  <c r="E84" i="34"/>
  <c r="E84" i="33"/>
  <c r="Q84" i="35"/>
  <c r="R84" i="35" s="1"/>
  <c r="Q84" i="31"/>
  <c r="R84" i="31" s="1"/>
  <c r="Q84" i="18"/>
  <c r="E98" i="35"/>
  <c r="Q98" i="33"/>
  <c r="E98" i="32"/>
  <c r="F98" i="32" s="1"/>
  <c r="E98" i="37"/>
  <c r="E98" i="36"/>
  <c r="E98" i="40"/>
  <c r="Q98" i="37"/>
  <c r="E98" i="33"/>
  <c r="Q27" i="37"/>
  <c r="Q27" i="34"/>
  <c r="E27" i="37"/>
  <c r="E27" i="31"/>
  <c r="Q27" i="33"/>
  <c r="Q27" i="36"/>
  <c r="R27" i="36" s="1"/>
  <c r="Q27" i="18"/>
  <c r="E27" i="36"/>
  <c r="F82" i="35"/>
  <c r="H82" i="35" s="1"/>
  <c r="Q69" i="31"/>
  <c r="Q69" i="35"/>
  <c r="R69" i="35" s="1"/>
  <c r="S69" i="35" s="1"/>
  <c r="Q69" i="37"/>
  <c r="Q99" i="31"/>
  <c r="Q99" i="35"/>
  <c r="R99" i="35" s="1"/>
  <c r="S99" i="35" s="1"/>
  <c r="E99" i="35"/>
  <c r="E69" i="35"/>
  <c r="Q72" i="35"/>
  <c r="R72" i="35" s="1"/>
  <c r="Q72" i="36"/>
  <c r="R72" i="36" s="1"/>
  <c r="Q72" i="37"/>
  <c r="E72" i="37"/>
  <c r="E72" i="35"/>
  <c r="Q22" i="18"/>
  <c r="Q22" i="37"/>
  <c r="E22" i="18"/>
  <c r="E22" i="33"/>
  <c r="Q22" i="36"/>
  <c r="R22" i="36" s="1"/>
  <c r="Q64" i="37"/>
  <c r="E64" i="40"/>
  <c r="E64" i="33"/>
  <c r="E64" i="34"/>
  <c r="E99" i="33"/>
  <c r="Q58" i="33"/>
  <c r="R58" i="33" s="1"/>
  <c r="T58" i="33" s="1"/>
  <c r="E58" i="33"/>
  <c r="Q34" i="34"/>
  <c r="E34" i="35"/>
  <c r="Q34" i="18"/>
  <c r="E34" i="33"/>
  <c r="Q34" i="37"/>
  <c r="Q34" i="35"/>
  <c r="Q69" i="18"/>
  <c r="R69" i="18" s="1"/>
  <c r="Q69" i="34"/>
  <c r="R69" i="34" s="1"/>
  <c r="Q69" i="36"/>
  <c r="R69" i="36" s="1"/>
  <c r="T69" i="36" s="1"/>
  <c r="Q99" i="18"/>
  <c r="Q99" i="34"/>
  <c r="R99" i="34" s="1"/>
  <c r="Q72" i="31"/>
  <c r="Q72" i="32"/>
  <c r="E72" i="32"/>
  <c r="Q22" i="32"/>
  <c r="Q22" i="33"/>
  <c r="Q22" i="34"/>
  <c r="Q64" i="32"/>
  <c r="Q64" i="33"/>
  <c r="R64" i="33" s="1"/>
  <c r="T64" i="33" s="1"/>
  <c r="Q64" i="35"/>
  <c r="R64" i="35" s="1"/>
  <c r="S64" i="35" s="1"/>
  <c r="E64" i="18"/>
  <c r="F38" i="40"/>
  <c r="Q19" i="34"/>
  <c r="E40" i="36"/>
  <c r="Q24" i="32"/>
  <c r="Q24" i="40"/>
  <c r="R24" i="40" s="1"/>
  <c r="E84" i="37"/>
  <c r="E66" i="33"/>
  <c r="Q66" i="18"/>
  <c r="Q40" i="37"/>
  <c r="E66" i="34"/>
  <c r="E66" i="36"/>
  <c r="E98" i="18"/>
  <c r="Q84" i="32"/>
  <c r="E84" i="36"/>
  <c r="E84" i="35"/>
  <c r="Q68" i="35"/>
  <c r="R68" i="35" s="1"/>
  <c r="E68" i="37"/>
  <c r="Q52" i="36"/>
  <c r="R52" i="36" s="1"/>
  <c r="E52" i="31"/>
  <c r="Q52" i="32"/>
  <c r="E52" i="35"/>
  <c r="E20" i="33"/>
  <c r="E20" i="37"/>
  <c r="Q20" i="37"/>
  <c r="E19" i="40"/>
  <c r="E19" i="33"/>
  <c r="Q19" i="18"/>
  <c r="E19" i="18"/>
  <c r="E19" i="32"/>
  <c r="Q19" i="31"/>
  <c r="Q19" i="37"/>
  <c r="Q19" i="35"/>
  <c r="E19" i="36"/>
  <c r="Q19" i="33"/>
  <c r="E38" i="35"/>
  <c r="E38" i="18"/>
  <c r="Q38" i="34"/>
  <c r="E38" i="31"/>
  <c r="E38" i="34"/>
  <c r="Q38" i="37"/>
  <c r="Q38" i="33"/>
  <c r="Q38" i="31"/>
  <c r="E38" i="37"/>
  <c r="E38" i="33"/>
  <c r="E38" i="36"/>
  <c r="Q38" i="32"/>
  <c r="E38" i="32"/>
  <c r="Q38" i="35"/>
  <c r="Q38" i="18"/>
  <c r="Q38" i="36"/>
  <c r="R38" i="36" s="1"/>
  <c r="Q19" i="36"/>
  <c r="R19" i="36" s="1"/>
  <c r="Q66" i="35"/>
  <c r="R66" i="35" s="1"/>
  <c r="E66" i="37"/>
  <c r="E98" i="34"/>
  <c r="Q98" i="18"/>
  <c r="E27" i="33"/>
  <c r="Q27" i="40"/>
  <c r="R27" i="40" s="1"/>
  <c r="E27" i="32"/>
  <c r="E27" i="40"/>
  <c r="F27" i="40" s="1"/>
  <c r="Q27" i="31"/>
  <c r="Q27" i="35"/>
  <c r="Q98" i="36"/>
  <c r="R98" i="36" s="1"/>
  <c r="Q70" i="32"/>
  <c r="E19" i="37"/>
  <c r="E92" i="37"/>
  <c r="Q19" i="32"/>
  <c r="Q19" i="40"/>
  <c r="R19" i="40" s="1"/>
  <c r="Q74" i="32"/>
  <c r="E84" i="40"/>
  <c r="Q84" i="36"/>
  <c r="R84" i="36" s="1"/>
  <c r="Q24" i="35"/>
  <c r="Q84" i="37"/>
  <c r="R84" i="37" s="1"/>
  <c r="Q40" i="35"/>
  <c r="R40" i="35" s="1"/>
  <c r="Q66" i="40"/>
  <c r="R66" i="40" s="1"/>
  <c r="E40" i="31"/>
  <c r="Q66" i="37"/>
  <c r="Q66" i="36"/>
  <c r="R66" i="36" s="1"/>
  <c r="E27" i="18"/>
  <c r="E27" i="35"/>
  <c r="Q98" i="34"/>
  <c r="R98" i="34" s="1"/>
  <c r="Q98" i="40"/>
  <c r="R98" i="40" s="1"/>
  <c r="Q98" i="31"/>
  <c r="E98" i="31"/>
  <c r="E84" i="18"/>
  <c r="E69" i="32"/>
  <c r="E69" i="33"/>
  <c r="E99" i="31"/>
  <c r="E99" i="40"/>
  <c r="F99" i="40" s="1"/>
  <c r="Q99" i="37"/>
  <c r="E99" i="32"/>
  <c r="Q99" i="36"/>
  <c r="R99" i="36" s="1"/>
  <c r="Q99" i="40"/>
  <c r="R99" i="40" s="1"/>
  <c r="E88" i="35"/>
  <c r="F88" i="35" s="1"/>
  <c r="Q88" i="35"/>
  <c r="R88" i="35" s="1"/>
  <c r="T88" i="35" s="1"/>
  <c r="Q88" i="40"/>
  <c r="R88" i="40" s="1"/>
  <c r="E88" i="34"/>
  <c r="F88" i="34" s="1"/>
  <c r="Q88" i="33"/>
  <c r="R88" i="33" s="1"/>
  <c r="S88" i="33" s="1"/>
  <c r="E88" i="33"/>
  <c r="Q88" i="37"/>
  <c r="E88" i="40"/>
  <c r="Q88" i="18"/>
  <c r="R88" i="18" s="1"/>
  <c r="Q30" i="40"/>
  <c r="R30" i="40" s="1"/>
  <c r="E30" i="35"/>
  <c r="E30" i="33"/>
  <c r="Q30" i="34"/>
  <c r="E30" i="34"/>
  <c r="E30" i="18"/>
  <c r="E30" i="31"/>
  <c r="Q30" i="35"/>
  <c r="E30" i="40"/>
  <c r="F30" i="40" s="1"/>
  <c r="E30" i="37"/>
  <c r="Q30" i="32"/>
  <c r="E62" i="32"/>
  <c r="F62" i="32" s="1"/>
  <c r="E88" i="37"/>
  <c r="Q30" i="36"/>
  <c r="R30" i="36" s="1"/>
  <c r="Q62" i="34"/>
  <c r="R62" i="34" s="1"/>
  <c r="Q62" i="32"/>
  <c r="E88" i="18"/>
  <c r="Q30" i="18"/>
  <c r="Q88" i="32"/>
  <c r="Q30" i="33"/>
  <c r="E94" i="37"/>
  <c r="E94" i="31"/>
  <c r="F94" i="31" s="1"/>
  <c r="G94" i="31" s="1"/>
  <c r="Q94" i="33"/>
  <c r="E94" i="35"/>
  <c r="Q94" i="37"/>
  <c r="R94" i="37" s="1"/>
  <c r="Q94" i="32"/>
  <c r="E94" i="33"/>
  <c r="Q94" i="40"/>
  <c r="R94" i="40" s="1"/>
  <c r="Q94" i="34"/>
  <c r="R94" i="34" s="1"/>
  <c r="Q94" i="18"/>
  <c r="Q94" i="36"/>
  <c r="R94" i="36" s="1"/>
  <c r="E94" i="18"/>
  <c r="E94" i="34"/>
  <c r="E62" i="31"/>
  <c r="F62" i="31" s="1"/>
  <c r="H62" i="31" s="1"/>
  <c r="Q62" i="31"/>
  <c r="R62" i="31" s="1"/>
  <c r="E62" i="36"/>
  <c r="Q62" i="37"/>
  <c r="Q62" i="18"/>
  <c r="R62" i="18" s="1"/>
  <c r="Q62" i="40"/>
  <c r="R62" i="40" s="1"/>
  <c r="E62" i="34"/>
  <c r="F62" i="34" s="1"/>
  <c r="H62" i="34" s="1"/>
  <c r="Q62" i="33"/>
  <c r="R62" i="33" s="1"/>
  <c r="T62" i="33" s="1"/>
  <c r="Q62" i="35"/>
  <c r="R62" i="35" s="1"/>
  <c r="S62" i="35" s="1"/>
  <c r="E62" i="35"/>
  <c r="F62" i="35" s="1"/>
  <c r="G62" i="35" s="1"/>
  <c r="E62" i="37"/>
  <c r="Q30" i="37"/>
  <c r="E88" i="36"/>
  <c r="E56" i="34"/>
  <c r="F56" i="34" s="1"/>
  <c r="H56" i="34" s="1"/>
  <c r="E56" i="18"/>
  <c r="Q56" i="34"/>
  <c r="R56" i="34" s="1"/>
  <c r="Q56" i="18"/>
  <c r="E56" i="40"/>
  <c r="E56" i="37"/>
  <c r="E56" i="33"/>
  <c r="Q56" i="37"/>
  <c r="Q56" i="33"/>
  <c r="E56" i="31"/>
  <c r="F56" i="31" s="1"/>
  <c r="Q56" i="31"/>
  <c r="E56" i="35"/>
  <c r="E56" i="36"/>
  <c r="Q56" i="36"/>
  <c r="R56" i="36" s="1"/>
  <c r="Q56" i="35"/>
  <c r="R56" i="35" s="1"/>
  <c r="S56" i="35" s="1"/>
  <c r="Q56" i="40"/>
  <c r="R56" i="40" s="1"/>
  <c r="E56" i="32"/>
  <c r="Q56" i="32"/>
  <c r="R82" i="18"/>
  <c r="Q62" i="36"/>
  <c r="R62" i="36" s="1"/>
  <c r="Q88" i="31"/>
  <c r="R88" i="31" s="1"/>
  <c r="Q30" i="31"/>
  <c r="Q88" i="34"/>
  <c r="R88" i="34" s="1"/>
  <c r="Q88" i="36"/>
  <c r="R88" i="36" s="1"/>
  <c r="E30" i="32"/>
  <c r="E92" i="34"/>
  <c r="F92" i="34" s="1"/>
  <c r="G92" i="34" s="1"/>
  <c r="Q92" i="35"/>
  <c r="R92" i="35" s="1"/>
  <c r="E92" i="33"/>
  <c r="Q92" i="33"/>
  <c r="R92" i="33" s="1"/>
  <c r="E92" i="35"/>
  <c r="Q92" i="18"/>
  <c r="Q92" i="37"/>
  <c r="E92" i="18"/>
  <c r="Q92" i="31"/>
  <c r="E40" i="18"/>
  <c r="Q40" i="32"/>
  <c r="E40" i="35"/>
  <c r="E78" i="34"/>
  <c r="E78" i="18"/>
  <c r="Q78" i="32"/>
  <c r="Q78" i="36"/>
  <c r="R78" i="36" s="1"/>
  <c r="Q78" i="40"/>
  <c r="R78" i="40" s="1"/>
  <c r="E78" i="33"/>
  <c r="Q78" i="35"/>
  <c r="R78" i="35" s="1"/>
  <c r="S78" i="35" s="1"/>
  <c r="Q78" i="31"/>
  <c r="R78" i="31" s="1"/>
  <c r="E78" i="37"/>
  <c r="E78" i="31"/>
  <c r="Q78" i="37"/>
  <c r="R78" i="37" s="1"/>
  <c r="S78" i="37" s="1"/>
  <c r="Q78" i="33"/>
  <c r="R78" i="33" s="1"/>
  <c r="T78" i="33" s="1"/>
  <c r="E78" i="40"/>
  <c r="Q78" i="34"/>
  <c r="R78" i="34" s="1"/>
  <c r="E78" i="36"/>
  <c r="E78" i="35"/>
  <c r="E78" i="32"/>
  <c r="Q78" i="18"/>
  <c r="R78" i="18" s="1"/>
  <c r="S78" i="18" s="1"/>
  <c r="E60" i="40"/>
  <c r="F60" i="40" s="1"/>
  <c r="E60" i="34"/>
  <c r="E60" i="18"/>
  <c r="Q60" i="34"/>
  <c r="R60" i="34" s="1"/>
  <c r="Q60" i="18"/>
  <c r="E60" i="37"/>
  <c r="E60" i="33"/>
  <c r="Q60" i="37"/>
  <c r="Q60" i="33"/>
  <c r="E60" i="31"/>
  <c r="Q60" i="31"/>
  <c r="E60" i="35"/>
  <c r="E60" i="36"/>
  <c r="Q60" i="36"/>
  <c r="R60" i="36" s="1"/>
  <c r="Q60" i="35"/>
  <c r="R60" i="35" s="1"/>
  <c r="E60" i="32"/>
  <c r="Q60" i="32"/>
  <c r="E74" i="40"/>
  <c r="E74" i="35"/>
  <c r="E74" i="18"/>
  <c r="E74" i="34"/>
  <c r="E74" i="31"/>
  <c r="Q74" i="33"/>
  <c r="Q74" i="35"/>
  <c r="R74" i="35" s="1"/>
  <c r="Q74" i="37"/>
  <c r="Q74" i="31"/>
  <c r="R74" i="31" s="1"/>
  <c r="E74" i="37"/>
  <c r="Q74" i="18"/>
  <c r="E74" i="33"/>
  <c r="Q74" i="34"/>
  <c r="R74" i="34" s="1"/>
  <c r="E70" i="35"/>
  <c r="Q70" i="37"/>
  <c r="R70" i="37" s="1"/>
  <c r="Q70" i="31"/>
  <c r="R70" i="31" s="1"/>
  <c r="Q70" i="40"/>
  <c r="R70" i="40" s="1"/>
  <c r="E70" i="34"/>
  <c r="F70" i="34" s="1"/>
  <c r="G70" i="34" s="1"/>
  <c r="Q70" i="35"/>
  <c r="R70" i="35" s="1"/>
  <c r="T70" i="35" s="1"/>
  <c r="Q70" i="18"/>
  <c r="E70" i="36"/>
  <c r="Q70" i="33"/>
  <c r="E70" i="31"/>
  <c r="E70" i="32"/>
  <c r="F70" i="32" s="1"/>
  <c r="E70" i="18"/>
  <c r="Q70" i="34"/>
  <c r="R70" i="34" s="1"/>
  <c r="T70" i="34" s="1"/>
  <c r="E24" i="32"/>
  <c r="E24" i="31"/>
  <c r="E24" i="40"/>
  <c r="F24" i="40" s="1"/>
  <c r="E24" i="37"/>
  <c r="Q24" i="37"/>
  <c r="Q24" i="31"/>
  <c r="E24" i="33"/>
  <c r="Q24" i="34"/>
  <c r="Q24" i="33"/>
  <c r="Q24" i="36"/>
  <c r="R24" i="36" s="1"/>
  <c r="E90" i="36"/>
  <c r="E90" i="32"/>
  <c r="F90" i="32" s="1"/>
  <c r="Q90" i="35"/>
  <c r="R90" i="35" s="1"/>
  <c r="Q90" i="31"/>
  <c r="E90" i="18"/>
  <c r="E90" i="33"/>
  <c r="Q90" i="34"/>
  <c r="R90" i="34" s="1"/>
  <c r="E90" i="37"/>
  <c r="E90" i="31"/>
  <c r="Q90" i="33"/>
  <c r="R90" i="33" s="1"/>
  <c r="T90" i="33" s="1"/>
  <c r="E90" i="35"/>
  <c r="Q90" i="37"/>
  <c r="R90" i="37" s="1"/>
  <c r="Q90" i="32"/>
  <c r="E90" i="40"/>
  <c r="Q90" i="40"/>
  <c r="R90" i="40" s="1"/>
  <c r="E90" i="34"/>
  <c r="F90" i="34" s="1"/>
  <c r="H90" i="34" s="1"/>
  <c r="Q90" i="36"/>
  <c r="R90" i="36" s="1"/>
  <c r="Q90" i="18"/>
  <c r="R90" i="18" s="1"/>
  <c r="Q86" i="40"/>
  <c r="R86" i="40" s="1"/>
  <c r="E86" i="40"/>
  <c r="F86" i="40" s="1"/>
  <c r="E86" i="36"/>
  <c r="E86" i="32"/>
  <c r="F86" i="32" s="1"/>
  <c r="Q86" i="35"/>
  <c r="R86" i="35" s="1"/>
  <c r="Q86" i="31"/>
  <c r="R86" i="31" s="1"/>
  <c r="E86" i="18"/>
  <c r="E86" i="33"/>
  <c r="Q86" i="34"/>
  <c r="R86" i="34" s="1"/>
  <c r="E86" i="37"/>
  <c r="E86" i="31"/>
  <c r="Q86" i="33"/>
  <c r="R86" i="33" s="1"/>
  <c r="T86" i="33" s="1"/>
  <c r="E86" i="35"/>
  <c r="Q86" i="37"/>
  <c r="R86" i="37" s="1"/>
  <c r="Q86" i="32"/>
  <c r="E86" i="34"/>
  <c r="F86" i="34" s="1"/>
  <c r="Q86" i="36"/>
  <c r="R86" i="36" s="1"/>
  <c r="Q86" i="18"/>
  <c r="R86" i="18" s="1"/>
  <c r="E54" i="36"/>
  <c r="E54" i="32"/>
  <c r="Q54" i="36"/>
  <c r="R54" i="36" s="1"/>
  <c r="Q54" i="32"/>
  <c r="Q54" i="40"/>
  <c r="R54" i="40" s="1"/>
  <c r="E54" i="37"/>
  <c r="E54" i="31"/>
  <c r="Q54" i="34"/>
  <c r="R54" i="34" s="1"/>
  <c r="E54" i="33"/>
  <c r="Q54" i="33"/>
  <c r="R54" i="33" s="1"/>
  <c r="E54" i="40"/>
  <c r="E54" i="18"/>
  <c r="Q54" i="31"/>
  <c r="R54" i="31" s="1"/>
  <c r="E54" i="35"/>
  <c r="Q54" i="37"/>
  <c r="R54" i="37" s="1"/>
  <c r="T54" i="37" s="1"/>
  <c r="Q54" i="18"/>
  <c r="R54" i="18" s="1"/>
  <c r="E54" i="34"/>
  <c r="Q54" i="35"/>
  <c r="R54" i="35" s="1"/>
  <c r="S54" i="35" s="1"/>
  <c r="Q28" i="40"/>
  <c r="R28" i="40" s="1"/>
  <c r="E28" i="37"/>
  <c r="E28" i="33"/>
  <c r="Q28" i="37"/>
  <c r="Q28" i="33"/>
  <c r="E28" i="34"/>
  <c r="E28" i="36"/>
  <c r="Q28" i="31"/>
  <c r="E28" i="40"/>
  <c r="E28" i="32"/>
  <c r="Q28" i="35"/>
  <c r="Q28" i="18"/>
  <c r="Q28" i="36"/>
  <c r="R28" i="36" s="1"/>
  <c r="E28" i="31"/>
  <c r="Q28" i="34"/>
  <c r="E28" i="35"/>
  <c r="E28" i="18"/>
  <c r="Q28" i="32"/>
  <c r="C72" i="32"/>
  <c r="C74" i="34"/>
  <c r="P49" i="32"/>
  <c r="P39" i="32"/>
  <c r="C51" i="32"/>
  <c r="C51" i="34"/>
  <c r="P51" i="32"/>
  <c r="P74" i="32"/>
  <c r="P72" i="32"/>
  <c r="P30" i="6"/>
  <c r="P62" i="6"/>
  <c r="P42" i="6"/>
  <c r="M84" i="7"/>
  <c r="P74" i="6"/>
  <c r="M79" i="7"/>
  <c r="M34" i="7"/>
  <c r="C43" i="33"/>
  <c r="P60" i="33"/>
  <c r="P37" i="6"/>
  <c r="P39" i="33"/>
  <c r="P27" i="6"/>
  <c r="C54" i="33"/>
  <c r="P89" i="6"/>
  <c r="M53" i="7"/>
  <c r="C54" i="35"/>
  <c r="C74" i="31"/>
  <c r="M60" i="7"/>
  <c r="P16" i="6"/>
  <c r="P45" i="6"/>
  <c r="P14" i="6"/>
  <c r="P77" i="6"/>
  <c r="P41" i="6"/>
  <c r="M49" i="7"/>
  <c r="P44" i="6"/>
  <c r="P41" i="18"/>
  <c r="P88" i="6"/>
  <c r="M86" i="7"/>
  <c r="P70" i="6"/>
  <c r="P84" i="6"/>
  <c r="P49" i="6"/>
  <c r="P40" i="6"/>
  <c r="P58" i="6"/>
  <c r="P31" i="6"/>
  <c r="M80" i="7"/>
  <c r="M62" i="7"/>
  <c r="P86" i="6"/>
  <c r="P70" i="31"/>
  <c r="C43" i="31"/>
  <c r="M61" i="7"/>
  <c r="M51" i="7"/>
  <c r="P64" i="6"/>
  <c r="C58" i="31"/>
  <c r="C48" i="31"/>
  <c r="P73" i="6"/>
  <c r="P91" i="6"/>
  <c r="C70" i="35"/>
  <c r="C96" i="31"/>
  <c r="P43" i="31"/>
  <c r="M56" i="7"/>
  <c r="M36" i="7"/>
  <c r="M67" i="7"/>
  <c r="P47" i="6"/>
  <c r="P43" i="6"/>
  <c r="P20" i="6"/>
  <c r="P92" i="6"/>
  <c r="P25" i="6"/>
  <c r="P87" i="6"/>
  <c r="M88" i="7"/>
  <c r="M72" i="7"/>
  <c r="M55" i="7"/>
  <c r="P81" i="6"/>
  <c r="P38" i="6"/>
  <c r="P28" i="6"/>
  <c r="P80" i="6"/>
  <c r="M81" i="7"/>
  <c r="P22" i="6"/>
  <c r="P63" i="6"/>
  <c r="P65" i="6"/>
  <c r="P67" i="6"/>
  <c r="M91" i="7"/>
  <c r="P32" i="6"/>
  <c r="M40" i="7"/>
  <c r="P57" i="6"/>
  <c r="P69" i="6"/>
  <c r="C89" i="18"/>
  <c r="P51" i="6"/>
  <c r="P53" i="6"/>
  <c r="P13" i="6"/>
  <c r="M47" i="7"/>
  <c r="P46" i="6"/>
  <c r="P34" i="6"/>
  <c r="P15" i="6"/>
  <c r="P56" i="6"/>
  <c r="C98" i="18"/>
  <c r="P98" i="18"/>
  <c r="P85" i="37"/>
  <c r="C85" i="37"/>
  <c r="C69" i="34"/>
  <c r="P69" i="32"/>
  <c r="C69" i="32"/>
  <c r="C46" i="35"/>
  <c r="P46" i="31"/>
  <c r="C46" i="31"/>
  <c r="C46" i="34"/>
  <c r="P46" i="32"/>
  <c r="C46" i="32"/>
  <c r="C71" i="18"/>
  <c r="P71" i="18"/>
  <c r="P99" i="33"/>
  <c r="C99" i="33"/>
  <c r="P71" i="33"/>
  <c r="C71" i="33"/>
  <c r="C71" i="34"/>
  <c r="C71" i="32"/>
  <c r="P71" i="32"/>
  <c r="C66" i="32"/>
  <c r="C66" i="34"/>
  <c r="P66" i="32"/>
  <c r="P98" i="37"/>
  <c r="C98" i="37"/>
  <c r="P56" i="37"/>
  <c r="C56" i="37"/>
  <c r="C60" i="37"/>
  <c r="C64" i="31"/>
  <c r="C64" i="35"/>
  <c r="P64" i="31"/>
  <c r="C89" i="37"/>
  <c r="P89" i="37"/>
  <c r="P91" i="33"/>
  <c r="C91" i="33"/>
  <c r="C91" i="18"/>
  <c r="P91" i="18"/>
  <c r="P95" i="31"/>
  <c r="C95" i="31"/>
  <c r="C95" i="35"/>
  <c r="C81" i="35"/>
  <c r="P60" i="37"/>
  <c r="C49" i="31"/>
  <c r="P49" i="31"/>
  <c r="C49" i="35"/>
  <c r="C42" i="37"/>
  <c r="P42" i="37"/>
  <c r="P95" i="37"/>
  <c r="C95" i="37"/>
  <c r="P47" i="37"/>
  <c r="C47" i="37"/>
  <c r="C72" i="37"/>
  <c r="P72" i="37"/>
  <c r="C72" i="35"/>
  <c r="P72" i="31"/>
  <c r="C72" i="31"/>
  <c r="C64" i="37"/>
  <c r="P64" i="37"/>
  <c r="C46" i="18"/>
  <c r="P46" i="18"/>
  <c r="C46" i="37"/>
  <c r="P46" i="37"/>
  <c r="C89" i="31"/>
  <c r="C89" i="35"/>
  <c r="P95" i="33"/>
  <c r="C95" i="33"/>
  <c r="C81" i="37"/>
  <c r="P81" i="37"/>
  <c r="C96" i="33"/>
  <c r="P96" i="33"/>
  <c r="P81" i="31"/>
  <c r="P47" i="32"/>
  <c r="C56" i="35"/>
  <c r="P72" i="33"/>
  <c r="R72" i="33" s="1"/>
  <c r="S72" i="33" s="1"/>
  <c r="C92" i="32"/>
  <c r="C51" i="35"/>
  <c r="C91" i="34"/>
  <c r="C78" i="34"/>
  <c r="C78" i="32"/>
  <c r="P78" i="32"/>
  <c r="C56" i="18"/>
  <c r="P56" i="18"/>
  <c r="P66" i="37"/>
  <c r="C66" i="37"/>
  <c r="C43" i="37"/>
  <c r="P43" i="37"/>
  <c r="P99" i="32"/>
  <c r="C99" i="34"/>
  <c r="C99" i="32"/>
  <c r="C49" i="37"/>
  <c r="P49" i="37"/>
  <c r="C66" i="18"/>
  <c r="P66" i="18"/>
  <c r="P66" i="33"/>
  <c r="C98" i="33"/>
  <c r="P98" i="33"/>
  <c r="P60" i="32"/>
  <c r="C60" i="32"/>
  <c r="C60" i="34"/>
  <c r="P60" i="31"/>
  <c r="C60" i="35"/>
  <c r="C74" i="33"/>
  <c r="P74" i="33"/>
  <c r="P58" i="37"/>
  <c r="C58" i="37"/>
  <c r="P47" i="18"/>
  <c r="C47" i="18"/>
  <c r="P47" i="31"/>
  <c r="C47" i="31"/>
  <c r="C47" i="35"/>
  <c r="C69" i="33"/>
  <c r="P69" i="33"/>
  <c r="C91" i="37"/>
  <c r="P91" i="37"/>
  <c r="P92" i="31"/>
  <c r="C92" i="35"/>
  <c r="C92" i="31"/>
  <c r="P56" i="31"/>
  <c r="C41" i="37"/>
  <c r="C47" i="34"/>
  <c r="C74" i="35"/>
  <c r="P49" i="18"/>
  <c r="P89" i="31"/>
  <c r="P51" i="31"/>
  <c r="C96" i="35"/>
  <c r="P39" i="18"/>
  <c r="C93" i="35"/>
  <c r="C93" i="31"/>
  <c r="P93" i="31"/>
  <c r="C94" i="32"/>
  <c r="C94" i="34"/>
  <c r="P94" i="32"/>
  <c r="C97" i="34"/>
  <c r="P97" i="32"/>
  <c r="C97" i="32"/>
  <c r="P96" i="37"/>
  <c r="C96" i="37"/>
  <c r="P43" i="18"/>
  <c r="C43" i="18"/>
  <c r="C71" i="37"/>
  <c r="P71" i="37"/>
  <c r="C71" i="31"/>
  <c r="P71" i="31"/>
  <c r="C66" i="31"/>
  <c r="C66" i="35"/>
  <c r="P66" i="31"/>
  <c r="C98" i="35"/>
  <c r="P98" i="31"/>
  <c r="C56" i="33"/>
  <c r="P56" i="33"/>
  <c r="C65" i="37"/>
  <c r="P65" i="37"/>
  <c r="C75" i="18"/>
  <c r="P75" i="18"/>
  <c r="C69" i="37"/>
  <c r="P69" i="37"/>
  <c r="P69" i="31"/>
  <c r="C69" i="31"/>
  <c r="C69" i="35"/>
  <c r="C92" i="18"/>
  <c r="P92" i="18"/>
  <c r="C64" i="18"/>
  <c r="P64" i="18"/>
  <c r="C64" i="34"/>
  <c r="C64" i="32"/>
  <c r="P64" i="32"/>
  <c r="C89" i="34"/>
  <c r="C89" i="32"/>
  <c r="P89" i="32"/>
  <c r="P91" i="31"/>
  <c r="C91" i="35"/>
  <c r="P92" i="37"/>
  <c r="C92" i="37"/>
  <c r="F76" i="18"/>
  <c r="F52" i="37"/>
  <c r="H52" i="37" s="1"/>
  <c r="E93" i="18"/>
  <c r="Q93" i="37"/>
  <c r="Q93" i="36"/>
  <c r="R93" i="36" s="1"/>
  <c r="E93" i="37"/>
  <c r="Q93" i="35"/>
  <c r="R93" i="35" s="1"/>
  <c r="T93" i="35" s="1"/>
  <c r="Q93" i="34"/>
  <c r="R93" i="34" s="1"/>
  <c r="Q93" i="33"/>
  <c r="R93" i="33" s="1"/>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E77" i="32"/>
  <c r="Q77" i="18"/>
  <c r="E77" i="35"/>
  <c r="E77" i="33"/>
  <c r="E77" i="31"/>
  <c r="E77" i="40"/>
  <c r="Q77" i="40"/>
  <c r="R77" i="40" s="1"/>
  <c r="E89" i="18"/>
  <c r="Q89" i="37"/>
  <c r="Q89" i="36"/>
  <c r="R89" i="36" s="1"/>
  <c r="E89" i="37"/>
  <c r="Q89" i="35"/>
  <c r="R89" i="35" s="1"/>
  <c r="Q89" i="34"/>
  <c r="R89" i="34" s="1"/>
  <c r="Q89" i="33"/>
  <c r="R89" i="33" s="1"/>
  <c r="S89" i="33" s="1"/>
  <c r="Q89" i="32"/>
  <c r="Q89" i="31"/>
  <c r="Q89" i="18"/>
  <c r="R89" i="18" s="1"/>
  <c r="E89" i="35"/>
  <c r="E89" i="33"/>
  <c r="E89" i="31"/>
  <c r="E89" i="36"/>
  <c r="E89" i="34"/>
  <c r="E89" i="32"/>
  <c r="Q89" i="40"/>
  <c r="R89" i="40" s="1"/>
  <c r="E89" i="40"/>
  <c r="F89" i="40" s="1"/>
  <c r="E71" i="18"/>
  <c r="E71" i="37"/>
  <c r="E71" i="36"/>
  <c r="Q71" i="35"/>
  <c r="R71" i="35" s="1"/>
  <c r="S71" i="35" s="1"/>
  <c r="Q71" i="34"/>
  <c r="R71" i="34" s="1"/>
  <c r="Q71" i="33"/>
  <c r="Q71" i="32"/>
  <c r="Q71" i="31"/>
  <c r="Q71" i="37"/>
  <c r="E71" i="34"/>
  <c r="E71" i="32"/>
  <c r="Q71" i="36"/>
  <c r="R71" i="36" s="1"/>
  <c r="E71" i="35"/>
  <c r="E71" i="33"/>
  <c r="E71" i="31"/>
  <c r="Q71" i="18"/>
  <c r="Q71" i="40"/>
  <c r="R71" i="40" s="1"/>
  <c r="E71" i="40"/>
  <c r="E55" i="18"/>
  <c r="E55" i="37"/>
  <c r="E55" i="36"/>
  <c r="Q55" i="35"/>
  <c r="R55" i="35" s="1"/>
  <c r="Q55" i="34"/>
  <c r="R55" i="34" s="1"/>
  <c r="Q55" i="33"/>
  <c r="R55" i="33" s="1"/>
  <c r="S55" i="33" s="1"/>
  <c r="Q55" i="32"/>
  <c r="Q55" i="31"/>
  <c r="Q55" i="18"/>
  <c r="Q55" i="37"/>
  <c r="E55" i="34"/>
  <c r="E55" i="32"/>
  <c r="F55" i="32" s="1"/>
  <c r="Q55" i="36"/>
  <c r="R55" i="36" s="1"/>
  <c r="E55" i="35"/>
  <c r="F55" i="35" s="1"/>
  <c r="E55" i="33"/>
  <c r="E55" i="31"/>
  <c r="E55" i="40"/>
  <c r="F55" i="40" s="1"/>
  <c r="Q55" i="40"/>
  <c r="R55" i="40" s="1"/>
  <c r="E37" i="18"/>
  <c r="Q37" i="37"/>
  <c r="Q37" i="36"/>
  <c r="R37" i="36" s="1"/>
  <c r="Q37" i="35"/>
  <c r="Q37" i="34"/>
  <c r="Q37" i="33"/>
  <c r="Q37" i="32"/>
  <c r="E37" i="31"/>
  <c r="E37" i="36"/>
  <c r="E37" i="35"/>
  <c r="E37" i="33"/>
  <c r="E37" i="37"/>
  <c r="E37" i="34"/>
  <c r="E37" i="32"/>
  <c r="Q37" i="18"/>
  <c r="Q37" i="31"/>
  <c r="Q37" i="40"/>
  <c r="R37" i="40" s="1"/>
  <c r="E37" i="40"/>
  <c r="AC30" i="5"/>
  <c r="AA30" i="5"/>
  <c r="AB30" i="5"/>
  <c r="Y30" i="5"/>
  <c r="X30" i="5"/>
  <c r="Z30" i="5"/>
  <c r="W30" i="5"/>
  <c r="C77" i="34"/>
  <c r="P77" i="32"/>
  <c r="C77" i="32"/>
  <c r="C90" i="18"/>
  <c r="C65" i="35"/>
  <c r="C65" i="31"/>
  <c r="P65" i="31"/>
  <c r="C50" i="35"/>
  <c r="C50" i="31"/>
  <c r="P50" i="31"/>
  <c r="C79" i="35"/>
  <c r="P79" i="31"/>
  <c r="C79" i="31"/>
  <c r="P74" i="18"/>
  <c r="C74" i="18"/>
  <c r="C76" i="32"/>
  <c r="C76" i="34"/>
  <c r="Q95" i="37"/>
  <c r="Q95" i="36"/>
  <c r="R95" i="36" s="1"/>
  <c r="E95" i="36"/>
  <c r="Q95" i="35"/>
  <c r="R95" i="35" s="1"/>
  <c r="S95" i="35" s="1"/>
  <c r="Q95" i="34"/>
  <c r="R95" i="34" s="1"/>
  <c r="Q95" i="33"/>
  <c r="Q95" i="32"/>
  <c r="Q95" i="31"/>
  <c r="Q95" i="18"/>
  <c r="E95" i="37"/>
  <c r="E95" i="34"/>
  <c r="E95" i="32"/>
  <c r="F95" i="32" s="1"/>
  <c r="E95" i="18"/>
  <c r="E95" i="35"/>
  <c r="E95" i="33"/>
  <c r="E95" i="31"/>
  <c r="Q95" i="40"/>
  <c r="R95" i="40" s="1"/>
  <c r="E95" i="40"/>
  <c r="Q31" i="35"/>
  <c r="Q31" i="34"/>
  <c r="Q31" i="33"/>
  <c r="Q31" i="32"/>
  <c r="Q31" i="31"/>
  <c r="Q31" i="18"/>
  <c r="E31" i="37"/>
  <c r="E31" i="36"/>
  <c r="E31" i="34"/>
  <c r="E31" i="32"/>
  <c r="E31" i="18"/>
  <c r="Q31" i="37"/>
  <c r="E31" i="35"/>
  <c r="E31" i="33"/>
  <c r="E31" i="31"/>
  <c r="Q31" i="36"/>
  <c r="R31" i="36" s="1"/>
  <c r="Q31" i="40"/>
  <c r="R31" i="40" s="1"/>
  <c r="E31" i="40"/>
  <c r="F31" i="40" s="1"/>
  <c r="E41" i="18"/>
  <c r="E41" i="37"/>
  <c r="Q41" i="36"/>
  <c r="R41" i="36" s="1"/>
  <c r="Q41" i="35"/>
  <c r="R41" i="35" s="1"/>
  <c r="T41" i="35" s="1"/>
  <c r="Q41" i="34"/>
  <c r="R41" i="34" s="1"/>
  <c r="Q41" i="33"/>
  <c r="Q41" i="32"/>
  <c r="Q41" i="31"/>
  <c r="R41" i="31" s="1"/>
  <c r="E41" i="36"/>
  <c r="E41" i="35"/>
  <c r="E41" i="33"/>
  <c r="E41" i="31"/>
  <c r="F41" i="31" s="1"/>
  <c r="H41" i="31" s="1"/>
  <c r="Q41" i="18"/>
  <c r="Q41" i="37"/>
  <c r="R41" i="37" s="1"/>
  <c r="T41" i="37" s="1"/>
  <c r="E41" i="34"/>
  <c r="E41" i="32"/>
  <c r="E41" i="40"/>
  <c r="Q41" i="40"/>
  <c r="R41" i="40" s="1"/>
  <c r="Q43" i="36"/>
  <c r="R43" i="36" s="1"/>
  <c r="Q43" i="35"/>
  <c r="R43" i="35" s="1"/>
  <c r="Q43" i="34"/>
  <c r="R43" i="34" s="1"/>
  <c r="Q43" i="33"/>
  <c r="R43" i="33" s="1"/>
  <c r="S43" i="33" s="1"/>
  <c r="Q43" i="32"/>
  <c r="Q43" i="31"/>
  <c r="Q43" i="18"/>
  <c r="E43" i="37"/>
  <c r="E43" i="36"/>
  <c r="Q43" i="37"/>
  <c r="E43" i="35"/>
  <c r="E43" i="33"/>
  <c r="E43" i="31"/>
  <c r="E43" i="40"/>
  <c r="E43" i="34"/>
  <c r="E43" i="32"/>
  <c r="E43" i="18"/>
  <c r="Q43" i="40"/>
  <c r="R43" i="40" s="1"/>
  <c r="E45" i="18"/>
  <c r="E45" i="37"/>
  <c r="Q45" i="36"/>
  <c r="R45" i="36" s="1"/>
  <c r="Q45" i="35"/>
  <c r="R45" i="35" s="1"/>
  <c r="S45" i="35" s="1"/>
  <c r="Q45" i="34"/>
  <c r="R45" i="34" s="1"/>
  <c r="Q45" i="33"/>
  <c r="R45" i="33" s="1"/>
  <c r="S45" i="33" s="1"/>
  <c r="Q45" i="32"/>
  <c r="Q45" i="31"/>
  <c r="Q45" i="18"/>
  <c r="Q45" i="37"/>
  <c r="R45" i="37" s="1"/>
  <c r="T45" i="37" s="1"/>
  <c r="E45" i="34"/>
  <c r="F45" i="34" s="1"/>
  <c r="E45" i="32"/>
  <c r="F45" i="32" s="1"/>
  <c r="E45" i="36"/>
  <c r="E45" i="35"/>
  <c r="E45" i="33"/>
  <c r="E45" i="31"/>
  <c r="E45" i="40"/>
  <c r="Q45" i="40"/>
  <c r="R45" i="40" s="1"/>
  <c r="Q47" i="35"/>
  <c r="R47" i="35" s="1"/>
  <c r="T47" i="35" s="1"/>
  <c r="Q47" i="34"/>
  <c r="R47" i="34" s="1"/>
  <c r="Q47" i="33"/>
  <c r="Q47" i="32"/>
  <c r="Q47" i="31"/>
  <c r="Q47" i="18"/>
  <c r="Q47" i="37"/>
  <c r="Q47" i="36"/>
  <c r="R47" i="36" s="1"/>
  <c r="E47" i="34"/>
  <c r="E47" i="32"/>
  <c r="F47" i="32" s="1"/>
  <c r="E47" i="18"/>
  <c r="E47" i="36"/>
  <c r="E47" i="35"/>
  <c r="E47" i="33"/>
  <c r="E47" i="31"/>
  <c r="E47" i="37"/>
  <c r="E47" i="40"/>
  <c r="Q47" i="40"/>
  <c r="R47" i="40" s="1"/>
  <c r="Q49" i="37"/>
  <c r="Q49" i="36"/>
  <c r="R49" i="36" s="1"/>
  <c r="E49" i="35"/>
  <c r="E49" i="34"/>
  <c r="E49" i="33"/>
  <c r="E49" i="32"/>
  <c r="F49" i="32" s="1"/>
  <c r="E49" i="31"/>
  <c r="E49" i="18"/>
  <c r="E49" i="36"/>
  <c r="E49" i="37"/>
  <c r="Q49" i="35"/>
  <c r="R49" i="35" s="1"/>
  <c r="S49" i="35" s="1"/>
  <c r="Q49" i="33"/>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E65" i="32"/>
  <c r="E65" i="18"/>
  <c r="E65" i="36"/>
  <c r="E65" i="35"/>
  <c r="E65" i="33"/>
  <c r="E65" i="31"/>
  <c r="E65" i="37"/>
  <c r="Q65" i="40"/>
  <c r="R65" i="40" s="1"/>
  <c r="E65" i="40"/>
  <c r="Q91" i="35"/>
  <c r="R91" i="35" s="1"/>
  <c r="T91" i="35" s="1"/>
  <c r="Q91" i="34"/>
  <c r="R91" i="34" s="1"/>
  <c r="Q91" i="33"/>
  <c r="Q91" i="32"/>
  <c r="Q91" i="31"/>
  <c r="Q91" i="18"/>
  <c r="Q91" i="37"/>
  <c r="Q91" i="36"/>
  <c r="R91" i="36" s="1"/>
  <c r="E91" i="34"/>
  <c r="E91" i="32"/>
  <c r="F91" i="32" s="1"/>
  <c r="E91" i="18"/>
  <c r="E91" i="36"/>
  <c r="E91" i="35"/>
  <c r="E91" i="33"/>
  <c r="E91" i="31"/>
  <c r="F91" i="31" s="1"/>
  <c r="G91" i="31" s="1"/>
  <c r="E91" i="37"/>
  <c r="Q91" i="40"/>
  <c r="R91" i="40" s="1"/>
  <c r="E91" i="40"/>
  <c r="E87" i="37"/>
  <c r="E87" i="36"/>
  <c r="Q87" i="35"/>
  <c r="R87" i="35" s="1"/>
  <c r="T87" i="35" s="1"/>
  <c r="Q87" i="34"/>
  <c r="R87" i="34" s="1"/>
  <c r="Q87" i="33"/>
  <c r="Q87" i="32"/>
  <c r="Q87" i="31"/>
  <c r="Q87" i="37"/>
  <c r="E87" i="34"/>
  <c r="E87" i="32"/>
  <c r="E87" i="18"/>
  <c r="Q87" i="36"/>
  <c r="R87" i="36" s="1"/>
  <c r="E87" i="35"/>
  <c r="E87" i="33"/>
  <c r="E87" i="31"/>
  <c r="Q87" i="18"/>
  <c r="E87" i="40"/>
  <c r="Q87" i="40"/>
  <c r="R87" i="40" s="1"/>
  <c r="C63" i="35"/>
  <c r="P63" i="31"/>
  <c r="C63" i="31"/>
  <c r="P85" i="33"/>
  <c r="C85" i="33"/>
  <c r="C87" i="35"/>
  <c r="P87" i="31"/>
  <c r="C87" i="31"/>
  <c r="P87" i="18"/>
  <c r="C87" i="18"/>
  <c r="C99" i="37"/>
  <c r="P99" i="37"/>
  <c r="C99" i="31"/>
  <c r="P99" i="31"/>
  <c r="C99" i="35"/>
  <c r="E51" i="37"/>
  <c r="Q51" i="36"/>
  <c r="R51" i="36" s="1"/>
  <c r="Q51" i="35"/>
  <c r="R51" i="35" s="1"/>
  <c r="Q51" i="34"/>
  <c r="R51" i="34" s="1"/>
  <c r="Q51" i="33"/>
  <c r="Q51" i="32"/>
  <c r="Q51" i="31"/>
  <c r="E51" i="18"/>
  <c r="Q51" i="37"/>
  <c r="R51" i="37" s="1"/>
  <c r="T51" i="37" s="1"/>
  <c r="E51" i="36"/>
  <c r="E51" i="35"/>
  <c r="E51" i="33"/>
  <c r="E51" i="31"/>
  <c r="F51" i="31" s="1"/>
  <c r="G51" i="31" s="1"/>
  <c r="Q51" i="18"/>
  <c r="R51" i="18" s="1"/>
  <c r="E51" i="34"/>
  <c r="E51" i="32"/>
  <c r="E51" i="40"/>
  <c r="F51" i="40" s="1"/>
  <c r="Q51" i="40"/>
  <c r="R51" i="40" s="1"/>
  <c r="Q33" i="37"/>
  <c r="E33" i="36"/>
  <c r="E33" i="35"/>
  <c r="E33" i="34"/>
  <c r="E33" i="33"/>
  <c r="E33" i="32"/>
  <c r="E33" i="31"/>
  <c r="E33" i="18"/>
  <c r="Q33" i="36"/>
  <c r="R33" i="36" s="1"/>
  <c r="Q33" i="35"/>
  <c r="Q33" i="33"/>
  <c r="Q33" i="31"/>
  <c r="E33" i="37"/>
  <c r="Q33" i="40"/>
  <c r="R33" i="40" s="1"/>
  <c r="Q33" i="34"/>
  <c r="Q33" i="32"/>
  <c r="Q33" i="18"/>
  <c r="E33" i="40"/>
  <c r="F33" i="40" s="1"/>
  <c r="AE30" i="5"/>
  <c r="P60" i="18"/>
  <c r="C60" i="18"/>
  <c r="P72" i="18"/>
  <c r="C72" i="18"/>
  <c r="P57" i="18"/>
  <c r="C57" i="18"/>
  <c r="P62" i="37"/>
  <c r="C62" i="37"/>
  <c r="P54" i="32"/>
  <c r="C54" i="34"/>
  <c r="C54" i="32"/>
  <c r="C81" i="18"/>
  <c r="C67" i="33"/>
  <c r="P67" i="33"/>
  <c r="C59" i="34"/>
  <c r="P59" i="32"/>
  <c r="C59" i="32"/>
  <c r="C75" i="33"/>
  <c r="P75" i="33"/>
  <c r="P75" i="31"/>
  <c r="C75" i="35"/>
  <c r="C75" i="31"/>
  <c r="C80" i="35"/>
  <c r="C80" i="31"/>
  <c r="P80" i="37"/>
  <c r="C80" i="37"/>
  <c r="P58" i="32"/>
  <c r="C58" i="34"/>
  <c r="C58" i="32"/>
  <c r="P70" i="33"/>
  <c r="C70" i="33"/>
  <c r="F70" i="33" s="1"/>
  <c r="H70" i="33" s="1"/>
  <c r="C84" i="33"/>
  <c r="P97" i="33"/>
  <c r="C97" i="33"/>
  <c r="Q85" i="37"/>
  <c r="Q85" i="36"/>
  <c r="R85" i="36" s="1"/>
  <c r="E85" i="35"/>
  <c r="E85" i="34"/>
  <c r="F85" i="34" s="1"/>
  <c r="E85" i="33"/>
  <c r="E85" i="32"/>
  <c r="F85" i="32" s="1"/>
  <c r="E85" i="31"/>
  <c r="E85" i="18"/>
  <c r="E85" i="36"/>
  <c r="E85" i="37"/>
  <c r="Q85" i="35"/>
  <c r="R85" i="35" s="1"/>
  <c r="Q85" i="33"/>
  <c r="Q85" i="31"/>
  <c r="Q85" i="32"/>
  <c r="E85" i="40"/>
  <c r="Q85" i="34"/>
  <c r="R85" i="34" s="1"/>
  <c r="Q85" i="18"/>
  <c r="Q85" i="40"/>
  <c r="R85" i="40" s="1"/>
  <c r="Q73" i="37"/>
  <c r="R73" i="37" s="1"/>
  <c r="T73" i="37" s="1"/>
  <c r="Q73" i="36"/>
  <c r="R73" i="36" s="1"/>
  <c r="E73" i="37"/>
  <c r="Q73" i="35"/>
  <c r="R73" i="35" s="1"/>
  <c r="S73" i="35" s="1"/>
  <c r="Q73" i="34"/>
  <c r="R73" i="34" s="1"/>
  <c r="Q73" i="33"/>
  <c r="R73" i="33" s="1"/>
  <c r="S73" i="33" s="1"/>
  <c r="Q73" i="32"/>
  <c r="Q73" i="31"/>
  <c r="Q73" i="18"/>
  <c r="R73" i="18" s="1"/>
  <c r="E73" i="18"/>
  <c r="E73" i="35"/>
  <c r="E73" i="33"/>
  <c r="E73" i="31"/>
  <c r="E73" i="36"/>
  <c r="E73" i="34"/>
  <c r="E73" i="32"/>
  <c r="E73" i="40"/>
  <c r="Q73" i="40"/>
  <c r="R73" i="40" s="1"/>
  <c r="E63" i="35"/>
  <c r="E63" i="34"/>
  <c r="F63" i="34" s="1"/>
  <c r="E63" i="33"/>
  <c r="E63" i="32"/>
  <c r="F63" i="32" s="1"/>
  <c r="E63" i="31"/>
  <c r="E63" i="18"/>
  <c r="E63" i="37"/>
  <c r="E63" i="36"/>
  <c r="Q63" i="35"/>
  <c r="R63" i="35" s="1"/>
  <c r="T63" i="35" s="1"/>
  <c r="Q63" i="33"/>
  <c r="Q63" i="31"/>
  <c r="Q63" i="37"/>
  <c r="Q63" i="40"/>
  <c r="R63" i="40" s="1"/>
  <c r="Q63" i="34"/>
  <c r="R63" i="34" s="1"/>
  <c r="Q63" i="32"/>
  <c r="Q63" i="18"/>
  <c r="Q63" i="36"/>
  <c r="R63" i="36" s="1"/>
  <c r="E63" i="40"/>
  <c r="F63" i="40" s="1"/>
  <c r="E29" i="18"/>
  <c r="E29" i="37"/>
  <c r="Q29" i="36"/>
  <c r="R29" i="36" s="1"/>
  <c r="Q29" i="35"/>
  <c r="Q29" i="34"/>
  <c r="Q29" i="33"/>
  <c r="Q29" i="32"/>
  <c r="E29" i="31"/>
  <c r="Q29" i="37"/>
  <c r="E29" i="36"/>
  <c r="E29" i="34"/>
  <c r="E29" i="32"/>
  <c r="Q29" i="18"/>
  <c r="E29" i="35"/>
  <c r="E29" i="33"/>
  <c r="Q29" i="31"/>
  <c r="Q29" i="40"/>
  <c r="R29" i="40" s="1"/>
  <c r="E29" i="40"/>
  <c r="Q21" i="35"/>
  <c r="Q21" i="34"/>
  <c r="Q21" i="33"/>
  <c r="Q21" i="32"/>
  <c r="Q21" i="31"/>
  <c r="Q21" i="18"/>
  <c r="E21" i="37"/>
  <c r="E21" i="36"/>
  <c r="E21" i="34"/>
  <c r="E21" i="32"/>
  <c r="E21" i="18"/>
  <c r="Q21" i="37"/>
  <c r="E21" i="35"/>
  <c r="E21" i="33"/>
  <c r="E21" i="31"/>
  <c r="Q21" i="36"/>
  <c r="R21" i="36" s="1"/>
  <c r="E21" i="40"/>
  <c r="Q21" i="40"/>
  <c r="R21" i="40" s="1"/>
  <c r="E97" i="37"/>
  <c r="E97" i="36"/>
  <c r="Q97" i="35"/>
  <c r="R97" i="35" s="1"/>
  <c r="Q97" i="34"/>
  <c r="R97" i="34" s="1"/>
  <c r="Q97" i="33"/>
  <c r="Q97" i="32"/>
  <c r="Q97" i="31"/>
  <c r="R97" i="31" s="1"/>
  <c r="S97" i="31" s="1"/>
  <c r="Q97" i="18"/>
  <c r="R97" i="18" s="1"/>
  <c r="Q97" i="37"/>
  <c r="R97" i="37" s="1"/>
  <c r="S97" i="37" s="1"/>
  <c r="E97" i="34"/>
  <c r="E97" i="32"/>
  <c r="F97" i="32" s="1"/>
  <c r="E97" i="18"/>
  <c r="Q97" i="36"/>
  <c r="R97" i="36" s="1"/>
  <c r="E97" i="35"/>
  <c r="E97" i="33"/>
  <c r="E97" i="31"/>
  <c r="Q97" i="40"/>
  <c r="R97" i="40" s="1"/>
  <c r="E97" i="40"/>
  <c r="AD30" i="5"/>
  <c r="C40" i="31"/>
  <c r="C40" i="35"/>
  <c r="P40" i="31"/>
  <c r="C90" i="35"/>
  <c r="P90" i="31"/>
  <c r="C90" i="31"/>
  <c r="C65" i="18"/>
  <c r="P65" i="18"/>
  <c r="P65" i="32"/>
  <c r="C65" i="34"/>
  <c r="C65" i="32"/>
  <c r="P50" i="18"/>
  <c r="P74" i="37"/>
  <c r="C74" i="37"/>
  <c r="P95" i="18"/>
  <c r="C95" i="18"/>
  <c r="C46" i="33"/>
  <c r="P46" i="33"/>
  <c r="E23" i="37"/>
  <c r="Q23" i="36"/>
  <c r="R23" i="36" s="1"/>
  <c r="Q23" i="35"/>
  <c r="Q23" i="34"/>
  <c r="Q23" i="33"/>
  <c r="Q23" i="32"/>
  <c r="E23" i="31"/>
  <c r="E23" i="18"/>
  <c r="E23" i="36"/>
  <c r="E23" i="34"/>
  <c r="E23" i="32"/>
  <c r="Q23" i="37"/>
  <c r="E23" i="35"/>
  <c r="E23" i="33"/>
  <c r="Q23" i="18"/>
  <c r="Q23" i="31"/>
  <c r="E23" i="40"/>
  <c r="Q23" i="40"/>
  <c r="R23" i="40" s="1"/>
  <c r="E39" i="18"/>
  <c r="E39" i="37"/>
  <c r="Q39" i="36"/>
  <c r="R39" i="36" s="1"/>
  <c r="Q39" i="35"/>
  <c r="R39" i="35" s="1"/>
  <c r="Q39" i="34"/>
  <c r="R39" i="34" s="1"/>
  <c r="Q39" i="33"/>
  <c r="Q39" i="32"/>
  <c r="Q39" i="18"/>
  <c r="E39" i="31"/>
  <c r="E39" i="34"/>
  <c r="F39" i="34" s="1"/>
  <c r="E39" i="32"/>
  <c r="Q39" i="31"/>
  <c r="R39" i="31" s="1"/>
  <c r="Q39" i="37"/>
  <c r="R39" i="37" s="1"/>
  <c r="S39" i="37" s="1"/>
  <c r="E39" i="36"/>
  <c r="E39" i="35"/>
  <c r="E39" i="33"/>
  <c r="Q39" i="40"/>
  <c r="R39" i="40" s="1"/>
  <c r="E39" i="40"/>
  <c r="E42" i="18"/>
  <c r="Q42" i="37"/>
  <c r="Q42" i="36"/>
  <c r="R42" i="36" s="1"/>
  <c r="Q42" i="35"/>
  <c r="R42" i="35" s="1"/>
  <c r="Q42" i="34"/>
  <c r="R42" i="34" s="1"/>
  <c r="Q42" i="33"/>
  <c r="Q42" i="32"/>
  <c r="Q42" i="31"/>
  <c r="Q42" i="18"/>
  <c r="E42" i="35"/>
  <c r="F42" i="35" s="1"/>
  <c r="E42" i="33"/>
  <c r="E42" i="31"/>
  <c r="E42" i="37"/>
  <c r="E42" i="36"/>
  <c r="E42" i="34"/>
  <c r="F42" i="34" s="1"/>
  <c r="E42" i="32"/>
  <c r="F42" i="32" s="1"/>
  <c r="Q42" i="40"/>
  <c r="R42" i="40" s="1"/>
  <c r="E42" i="40"/>
  <c r="Q44" i="37"/>
  <c r="E44" i="18"/>
  <c r="E44" i="37"/>
  <c r="Q44" i="36"/>
  <c r="R44" i="36" s="1"/>
  <c r="Q44" i="35"/>
  <c r="R44" i="35" s="1"/>
  <c r="T44" i="35" s="1"/>
  <c r="Q44" i="34"/>
  <c r="R44" i="34" s="1"/>
  <c r="Q44" i="33"/>
  <c r="Q44" i="32"/>
  <c r="Q44" i="31"/>
  <c r="E44" i="36"/>
  <c r="E44" i="34"/>
  <c r="E44" i="32"/>
  <c r="E44" i="35"/>
  <c r="E44" i="33"/>
  <c r="E44" i="31"/>
  <c r="F44" i="31" s="1"/>
  <c r="H44" i="31" s="1"/>
  <c r="Q44" i="18"/>
  <c r="R44" i="18" s="1"/>
  <c r="Q44" i="40"/>
  <c r="R44" i="40" s="1"/>
  <c r="E44" i="40"/>
  <c r="E46" i="37"/>
  <c r="E46" i="35"/>
  <c r="E46" i="34"/>
  <c r="E46" i="33"/>
  <c r="E46" i="32"/>
  <c r="E46" i="31"/>
  <c r="E46" i="18"/>
  <c r="Q46" i="36"/>
  <c r="R46" i="36" s="1"/>
  <c r="Q46" i="35"/>
  <c r="R46" i="35" s="1"/>
  <c r="T46" i="35" s="1"/>
  <c r="Q46" i="33"/>
  <c r="Q46" i="31"/>
  <c r="Q46" i="37"/>
  <c r="Q46" i="40"/>
  <c r="R46" i="40" s="1"/>
  <c r="Q46" i="34"/>
  <c r="R46" i="34" s="1"/>
  <c r="Q46" i="32"/>
  <c r="Q46" i="18"/>
  <c r="E46" i="36"/>
  <c r="E46" i="40"/>
  <c r="Q48" i="35"/>
  <c r="R48" i="35" s="1"/>
  <c r="S48" i="35" s="1"/>
  <c r="Q48" i="34"/>
  <c r="R48" i="34" s="1"/>
  <c r="Q48" i="33"/>
  <c r="R48" i="33" s="1"/>
  <c r="Q48" i="32"/>
  <c r="Q48" i="31"/>
  <c r="R48" i="31" s="1"/>
  <c r="Q48" i="18"/>
  <c r="Q48" i="37"/>
  <c r="R48" i="37" s="1"/>
  <c r="Q48" i="36"/>
  <c r="R48" i="36" s="1"/>
  <c r="E48" i="34"/>
  <c r="E48" i="32"/>
  <c r="E48" i="18"/>
  <c r="E48" i="36"/>
  <c r="E48" i="35"/>
  <c r="E48" i="33"/>
  <c r="E48" i="31"/>
  <c r="E48" i="37"/>
  <c r="Q48" i="40"/>
  <c r="R48" i="40" s="1"/>
  <c r="E48" i="40"/>
  <c r="Q57" i="37"/>
  <c r="R57" i="37" s="1"/>
  <c r="E57" i="37"/>
  <c r="E57" i="36"/>
  <c r="Q57" i="35"/>
  <c r="R57" i="35" s="1"/>
  <c r="Q57" i="34"/>
  <c r="R57" i="34" s="1"/>
  <c r="Q57" i="33"/>
  <c r="Q57" i="32"/>
  <c r="Q57" i="31"/>
  <c r="R57" i="31" s="1"/>
  <c r="E57" i="35"/>
  <c r="E57" i="33"/>
  <c r="E57" i="31"/>
  <c r="E57" i="18"/>
  <c r="Q57" i="36"/>
  <c r="R57" i="36" s="1"/>
  <c r="E57" i="34"/>
  <c r="F57" i="34" s="1"/>
  <c r="E57" i="32"/>
  <c r="Q57" i="18"/>
  <c r="Q57" i="40"/>
  <c r="R57" i="40" s="1"/>
  <c r="E57" i="40"/>
  <c r="Q75" i="35"/>
  <c r="R75" i="35" s="1"/>
  <c r="S75" i="35" s="1"/>
  <c r="Q75" i="34"/>
  <c r="R75" i="34" s="1"/>
  <c r="Q75" i="33"/>
  <c r="Q75" i="32"/>
  <c r="Q75" i="31"/>
  <c r="Q75" i="18"/>
  <c r="Q75" i="37"/>
  <c r="Q75" i="36"/>
  <c r="R75" i="36" s="1"/>
  <c r="E75" i="34"/>
  <c r="E75" i="32"/>
  <c r="E75" i="18"/>
  <c r="E75" i="36"/>
  <c r="E75" i="35"/>
  <c r="E75" i="33"/>
  <c r="E75" i="31"/>
  <c r="F75" i="31" s="1"/>
  <c r="G75" i="31" s="1"/>
  <c r="E75" i="37"/>
  <c r="E75" i="40"/>
  <c r="Q75" i="40"/>
  <c r="R75" i="40" s="1"/>
  <c r="E79" i="35"/>
  <c r="E79" i="34"/>
  <c r="F79" i="34" s="1"/>
  <c r="E79" i="33"/>
  <c r="E79" i="32"/>
  <c r="F79" i="32" s="1"/>
  <c r="E79" i="31"/>
  <c r="E79" i="18"/>
  <c r="E79" i="37"/>
  <c r="E79" i="36"/>
  <c r="Q79" i="35"/>
  <c r="R79" i="35" s="1"/>
  <c r="Q79" i="33"/>
  <c r="R79" i="33" s="1"/>
  <c r="Q79" i="31"/>
  <c r="Q79" i="37"/>
  <c r="R79" i="37" s="1"/>
  <c r="E79" i="40"/>
  <c r="Q79" i="34"/>
  <c r="R79" i="34" s="1"/>
  <c r="Q79" i="32"/>
  <c r="Q79" i="18"/>
  <c r="R79" i="18" s="1"/>
  <c r="Q79" i="36"/>
  <c r="R79" i="36" s="1"/>
  <c r="Q79" i="40"/>
  <c r="R79" i="40" s="1"/>
  <c r="AH32" i="5"/>
  <c r="P63" i="37"/>
  <c r="C63" i="18"/>
  <c r="P63" i="18"/>
  <c r="P85" i="18"/>
  <c r="C85" i="18"/>
  <c r="C85" i="35"/>
  <c r="P85" i="31"/>
  <c r="C87" i="33"/>
  <c r="P87" i="33"/>
  <c r="C87" i="37"/>
  <c r="P87" i="37"/>
  <c r="P99" i="18"/>
  <c r="C99" i="18"/>
  <c r="E67" i="37"/>
  <c r="E67" i="36"/>
  <c r="Q67" i="35"/>
  <c r="R67" i="35" s="1"/>
  <c r="S67" i="35" s="1"/>
  <c r="Q67" i="34"/>
  <c r="R67" i="34" s="1"/>
  <c r="Q67" i="33"/>
  <c r="Q67" i="32"/>
  <c r="Q67" i="31"/>
  <c r="E67" i="18"/>
  <c r="Q67" i="37"/>
  <c r="R67" i="37" s="1"/>
  <c r="S67" i="37" s="1"/>
  <c r="E67" i="35"/>
  <c r="E67" i="33"/>
  <c r="E67" i="31"/>
  <c r="Q67" i="18"/>
  <c r="R67" i="18" s="1"/>
  <c r="Q67" i="36"/>
  <c r="R67" i="36" s="1"/>
  <c r="E67" i="34"/>
  <c r="F67" i="34" s="1"/>
  <c r="E67" i="32"/>
  <c r="F67" i="32" s="1"/>
  <c r="Q67" i="40"/>
  <c r="R67" i="40" s="1"/>
  <c r="E67" i="40"/>
  <c r="C94" i="18"/>
  <c r="P94" i="18"/>
  <c r="C67" i="35"/>
  <c r="P67" i="31"/>
  <c r="C67" i="31"/>
  <c r="C73" i="31"/>
  <c r="C73" i="35"/>
  <c r="P73" i="31"/>
  <c r="P83" i="33"/>
  <c r="C83" i="33"/>
  <c r="Q81" i="35"/>
  <c r="R81" i="35" s="1"/>
  <c r="Q81" i="34"/>
  <c r="R81" i="34" s="1"/>
  <c r="Q81" i="33"/>
  <c r="R81" i="33" s="1"/>
  <c r="S81" i="33" s="1"/>
  <c r="Q81" i="32"/>
  <c r="Q81" i="31"/>
  <c r="Q81" i="18"/>
  <c r="R81" i="18" s="1"/>
  <c r="S81" i="18" s="1"/>
  <c r="Q81" i="37"/>
  <c r="Q81" i="36"/>
  <c r="R81" i="36" s="1"/>
  <c r="E81" i="34"/>
  <c r="E81" i="32"/>
  <c r="E81" i="18"/>
  <c r="E81" i="36"/>
  <c r="E81" i="35"/>
  <c r="E81" i="33"/>
  <c r="E81" i="31"/>
  <c r="E81" i="37"/>
  <c r="E81" i="40"/>
  <c r="F81" i="40" s="1"/>
  <c r="Q81" i="40"/>
  <c r="R81" i="40" s="1"/>
  <c r="Q59" i="37"/>
  <c r="R59" i="37" s="1"/>
  <c r="Q59" i="36"/>
  <c r="R59" i="36" s="1"/>
  <c r="E59" i="35"/>
  <c r="E59" i="34"/>
  <c r="E59" i="33"/>
  <c r="E59" i="32"/>
  <c r="E59" i="31"/>
  <c r="E59" i="18"/>
  <c r="E59" i="36"/>
  <c r="E59" i="37"/>
  <c r="Q59" i="35"/>
  <c r="R59" i="35" s="1"/>
  <c r="T59" i="35" s="1"/>
  <c r="Q59" i="33"/>
  <c r="R59" i="33" s="1"/>
  <c r="S59" i="33" s="1"/>
  <c r="Q59" i="31"/>
  <c r="R59" i="31" s="1"/>
  <c r="Q59" i="40"/>
  <c r="R59" i="40" s="1"/>
  <c r="Q59" i="34"/>
  <c r="R59" i="34" s="1"/>
  <c r="Q59" i="32"/>
  <c r="Q59" i="18"/>
  <c r="R59" i="18" s="1"/>
  <c r="E59" i="40"/>
  <c r="E25" i="37"/>
  <c r="Q25" i="36"/>
  <c r="R25" i="36" s="1"/>
  <c r="Q25" i="35"/>
  <c r="Q25" i="34"/>
  <c r="Q25" i="33"/>
  <c r="Q25" i="32"/>
  <c r="Q25" i="18"/>
  <c r="E25" i="31"/>
  <c r="E25" i="18"/>
  <c r="E25" i="34"/>
  <c r="E25" i="32"/>
  <c r="Q25" i="31"/>
  <c r="Q25" i="37"/>
  <c r="E25" i="36"/>
  <c r="E25" i="35"/>
  <c r="E25" i="33"/>
  <c r="Q25" i="40"/>
  <c r="R25" i="40" s="1"/>
  <c r="E25" i="40"/>
  <c r="F25" i="40" s="1"/>
  <c r="C96" i="18"/>
  <c r="F96" i="18" s="1"/>
  <c r="C75" i="34"/>
  <c r="C75" i="32"/>
  <c r="P75" i="32"/>
  <c r="C75" i="37"/>
  <c r="P75" i="37"/>
  <c r="P58" i="18"/>
  <c r="C58" i="18"/>
  <c r="C70" i="18"/>
  <c r="P70" i="18"/>
  <c r="C84" i="32"/>
  <c r="P84" i="32"/>
  <c r="C84" i="34"/>
  <c r="C68" i="33"/>
  <c r="P68" i="33"/>
  <c r="K9" i="36"/>
  <c r="K12" i="36"/>
  <c r="K10" i="36"/>
  <c r="K8" i="40"/>
  <c r="W8" i="40"/>
  <c r="F82" i="18"/>
  <c r="W8" i="32"/>
  <c r="K8" i="32"/>
  <c r="K10" i="18"/>
  <c r="K12" i="18"/>
  <c r="R60" i="40"/>
  <c r="R92" i="40"/>
  <c r="F36" i="36"/>
  <c r="R94" i="35"/>
  <c r="F69" i="36"/>
  <c r="F64" i="36"/>
  <c r="F30" i="36"/>
  <c r="W10" i="18"/>
  <c r="W9" i="18"/>
  <c r="W12" i="18"/>
  <c r="F11" i="39"/>
  <c r="W6" i="32"/>
  <c r="W12" i="36"/>
  <c r="W9" i="36"/>
  <c r="W10" i="36"/>
  <c r="W12" i="31"/>
  <c r="W9" i="31"/>
  <c r="W10" i="31"/>
  <c r="F99" i="37"/>
  <c r="H99" i="37" s="1"/>
  <c r="F84" i="31"/>
  <c r="G84" i="31" s="1"/>
  <c r="R83" i="34"/>
  <c r="G82" i="33" l="1"/>
  <c r="F58" i="31"/>
  <c r="H58" i="31" s="1"/>
  <c r="F99" i="36"/>
  <c r="H99" i="36" s="1"/>
  <c r="F64" i="34"/>
  <c r="G64" i="34" s="1"/>
  <c r="F83" i="31"/>
  <c r="G83" i="31" s="1"/>
  <c r="F52" i="18"/>
  <c r="G52" i="18" s="1"/>
  <c r="R58" i="37"/>
  <c r="S58" i="37" s="1"/>
  <c r="F72" i="34"/>
  <c r="G72" i="34" s="1"/>
  <c r="S68" i="37"/>
  <c r="F76" i="31"/>
  <c r="H76" i="31" s="1"/>
  <c r="R64" i="31"/>
  <c r="S64" i="31" s="1"/>
  <c r="F54" i="31"/>
  <c r="H54" i="31" s="1"/>
  <c r="F76" i="36"/>
  <c r="H76" i="36" s="1"/>
  <c r="R96" i="33"/>
  <c r="T96" i="33" s="1"/>
  <c r="F82" i="34"/>
  <c r="H82" i="34" s="1"/>
  <c r="F96" i="31"/>
  <c r="H96" i="31" s="1"/>
  <c r="E53" i="38"/>
  <c r="F68" i="36"/>
  <c r="G68" i="36" s="1"/>
  <c r="F35" i="36"/>
  <c r="H35" i="36" s="1"/>
  <c r="R96" i="37"/>
  <c r="S96" i="37" s="1"/>
  <c r="E76" i="38"/>
  <c r="F58" i="34"/>
  <c r="G58" i="34" s="1"/>
  <c r="D89" i="38"/>
  <c r="F87" i="35"/>
  <c r="H87" i="35" s="1"/>
  <c r="E65" i="38"/>
  <c r="F58" i="36"/>
  <c r="G58" i="36" s="1"/>
  <c r="F87" i="36"/>
  <c r="G87" i="36" s="1"/>
  <c r="F52" i="33"/>
  <c r="H52" i="33" s="1"/>
  <c r="R76" i="33"/>
  <c r="T76" i="33" s="1"/>
  <c r="F99" i="18"/>
  <c r="H99" i="18" s="1"/>
  <c r="R69" i="31"/>
  <c r="S69" i="31" s="1"/>
  <c r="F96" i="35"/>
  <c r="H96" i="35" s="1"/>
  <c r="F76" i="40"/>
  <c r="D76" i="38"/>
  <c r="F61" i="36"/>
  <c r="H61" i="36" s="1"/>
  <c r="F50" i="33"/>
  <c r="G50" i="33" s="1"/>
  <c r="E69" i="38"/>
  <c r="F66" i="18"/>
  <c r="H66" i="18" s="1"/>
  <c r="F68" i="31"/>
  <c r="G68" i="31" s="1"/>
  <c r="F32" i="36"/>
  <c r="G32" i="36" s="1"/>
  <c r="F61" i="35"/>
  <c r="H61" i="35" s="1"/>
  <c r="S82" i="37"/>
  <c r="R83" i="33"/>
  <c r="T83" i="33" s="1"/>
  <c r="R87" i="18"/>
  <c r="T87" i="18" s="1"/>
  <c r="F61" i="33"/>
  <c r="H61" i="33" s="1"/>
  <c r="R52" i="37"/>
  <c r="T52" i="37" s="1"/>
  <c r="F82" i="36"/>
  <c r="G82" i="36" s="1"/>
  <c r="F96" i="36"/>
  <c r="G96" i="36" s="1"/>
  <c r="F72" i="18"/>
  <c r="G72" i="18" s="1"/>
  <c r="F87" i="31"/>
  <c r="G87" i="31" s="1"/>
  <c r="F96" i="37"/>
  <c r="H96" i="37" s="1"/>
  <c r="F64" i="37"/>
  <c r="H64" i="37" s="1"/>
  <c r="S69" i="36"/>
  <c r="F68" i="18"/>
  <c r="H68" i="18" s="1"/>
  <c r="F72" i="31"/>
  <c r="H72" i="31" s="1"/>
  <c r="F52" i="34"/>
  <c r="G52" i="34" s="1"/>
  <c r="R42" i="31"/>
  <c r="T42" i="31" s="1"/>
  <c r="F48" i="35"/>
  <c r="H48" i="35" s="1"/>
  <c r="R94" i="33"/>
  <c r="S94" i="33" s="1"/>
  <c r="R51" i="33"/>
  <c r="S51" i="33" s="1"/>
  <c r="R63" i="33"/>
  <c r="S63" i="33" s="1"/>
  <c r="R55" i="31"/>
  <c r="S55" i="31" s="1"/>
  <c r="R63" i="31"/>
  <c r="T63" i="31" s="1"/>
  <c r="T62" i="18"/>
  <c r="R77" i="18"/>
  <c r="T77" i="18" s="1"/>
  <c r="F44" i="35"/>
  <c r="H44" i="35" s="1"/>
  <c r="R48" i="18"/>
  <c r="T48" i="18" s="1"/>
  <c r="R42" i="18"/>
  <c r="T42" i="18" s="1"/>
  <c r="F39" i="32"/>
  <c r="R40" i="37"/>
  <c r="T40" i="37" s="1"/>
  <c r="B22" i="34"/>
  <c r="O22" i="34"/>
  <c r="O22" i="18"/>
  <c r="B22" i="32"/>
  <c r="B22" i="33"/>
  <c r="B22" i="40"/>
  <c r="B22" i="31"/>
  <c r="B22" i="35"/>
  <c r="B22" i="18"/>
  <c r="O22" i="35"/>
  <c r="O22" i="37"/>
  <c r="O22" i="33"/>
  <c r="O22" i="31"/>
  <c r="B22" i="37"/>
  <c r="O22" i="32"/>
  <c r="B18" i="7"/>
  <c r="B22" i="36"/>
  <c r="O22" i="40"/>
  <c r="O22" i="36"/>
  <c r="F48" i="32"/>
  <c r="R49" i="33"/>
  <c r="S49" i="33" s="1"/>
  <c r="R47" i="33"/>
  <c r="S47" i="33" s="1"/>
  <c r="F42" i="31"/>
  <c r="H42" i="31" s="1"/>
  <c r="F41" i="32"/>
  <c r="F50" i="34"/>
  <c r="H50" i="34" s="1"/>
  <c r="R44" i="33"/>
  <c r="S44" i="33" s="1"/>
  <c r="R45" i="31"/>
  <c r="T45" i="31" s="1"/>
  <c r="S64" i="33"/>
  <c r="R91" i="18"/>
  <c r="T91" i="18" s="1"/>
  <c r="R41" i="33"/>
  <c r="S41" i="33" s="1"/>
  <c r="F89" i="32"/>
  <c r="F82" i="37"/>
  <c r="G82" i="37" s="1"/>
  <c r="F73" i="34"/>
  <c r="H73" i="34" s="1"/>
  <c r="R85" i="37"/>
  <c r="S85" i="37" s="1"/>
  <c r="R45" i="18"/>
  <c r="T45" i="18" s="1"/>
  <c r="F89" i="34"/>
  <c r="G89" i="34" s="1"/>
  <c r="R84" i="18"/>
  <c r="T84" i="18" s="1"/>
  <c r="F61" i="34"/>
  <c r="G61" i="34" s="1"/>
  <c r="F44" i="32"/>
  <c r="R42" i="33"/>
  <c r="T42" i="33" s="1"/>
  <c r="R44" i="31"/>
  <c r="T44" i="31" s="1"/>
  <c r="R44" i="37"/>
  <c r="T44" i="37" s="1"/>
  <c r="F43" i="32"/>
  <c r="F68" i="37"/>
  <c r="H68" i="37" s="1"/>
  <c r="G68" i="34"/>
  <c r="H68" i="34"/>
  <c r="E75" i="38"/>
  <c r="F53" i="31"/>
  <c r="H53" i="31" s="1"/>
  <c r="F86" i="36"/>
  <c r="G86" i="36" s="1"/>
  <c r="F90" i="36"/>
  <c r="G90" i="36" s="1"/>
  <c r="F48" i="34"/>
  <c r="G48" i="34" s="1"/>
  <c r="F80" i="31"/>
  <c r="H80" i="31" s="1"/>
  <c r="R47" i="37"/>
  <c r="S47" i="37" s="1"/>
  <c r="R71" i="37"/>
  <c r="T71" i="37" s="1"/>
  <c r="H76" i="18"/>
  <c r="T86" i="31"/>
  <c r="R90" i="31"/>
  <c r="T90" i="31" s="1"/>
  <c r="T94" i="36"/>
  <c r="S88" i="18"/>
  <c r="S69" i="18"/>
  <c r="T40" i="18"/>
  <c r="S83" i="18"/>
  <c r="S46" i="36"/>
  <c r="S87" i="36"/>
  <c r="S54" i="36"/>
  <c r="S84" i="36"/>
  <c r="T99" i="35"/>
  <c r="G88" i="31"/>
  <c r="T64" i="35"/>
  <c r="F84" i="34"/>
  <c r="H84" i="34" s="1"/>
  <c r="R57" i="33"/>
  <c r="T57" i="33" s="1"/>
  <c r="S44" i="18"/>
  <c r="T97" i="36"/>
  <c r="R93" i="37"/>
  <c r="S93" i="37" s="1"/>
  <c r="T54" i="31"/>
  <c r="T74" i="31"/>
  <c r="S78" i="31"/>
  <c r="S88" i="31"/>
  <c r="S62" i="18"/>
  <c r="T96" i="31"/>
  <c r="R61" i="37"/>
  <c r="S80" i="36"/>
  <c r="D51" i="38"/>
  <c r="S41" i="36"/>
  <c r="H36" i="36"/>
  <c r="R81" i="37"/>
  <c r="T81" i="37" s="1"/>
  <c r="F57" i="35"/>
  <c r="H57" i="35" s="1"/>
  <c r="S39" i="36"/>
  <c r="T97" i="18"/>
  <c r="T85" i="36"/>
  <c r="T45" i="36"/>
  <c r="T41" i="36"/>
  <c r="R55" i="18"/>
  <c r="S55" i="18" s="1"/>
  <c r="F96" i="33"/>
  <c r="H96" i="33" s="1"/>
  <c r="T90" i="18"/>
  <c r="T82" i="18"/>
  <c r="R88" i="37"/>
  <c r="T88" i="37" s="1"/>
  <c r="T80" i="31"/>
  <c r="F98" i="34"/>
  <c r="H98" i="34" s="1"/>
  <c r="R76" i="32"/>
  <c r="S52" i="31"/>
  <c r="S68" i="18"/>
  <c r="F49" i="34"/>
  <c r="H49" i="34" s="1"/>
  <c r="F48" i="31"/>
  <c r="H48" i="31" s="1"/>
  <c r="F73" i="32"/>
  <c r="R91" i="37"/>
  <c r="S91" i="37" s="1"/>
  <c r="F71" i="32"/>
  <c r="R83" i="37"/>
  <c r="R68" i="31"/>
  <c r="S68" i="31" s="1"/>
  <c r="R61" i="18"/>
  <c r="T61" i="18" s="1"/>
  <c r="R81" i="31"/>
  <c r="S81" i="31" s="1"/>
  <c r="R79" i="31"/>
  <c r="S79" i="31" s="1"/>
  <c r="F57" i="32"/>
  <c r="R46" i="31"/>
  <c r="S46" i="31" s="1"/>
  <c r="R65" i="37"/>
  <c r="T65" i="37" s="1"/>
  <c r="F58" i="18"/>
  <c r="G58" i="18" s="1"/>
  <c r="R81" i="32"/>
  <c r="R55" i="37"/>
  <c r="T55" i="37" s="1"/>
  <c r="F56" i="32"/>
  <c r="G83" i="37"/>
  <c r="F22" i="36"/>
  <c r="H22" i="36" s="1"/>
  <c r="T76" i="37"/>
  <c r="F69" i="34"/>
  <c r="H69" i="34" s="1"/>
  <c r="F69" i="18"/>
  <c r="G69" i="18" s="1"/>
  <c r="D46" i="38"/>
  <c r="F66" i="35"/>
  <c r="H66" i="35" s="1"/>
  <c r="F64" i="35"/>
  <c r="H64" i="35" s="1"/>
  <c r="T88" i="33"/>
  <c r="D33" i="38"/>
  <c r="D65" i="38"/>
  <c r="F61" i="18"/>
  <c r="H61" i="18" s="1"/>
  <c r="T84" i="33"/>
  <c r="S84" i="33"/>
  <c r="T40" i="33"/>
  <c r="F92" i="32"/>
  <c r="F83" i="34"/>
  <c r="G83" i="34" s="1"/>
  <c r="S80" i="31"/>
  <c r="G76" i="37"/>
  <c r="E62" i="38"/>
  <c r="F43" i="34"/>
  <c r="H43" i="34" s="1"/>
  <c r="R99" i="18"/>
  <c r="S99" i="18" s="1"/>
  <c r="T54" i="36"/>
  <c r="F24" i="36"/>
  <c r="G24" i="36" s="1"/>
  <c r="F67" i="31"/>
  <c r="G67" i="31" s="1"/>
  <c r="D69" i="38"/>
  <c r="R58" i="18"/>
  <c r="T58" i="18" s="1"/>
  <c r="F50" i="31"/>
  <c r="G50" i="31" s="1"/>
  <c r="F94" i="32"/>
  <c r="F58" i="37"/>
  <c r="H58" i="37" s="1"/>
  <c r="T77" i="33"/>
  <c r="T53" i="33"/>
  <c r="E54" i="38"/>
  <c r="E87" i="38"/>
  <c r="T78" i="37"/>
  <c r="F61" i="31"/>
  <c r="G61" i="31" s="1"/>
  <c r="F78" i="36"/>
  <c r="H78" i="36" s="1"/>
  <c r="F72" i="36"/>
  <c r="G72" i="36" s="1"/>
  <c r="F41" i="35"/>
  <c r="H41" i="35" s="1"/>
  <c r="F74" i="33"/>
  <c r="H74" i="33" s="1"/>
  <c r="F56" i="35"/>
  <c r="H56" i="35" s="1"/>
  <c r="D61" i="38"/>
  <c r="F68" i="40"/>
  <c r="F61" i="37"/>
  <c r="T84" i="36"/>
  <c r="E45" i="38"/>
  <c r="E35" i="38"/>
  <c r="E51" i="38"/>
  <c r="S88" i="35"/>
  <c r="F88" i="36"/>
  <c r="G88" i="36" s="1"/>
  <c r="F20" i="36"/>
  <c r="G20" i="36" s="1"/>
  <c r="F53" i="18"/>
  <c r="H53" i="18" s="1"/>
  <c r="R74" i="37"/>
  <c r="T74" i="37" s="1"/>
  <c r="F80" i="35"/>
  <c r="G80" i="35" s="1"/>
  <c r="F98" i="18"/>
  <c r="G98" i="18" s="1"/>
  <c r="R60" i="33"/>
  <c r="T60" i="33" s="1"/>
  <c r="F74" i="34"/>
  <c r="F80" i="34"/>
  <c r="H80" i="34" s="1"/>
  <c r="T84" i="37"/>
  <c r="S84" i="37"/>
  <c r="F92" i="40"/>
  <c r="D85" i="38"/>
  <c r="F83" i="35"/>
  <c r="S96" i="31"/>
  <c r="E92" i="38"/>
  <c r="T95" i="35"/>
  <c r="S53" i="31"/>
  <c r="H68" i="35"/>
  <c r="F59" i="36"/>
  <c r="H59" i="36" s="1"/>
  <c r="F83" i="33"/>
  <c r="G83" i="33" s="1"/>
  <c r="F87" i="33"/>
  <c r="G87" i="33" s="1"/>
  <c r="F58" i="32"/>
  <c r="F78" i="37"/>
  <c r="G78" i="37" s="1"/>
  <c r="F56" i="37"/>
  <c r="H56" i="37" s="1"/>
  <c r="F62" i="37"/>
  <c r="G62" i="37" s="1"/>
  <c r="F80" i="18"/>
  <c r="G80" i="18" s="1"/>
  <c r="F76" i="33"/>
  <c r="F52" i="36"/>
  <c r="G52" i="36" s="1"/>
  <c r="F53" i="37"/>
  <c r="G53" i="37" s="1"/>
  <c r="F22" i="40"/>
  <c r="S82" i="33"/>
  <c r="H92" i="34"/>
  <c r="F40" i="33"/>
  <c r="H40" i="33" s="1"/>
  <c r="S92" i="33"/>
  <c r="T92" i="33"/>
  <c r="F52" i="35"/>
  <c r="H52" i="35" s="1"/>
  <c r="F66" i="31"/>
  <c r="G66" i="31" s="1"/>
  <c r="S52" i="33"/>
  <c r="S74" i="31"/>
  <c r="T72" i="33"/>
  <c r="F97" i="31"/>
  <c r="H97" i="31" s="1"/>
  <c r="F19" i="36"/>
  <c r="G19" i="36" s="1"/>
  <c r="I19" i="36" s="1"/>
  <c r="F84" i="18"/>
  <c r="G84" i="18" s="1"/>
  <c r="F74" i="36"/>
  <c r="H74" i="36" s="1"/>
  <c r="S54" i="37"/>
  <c r="T93" i="33"/>
  <c r="S93" i="33"/>
  <c r="F64" i="40"/>
  <c r="D57" i="38"/>
  <c r="R68" i="33"/>
  <c r="S68" i="33" s="1"/>
  <c r="F76" i="34"/>
  <c r="H76" i="34" s="1"/>
  <c r="R66" i="33"/>
  <c r="F99" i="34"/>
  <c r="G99" i="34" s="1"/>
  <c r="R98" i="37"/>
  <c r="T98" i="37" s="1"/>
  <c r="H91" i="31"/>
  <c r="R70" i="18"/>
  <c r="T70" i="18" s="1"/>
  <c r="R50" i="18"/>
  <c r="T50" i="18" s="1"/>
  <c r="R60" i="18"/>
  <c r="S60" i="18" s="1"/>
  <c r="F76" i="32"/>
  <c r="T50" i="33"/>
  <c r="F60" i="36"/>
  <c r="G60" i="36" s="1"/>
  <c r="F64" i="18"/>
  <c r="H64" i="18" s="1"/>
  <c r="F69" i="31"/>
  <c r="G69" i="31" s="1"/>
  <c r="R66" i="18"/>
  <c r="T66" i="18" s="1"/>
  <c r="R72" i="37"/>
  <c r="T72" i="37" s="1"/>
  <c r="F64" i="31"/>
  <c r="G53" i="34"/>
  <c r="F44" i="36"/>
  <c r="G44" i="36" s="1"/>
  <c r="F44" i="18"/>
  <c r="H44" i="18" s="1"/>
  <c r="F39" i="40"/>
  <c r="D32" i="38"/>
  <c r="F39" i="36"/>
  <c r="H39" i="36" s="1"/>
  <c r="F39" i="37"/>
  <c r="H39" i="37" s="1"/>
  <c r="F90" i="40"/>
  <c r="D83" i="38"/>
  <c r="F98" i="31"/>
  <c r="H98" i="31" s="1"/>
  <c r="F98" i="40"/>
  <c r="F80" i="33"/>
  <c r="H80" i="33" s="1"/>
  <c r="E33" i="38"/>
  <c r="F40" i="34"/>
  <c r="G40" i="34" s="1"/>
  <c r="F62" i="40"/>
  <c r="F50" i="37"/>
  <c r="H50" i="37" s="1"/>
  <c r="H53" i="35"/>
  <c r="G53" i="35"/>
  <c r="S90" i="33"/>
  <c r="E57" i="38"/>
  <c r="R66" i="31"/>
  <c r="T66" i="31" s="1"/>
  <c r="F94" i="36"/>
  <c r="G94" i="36" s="1"/>
  <c r="F79" i="36"/>
  <c r="H79" i="36" s="1"/>
  <c r="F93" i="31"/>
  <c r="G93" i="31" s="1"/>
  <c r="F48" i="40"/>
  <c r="F44" i="40"/>
  <c r="F26" i="36"/>
  <c r="G26" i="36" s="1"/>
  <c r="T62" i="31"/>
  <c r="S62" i="31"/>
  <c r="T83" i="18"/>
  <c r="S58" i="33"/>
  <c r="S90" i="18"/>
  <c r="F50" i="36"/>
  <c r="H50" i="36" s="1"/>
  <c r="F80" i="36"/>
  <c r="G80" i="36" s="1"/>
  <c r="F70" i="37"/>
  <c r="G70" i="37" s="1"/>
  <c r="F78" i="31"/>
  <c r="H78" i="31" s="1"/>
  <c r="H88" i="35"/>
  <c r="G88" i="35"/>
  <c r="R64" i="37"/>
  <c r="S64" i="37" s="1"/>
  <c r="R72" i="31"/>
  <c r="T72" i="31" s="1"/>
  <c r="F72" i="37"/>
  <c r="H72" i="37" s="1"/>
  <c r="R56" i="37"/>
  <c r="R72" i="32"/>
  <c r="F76" i="35"/>
  <c r="G76" i="35" s="1"/>
  <c r="F84" i="32"/>
  <c r="F75" i="32"/>
  <c r="R98" i="33"/>
  <c r="F89" i="37"/>
  <c r="G89" i="37" s="1"/>
  <c r="D62" i="38"/>
  <c r="T39" i="37"/>
  <c r="F68" i="33"/>
  <c r="G68" i="33" s="1"/>
  <c r="R75" i="37"/>
  <c r="T75" i="37" s="1"/>
  <c r="R73" i="31"/>
  <c r="T73" i="31" s="1"/>
  <c r="F99" i="35"/>
  <c r="G99" i="35" s="1"/>
  <c r="R56" i="18"/>
  <c r="T56" i="18" s="1"/>
  <c r="F99" i="33"/>
  <c r="F93" i="37"/>
  <c r="H93" i="37" s="1"/>
  <c r="G72" i="33"/>
  <c r="H72" i="33"/>
  <c r="F40" i="18"/>
  <c r="H40" i="18" s="1"/>
  <c r="T78" i="18"/>
  <c r="S85" i="36"/>
  <c r="F45" i="37"/>
  <c r="G45" i="37" s="1"/>
  <c r="F53" i="36"/>
  <c r="H53" i="36" s="1"/>
  <c r="D42" i="38"/>
  <c r="T53" i="37"/>
  <c r="F90" i="31"/>
  <c r="H90" i="31" s="1"/>
  <c r="R99" i="37"/>
  <c r="T99" i="37" s="1"/>
  <c r="F92" i="37"/>
  <c r="G92" i="37" s="1"/>
  <c r="F64" i="32"/>
  <c r="R69" i="33"/>
  <c r="F69" i="32"/>
  <c r="F58" i="35"/>
  <c r="G58" i="35" s="1"/>
  <c r="T80" i="35"/>
  <c r="S61" i="33"/>
  <c r="T48" i="35"/>
  <c r="E59" i="38"/>
  <c r="F94" i="37"/>
  <c r="G94" i="37" s="1"/>
  <c r="F77" i="31"/>
  <c r="H77" i="31" s="1"/>
  <c r="F31" i="36"/>
  <c r="H31" i="36" s="1"/>
  <c r="F51" i="36"/>
  <c r="G51" i="36" s="1"/>
  <c r="F62" i="18"/>
  <c r="H62" i="18" s="1"/>
  <c r="D41" i="38"/>
  <c r="F83" i="18"/>
  <c r="H83" i="18" s="1"/>
  <c r="F60" i="18"/>
  <c r="H60" i="18" s="1"/>
  <c r="R40" i="31"/>
  <c r="T40" i="31" s="1"/>
  <c r="F80" i="37"/>
  <c r="H80" i="37" s="1"/>
  <c r="R72" i="18"/>
  <c r="T72" i="18" s="1"/>
  <c r="F90" i="18"/>
  <c r="H90" i="18" s="1"/>
  <c r="R92" i="37"/>
  <c r="S92" i="37" s="1"/>
  <c r="R69" i="37"/>
  <c r="S69" i="37" s="1"/>
  <c r="F92" i="31"/>
  <c r="H92" i="31" s="1"/>
  <c r="F47" i="37"/>
  <c r="G47" i="37" s="1"/>
  <c r="R99" i="33"/>
  <c r="S99" i="33" s="1"/>
  <c r="F83" i="36"/>
  <c r="H83" i="36" s="1"/>
  <c r="F34" i="36"/>
  <c r="H34" i="36" s="1"/>
  <c r="F27" i="36"/>
  <c r="G27" i="36" s="1"/>
  <c r="F62" i="36"/>
  <c r="H62" i="36" s="1"/>
  <c r="F63" i="18"/>
  <c r="G63" i="18" s="1"/>
  <c r="F86" i="18"/>
  <c r="H86" i="18" s="1"/>
  <c r="R50" i="31"/>
  <c r="S50" i="31" s="1"/>
  <c r="F78" i="18"/>
  <c r="H78" i="18" s="1"/>
  <c r="G62" i="34"/>
  <c r="R64" i="18"/>
  <c r="S64" i="18" s="1"/>
  <c r="F69" i="35"/>
  <c r="H69" i="35" s="1"/>
  <c r="F69" i="37"/>
  <c r="H69" i="37" s="1"/>
  <c r="F98" i="33"/>
  <c r="G98" i="33" s="1"/>
  <c r="R66" i="37"/>
  <c r="T66" i="37" s="1"/>
  <c r="F98" i="37"/>
  <c r="H98" i="37" s="1"/>
  <c r="F66" i="32"/>
  <c r="R98" i="18"/>
  <c r="T98" i="18" s="1"/>
  <c r="F72" i="32"/>
  <c r="F92" i="36"/>
  <c r="F53" i="33"/>
  <c r="R46" i="37"/>
  <c r="S46" i="37" s="1"/>
  <c r="R39" i="33"/>
  <c r="T39" i="33" s="1"/>
  <c r="F85" i="18"/>
  <c r="H85" i="18" s="1"/>
  <c r="F87" i="32"/>
  <c r="R43" i="37"/>
  <c r="R43" i="31"/>
  <c r="T43" i="31" s="1"/>
  <c r="R89" i="31"/>
  <c r="S89" i="31" s="1"/>
  <c r="R93" i="18"/>
  <c r="S93" i="18" s="1"/>
  <c r="T80" i="33"/>
  <c r="R67" i="31"/>
  <c r="T67" i="31" s="1"/>
  <c r="F91" i="35"/>
  <c r="H91" i="35" s="1"/>
  <c r="F65" i="31"/>
  <c r="G65" i="31" s="1"/>
  <c r="S40" i="18"/>
  <c r="T89" i="33"/>
  <c r="G82" i="35"/>
  <c r="T97" i="31"/>
  <c r="S62" i="33"/>
  <c r="S94" i="31"/>
  <c r="S45" i="37"/>
  <c r="S51" i="37"/>
  <c r="F81" i="32"/>
  <c r="F71" i="34"/>
  <c r="H71" i="34" s="1"/>
  <c r="H82" i="31"/>
  <c r="G52" i="37"/>
  <c r="H50" i="18"/>
  <c r="G50" i="18"/>
  <c r="T88" i="31"/>
  <c r="S86" i="33"/>
  <c r="T69" i="18"/>
  <c r="S54" i="31"/>
  <c r="S53" i="35"/>
  <c r="H51" i="31"/>
  <c r="F45" i="18"/>
  <c r="G45" i="18" s="1"/>
  <c r="F98" i="36"/>
  <c r="H98" i="36" s="1"/>
  <c r="F84" i="36"/>
  <c r="H84" i="36" s="1"/>
  <c r="D82" i="38"/>
  <c r="F65" i="18"/>
  <c r="G65" i="18" s="1"/>
  <c r="F97" i="37"/>
  <c r="G97" i="37" s="1"/>
  <c r="F60" i="37"/>
  <c r="H60" i="37" s="1"/>
  <c r="F54" i="33"/>
  <c r="H54" i="33" s="1"/>
  <c r="F50" i="40"/>
  <c r="D43" i="38"/>
  <c r="F80" i="40"/>
  <c r="D73" i="38"/>
  <c r="F64" i="33"/>
  <c r="S78" i="33"/>
  <c r="E73" i="38"/>
  <c r="H62" i="35"/>
  <c r="F48" i="36"/>
  <c r="H48" i="36" s="1"/>
  <c r="F45" i="36"/>
  <c r="G45" i="36" s="1"/>
  <c r="F94" i="18"/>
  <c r="G94" i="18" s="1"/>
  <c r="F50" i="35"/>
  <c r="G50" i="35" s="1"/>
  <c r="F92" i="18"/>
  <c r="H92" i="18" s="1"/>
  <c r="R98" i="31"/>
  <c r="T98" i="31" s="1"/>
  <c r="F72" i="35"/>
  <c r="H72" i="35" s="1"/>
  <c r="F62" i="33"/>
  <c r="E49" i="38"/>
  <c r="T71" i="35"/>
  <c r="E44" i="38"/>
  <c r="S97" i="36"/>
  <c r="F56" i="36"/>
  <c r="H56" i="36" s="1"/>
  <c r="F84" i="37"/>
  <c r="H84" i="37" s="1"/>
  <c r="F51" i="37"/>
  <c r="H51" i="37" s="1"/>
  <c r="F63" i="37"/>
  <c r="G63" i="37" s="1"/>
  <c r="F67" i="18"/>
  <c r="G67" i="18" s="1"/>
  <c r="F84" i="33"/>
  <c r="G84" i="33" s="1"/>
  <c r="R80" i="37"/>
  <c r="T80" i="37" s="1"/>
  <c r="R99" i="31"/>
  <c r="T99" i="31" s="1"/>
  <c r="F40" i="37"/>
  <c r="H40" i="37" s="1"/>
  <c r="G56" i="34"/>
  <c r="F98" i="35"/>
  <c r="H98" i="35" s="1"/>
  <c r="F90" i="33"/>
  <c r="F58" i="33"/>
  <c r="S70" i="37"/>
  <c r="T70" i="37"/>
  <c r="F99" i="31"/>
  <c r="H99" i="31" s="1"/>
  <c r="F59" i="31"/>
  <c r="F81" i="34"/>
  <c r="G81" i="34" s="1"/>
  <c r="F63" i="33"/>
  <c r="G63" i="33" s="1"/>
  <c r="F73" i="40"/>
  <c r="F85" i="31"/>
  <c r="G85" i="31" s="1"/>
  <c r="D78" i="38"/>
  <c r="F94" i="35"/>
  <c r="F52" i="31"/>
  <c r="G52" i="31" s="1"/>
  <c r="F84" i="35"/>
  <c r="F66" i="36"/>
  <c r="F40" i="36"/>
  <c r="H40" i="36" s="1"/>
  <c r="T50" i="37"/>
  <c r="F55" i="18"/>
  <c r="H55" i="18" s="1"/>
  <c r="F77" i="18"/>
  <c r="G77" i="18" s="1"/>
  <c r="F93" i="18"/>
  <c r="G93" i="18" s="1"/>
  <c r="F87" i="34"/>
  <c r="G87" i="34" s="1"/>
  <c r="E80" i="38"/>
  <c r="F47" i="40"/>
  <c r="F47" i="34"/>
  <c r="G47" i="34" s="1"/>
  <c r="F41" i="34"/>
  <c r="G41" i="34" s="1"/>
  <c r="F95" i="34"/>
  <c r="G95" i="34" s="1"/>
  <c r="E88" i="38"/>
  <c r="F95" i="36"/>
  <c r="G95" i="36" s="1"/>
  <c r="F70" i="31"/>
  <c r="G70" i="31" s="1"/>
  <c r="S92" i="35"/>
  <c r="T92" i="35"/>
  <c r="F66" i="33"/>
  <c r="G96" i="34"/>
  <c r="H96" i="34"/>
  <c r="F66" i="37"/>
  <c r="H66" i="37" s="1"/>
  <c r="T69" i="35"/>
  <c r="F40" i="31"/>
  <c r="H40" i="31" s="1"/>
  <c r="F74" i="18"/>
  <c r="G74" i="18" s="1"/>
  <c r="F60" i="32"/>
  <c r="F19" i="40"/>
  <c r="F44" i="37"/>
  <c r="H44" i="37" s="1"/>
  <c r="F39" i="31"/>
  <c r="H39" i="31" s="1"/>
  <c r="F25" i="36"/>
  <c r="G25" i="36" s="1"/>
  <c r="F46" i="36"/>
  <c r="H46" i="36" s="1"/>
  <c r="F38" i="36"/>
  <c r="H38" i="36" s="1"/>
  <c r="F54" i="36"/>
  <c r="F67" i="37"/>
  <c r="F45" i="31"/>
  <c r="G45" i="31" s="1"/>
  <c r="F74" i="37"/>
  <c r="G74" i="37" s="1"/>
  <c r="F65" i="34"/>
  <c r="H65" i="34" s="1"/>
  <c r="R70" i="33"/>
  <c r="S70" i="33" s="1"/>
  <c r="R62" i="37"/>
  <c r="T62" i="37" s="1"/>
  <c r="R74" i="18"/>
  <c r="T74" i="18" s="1"/>
  <c r="H70" i="34"/>
  <c r="F60" i="35"/>
  <c r="H60" i="35" s="1"/>
  <c r="F99" i="32"/>
  <c r="F78" i="32"/>
  <c r="F84" i="40"/>
  <c r="D77" i="38"/>
  <c r="D56" i="38"/>
  <c r="F73" i="31"/>
  <c r="H73" i="31" s="1"/>
  <c r="R87" i="33"/>
  <c r="F41" i="37"/>
  <c r="H41" i="37" s="1"/>
  <c r="R92" i="18"/>
  <c r="T92" i="18" s="1"/>
  <c r="F56" i="33"/>
  <c r="F74" i="35"/>
  <c r="R56" i="31"/>
  <c r="F69" i="33"/>
  <c r="R60" i="31"/>
  <c r="S60" i="31" s="1"/>
  <c r="F78" i="34"/>
  <c r="G78" i="34" s="1"/>
  <c r="R60" i="37"/>
  <c r="F66" i="34"/>
  <c r="G66" i="34" s="1"/>
  <c r="T68" i="35"/>
  <c r="S68" i="35"/>
  <c r="S90" i="37"/>
  <c r="T90" i="37"/>
  <c r="H94" i="31"/>
  <c r="F85" i="36"/>
  <c r="H85" i="36" s="1"/>
  <c r="T86" i="37"/>
  <c r="S86" i="37"/>
  <c r="F86" i="37"/>
  <c r="G86" i="37" s="1"/>
  <c r="S94" i="37"/>
  <c r="T94" i="37"/>
  <c r="D81" i="38"/>
  <c r="F88" i="40"/>
  <c r="G88" i="34"/>
  <c r="H88" i="34"/>
  <c r="G99" i="37"/>
  <c r="S63" i="35"/>
  <c r="F79" i="37"/>
  <c r="H79" i="37" s="1"/>
  <c r="F75" i="40"/>
  <c r="F57" i="36"/>
  <c r="H57" i="36" s="1"/>
  <c r="F73" i="18"/>
  <c r="H73" i="18" s="1"/>
  <c r="F54" i="18"/>
  <c r="G54" i="18" s="1"/>
  <c r="F86" i="35"/>
  <c r="F57" i="31"/>
  <c r="F90" i="37"/>
  <c r="F39" i="18"/>
  <c r="G39" i="18" s="1"/>
  <c r="F59" i="35"/>
  <c r="G59" i="35" s="1"/>
  <c r="F79" i="18"/>
  <c r="G79" i="18" s="1"/>
  <c r="F87" i="40"/>
  <c r="D80" i="38"/>
  <c r="F91" i="18"/>
  <c r="G91" i="18" s="1"/>
  <c r="F43" i="36"/>
  <c r="H43" i="36" s="1"/>
  <c r="F71" i="36"/>
  <c r="G71" i="36" s="1"/>
  <c r="F28" i="40"/>
  <c r="F54" i="40"/>
  <c r="D47" i="38"/>
  <c r="F60" i="33"/>
  <c r="F78" i="40"/>
  <c r="F88" i="37"/>
  <c r="H88" i="37" s="1"/>
  <c r="R75" i="31"/>
  <c r="T75" i="31" s="1"/>
  <c r="F91" i="40"/>
  <c r="F65" i="36"/>
  <c r="G65" i="36" s="1"/>
  <c r="F47" i="36"/>
  <c r="G47" i="36" s="1"/>
  <c r="F45" i="35"/>
  <c r="H45" i="35" s="1"/>
  <c r="F43" i="33"/>
  <c r="F95" i="40"/>
  <c r="D88" i="38"/>
  <c r="F37" i="40"/>
  <c r="F55" i="31"/>
  <c r="G55" i="31" s="1"/>
  <c r="F71" i="40"/>
  <c r="D64" i="38"/>
  <c r="F77" i="35"/>
  <c r="G77" i="35" s="1"/>
  <c r="F77" i="36"/>
  <c r="G77" i="36" s="1"/>
  <c r="F88" i="18"/>
  <c r="F94" i="34"/>
  <c r="F70" i="36"/>
  <c r="H70" i="36" s="1"/>
  <c r="F74" i="40"/>
  <c r="D67" i="38"/>
  <c r="F60" i="31"/>
  <c r="H60" i="31" s="1"/>
  <c r="F78" i="35"/>
  <c r="F56" i="40"/>
  <c r="F70" i="18"/>
  <c r="H70" i="18" s="1"/>
  <c r="F75" i="34"/>
  <c r="H75" i="34" s="1"/>
  <c r="R87" i="37"/>
  <c r="T87" i="37" s="1"/>
  <c r="R85" i="31"/>
  <c r="S85" i="31" s="1"/>
  <c r="R85" i="18"/>
  <c r="T85" i="18" s="1"/>
  <c r="F40" i="35"/>
  <c r="H40" i="35" s="1"/>
  <c r="F92" i="35"/>
  <c r="G92" i="35" s="1"/>
  <c r="R74" i="33"/>
  <c r="T74" i="33" s="1"/>
  <c r="F60" i="34"/>
  <c r="G60" i="34" s="1"/>
  <c r="F43" i="37"/>
  <c r="G43" i="37" s="1"/>
  <c r="F89" i="18"/>
  <c r="H89" i="18" s="1"/>
  <c r="F70" i="35"/>
  <c r="F74" i="31"/>
  <c r="F88" i="33"/>
  <c r="R94" i="18"/>
  <c r="S94" i="18" s="1"/>
  <c r="F87" i="37"/>
  <c r="G87" i="37" s="1"/>
  <c r="F77" i="34"/>
  <c r="G77" i="34" s="1"/>
  <c r="R56" i="33"/>
  <c r="R93" i="31"/>
  <c r="S93" i="31" s="1"/>
  <c r="R92" i="31"/>
  <c r="T92" i="31" s="1"/>
  <c r="F49" i="37"/>
  <c r="H49" i="37" s="1"/>
  <c r="F56" i="18"/>
  <c r="G56" i="18" s="1"/>
  <c r="R47" i="32"/>
  <c r="F46" i="18"/>
  <c r="G46" i="18" s="1"/>
  <c r="F78" i="33"/>
  <c r="F92" i="33"/>
  <c r="F94" i="33"/>
  <c r="T90" i="34"/>
  <c r="S90" i="34"/>
  <c r="S54" i="33"/>
  <c r="T54" i="33"/>
  <c r="F59" i="37"/>
  <c r="F67" i="40"/>
  <c r="D60" i="38"/>
  <c r="T79" i="33"/>
  <c r="S79" i="33"/>
  <c r="F75" i="36"/>
  <c r="G75" i="36" s="1"/>
  <c r="F57" i="40"/>
  <c r="F42" i="36"/>
  <c r="G42" i="36" s="1"/>
  <c r="H42" i="35"/>
  <c r="G42" i="35"/>
  <c r="F21" i="40"/>
  <c r="F87" i="18"/>
  <c r="G87" i="18" s="1"/>
  <c r="F47" i="18"/>
  <c r="H47" i="18" s="1"/>
  <c r="F45" i="40"/>
  <c r="F43" i="35"/>
  <c r="F41" i="40"/>
  <c r="F41" i="36"/>
  <c r="H41" i="36" s="1"/>
  <c r="F55" i="33"/>
  <c r="F55" i="34"/>
  <c r="H55" i="34" s="1"/>
  <c r="F55" i="36"/>
  <c r="G55" i="36" s="1"/>
  <c r="F71" i="35"/>
  <c r="H71" i="35" s="1"/>
  <c r="F77" i="40"/>
  <c r="E70" i="38"/>
  <c r="T44" i="18"/>
  <c r="T65" i="33"/>
  <c r="T75" i="35"/>
  <c r="E39" i="38"/>
  <c r="S70" i="35"/>
  <c r="T77" i="37"/>
  <c r="S29" i="36"/>
  <c r="F37" i="36"/>
  <c r="G37" i="36" s="1"/>
  <c r="F49" i="36"/>
  <c r="H49" i="36" s="1"/>
  <c r="S59" i="37"/>
  <c r="T59" i="37"/>
  <c r="F81" i="31"/>
  <c r="F73" i="35"/>
  <c r="F67" i="35"/>
  <c r="G67" i="35" s="1"/>
  <c r="F79" i="40"/>
  <c r="D72" i="38"/>
  <c r="T57" i="37"/>
  <c r="S57" i="37"/>
  <c r="F48" i="18"/>
  <c r="G48" i="18" s="1"/>
  <c r="F44" i="34"/>
  <c r="H44" i="34" s="1"/>
  <c r="F42" i="18"/>
  <c r="H42" i="18" s="1"/>
  <c r="F39" i="35"/>
  <c r="H39" i="35" s="1"/>
  <c r="F23" i="40"/>
  <c r="F95" i="18"/>
  <c r="H95" i="18" s="1"/>
  <c r="F97" i="40"/>
  <c r="D90" i="38"/>
  <c r="F97" i="35"/>
  <c r="G97" i="35" s="1"/>
  <c r="F97" i="36"/>
  <c r="G97" i="36" s="1"/>
  <c r="F29" i="40"/>
  <c r="F63" i="36"/>
  <c r="G63" i="36" s="1"/>
  <c r="F73" i="36"/>
  <c r="H73" i="36" s="1"/>
  <c r="F33" i="36"/>
  <c r="H33" i="36" s="1"/>
  <c r="R87" i="31"/>
  <c r="S87" i="31" s="1"/>
  <c r="F63" i="31"/>
  <c r="H63" i="31" s="1"/>
  <c r="F91" i="37"/>
  <c r="H91" i="37" s="1"/>
  <c r="F91" i="36"/>
  <c r="G91" i="36" s="1"/>
  <c r="F65" i="40"/>
  <c r="D58" i="38"/>
  <c r="E58" i="38"/>
  <c r="F43" i="40"/>
  <c r="D36" i="38"/>
  <c r="F79" i="31"/>
  <c r="H79" i="31" s="1"/>
  <c r="F55" i="37"/>
  <c r="H55" i="37" s="1"/>
  <c r="F89" i="36"/>
  <c r="G89" i="36" s="1"/>
  <c r="F77" i="37"/>
  <c r="F93" i="40"/>
  <c r="F93" i="35"/>
  <c r="H93" i="35" s="1"/>
  <c r="F93" i="36"/>
  <c r="H93" i="36" s="1"/>
  <c r="R91" i="31"/>
  <c r="T91" i="31" s="1"/>
  <c r="R49" i="31"/>
  <c r="S49" i="31" s="1"/>
  <c r="R95" i="31"/>
  <c r="T95" i="31" s="1"/>
  <c r="F54" i="37"/>
  <c r="H86" i="34"/>
  <c r="G86" i="34"/>
  <c r="F86" i="33"/>
  <c r="T55" i="33"/>
  <c r="T45" i="35"/>
  <c r="G90" i="34"/>
  <c r="T39" i="36"/>
  <c r="S46" i="35"/>
  <c r="E36" i="38"/>
  <c r="F23" i="36"/>
  <c r="G23" i="36" s="1"/>
  <c r="F29" i="36"/>
  <c r="G29" i="36" s="1"/>
  <c r="F91" i="34"/>
  <c r="G91" i="34" s="1"/>
  <c r="F54" i="32"/>
  <c r="R51" i="31"/>
  <c r="T51" i="31" s="1"/>
  <c r="F47" i="31"/>
  <c r="F71" i="18"/>
  <c r="G71" i="18" s="1"/>
  <c r="F46" i="31"/>
  <c r="G46" i="31" s="1"/>
  <c r="F54" i="35"/>
  <c r="S66" i="35"/>
  <c r="T66" i="35"/>
  <c r="F28" i="36"/>
  <c r="F86" i="31"/>
  <c r="F81" i="37"/>
  <c r="G81" i="37" s="1"/>
  <c r="F81" i="36"/>
  <c r="G81" i="36" s="1"/>
  <c r="F67" i="36"/>
  <c r="G67" i="36" s="1"/>
  <c r="F57" i="37"/>
  <c r="F73" i="37"/>
  <c r="D38" i="38"/>
  <c r="D50" i="38"/>
  <c r="F21" i="36"/>
  <c r="G21" i="36" s="1"/>
  <c r="F85" i="37"/>
  <c r="T81" i="35"/>
  <c r="S81" i="35"/>
  <c r="F46" i="37"/>
  <c r="H46" i="37" s="1"/>
  <c r="F85" i="40"/>
  <c r="F75" i="37"/>
  <c r="G75" i="37" s="1"/>
  <c r="F85" i="35"/>
  <c r="G85" i="35" s="1"/>
  <c r="R63" i="37"/>
  <c r="T63" i="37" s="1"/>
  <c r="R95" i="18"/>
  <c r="S95" i="18" s="1"/>
  <c r="F65" i="32"/>
  <c r="R65" i="18"/>
  <c r="S65" i="18" s="1"/>
  <c r="F90" i="35"/>
  <c r="G90" i="35" s="1"/>
  <c r="F54" i="34"/>
  <c r="G54" i="34" s="1"/>
  <c r="R49" i="18"/>
  <c r="T49" i="18" s="1"/>
  <c r="R47" i="31"/>
  <c r="T47" i="31" s="1"/>
  <c r="R41" i="18"/>
  <c r="S41" i="18" s="1"/>
  <c r="R63" i="18"/>
  <c r="T63" i="18" s="1"/>
  <c r="F57" i="18"/>
  <c r="H57" i="18" s="1"/>
  <c r="R65" i="31"/>
  <c r="S65" i="31" s="1"/>
  <c r="F77" i="32"/>
  <c r="F95" i="37"/>
  <c r="F95" i="31"/>
  <c r="H95" i="31" s="1"/>
  <c r="F43" i="31"/>
  <c r="G43" i="31" s="1"/>
  <c r="F51" i="32"/>
  <c r="F46" i="32"/>
  <c r="F97" i="34"/>
  <c r="G97" i="34" s="1"/>
  <c r="F51" i="34"/>
  <c r="H51" i="34" s="1"/>
  <c r="T54" i="35"/>
  <c r="S93" i="35"/>
  <c r="S83" i="35"/>
  <c r="T58" i="35"/>
  <c r="S87" i="35"/>
  <c r="S44" i="35"/>
  <c r="S47" i="35"/>
  <c r="T62" i="35"/>
  <c r="T59" i="33"/>
  <c r="G70" i="33"/>
  <c r="R95" i="33"/>
  <c r="S95" i="33" s="1"/>
  <c r="R71" i="33"/>
  <c r="G44" i="31"/>
  <c r="G41" i="31"/>
  <c r="F49" i="35"/>
  <c r="F47" i="35"/>
  <c r="G47" i="35" s="1"/>
  <c r="G62" i="31"/>
  <c r="H84" i="31"/>
  <c r="F49" i="31"/>
  <c r="F89" i="31"/>
  <c r="F95" i="35"/>
  <c r="G95" i="35" s="1"/>
  <c r="G76" i="18"/>
  <c r="T48" i="33"/>
  <c r="S48" i="33"/>
  <c r="T45" i="33"/>
  <c r="T73" i="33"/>
  <c r="T79" i="37"/>
  <c r="S79" i="37"/>
  <c r="R46" i="18"/>
  <c r="T46" i="18" s="1"/>
  <c r="T81" i="33"/>
  <c r="S70" i="34"/>
  <c r="T67" i="35"/>
  <c r="T97" i="37"/>
  <c r="S41" i="37"/>
  <c r="G56" i="31"/>
  <c r="H56" i="31"/>
  <c r="T43" i="33"/>
  <c r="T67" i="37"/>
  <c r="R75" i="18"/>
  <c r="S75" i="18" s="1"/>
  <c r="S41" i="35"/>
  <c r="T78" i="35"/>
  <c r="S73" i="37"/>
  <c r="R91" i="33"/>
  <c r="F71" i="31"/>
  <c r="F81" i="35"/>
  <c r="H81" i="35" s="1"/>
  <c r="F46" i="34"/>
  <c r="H46" i="34" s="1"/>
  <c r="R49" i="37"/>
  <c r="R43" i="18"/>
  <c r="S43" i="18" s="1"/>
  <c r="R95" i="37"/>
  <c r="F89" i="35"/>
  <c r="S61" i="35"/>
  <c r="S77" i="35"/>
  <c r="F46" i="35"/>
  <c r="R42" i="37"/>
  <c r="R39" i="18"/>
  <c r="F51" i="35"/>
  <c r="H51" i="35" s="1"/>
  <c r="R47" i="18"/>
  <c r="R71" i="18"/>
  <c r="S71" i="18" s="1"/>
  <c r="R71" i="31"/>
  <c r="R89" i="37"/>
  <c r="G36" i="36"/>
  <c r="T57" i="31"/>
  <c r="S57" i="31"/>
  <c r="G93" i="34"/>
  <c r="H93" i="34"/>
  <c r="T59" i="31"/>
  <c r="S59" i="31"/>
  <c r="H85" i="34"/>
  <c r="G85" i="34"/>
  <c r="S41" i="31"/>
  <c r="T41" i="31"/>
  <c r="S86" i="31"/>
  <c r="T78" i="31"/>
  <c r="R63" i="32"/>
  <c r="R93" i="32"/>
  <c r="R74" i="32"/>
  <c r="T56" i="36"/>
  <c r="S78" i="36"/>
  <c r="S64" i="36"/>
  <c r="S34" i="36"/>
  <c r="T46" i="36"/>
  <c r="R96" i="32"/>
  <c r="R90" i="32"/>
  <c r="R68" i="32"/>
  <c r="R85" i="32"/>
  <c r="R49" i="32"/>
  <c r="T32" i="36"/>
  <c r="T50" i="36"/>
  <c r="S89" i="36"/>
  <c r="F59" i="40"/>
  <c r="F59" i="18"/>
  <c r="F81" i="33"/>
  <c r="H67" i="34"/>
  <c r="G67" i="34"/>
  <c r="F79" i="33"/>
  <c r="F75" i="18"/>
  <c r="S48" i="37"/>
  <c r="T48" i="37"/>
  <c r="H42" i="34"/>
  <c r="G42" i="34"/>
  <c r="F42" i="37"/>
  <c r="F42" i="33"/>
  <c r="R46" i="33"/>
  <c r="F97" i="18"/>
  <c r="R97" i="33"/>
  <c r="F75" i="35"/>
  <c r="R75" i="33"/>
  <c r="R67" i="33"/>
  <c r="R57" i="18"/>
  <c r="F51" i="33"/>
  <c r="F51" i="18"/>
  <c r="H51" i="18" s="1"/>
  <c r="R85" i="33"/>
  <c r="F49" i="33"/>
  <c r="F45" i="33"/>
  <c r="H45" i="34"/>
  <c r="G45" i="34"/>
  <c r="F43" i="18"/>
  <c r="G43" i="18" s="1"/>
  <c r="F41" i="33"/>
  <c r="F41" i="18"/>
  <c r="G41" i="18" s="1"/>
  <c r="F95" i="33"/>
  <c r="F77" i="33"/>
  <c r="F93" i="33"/>
  <c r="D66" i="38"/>
  <c r="D54" i="38"/>
  <c r="T38" i="36"/>
  <c r="S82" i="36"/>
  <c r="T29" i="36"/>
  <c r="F59" i="33"/>
  <c r="H79" i="34"/>
  <c r="G79" i="34"/>
  <c r="G57" i="34"/>
  <c r="H57" i="34"/>
  <c r="F57" i="33"/>
  <c r="F48" i="37"/>
  <c r="F48" i="33"/>
  <c r="D39" i="38"/>
  <c r="F46" i="40"/>
  <c r="F44" i="33"/>
  <c r="F42" i="40"/>
  <c r="D35" i="38"/>
  <c r="H39" i="34"/>
  <c r="G39" i="34"/>
  <c r="F39" i="33"/>
  <c r="F46" i="33"/>
  <c r="G63" i="34"/>
  <c r="H63" i="34"/>
  <c r="F73" i="33"/>
  <c r="F97" i="33"/>
  <c r="F75" i="33"/>
  <c r="F59" i="32"/>
  <c r="F59" i="34"/>
  <c r="F67" i="33"/>
  <c r="F81" i="18"/>
  <c r="F85" i="33"/>
  <c r="F63" i="35"/>
  <c r="F91" i="33"/>
  <c r="F65" i="37"/>
  <c r="F65" i="33"/>
  <c r="F49" i="18"/>
  <c r="F47" i="33"/>
  <c r="F79" i="35"/>
  <c r="F65" i="35"/>
  <c r="H55" i="35"/>
  <c r="G55" i="35"/>
  <c r="F71" i="33"/>
  <c r="F71" i="37"/>
  <c r="F89" i="33"/>
  <c r="S98" i="35"/>
  <c r="T98" i="35"/>
  <c r="T83" i="31"/>
  <c r="S83" i="31"/>
  <c r="S61" i="31"/>
  <c r="T61" i="31"/>
  <c r="T96" i="35"/>
  <c r="S96" i="35"/>
  <c r="T42" i="35"/>
  <c r="S42" i="35"/>
  <c r="S90" i="35"/>
  <c r="T90" i="35"/>
  <c r="K10" i="32"/>
  <c r="K9" i="32"/>
  <c r="K12" i="32"/>
  <c r="T76" i="31"/>
  <c r="S76" i="31"/>
  <c r="S59" i="18"/>
  <c r="T89" i="18"/>
  <c r="T59" i="18"/>
  <c r="S86" i="18"/>
  <c r="T86" i="18"/>
  <c r="S97" i="18"/>
  <c r="S43" i="35"/>
  <c r="T43" i="35"/>
  <c r="T97" i="35"/>
  <c r="S97" i="35"/>
  <c r="T40" i="35"/>
  <c r="S40" i="35"/>
  <c r="S77" i="31"/>
  <c r="T77" i="31"/>
  <c r="S84" i="31"/>
  <c r="T82" i="31"/>
  <c r="S82" i="31"/>
  <c r="R65" i="32"/>
  <c r="R42" i="32"/>
  <c r="R66" i="32"/>
  <c r="R48" i="32"/>
  <c r="R69" i="32"/>
  <c r="R73" i="32"/>
  <c r="R67" i="32"/>
  <c r="R84" i="32"/>
  <c r="R95" i="32"/>
  <c r="R59" i="32"/>
  <c r="R89" i="32"/>
  <c r="R77" i="32"/>
  <c r="R99" i="32"/>
  <c r="R39" i="32"/>
  <c r="R60" i="32"/>
  <c r="R45" i="32"/>
  <c r="R40" i="32"/>
  <c r="R41" i="32"/>
  <c r="R79" i="32"/>
  <c r="R54" i="32"/>
  <c r="R87" i="32"/>
  <c r="R94" i="32"/>
  <c r="R56" i="32"/>
  <c r="R46" i="32"/>
  <c r="R86" i="32"/>
  <c r="R53" i="32"/>
  <c r="R83" i="32"/>
  <c r="R51" i="32"/>
  <c r="R64" i="32"/>
  <c r="R61" i="32"/>
  <c r="R55" i="32"/>
  <c r="R58" i="32"/>
  <c r="R75" i="32"/>
  <c r="R98" i="32"/>
  <c r="R82" i="32"/>
  <c r="R80" i="32"/>
  <c r="R43" i="32"/>
  <c r="R88" i="32"/>
  <c r="R71" i="32"/>
  <c r="R97" i="32"/>
  <c r="R70" i="32"/>
  <c r="R92" i="32"/>
  <c r="R50" i="32"/>
  <c r="R44" i="32"/>
  <c r="R62" i="32"/>
  <c r="R57" i="32"/>
  <c r="R91" i="32"/>
  <c r="R52" i="32"/>
  <c r="R78" i="32"/>
  <c r="H69" i="36"/>
  <c r="G69" i="36"/>
  <c r="T84" i="35"/>
  <c r="S84" i="35"/>
  <c r="T72" i="35"/>
  <c r="S72" i="35"/>
  <c r="S57" i="35"/>
  <c r="T57" i="35"/>
  <c r="T85" i="35"/>
  <c r="S85" i="35"/>
  <c r="G82" i="18"/>
  <c r="H82" i="18"/>
  <c r="S91" i="35"/>
  <c r="S76" i="35"/>
  <c r="T73" i="35"/>
  <c r="S59" i="35"/>
  <c r="D40" i="38"/>
  <c r="S79" i="18"/>
  <c r="T67" i="18"/>
  <c r="T73" i="18"/>
  <c r="S76" i="18"/>
  <c r="T96" i="18"/>
  <c r="T81" i="18"/>
  <c r="S82" i="18"/>
  <c r="S54" i="18"/>
  <c r="T52" i="18"/>
  <c r="T56" i="35"/>
  <c r="T88" i="18"/>
  <c r="T68" i="18"/>
  <c r="E90" i="38"/>
  <c r="T49" i="35"/>
  <c r="S50" i="35"/>
  <c r="S51" i="18"/>
  <c r="S56" i="36"/>
  <c r="T78" i="36"/>
  <c r="T64" i="36"/>
  <c r="T34" i="36"/>
  <c r="T74" i="36"/>
  <c r="T33" i="36"/>
  <c r="D70" i="38"/>
  <c r="S38" i="36"/>
  <c r="S50" i="36"/>
  <c r="T89" i="36"/>
  <c r="T74" i="35"/>
  <c r="S74" i="35"/>
  <c r="T82" i="35"/>
  <c r="S82" i="35"/>
  <c r="S65" i="35"/>
  <c r="T65" i="35"/>
  <c r="T39" i="35"/>
  <c r="S39" i="35"/>
  <c r="W10" i="40"/>
  <c r="W12" i="40"/>
  <c r="T24" i="40" s="1"/>
  <c r="W9" i="40"/>
  <c r="T58" i="31"/>
  <c r="S58" i="31"/>
  <c r="C84" i="38"/>
  <c r="C72" i="38"/>
  <c r="C62" i="38"/>
  <c r="C52" i="38"/>
  <c r="C40" i="38"/>
  <c r="C37" i="38"/>
  <c r="C86" i="38"/>
  <c r="C76" i="38"/>
  <c r="C64" i="38"/>
  <c r="C54" i="38"/>
  <c r="C44" i="38"/>
  <c r="C32" i="38"/>
  <c r="C41" i="38"/>
  <c r="C51" i="38"/>
  <c r="C69" i="38"/>
  <c r="C80" i="38"/>
  <c r="C60" i="38"/>
  <c r="C38" i="38"/>
  <c r="C43" i="38"/>
  <c r="C63" i="38"/>
  <c r="C87" i="38"/>
  <c r="C65" i="38"/>
  <c r="C85" i="38"/>
  <c r="C88" i="38"/>
  <c r="C68" i="38"/>
  <c r="C46" i="38"/>
  <c r="C89" i="38"/>
  <c r="C59" i="38"/>
  <c r="C83" i="38"/>
  <c r="C61" i="38"/>
  <c r="C56" i="38"/>
  <c r="C73" i="38"/>
  <c r="C91" i="38"/>
  <c r="C53" i="38"/>
  <c r="C70" i="38"/>
  <c r="C79" i="38"/>
  <c r="C49" i="38"/>
  <c r="C36" i="38"/>
  <c r="C81" i="38"/>
  <c r="C78" i="38"/>
  <c r="C47" i="38"/>
  <c r="C48" i="38"/>
  <c r="C92" i="38"/>
  <c r="C77" i="38"/>
  <c r="C35" i="38"/>
  <c r="C67" i="38"/>
  <c r="C34" i="38"/>
  <c r="C75" i="38"/>
  <c r="C90" i="38"/>
  <c r="C33" i="38"/>
  <c r="C66" i="38"/>
  <c r="G30" i="36"/>
  <c r="H30" i="36"/>
  <c r="S55" i="35"/>
  <c r="T55" i="35"/>
  <c r="S98" i="40"/>
  <c r="S93" i="40"/>
  <c r="T95" i="40"/>
  <c r="T99" i="40"/>
  <c r="T86" i="35"/>
  <c r="S86" i="35"/>
  <c r="S70" i="31"/>
  <c r="T70" i="31"/>
  <c r="S48" i="31"/>
  <c r="T48" i="31"/>
  <c r="T39" i="31"/>
  <c r="S39"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G64" i="36"/>
  <c r="H64" i="36"/>
  <c r="T51" i="35"/>
  <c r="S51" i="35"/>
  <c r="S94" i="35"/>
  <c r="T94" i="35"/>
  <c r="T52" i="35"/>
  <c r="S52" i="35"/>
  <c r="S60" i="35"/>
  <c r="T60" i="35"/>
  <c r="T89" i="35"/>
  <c r="S89" i="35"/>
  <c r="S79" i="35"/>
  <c r="T79" i="35"/>
  <c r="S82" i="40"/>
  <c r="S76" i="40"/>
  <c r="S37" i="40"/>
  <c r="T51" i="40"/>
  <c r="T38" i="40"/>
  <c r="S60" i="40"/>
  <c r="T42" i="40"/>
  <c r="T66" i="40"/>
  <c r="W12" i="32"/>
  <c r="W9" i="32"/>
  <c r="W10" i="32"/>
  <c r="H96" i="18"/>
  <c r="G96" i="18"/>
  <c r="K9" i="40"/>
  <c r="K12" i="40"/>
  <c r="K10" i="40"/>
  <c r="S89" i="18"/>
  <c r="T79" i="18"/>
  <c r="S67" i="18"/>
  <c r="S73" i="18"/>
  <c r="T76" i="18"/>
  <c r="S53" i="18"/>
  <c r="T54" i="18"/>
  <c r="S52" i="18"/>
  <c r="S80" i="18"/>
  <c r="H75" i="31"/>
  <c r="E71" i="38"/>
  <c r="T51" i="18"/>
  <c r="T80" i="36"/>
  <c r="T87" i="36"/>
  <c r="S94" i="36"/>
  <c r="S45" i="36"/>
  <c r="S74" i="36"/>
  <c r="T53" i="31"/>
  <c r="S32" i="36"/>
  <c r="T82" i="36"/>
  <c r="T84" i="31"/>
  <c r="T50" i="34"/>
  <c r="S50" i="34"/>
  <c r="S56" i="34"/>
  <c r="T56" i="34"/>
  <c r="S58" i="34"/>
  <c r="T58" i="34"/>
  <c r="T81" i="34"/>
  <c r="S81" i="34"/>
  <c r="T91" i="34"/>
  <c r="S91" i="34"/>
  <c r="S67" i="34"/>
  <c r="T67" i="34"/>
  <c r="T57" i="34"/>
  <c r="S57" i="34"/>
  <c r="T46" i="34"/>
  <c r="S46" i="34"/>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47" i="38"/>
  <c r="E67" i="38"/>
  <c r="E61" i="38"/>
  <c r="E52" i="38"/>
  <c r="T65" i="34"/>
  <c r="S65" i="34"/>
  <c r="S61" i="34"/>
  <c r="T61" i="34"/>
  <c r="T86" i="34"/>
  <c r="S86" i="34"/>
  <c r="T79" i="34"/>
  <c r="S79" i="34"/>
  <c r="S52" i="34"/>
  <c r="T52" i="34"/>
  <c r="S95" i="34"/>
  <c r="T95" i="34"/>
  <c r="T48" i="34"/>
  <c r="S48" i="34"/>
  <c r="T99" i="34"/>
  <c r="S99" i="34"/>
  <c r="T69" i="34"/>
  <c r="S69" i="34"/>
  <c r="S85" i="34"/>
  <c r="T85" i="34"/>
  <c r="S83" i="34"/>
  <c r="T83" i="34"/>
  <c r="T73" i="34"/>
  <c r="S73" i="34"/>
  <c r="T41" i="34"/>
  <c r="S41" i="34"/>
  <c r="S55" i="34"/>
  <c r="T55" i="34"/>
  <c r="T93" i="34"/>
  <c r="S93" i="34"/>
  <c r="S66" i="34"/>
  <c r="T66" i="34"/>
  <c r="T53" i="34"/>
  <c r="S53" i="34"/>
  <c r="T84" i="34"/>
  <c r="S84" i="34"/>
  <c r="S76" i="34"/>
  <c r="T76" i="34"/>
  <c r="E77" i="38"/>
  <c r="E43" i="38"/>
  <c r="S72" i="34"/>
  <c r="T72" i="34"/>
  <c r="S77" i="34"/>
  <c r="T77" i="34"/>
  <c r="S49" i="34"/>
  <c r="T49" i="34"/>
  <c r="S75" i="34"/>
  <c r="T75" i="34"/>
  <c r="T97" i="34"/>
  <c r="S97" i="34"/>
  <c r="T89" i="34"/>
  <c r="S89" i="34"/>
  <c r="T88" i="34"/>
  <c r="S88" i="34"/>
  <c r="E68" i="38"/>
  <c r="T47" i="34"/>
  <c r="S47" i="34"/>
  <c r="S40" i="34"/>
  <c r="T40" i="34"/>
  <c r="T92" i="34"/>
  <c r="S92" i="34"/>
  <c r="S63" i="34"/>
  <c r="T63" i="34"/>
  <c r="S59" i="34"/>
  <c r="T59" i="34"/>
  <c r="T74" i="34"/>
  <c r="S74" i="34"/>
  <c r="T60" i="34"/>
  <c r="S60" i="34"/>
  <c r="S82" i="34"/>
  <c r="T82" i="34"/>
  <c r="T78" i="34"/>
  <c r="S78" i="34"/>
  <c r="T45" i="34"/>
  <c r="S45" i="34"/>
  <c r="T68" i="34"/>
  <c r="S68" i="34"/>
  <c r="S64" i="34"/>
  <c r="T64" i="34"/>
  <c r="E64" i="38"/>
  <c r="E84" i="38"/>
  <c r="G99" i="36" l="1"/>
  <c r="G58" i="31"/>
  <c r="H44" i="36"/>
  <c r="T51" i="33"/>
  <c r="H87" i="36"/>
  <c r="H83" i="31"/>
  <c r="H82" i="36"/>
  <c r="E63" i="38"/>
  <c r="D55" i="38"/>
  <c r="D75" i="38"/>
  <c r="G64" i="37"/>
  <c r="H64" i="34"/>
  <c r="H19" i="36"/>
  <c r="J19" i="36" s="1"/>
  <c r="K19" i="36" s="1"/>
  <c r="I17" i="17" s="1"/>
  <c r="H52" i="18"/>
  <c r="G78" i="36"/>
  <c r="G61" i="35"/>
  <c r="G54" i="31"/>
  <c r="G35" i="36"/>
  <c r="D37" i="38"/>
  <c r="T58" i="37"/>
  <c r="S52" i="37"/>
  <c r="G86" i="18"/>
  <c r="H83" i="34"/>
  <c r="G76" i="36"/>
  <c r="G96" i="31"/>
  <c r="H72" i="34"/>
  <c r="S96" i="33"/>
  <c r="S90" i="31"/>
  <c r="G76" i="31"/>
  <c r="G53" i="36"/>
  <c r="G96" i="35"/>
  <c r="G82" i="34"/>
  <c r="E89" i="38"/>
  <c r="H50" i="33"/>
  <c r="H68" i="36"/>
  <c r="T64" i="31"/>
  <c r="G61" i="36"/>
  <c r="D53" i="38"/>
  <c r="G87" i="35"/>
  <c r="G61" i="33"/>
  <c r="T68" i="31"/>
  <c r="H58" i="36"/>
  <c r="T94" i="33"/>
  <c r="G99" i="18"/>
  <c r="G52" i="33"/>
  <c r="G66" i="18"/>
  <c r="G84" i="36"/>
  <c r="H68" i="31"/>
  <c r="G80" i="31"/>
  <c r="T55" i="31"/>
  <c r="H51" i="36"/>
  <c r="H89" i="34"/>
  <c r="H58" i="34"/>
  <c r="G68" i="37"/>
  <c r="E38" i="38"/>
  <c r="T96" i="37"/>
  <c r="T63" i="33"/>
  <c r="S76" i="33"/>
  <c r="G60" i="37"/>
  <c r="H96" i="36"/>
  <c r="E83" i="38"/>
  <c r="G68" i="18"/>
  <c r="T69" i="31"/>
  <c r="H37" i="36"/>
  <c r="S72" i="37"/>
  <c r="H72" i="18"/>
  <c r="E78" i="38"/>
  <c r="H99" i="34"/>
  <c r="H94" i="37"/>
  <c r="H81" i="36"/>
  <c r="H53" i="37"/>
  <c r="H52" i="34"/>
  <c r="G84" i="37"/>
  <c r="H86" i="36"/>
  <c r="S88" i="37"/>
  <c r="S83" i="33"/>
  <c r="S42" i="31"/>
  <c r="H63" i="18"/>
  <c r="H87" i="31"/>
  <c r="T93" i="37"/>
  <c r="S77" i="18"/>
  <c r="H32" i="36"/>
  <c r="T60" i="18"/>
  <c r="G53" i="31"/>
  <c r="H65" i="18"/>
  <c r="S63" i="31"/>
  <c r="G84" i="34"/>
  <c r="T81" i="31"/>
  <c r="G96" i="37"/>
  <c r="H92" i="37"/>
  <c r="H98" i="18"/>
  <c r="S81" i="37"/>
  <c r="S61" i="18"/>
  <c r="H90" i="36"/>
  <c r="H69" i="31"/>
  <c r="D48" i="38"/>
  <c r="H52" i="31"/>
  <c r="H82" i="37"/>
  <c r="G66" i="35"/>
  <c r="G72" i="31"/>
  <c r="G48" i="36"/>
  <c r="S87" i="18"/>
  <c r="S98" i="18"/>
  <c r="G73" i="34"/>
  <c r="T85" i="37"/>
  <c r="S55" i="37"/>
  <c r="G22" i="36"/>
  <c r="D59" i="38"/>
  <c r="D87" i="38"/>
  <c r="G50" i="34"/>
  <c r="H61" i="34"/>
  <c r="G44" i="35"/>
  <c r="G69" i="34"/>
  <c r="G34" i="36"/>
  <c r="G83" i="36"/>
  <c r="H94" i="36"/>
  <c r="G59" i="36"/>
  <c r="H24" i="36"/>
  <c r="G61" i="18"/>
  <c r="H62" i="37"/>
  <c r="H69" i="18"/>
  <c r="G58" i="37"/>
  <c r="H48" i="34"/>
  <c r="G48" i="35"/>
  <c r="S40" i="37"/>
  <c r="H66" i="31"/>
  <c r="H67" i="31"/>
  <c r="G60" i="18"/>
  <c r="T55" i="18"/>
  <c r="G70" i="18"/>
  <c r="S72" i="18"/>
  <c r="S42" i="18"/>
  <c r="T44" i="33"/>
  <c r="T46" i="31"/>
  <c r="T41" i="33"/>
  <c r="S48" i="18"/>
  <c r="T49" i="33"/>
  <c r="S45" i="18"/>
  <c r="S44" i="31"/>
  <c r="E41" i="38"/>
  <c r="G40" i="18"/>
  <c r="S44" i="37"/>
  <c r="G45" i="35"/>
  <c r="B23" i="35"/>
  <c r="O23" i="31"/>
  <c r="B23" i="40"/>
  <c r="O23" i="35"/>
  <c r="B23" i="34"/>
  <c r="B23" i="33"/>
  <c r="O23" i="37"/>
  <c r="B23" i="32"/>
  <c r="B23" i="37"/>
  <c r="O23" i="40"/>
  <c r="B19" i="7"/>
  <c r="O23" i="18"/>
  <c r="O23" i="34"/>
  <c r="O23" i="33"/>
  <c r="B23" i="18"/>
  <c r="O23" i="32"/>
  <c r="O23" i="36"/>
  <c r="B23" i="36"/>
  <c r="B23" i="31"/>
  <c r="G48" i="31"/>
  <c r="G42" i="31"/>
  <c r="T47" i="33"/>
  <c r="G43" i="34"/>
  <c r="S45" i="31"/>
  <c r="T47" i="37"/>
  <c r="S42" i="33"/>
  <c r="D79" i="38"/>
  <c r="S91" i="18"/>
  <c r="G57" i="35"/>
  <c r="H81" i="34"/>
  <c r="G55" i="18"/>
  <c r="H58" i="18"/>
  <c r="G83" i="18"/>
  <c r="G96" i="33"/>
  <c r="S57" i="33"/>
  <c r="G98" i="34"/>
  <c r="S84" i="18"/>
  <c r="T79" i="31"/>
  <c r="G64" i="35"/>
  <c r="S71" i="37"/>
  <c r="T69" i="37"/>
  <c r="H40" i="34"/>
  <c r="T74" i="32"/>
  <c r="E46" i="38"/>
  <c r="S61" i="37"/>
  <c r="T61" i="37"/>
  <c r="T49" i="32"/>
  <c r="T96" i="32"/>
  <c r="T85" i="32"/>
  <c r="S83" i="37"/>
  <c r="T83" i="37"/>
  <c r="H98" i="33"/>
  <c r="S65" i="37"/>
  <c r="T91" i="37"/>
  <c r="H61" i="31"/>
  <c r="T92" i="37"/>
  <c r="T99" i="18"/>
  <c r="T93" i="31"/>
  <c r="T93" i="18"/>
  <c r="G49" i="34"/>
  <c r="S92" i="18"/>
  <c r="T72" i="32"/>
  <c r="H80" i="36"/>
  <c r="G64" i="18"/>
  <c r="G53" i="18"/>
  <c r="H60" i="34"/>
  <c r="H50" i="31"/>
  <c r="G74" i="33"/>
  <c r="G97" i="31"/>
  <c r="S60" i="33"/>
  <c r="H20" i="36"/>
  <c r="J20" i="36" s="1"/>
  <c r="K20" i="36" s="1"/>
  <c r="I18" i="17" s="1"/>
  <c r="D92" i="38"/>
  <c r="E91" i="38"/>
  <c r="G31" i="36"/>
  <c r="G57" i="18"/>
  <c r="S58" i="18"/>
  <c r="H54" i="18"/>
  <c r="S92" i="31"/>
  <c r="G39" i="36"/>
  <c r="H78" i="34"/>
  <c r="T50" i="31"/>
  <c r="E48" i="38"/>
  <c r="I20" i="36"/>
  <c r="T85" i="31"/>
  <c r="H93" i="18"/>
  <c r="H94" i="18"/>
  <c r="H60" i="36"/>
  <c r="G80" i="34"/>
  <c r="H76" i="35"/>
  <c r="E32" i="38"/>
  <c r="H39" i="18"/>
  <c r="G50" i="36"/>
  <c r="G76" i="34"/>
  <c r="G50" i="37"/>
  <c r="G56" i="37"/>
  <c r="G69" i="35"/>
  <c r="H93" i="31"/>
  <c r="S50" i="18"/>
  <c r="D34" i="38"/>
  <c r="E86" i="38"/>
  <c r="T70" i="33"/>
  <c r="D63" i="38"/>
  <c r="E74" i="38"/>
  <c r="H83" i="33"/>
  <c r="H47" i="36"/>
  <c r="H77" i="36"/>
  <c r="H85" i="31"/>
  <c r="S66" i="31"/>
  <c r="S75" i="37"/>
  <c r="E81" i="38"/>
  <c r="G78" i="31"/>
  <c r="G80" i="37"/>
  <c r="H72" i="36"/>
  <c r="G90" i="31"/>
  <c r="D91" i="38"/>
  <c r="H84" i="18"/>
  <c r="H42" i="36"/>
  <c r="H63" i="36"/>
  <c r="H65" i="36"/>
  <c r="G56" i="36"/>
  <c r="H88" i="36"/>
  <c r="H80" i="35"/>
  <c r="S40" i="31"/>
  <c r="H67" i="35"/>
  <c r="G44" i="37"/>
  <c r="T64" i="37"/>
  <c r="H78" i="37"/>
  <c r="S74" i="37"/>
  <c r="S98" i="37"/>
  <c r="E56" i="38"/>
  <c r="G41" i="35"/>
  <c r="G52" i="35"/>
  <c r="G80" i="33"/>
  <c r="H61" i="37"/>
  <c r="G61" i="37"/>
  <c r="G85" i="18"/>
  <c r="H23" i="36"/>
  <c r="G73" i="18"/>
  <c r="G44" i="18"/>
  <c r="S75" i="31"/>
  <c r="H45" i="36"/>
  <c r="G98" i="31"/>
  <c r="H87" i="33"/>
  <c r="G56" i="35"/>
  <c r="G60" i="31"/>
  <c r="T68" i="33"/>
  <c r="D71" i="38"/>
  <c r="D45" i="38"/>
  <c r="E66" i="38"/>
  <c r="D86" i="38"/>
  <c r="E55" i="38"/>
  <c r="E42" i="38"/>
  <c r="H74" i="34"/>
  <c r="G74" i="34"/>
  <c r="S66" i="33"/>
  <c r="T66" i="33"/>
  <c r="H70" i="37"/>
  <c r="G74" i="36"/>
  <c r="H84" i="33"/>
  <c r="H89" i="37"/>
  <c r="E82" i="38"/>
  <c r="S73" i="31"/>
  <c r="H27" i="36"/>
  <c r="S56" i="18"/>
  <c r="H52" i="36"/>
  <c r="H80" i="18"/>
  <c r="G72" i="37"/>
  <c r="S70" i="18"/>
  <c r="G63" i="3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G71" i="35"/>
  <c r="S72" i="31"/>
  <c r="D44" i="38"/>
  <c r="S66" i="37"/>
  <c r="H68" i="33"/>
  <c r="T98" i="33"/>
  <c r="S98" i="33"/>
  <c r="T60" i="31"/>
  <c r="G62" i="18"/>
  <c r="G79" i="36"/>
  <c r="H97" i="37"/>
  <c r="G47" i="18"/>
  <c r="G62" i="36"/>
  <c r="G44" i="34"/>
  <c r="G90" i="18"/>
  <c r="H99" i="35"/>
  <c r="D84" i="38"/>
  <c r="H99" i="33"/>
  <c r="G99" i="33"/>
  <c r="T56" i="37"/>
  <c r="S56" i="37"/>
  <c r="G95" i="18"/>
  <c r="H47" i="37"/>
  <c r="S99" i="37"/>
  <c r="H65" i="31"/>
  <c r="G78" i="18"/>
  <c r="H45" i="37"/>
  <c r="H53" i="33"/>
  <c r="G53" i="33"/>
  <c r="H92" i="36"/>
  <c r="G92" i="36"/>
  <c r="H74" i="37"/>
  <c r="H89" i="36"/>
  <c r="H91" i="36"/>
  <c r="H70" i="31"/>
  <c r="T69" i="33"/>
  <c r="S69" i="33"/>
  <c r="H91" i="18"/>
  <c r="G38" i="36"/>
  <c r="S43" i="31"/>
  <c r="S99" i="31"/>
  <c r="H71" i="18"/>
  <c r="T65" i="18"/>
  <c r="T94" i="18"/>
  <c r="H41" i="34"/>
  <c r="D52" i="38"/>
  <c r="G92" i="31"/>
  <c r="G98" i="37"/>
  <c r="G89" i="18"/>
  <c r="G73" i="31"/>
  <c r="D74" i="38"/>
  <c r="T64" i="18"/>
  <c r="E34" i="38"/>
  <c r="E40" i="38"/>
  <c r="S98" i="31"/>
  <c r="G69" i="37"/>
  <c r="H74" i="18"/>
  <c r="H77" i="34"/>
  <c r="H95" i="34"/>
  <c r="H87" i="34"/>
  <c r="H59" i="35"/>
  <c r="G49" i="37"/>
  <c r="G51" i="37"/>
  <c r="S80" i="37"/>
  <c r="S49" i="18"/>
  <c r="T49" i="31"/>
  <c r="H43" i="37"/>
  <c r="G79" i="37"/>
  <c r="S95" i="31"/>
  <c r="G79" i="31"/>
  <c r="T65" i="31"/>
  <c r="G75" i="34"/>
  <c r="T89" i="31"/>
  <c r="H47" i="34"/>
  <c r="H77" i="35"/>
  <c r="S39" i="33"/>
  <c r="G72" i="35"/>
  <c r="S62" i="37"/>
  <c r="T46" i="37"/>
  <c r="H46" i="31"/>
  <c r="G60" i="35"/>
  <c r="S43" i="37"/>
  <c r="T43" i="37"/>
  <c r="H67" i="36"/>
  <c r="G40" i="36"/>
  <c r="H67" i="18"/>
  <c r="G93" i="36"/>
  <c r="H75" i="36"/>
  <c r="G70" i="36"/>
  <c r="H79" i="18"/>
  <c r="H85" i="35"/>
  <c r="G40" i="35"/>
  <c r="H45" i="31"/>
  <c r="H97" i="36"/>
  <c r="G55" i="34"/>
  <c r="H55" i="31"/>
  <c r="G54" i="33"/>
  <c r="I21" i="36"/>
  <c r="H64" i="33"/>
  <c r="G64" i="33"/>
  <c r="H56" i="18"/>
  <c r="H21" i="36"/>
  <c r="G98" i="36"/>
  <c r="G40" i="31"/>
  <c r="G55" i="37"/>
  <c r="G98" i="35"/>
  <c r="E60" i="38"/>
  <c r="G62" i="33"/>
  <c r="H62" i="33"/>
  <c r="H25" i="36"/>
  <c r="H95" i="36"/>
  <c r="G43" i="36"/>
  <c r="G88" i="37"/>
  <c r="S91" i="31"/>
  <c r="G92" i="18"/>
  <c r="H29" i="36"/>
  <c r="G65" i="34"/>
  <c r="G39" i="35"/>
  <c r="H63" i="33"/>
  <c r="H92" i="35"/>
  <c r="T87" i="31"/>
  <c r="E72" i="38"/>
  <c r="G58" i="33"/>
  <c r="H58" i="33"/>
  <c r="G66" i="37"/>
  <c r="H63" i="37"/>
  <c r="G90" i="33"/>
  <c r="H90" i="33"/>
  <c r="T41" i="18"/>
  <c r="H69" i="33"/>
  <c r="G69" i="33"/>
  <c r="H54" i="36"/>
  <c r="G54" i="36"/>
  <c r="H84" i="35"/>
  <c r="G84" i="35"/>
  <c r="H94" i="35"/>
  <c r="G94" i="35"/>
  <c r="S85" i="18"/>
  <c r="H54" i="34"/>
  <c r="G46" i="37"/>
  <c r="G93" i="35"/>
  <c r="G39" i="31"/>
  <c r="S74" i="33"/>
  <c r="S60" i="37"/>
  <c r="T60" i="37"/>
  <c r="S56" i="31"/>
  <c r="T56" i="31"/>
  <c r="G56" i="33"/>
  <c r="H56" i="33"/>
  <c r="G66" i="36"/>
  <c r="H66" i="36"/>
  <c r="G59" i="31"/>
  <c r="H59" i="31"/>
  <c r="S47" i="31"/>
  <c r="T75" i="18"/>
  <c r="T95" i="18"/>
  <c r="S51" i="31"/>
  <c r="G51" i="34"/>
  <c r="G91" i="37"/>
  <c r="G41" i="37"/>
  <c r="G95" i="31"/>
  <c r="H43" i="31"/>
  <c r="H66" i="34"/>
  <c r="G99" i="31"/>
  <c r="G74" i="35"/>
  <c r="H74" i="35"/>
  <c r="T87" i="33"/>
  <c r="S87" i="33"/>
  <c r="H66" i="33"/>
  <c r="G66" i="33"/>
  <c r="D49" i="38"/>
  <c r="G67" i="37"/>
  <c r="H67" i="37"/>
  <c r="S49" i="32"/>
  <c r="H78" i="33"/>
  <c r="G78" i="33"/>
  <c r="H74" i="31"/>
  <c r="G74" i="31"/>
  <c r="G78" i="35"/>
  <c r="H78" i="35"/>
  <c r="G94" i="34"/>
  <c r="H94" i="34"/>
  <c r="G90" i="37"/>
  <c r="H90" i="37"/>
  <c r="H55" i="36"/>
  <c r="H71" i="36"/>
  <c r="H87" i="18"/>
  <c r="H87" i="37"/>
  <c r="S63" i="18"/>
  <c r="G57" i="36"/>
  <c r="H81" i="37"/>
  <c r="T56" i="33"/>
  <c r="S56" i="33"/>
  <c r="H70" i="35"/>
  <c r="G70" i="35"/>
  <c r="H88" i="18"/>
  <c r="G88" i="18"/>
  <c r="G60" i="33"/>
  <c r="H60" i="33"/>
  <c r="G57" i="31"/>
  <c r="H57" i="31"/>
  <c r="H75" i="37"/>
  <c r="H47" i="35"/>
  <c r="H86" i="37"/>
  <c r="S87" i="37"/>
  <c r="E50" i="38"/>
  <c r="H94" i="33"/>
  <c r="G94" i="33"/>
  <c r="H88" i="33"/>
  <c r="G88" i="33"/>
  <c r="H43" i="33"/>
  <c r="G43" i="33"/>
  <c r="H92" i="33"/>
  <c r="G92" i="33"/>
  <c r="G86" i="35"/>
  <c r="H86" i="35"/>
  <c r="G85" i="37"/>
  <c r="H85" i="37"/>
  <c r="G33" i="36"/>
  <c r="H48" i="18"/>
  <c r="G49" i="36"/>
  <c r="G73" i="36"/>
  <c r="T43" i="18"/>
  <c r="H91" i="34"/>
  <c r="G81" i="35"/>
  <c r="G95" i="37"/>
  <c r="H95" i="37"/>
  <c r="H57" i="37"/>
  <c r="G57" i="37"/>
  <c r="H86" i="33"/>
  <c r="G86" i="33"/>
  <c r="H73" i="35"/>
  <c r="G73" i="35"/>
  <c r="H59" i="37"/>
  <c r="G59" i="37"/>
  <c r="H81" i="31"/>
  <c r="G81" i="31"/>
  <c r="G42" i="18"/>
  <c r="H97" i="35"/>
  <c r="H90" i="35"/>
  <c r="S63" i="37"/>
  <c r="H86" i="31"/>
  <c r="G86" i="31"/>
  <c r="H28" i="36"/>
  <c r="G28" i="36"/>
  <c r="H54" i="35"/>
  <c r="G54" i="35"/>
  <c r="H47" i="31"/>
  <c r="G47" i="31"/>
  <c r="H73" i="37"/>
  <c r="G73" i="37"/>
  <c r="G54" i="37"/>
  <c r="H54" i="37"/>
  <c r="G77" i="37"/>
  <c r="H77" i="37"/>
  <c r="H55" i="33"/>
  <c r="G55" i="33"/>
  <c r="H43" i="35"/>
  <c r="G43" i="35"/>
  <c r="S96" i="32"/>
  <c r="H97" i="34"/>
  <c r="G46" i="34"/>
  <c r="T95" i="33"/>
  <c r="T71" i="33"/>
  <c r="S71" i="33"/>
  <c r="H95" i="35"/>
  <c r="G49" i="35"/>
  <c r="H49" i="35"/>
  <c r="H49" i="31"/>
  <c r="G49" i="31"/>
  <c r="G51" i="35"/>
  <c r="G89" i="31"/>
  <c r="H89" i="31"/>
  <c r="T71" i="18"/>
  <c r="S42" i="37"/>
  <c r="T42" i="37"/>
  <c r="G51" i="18"/>
  <c r="S39" i="18"/>
  <c r="T39" i="18"/>
  <c r="T49" i="37"/>
  <c r="S49" i="37"/>
  <c r="G71" i="31"/>
  <c r="H71" i="31"/>
  <c r="T47" i="18"/>
  <c r="S47" i="18"/>
  <c r="G89" i="35"/>
  <c r="H89" i="35"/>
  <c r="S46" i="18"/>
  <c r="T89" i="37"/>
  <c r="S89" i="37"/>
  <c r="H46" i="35"/>
  <c r="G46" i="35"/>
  <c r="S95" i="37"/>
  <c r="T95" i="37"/>
  <c r="T71" i="31"/>
  <c r="S71" i="31"/>
  <c r="T91" i="33"/>
  <c r="S91" i="33"/>
  <c r="G79" i="35"/>
  <c r="H79" i="35"/>
  <c r="G47" i="33"/>
  <c r="H47" i="33"/>
  <c r="H65" i="33"/>
  <c r="G65" i="33"/>
  <c r="H85" i="33"/>
  <c r="G85" i="33"/>
  <c r="G67" i="33"/>
  <c r="H67" i="33"/>
  <c r="H97" i="33"/>
  <c r="G97" i="33"/>
  <c r="G39" i="33"/>
  <c r="H39" i="33"/>
  <c r="G48" i="33"/>
  <c r="H48" i="33"/>
  <c r="H48" i="37"/>
  <c r="G48" i="37"/>
  <c r="G57" i="33"/>
  <c r="H57" i="33"/>
  <c r="H93" i="33"/>
  <c r="G93" i="33"/>
  <c r="G95" i="33"/>
  <c r="H95" i="33"/>
  <c r="T85" i="33"/>
  <c r="S85" i="33"/>
  <c r="T67" i="33"/>
  <c r="S67" i="33"/>
  <c r="H75" i="35"/>
  <c r="G75" i="35"/>
  <c r="G97" i="18"/>
  <c r="H97" i="18"/>
  <c r="H75" i="18"/>
  <c r="G75" i="18"/>
  <c r="H59" i="18"/>
  <c r="G59" i="18"/>
  <c r="V20" i="36"/>
  <c r="W20" i="36" s="1"/>
  <c r="Z18" i="17"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46" i="33"/>
  <c r="G46" i="33"/>
  <c r="H44" i="33"/>
  <c r="G44" i="33"/>
  <c r="G59" i="33"/>
  <c r="H59" i="33"/>
  <c r="G77" i="33"/>
  <c r="H77" i="33"/>
  <c r="G41" i="33"/>
  <c r="H41" i="33"/>
  <c r="H45" i="33"/>
  <c r="G45" i="33"/>
  <c r="G49" i="33"/>
  <c r="H49" i="33"/>
  <c r="G51" i="33"/>
  <c r="H51" i="33"/>
  <c r="S57" i="18"/>
  <c r="T57" i="18"/>
  <c r="S75" i="33"/>
  <c r="T75" i="33"/>
  <c r="S97" i="33"/>
  <c r="T97" i="33"/>
  <c r="T46" i="33"/>
  <c r="S46" i="33"/>
  <c r="H42" i="33"/>
  <c r="G42" i="33"/>
  <c r="H42" i="37"/>
  <c r="G42" i="37"/>
  <c r="H79" i="33"/>
  <c r="G79" i="33"/>
  <c r="G81" i="33"/>
  <c r="H81" i="33"/>
  <c r="C39" i="38"/>
  <c r="C58" i="38"/>
  <c r="C50" i="38"/>
  <c r="T78" i="32"/>
  <c r="S78" i="32"/>
  <c r="T70" i="32"/>
  <c r="S70" i="32"/>
  <c r="S98" i="32"/>
  <c r="T98" i="32"/>
  <c r="S64" i="32"/>
  <c r="T64" i="32"/>
  <c r="S56" i="32"/>
  <c r="T56" i="32"/>
  <c r="S41" i="32"/>
  <c r="T41" i="32"/>
  <c r="S67" i="32"/>
  <c r="T67"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85" i="32"/>
  <c r="S68" i="32"/>
  <c r="C55" i="38"/>
  <c r="C45" i="38"/>
  <c r="C57" i="38"/>
  <c r="T91" i="32"/>
  <c r="S91" i="32"/>
  <c r="T50" i="32"/>
  <c r="S50" i="32"/>
  <c r="T80" i="32"/>
  <c r="S80" i="32"/>
  <c r="S75" i="32"/>
  <c r="T75" i="32"/>
  <c r="T86" i="32"/>
  <c r="S86" i="32"/>
  <c r="T54" i="32"/>
  <c r="S54" i="32"/>
  <c r="T45" i="32"/>
  <c r="S45" i="32"/>
  <c r="T39" i="32"/>
  <c r="S39" i="32"/>
  <c r="S95" i="32"/>
  <c r="T95" i="32"/>
  <c r="S69" i="32"/>
  <c r="T69" i="32"/>
  <c r="T42" i="32"/>
  <c r="S42" i="32"/>
  <c r="G54" i="32"/>
  <c r="H71" i="32"/>
  <c r="G75" i="32"/>
  <c r="H74" i="32"/>
  <c r="H89" i="32"/>
  <c r="H75" i="32"/>
  <c r="G74" i="32"/>
  <c r="G89" i="32"/>
  <c r="G71" i="32"/>
  <c r="G96" i="32"/>
  <c r="H54" i="32"/>
  <c r="G61" i="32"/>
  <c r="H55" i="32"/>
  <c r="G87" i="32"/>
  <c r="G99" i="32"/>
  <c r="H62" i="32"/>
  <c r="G48" i="32"/>
  <c r="G93" i="32"/>
  <c r="G68" i="32"/>
  <c r="H82" i="32"/>
  <c r="G97" i="32"/>
  <c r="G77" i="32"/>
  <c r="H96" i="32"/>
  <c r="G82" i="32"/>
  <c r="H99" i="32"/>
  <c r="G47" i="32"/>
  <c r="H79" i="32"/>
  <c r="G65" i="32"/>
  <c r="G76" i="32"/>
  <c r="H61" i="32"/>
  <c r="G55" i="32"/>
  <c r="H97" i="32"/>
  <c r="G62" i="32"/>
  <c r="G43" i="32"/>
  <c r="H48" i="32"/>
  <c r="H65" i="32"/>
  <c r="H76" i="32"/>
  <c r="H80" i="32"/>
  <c r="H47" i="32"/>
  <c r="H43" i="32"/>
  <c r="G79" i="32"/>
  <c r="H68" i="32"/>
  <c r="H91" i="32"/>
  <c r="H87" i="32"/>
  <c r="H77" i="32"/>
  <c r="G80" i="32"/>
  <c r="G39" i="32"/>
  <c r="G51" i="32"/>
  <c r="H58" i="32"/>
  <c r="G95" i="32"/>
  <c r="G66" i="32"/>
  <c r="G90" i="32"/>
  <c r="H93" i="32"/>
  <c r="G45" i="32"/>
  <c r="H59" i="32"/>
  <c r="G94" i="32"/>
  <c r="H98" i="32"/>
  <c r="G84" i="32"/>
  <c r="H64" i="32"/>
  <c r="G53" i="32"/>
  <c r="H46" i="32"/>
  <c r="G86" i="32"/>
  <c r="G72" i="32"/>
  <c r="G50" i="32"/>
  <c r="G88" i="32"/>
  <c r="G85" i="32"/>
  <c r="G78" i="32"/>
  <c r="G52" i="32"/>
  <c r="G57" i="32"/>
  <c r="H41" i="32"/>
  <c r="H92" i="32"/>
  <c r="H63" i="32"/>
  <c r="H70" i="32"/>
  <c r="H39" i="32"/>
  <c r="H95" i="32"/>
  <c r="H73" i="32"/>
  <c r="H56" i="32"/>
  <c r="G59" i="32"/>
  <c r="G92" i="32"/>
  <c r="G64" i="32"/>
  <c r="H53" i="32"/>
  <c r="H86" i="32"/>
  <c r="H50" i="32"/>
  <c r="H88" i="32"/>
  <c r="G49" i="32"/>
  <c r="G91" i="32"/>
  <c r="G73" i="32"/>
  <c r="H67" i="32"/>
  <c r="H57" i="32"/>
  <c r="H69" i="32"/>
  <c r="H49" i="32"/>
  <c r="H45" i="32"/>
  <c r="G41" i="32"/>
  <c r="G60" i="32"/>
  <c r="G98" i="32"/>
  <c r="G42" i="32"/>
  <c r="G81" i="32"/>
  <c r="H40" i="32"/>
  <c r="H44" i="32"/>
  <c r="G63" i="32"/>
  <c r="G83" i="32"/>
  <c r="G70" i="32"/>
  <c r="H78" i="32"/>
  <c r="G67" i="32"/>
  <c r="G69" i="32"/>
  <c r="G56" i="32"/>
  <c r="H60" i="32"/>
  <c r="H42" i="32"/>
  <c r="H81" i="32"/>
  <c r="G40" i="32"/>
  <c r="G44" i="32"/>
  <c r="H83" i="32"/>
  <c r="H90" i="32"/>
  <c r="H51" i="32"/>
  <c r="G58" i="32"/>
  <c r="H66" i="32"/>
  <c r="H94" i="32"/>
  <c r="H84" i="32"/>
  <c r="G46" i="32"/>
  <c r="H72" i="32"/>
  <c r="H85" i="32"/>
  <c r="H52" i="32"/>
  <c r="T69" i="40"/>
  <c r="S29" i="40"/>
  <c r="T74" i="40"/>
  <c r="T70" i="40"/>
  <c r="T33" i="40"/>
  <c r="S35" i="40"/>
  <c r="T55" i="40"/>
  <c r="T54" i="40"/>
  <c r="S80" i="40"/>
  <c r="S42" i="40"/>
  <c r="S38" i="40"/>
  <c r="T37" i="40"/>
  <c r="T82" i="40"/>
  <c r="T22" i="40"/>
  <c r="S79" i="40"/>
  <c r="S46" i="40"/>
  <c r="S88" i="40"/>
  <c r="S84" i="40"/>
  <c r="S25" i="40"/>
  <c r="S28" i="40"/>
  <c r="S31" i="40"/>
  <c r="T72" i="40"/>
  <c r="T59" i="40"/>
  <c r="T87" i="40"/>
  <c r="S57" i="40"/>
  <c r="T62" i="40"/>
  <c r="S54" i="40"/>
  <c r="T80" i="40"/>
  <c r="S20" i="40"/>
  <c r="S67" i="40"/>
  <c r="S94" i="40"/>
  <c r="S63" i="40"/>
  <c r="T86" i="40"/>
  <c r="S64" i="40"/>
  <c r="S50" i="40"/>
  <c r="T71" i="40"/>
  <c r="T56" i="40"/>
  <c r="S23" i="40"/>
  <c r="S22" i="40"/>
  <c r="T30" i="40"/>
  <c r="S65" i="40"/>
  <c r="T91" i="40"/>
  <c r="T83" i="40"/>
  <c r="T79" i="40"/>
  <c r="T78" i="40"/>
  <c r="T46" i="40"/>
  <c r="S44" i="40"/>
  <c r="S19" i="40"/>
  <c r="U19" i="40" s="1"/>
  <c r="T40" i="40"/>
  <c r="T34" i="40"/>
  <c r="S48" i="40"/>
  <c r="T36" i="40"/>
  <c r="T27" i="40"/>
  <c r="S96" i="40"/>
  <c r="T97" i="40"/>
  <c r="S72" i="40"/>
  <c r="S59" i="40"/>
  <c r="S87" i="40"/>
  <c r="T57" i="40"/>
  <c r="T47" i="40"/>
  <c r="T43" i="40"/>
  <c r="S92" i="40"/>
  <c r="S76" i="32"/>
  <c r="T68"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C42" i="38"/>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59" i="32"/>
  <c r="T59" i="32"/>
  <c r="T66" i="32"/>
  <c r="S66" i="32"/>
  <c r="S57" i="32"/>
  <c r="T57" i="32"/>
  <c r="T71" i="32"/>
  <c r="S71" i="32"/>
  <c r="S58" i="32"/>
  <c r="T58" i="32"/>
  <c r="S83" i="32"/>
  <c r="T83" i="32"/>
  <c r="T94" i="32"/>
  <c r="S94" i="32"/>
  <c r="T60" i="32"/>
  <c r="S60" i="32"/>
  <c r="S89" i="32"/>
  <c r="T89" i="32"/>
  <c r="C74" i="38"/>
  <c r="C71" i="38"/>
  <c r="C82" i="38"/>
  <c r="S52" i="32"/>
  <c r="T52" i="32"/>
  <c r="S44" i="32"/>
  <c r="T44" i="32"/>
  <c r="S97" i="32"/>
  <c r="T97" i="32"/>
  <c r="S43" i="32"/>
  <c r="T43" i="32"/>
  <c r="T51" i="32"/>
  <c r="S51" i="32"/>
  <c r="S40" i="32"/>
  <c r="T40" i="32"/>
  <c r="S77" i="32"/>
  <c r="T77" i="32"/>
  <c r="T73" i="32"/>
  <c r="S73" i="32"/>
  <c r="S65" i="32"/>
  <c r="T65" i="32"/>
  <c r="S89" i="40"/>
  <c r="T61" i="40"/>
  <c r="T88" i="40"/>
  <c r="T84" i="40"/>
  <c r="T25" i="40"/>
  <c r="T28" i="40"/>
  <c r="T31" i="40"/>
  <c r="S39" i="40"/>
  <c r="T75" i="40"/>
  <c r="S62" i="40"/>
  <c r="T20" i="40"/>
  <c r="S66" i="40"/>
  <c r="T60" i="40"/>
  <c r="S51" i="40"/>
  <c r="T76" i="40"/>
  <c r="U20" i="36"/>
  <c r="T23" i="40"/>
  <c r="S30" i="40"/>
  <c r="T65" i="40"/>
  <c r="S91" i="40"/>
  <c r="S83" i="40"/>
  <c r="S78" i="40"/>
  <c r="S74" i="40"/>
  <c r="S70" i="40"/>
  <c r="S33" i="40"/>
  <c r="T67" i="40"/>
  <c r="T94" i="40"/>
  <c r="T63" i="40"/>
  <c r="S86" i="40"/>
  <c r="T64" i="40"/>
  <c r="T50" i="40"/>
  <c r="S71" i="40"/>
  <c r="S56" i="40"/>
  <c r="S99" i="40"/>
  <c r="S95" i="40"/>
  <c r="T93" i="40"/>
  <c r="T98" i="40"/>
  <c r="T89" i="40"/>
  <c r="S69" i="40"/>
  <c r="S61" i="40"/>
  <c r="T29" i="40"/>
  <c r="T44" i="40"/>
  <c r="T19" i="40"/>
  <c r="V19" i="40" s="1"/>
  <c r="W19" i="40" s="1"/>
  <c r="AB17" i="17" s="1"/>
  <c r="S40" i="40"/>
  <c r="S34" i="40"/>
  <c r="T48" i="40"/>
  <c r="S36" i="40"/>
  <c r="S27" i="40"/>
  <c r="T96" i="40"/>
  <c r="S97" i="40"/>
  <c r="T39" i="40"/>
  <c r="T35" i="40"/>
  <c r="S75" i="40"/>
  <c r="S55" i="40"/>
  <c r="S47" i="40"/>
  <c r="S43" i="40"/>
  <c r="T92" i="40"/>
  <c r="S24" i="40"/>
  <c r="S63" i="32"/>
  <c r="I22" i="36" l="1"/>
  <c r="J23" i="36" s="1"/>
  <c r="K23" i="36" s="1"/>
  <c r="I21" i="17" s="1"/>
  <c r="J21" i="36"/>
  <c r="K21" i="36" s="1"/>
  <c r="I19" i="17" s="1"/>
  <c r="I20" i="40"/>
  <c r="I21" i="40" s="1"/>
  <c r="J22" i="40" s="1"/>
  <c r="K22" i="40" s="1"/>
  <c r="K20" i="17" s="1"/>
  <c r="B24" i="35"/>
  <c r="B24" i="32"/>
  <c r="O24" i="31"/>
  <c r="B24" i="36"/>
  <c r="B24" i="40"/>
  <c r="B24" i="18"/>
  <c r="O24" i="37"/>
  <c r="O24" i="35"/>
  <c r="O24" i="40"/>
  <c r="B24" i="31"/>
  <c r="O24" i="36"/>
  <c r="O24" i="34"/>
  <c r="B24" i="37"/>
  <c r="O24" i="18"/>
  <c r="B24" i="33"/>
  <c r="O24" i="32"/>
  <c r="B24" i="34"/>
  <c r="O24" i="33"/>
  <c r="B20" i="7"/>
  <c r="J22" i="36"/>
  <c r="K22" i="36" s="1"/>
  <c r="I20" i="17" s="1"/>
  <c r="J20" i="40"/>
  <c r="K20" i="40" s="1"/>
  <c r="K18" i="17" s="1"/>
  <c r="U20" i="40"/>
  <c r="V21" i="40" s="1"/>
  <c r="W21" i="40" s="1"/>
  <c r="AB19" i="17" s="1"/>
  <c r="U21" i="36"/>
  <c r="V21" i="36"/>
  <c r="W21" i="36" s="1"/>
  <c r="Z19" i="17" s="1"/>
  <c r="V20" i="40"/>
  <c r="W20" i="40" s="1"/>
  <c r="AB18" i="17" s="1"/>
  <c r="I23" i="36" l="1"/>
  <c r="J24" i="36" s="1"/>
  <c r="K24" i="36" s="1"/>
  <c r="I22" i="17" s="1"/>
  <c r="J21" i="40"/>
  <c r="K21" i="40" s="1"/>
  <c r="K19" i="17" s="1"/>
  <c r="B25" i="33"/>
  <c r="B25" i="40"/>
  <c r="O25" i="32"/>
  <c r="B21" i="7"/>
  <c r="B25" i="31"/>
  <c r="B25" i="32"/>
  <c r="B25" i="37"/>
  <c r="O25" i="37"/>
  <c r="O25" i="34"/>
  <c r="B25" i="34"/>
  <c r="B25" i="35"/>
  <c r="O25" i="33"/>
  <c r="O25" i="31"/>
  <c r="O25" i="35"/>
  <c r="B25" i="36"/>
  <c r="O25" i="40"/>
  <c r="O25" i="18"/>
  <c r="O25" i="36"/>
  <c r="B25" i="18"/>
  <c r="U21" i="40"/>
  <c r="V22" i="40" s="1"/>
  <c r="W22" i="40" s="1"/>
  <c r="AB20" i="17" s="1"/>
  <c r="V22" i="36"/>
  <c r="W22" i="36" s="1"/>
  <c r="Z20" i="17" s="1"/>
  <c r="U22" i="36"/>
  <c r="I22" i="40"/>
  <c r="I24" i="36" l="1"/>
  <c r="J25" i="36" s="1"/>
  <c r="K25" i="36" s="1"/>
  <c r="I23" i="17" s="1"/>
  <c r="O26" i="40"/>
  <c r="O26" i="33"/>
  <c r="B26" i="31"/>
  <c r="O26" i="18"/>
  <c r="B26" i="18"/>
  <c r="B26" i="34"/>
  <c r="B26" i="32"/>
  <c r="B22" i="7"/>
  <c r="B26" i="36"/>
  <c r="O26" i="37"/>
  <c r="O26" i="34"/>
  <c r="O26" i="35"/>
  <c r="O26" i="31"/>
  <c r="O26" i="36"/>
  <c r="B26" i="37"/>
  <c r="B26" i="33"/>
  <c r="O26" i="32"/>
  <c r="B26" i="40"/>
  <c r="B26" i="35"/>
  <c r="U22" i="40"/>
  <c r="U23" i="40" s="1"/>
  <c r="U23" i="36"/>
  <c r="V23" i="36"/>
  <c r="W23" i="36" s="1"/>
  <c r="Z21" i="17" s="1"/>
  <c r="I23" i="40"/>
  <c r="J23" i="40"/>
  <c r="K23" i="40" s="1"/>
  <c r="K21" i="17" s="1"/>
  <c r="I25" i="36" l="1"/>
  <c r="J26" i="36" s="1"/>
  <c r="K26" i="36" s="1"/>
  <c r="I24" i="17" s="1"/>
  <c r="O27" i="18"/>
  <c r="O27" i="37"/>
  <c r="B27" i="37"/>
  <c r="O27" i="32"/>
  <c r="B27" i="36"/>
  <c r="O27" i="35"/>
  <c r="B27" i="18"/>
  <c r="O27" i="31"/>
  <c r="B27" i="40"/>
  <c r="O27" i="34"/>
  <c r="B27" i="35"/>
  <c r="B27" i="34"/>
  <c r="B27" i="33"/>
  <c r="B27" i="32"/>
  <c r="O27" i="40"/>
  <c r="B23" i="7"/>
  <c r="O27" i="33"/>
  <c r="O27" i="36"/>
  <c r="B27" i="31"/>
  <c r="V23" i="40"/>
  <c r="W23" i="40" s="1"/>
  <c r="AB21" i="17" s="1"/>
  <c r="V24" i="40"/>
  <c r="W24" i="40" s="1"/>
  <c r="AB22" i="17" s="1"/>
  <c r="U24" i="40"/>
  <c r="I24" i="40"/>
  <c r="J24" i="40"/>
  <c r="K24" i="40" s="1"/>
  <c r="K22" i="17" s="1"/>
  <c r="V24" i="36"/>
  <c r="W24" i="36" s="1"/>
  <c r="Z22" i="17" s="1"/>
  <c r="U24" i="36"/>
  <c r="I26" i="36" l="1"/>
  <c r="J27" i="36" s="1"/>
  <c r="K27" i="36" s="1"/>
  <c r="I25" i="17" s="1"/>
  <c r="O28" i="37"/>
  <c r="B28" i="32"/>
  <c r="B28" i="35"/>
  <c r="B28" i="36"/>
  <c r="O28" i="18"/>
  <c r="B28" i="33"/>
  <c r="B28" i="18"/>
  <c r="B28" i="34"/>
  <c r="O28" i="31"/>
  <c r="B24" i="7"/>
  <c r="O28" i="40"/>
  <c r="O28" i="36"/>
  <c r="B28" i="40"/>
  <c r="O28" i="33"/>
  <c r="O28" i="34"/>
  <c r="B28" i="31"/>
  <c r="O28" i="32"/>
  <c r="B28" i="37"/>
  <c r="O28" i="35"/>
  <c r="V25" i="36"/>
  <c r="W25" i="36" s="1"/>
  <c r="Z23" i="17" s="1"/>
  <c r="U25" i="36"/>
  <c r="V25" i="40"/>
  <c r="W25" i="40" s="1"/>
  <c r="AB23" i="17" s="1"/>
  <c r="U25" i="40"/>
  <c r="I25" i="40"/>
  <c r="J25" i="40"/>
  <c r="K25" i="40" s="1"/>
  <c r="K23" i="17" s="1"/>
  <c r="I27" i="36" l="1"/>
  <c r="J28" i="36" s="1"/>
  <c r="K28" i="36" s="1"/>
  <c r="I26" i="17" s="1"/>
  <c r="B25" i="7"/>
  <c r="B29" i="37"/>
  <c r="O29" i="18"/>
  <c r="B29" i="40"/>
  <c r="O29" i="33"/>
  <c r="O29" i="40"/>
  <c r="B29" i="33"/>
  <c r="O29" i="31"/>
  <c r="B29" i="36"/>
  <c r="B29" i="32"/>
  <c r="O29" i="34"/>
  <c r="B29" i="35"/>
  <c r="B29" i="18"/>
  <c r="O29" i="32"/>
  <c r="B29" i="31"/>
  <c r="O29" i="35"/>
  <c r="O29" i="37"/>
  <c r="B29" i="34"/>
  <c r="O29" i="36"/>
  <c r="J26" i="40"/>
  <c r="K26" i="40" s="1"/>
  <c r="K24" i="17" s="1"/>
  <c r="I26" i="40"/>
  <c r="U26" i="40"/>
  <c r="V26" i="40"/>
  <c r="W26" i="40" s="1"/>
  <c r="AB24" i="17" s="1"/>
  <c r="U26" i="36"/>
  <c r="V26" i="36"/>
  <c r="W26" i="36" s="1"/>
  <c r="Z24" i="17" s="1"/>
  <c r="I28" i="36" l="1"/>
  <c r="I29" i="36" s="1"/>
  <c r="I30" i="36" s="1"/>
  <c r="B30" i="35"/>
  <c r="O30" i="40"/>
  <c r="B30" i="33"/>
  <c r="B30" i="34"/>
  <c r="O30" i="31"/>
  <c r="O30" i="36"/>
  <c r="B26" i="7"/>
  <c r="B30" i="18"/>
  <c r="O30" i="18"/>
  <c r="B30" i="40"/>
  <c r="O30" i="33"/>
  <c r="O30" i="32"/>
  <c r="B30" i="37"/>
  <c r="B30" i="32"/>
  <c r="O30" i="35"/>
  <c r="B30" i="31"/>
  <c r="O30" i="37"/>
  <c r="O30" i="34"/>
  <c r="B30" i="36"/>
  <c r="U27" i="36"/>
  <c r="V27" i="36"/>
  <c r="W27" i="36" s="1"/>
  <c r="Z25" i="17" s="1"/>
  <c r="J27" i="40"/>
  <c r="K27" i="40" s="1"/>
  <c r="K25" i="17" s="1"/>
  <c r="I27" i="40"/>
  <c r="U27" i="40"/>
  <c r="V27" i="40"/>
  <c r="W27" i="40" s="1"/>
  <c r="AB25" i="17" s="1"/>
  <c r="J29" i="36" l="1"/>
  <c r="K29" i="36" s="1"/>
  <c r="I27" i="17" s="1"/>
  <c r="J30" i="36"/>
  <c r="K30" i="36" s="1"/>
  <c r="I28" i="17" s="1"/>
  <c r="O31" i="40"/>
  <c r="B31" i="31"/>
  <c r="O31" i="36"/>
  <c r="O31" i="31"/>
  <c r="O31" i="34"/>
  <c r="O31" i="37"/>
  <c r="B31" i="32"/>
  <c r="O31" i="33"/>
  <c r="B27" i="7"/>
  <c r="B31" i="40"/>
  <c r="O31" i="35"/>
  <c r="B31" i="18"/>
  <c r="O31" i="32"/>
  <c r="B31" i="34"/>
  <c r="B31" i="36"/>
  <c r="B31" i="35"/>
  <c r="B31" i="37"/>
  <c r="O31" i="18"/>
  <c r="B31" i="33"/>
  <c r="U28" i="40"/>
  <c r="V28" i="40"/>
  <c r="W28" i="40" s="1"/>
  <c r="AB26" i="17" s="1"/>
  <c r="U28" i="36"/>
  <c r="V28" i="36"/>
  <c r="W28" i="36" s="1"/>
  <c r="Z26" i="17" s="1"/>
  <c r="I28" i="40"/>
  <c r="J28" i="40"/>
  <c r="K28" i="40" s="1"/>
  <c r="K26" i="17" s="1"/>
  <c r="J31" i="36"/>
  <c r="K31" i="36" s="1"/>
  <c r="I29" i="17" s="1"/>
  <c r="I31" i="36"/>
  <c r="B32" i="40" l="1"/>
  <c r="O32" i="18"/>
  <c r="B32" i="31"/>
  <c r="O32" i="37"/>
  <c r="B32" i="34"/>
  <c r="O32" i="35"/>
  <c r="B32" i="36"/>
  <c r="B32" i="32"/>
  <c r="B32" i="18"/>
  <c r="O32" i="33"/>
  <c r="B32" i="37"/>
  <c r="B28" i="7"/>
  <c r="O32" i="36"/>
  <c r="B32" i="35"/>
  <c r="O32" i="40"/>
  <c r="O32" i="32"/>
  <c r="B32" i="33"/>
  <c r="O32" i="34"/>
  <c r="O32" i="31"/>
  <c r="I29" i="40"/>
  <c r="J29" i="40"/>
  <c r="K29" i="40" s="1"/>
  <c r="K27" i="17" s="1"/>
  <c r="U29" i="36"/>
  <c r="V29" i="36"/>
  <c r="W29" i="36" s="1"/>
  <c r="Z27" i="17" s="1"/>
  <c r="V29" i="40"/>
  <c r="W29" i="40" s="1"/>
  <c r="AB27" i="17" s="1"/>
  <c r="U29" i="40"/>
  <c r="J32" i="36"/>
  <c r="K32" i="36" s="1"/>
  <c r="I30" i="17" s="1"/>
  <c r="I32" i="36"/>
  <c r="O33" i="18" l="1"/>
  <c r="B29" i="7"/>
  <c r="B33" i="35"/>
  <c r="O33" i="32"/>
  <c r="B33" i="36"/>
  <c r="B33" i="18"/>
  <c r="O33" i="34"/>
  <c r="O33" i="33"/>
  <c r="O33" i="31"/>
  <c r="O33" i="35"/>
  <c r="B33" i="31"/>
  <c r="B33" i="34"/>
  <c r="O33" i="37"/>
  <c r="B33" i="37"/>
  <c r="B33" i="33"/>
  <c r="O33" i="40"/>
  <c r="B33" i="32"/>
  <c r="O33" i="36"/>
  <c r="B33" i="40"/>
  <c r="J30" i="40"/>
  <c r="K30" i="40" s="1"/>
  <c r="K28" i="17" s="1"/>
  <c r="I30" i="40"/>
  <c r="U30" i="40"/>
  <c r="V30" i="40"/>
  <c r="W30" i="40" s="1"/>
  <c r="AB28" i="17" s="1"/>
  <c r="U30" i="36"/>
  <c r="V30" i="36"/>
  <c r="W30" i="36" s="1"/>
  <c r="Z28" i="17" s="1"/>
  <c r="J33" i="36"/>
  <c r="K33" i="36" s="1"/>
  <c r="I31" i="17" s="1"/>
  <c r="I33" i="36"/>
  <c r="O34" i="40" l="1"/>
  <c r="B34" i="34"/>
  <c r="O34" i="37"/>
  <c r="B34" i="31"/>
  <c r="B34" i="18"/>
  <c r="O34" i="36"/>
  <c r="O34" i="33"/>
  <c r="B34" i="32"/>
  <c r="B30" i="7"/>
  <c r="B34" i="37"/>
  <c r="O34" i="18"/>
  <c r="B34" i="35"/>
  <c r="O34" i="34"/>
  <c r="B34" i="36"/>
  <c r="O34" i="31"/>
  <c r="O34" i="32"/>
  <c r="B34" i="40"/>
  <c r="B34" i="33"/>
  <c r="O34" i="35"/>
  <c r="V31" i="36"/>
  <c r="W31" i="36" s="1"/>
  <c r="Z29" i="17" s="1"/>
  <c r="U31" i="36"/>
  <c r="V31" i="40"/>
  <c r="W31" i="40" s="1"/>
  <c r="AB29" i="17" s="1"/>
  <c r="U31" i="40"/>
  <c r="I31" i="40"/>
  <c r="J31" i="40"/>
  <c r="K31" i="40" s="1"/>
  <c r="K29" i="17" s="1"/>
  <c r="J34" i="36"/>
  <c r="K34" i="36" s="1"/>
  <c r="I32" i="17" s="1"/>
  <c r="I34" i="36"/>
  <c r="B35" i="40" l="1"/>
  <c r="O35" i="34"/>
  <c r="O35" i="31"/>
  <c r="B35" i="34"/>
  <c r="B35" i="36"/>
  <c r="O35" i="33"/>
  <c r="O35" i="32"/>
  <c r="O35" i="36"/>
  <c r="O35" i="18"/>
  <c r="B35" i="18"/>
  <c r="B35" i="31"/>
  <c r="B31" i="7"/>
  <c r="B35" i="33"/>
  <c r="O35" i="40"/>
  <c r="O35" i="35"/>
  <c r="B35" i="35"/>
  <c r="B35" i="37"/>
  <c r="B35" i="32"/>
  <c r="O35" i="37"/>
  <c r="J32" i="40"/>
  <c r="K32" i="40" s="1"/>
  <c r="K30" i="17" s="1"/>
  <c r="I32" i="40"/>
  <c r="V32" i="40"/>
  <c r="W32" i="40" s="1"/>
  <c r="AB30" i="17" s="1"/>
  <c r="U32" i="40"/>
  <c r="U32" i="36"/>
  <c r="V32" i="36"/>
  <c r="W32" i="36" s="1"/>
  <c r="Z30" i="17" s="1"/>
  <c r="J35" i="36"/>
  <c r="K35" i="36" s="1"/>
  <c r="I33" i="17" s="1"/>
  <c r="I35" i="36"/>
  <c r="O36" i="37" l="1"/>
  <c r="B36" i="33"/>
  <c r="B36" i="32"/>
  <c r="O36" i="18"/>
  <c r="O36" i="40"/>
  <c r="O36" i="36"/>
  <c r="O36" i="31"/>
  <c r="O36" i="34"/>
  <c r="B36" i="40"/>
  <c r="B36" i="31"/>
  <c r="B36" i="36"/>
  <c r="B36" i="18"/>
  <c r="B36" i="35"/>
  <c r="B32" i="7"/>
  <c r="O36" i="32"/>
  <c r="O36" i="33"/>
  <c r="B36" i="37"/>
  <c r="B36" i="34"/>
  <c r="O36" i="35"/>
  <c r="U33" i="36"/>
  <c r="V33" i="36"/>
  <c r="W33" i="36" s="1"/>
  <c r="Z31" i="17" s="1"/>
  <c r="V33" i="40"/>
  <c r="W33" i="40" s="1"/>
  <c r="AB31" i="17" s="1"/>
  <c r="U33" i="40"/>
  <c r="J33" i="40"/>
  <c r="K33" i="40" s="1"/>
  <c r="K31" i="17" s="1"/>
  <c r="I33" i="40"/>
  <c r="J36" i="36"/>
  <c r="K36" i="36" s="1"/>
  <c r="I34" i="17" s="1"/>
  <c r="I36" i="36"/>
  <c r="B37" i="37" l="1"/>
  <c r="B37" i="40"/>
  <c r="B37" i="35"/>
  <c r="O37" i="31"/>
  <c r="O37" i="33"/>
  <c r="B37" i="32"/>
  <c r="B37" i="34"/>
  <c r="O37" i="18"/>
  <c r="B33" i="7"/>
  <c r="B37" i="31"/>
  <c r="B37" i="33"/>
  <c r="O37" i="34"/>
  <c r="B37" i="18"/>
  <c r="O37" i="35"/>
  <c r="B37" i="36"/>
  <c r="O37" i="37"/>
  <c r="O37" i="32"/>
  <c r="O37" i="40"/>
  <c r="O37" i="36"/>
  <c r="J34" i="40"/>
  <c r="K34" i="40" s="1"/>
  <c r="K32" i="17" s="1"/>
  <c r="I34" i="40"/>
  <c r="U34" i="40"/>
  <c r="V34" i="40"/>
  <c r="W34" i="40" s="1"/>
  <c r="AB32" i="17" s="1"/>
  <c r="V34" i="36"/>
  <c r="W34" i="36" s="1"/>
  <c r="Z32" i="17" s="1"/>
  <c r="U34" i="36"/>
  <c r="J37" i="36"/>
  <c r="K37" i="36" s="1"/>
  <c r="I35" i="17" s="1"/>
  <c r="I37" i="36"/>
  <c r="O38" i="33" l="1"/>
  <c r="O38" i="34"/>
  <c r="B38" i="32"/>
  <c r="B38" i="33"/>
  <c r="O38" i="32"/>
  <c r="O38" i="37"/>
  <c r="B38" i="37"/>
  <c r="B38" i="18"/>
  <c r="B38" i="36"/>
  <c r="B38" i="34"/>
  <c r="O38" i="36"/>
  <c r="O38" i="40"/>
  <c r="B38" i="40"/>
  <c r="O38" i="18"/>
  <c r="B34" i="7"/>
  <c r="O38" i="31"/>
  <c r="O38" i="35"/>
  <c r="B38" i="31"/>
  <c r="B38" i="35"/>
  <c r="U35" i="40"/>
  <c r="V35" i="40"/>
  <c r="W35" i="40" s="1"/>
  <c r="AB33" i="17" s="1"/>
  <c r="I35" i="40"/>
  <c r="J35" i="40"/>
  <c r="K35" i="40" s="1"/>
  <c r="K33" i="17" s="1"/>
  <c r="U35" i="36"/>
  <c r="V35" i="36"/>
  <c r="W35" i="36" s="1"/>
  <c r="Z33" i="17" s="1"/>
  <c r="J38" i="36"/>
  <c r="K38" i="36" s="1"/>
  <c r="I36" i="17" s="1"/>
  <c r="I38" i="36"/>
  <c r="O39" i="18" l="1"/>
  <c r="B39" i="34"/>
  <c r="B39" i="35"/>
  <c r="B39" i="36"/>
  <c r="O39" i="34"/>
  <c r="B39" i="31"/>
  <c r="O39" i="35"/>
  <c r="B35" i="7"/>
  <c r="B39" i="18"/>
  <c r="O39" i="31"/>
  <c r="B39" i="37"/>
  <c r="B39" i="40"/>
  <c r="O39" i="33"/>
  <c r="B39" i="32"/>
  <c r="B39" i="33"/>
  <c r="O39" i="37"/>
  <c r="O39" i="40"/>
  <c r="O39" i="36"/>
  <c r="O39" i="32"/>
  <c r="J36" i="40"/>
  <c r="K36" i="40" s="1"/>
  <c r="K34" i="17" s="1"/>
  <c r="I36" i="40"/>
  <c r="U36" i="40"/>
  <c r="V36" i="40"/>
  <c r="W36" i="40" s="1"/>
  <c r="AB34" i="17" s="1"/>
  <c r="V36" i="36"/>
  <c r="W36" i="36" s="1"/>
  <c r="Z34" i="17" s="1"/>
  <c r="U36" i="36"/>
  <c r="J39" i="36"/>
  <c r="K39" i="36" s="1"/>
  <c r="I37" i="17" s="1"/>
  <c r="I39" i="36"/>
  <c r="O40" i="35" l="1"/>
  <c r="B40" i="34"/>
  <c r="O40" i="36"/>
  <c r="B40" i="33"/>
  <c r="B40" i="32"/>
  <c r="O40" i="37"/>
  <c r="O40" i="32"/>
  <c r="O40" i="18"/>
  <c r="O40" i="34"/>
  <c r="B40" i="36"/>
  <c r="O40" i="31"/>
  <c r="B40" i="37"/>
  <c r="B40" i="35"/>
  <c r="O40" i="40"/>
  <c r="B40" i="40"/>
  <c r="B36" i="7"/>
  <c r="B40" i="31"/>
  <c r="O40" i="33"/>
  <c r="B40" i="18"/>
  <c r="I37" i="40"/>
  <c r="J37" i="40"/>
  <c r="K37" i="40" s="1"/>
  <c r="K35" i="17" s="1"/>
  <c r="U37" i="40"/>
  <c r="V37" i="40"/>
  <c r="W37" i="40" s="1"/>
  <c r="AB35" i="17" s="1"/>
  <c r="V37" i="36"/>
  <c r="W37" i="36" s="1"/>
  <c r="Z35" i="17" s="1"/>
  <c r="U37" i="36"/>
  <c r="I40" i="36"/>
  <c r="J40" i="36"/>
  <c r="K40" i="36" s="1"/>
  <c r="I38" i="17" s="1"/>
  <c r="O41" i="31" l="1"/>
  <c r="B41" i="40"/>
  <c r="B41" i="36"/>
  <c r="O41" i="40"/>
  <c r="O41" i="37"/>
  <c r="B41" i="37"/>
  <c r="B41" i="32"/>
  <c r="O41" i="35"/>
  <c r="B41" i="31"/>
  <c r="B41" i="18"/>
  <c r="O41" i="34"/>
  <c r="O41" i="32"/>
  <c r="O41" i="33"/>
  <c r="B41" i="34"/>
  <c r="B41" i="33"/>
  <c r="B37" i="7"/>
  <c r="O41" i="36"/>
  <c r="O41" i="18"/>
  <c r="B41" i="35"/>
  <c r="V38" i="40"/>
  <c r="W38" i="40" s="1"/>
  <c r="AB36" i="17" s="1"/>
  <c r="U38" i="40"/>
  <c r="I38" i="40"/>
  <c r="J38" i="40"/>
  <c r="K38" i="40" s="1"/>
  <c r="K36" i="17" s="1"/>
  <c r="U38" i="36"/>
  <c r="V38" i="36"/>
  <c r="W38" i="36" s="1"/>
  <c r="Z36" i="17" s="1"/>
  <c r="J41" i="36"/>
  <c r="K41" i="36" s="1"/>
  <c r="I39" i="17" s="1"/>
  <c r="I41" i="36"/>
  <c r="B42" i="18" l="1"/>
  <c r="O42" i="35"/>
  <c r="O42" i="37"/>
  <c r="B42" i="34"/>
  <c r="O42" i="18"/>
  <c r="O42" i="40"/>
  <c r="B42" i="32"/>
  <c r="B42" i="31"/>
  <c r="O42" i="31"/>
  <c r="O42" i="34"/>
  <c r="B42" i="40"/>
  <c r="B38" i="7"/>
  <c r="B42" i="33"/>
  <c r="B42" i="35"/>
  <c r="B42" i="36"/>
  <c r="O42" i="32"/>
  <c r="O42" i="36"/>
  <c r="O42" i="33"/>
  <c r="B42" i="37"/>
  <c r="I39" i="40"/>
  <c r="J39" i="40"/>
  <c r="K39" i="40" s="1"/>
  <c r="K37" i="17" s="1"/>
  <c r="V39" i="36"/>
  <c r="W39" i="36" s="1"/>
  <c r="Z37" i="17" s="1"/>
  <c r="U39" i="36"/>
  <c r="V39" i="40"/>
  <c r="W39" i="40" s="1"/>
  <c r="AB37" i="17" s="1"/>
  <c r="U39" i="40"/>
  <c r="J42" i="36"/>
  <c r="K42" i="36" s="1"/>
  <c r="I40" i="17" s="1"/>
  <c r="I42" i="36"/>
  <c r="B43" i="35" l="1"/>
  <c r="O43" i="31"/>
  <c r="O43" i="37"/>
  <c r="O43" i="32"/>
  <c r="O43" i="34"/>
  <c r="O43" i="40"/>
  <c r="B39" i="7"/>
  <c r="O43" i="33"/>
  <c r="O43" i="35"/>
  <c r="B43" i="36"/>
  <c r="B43" i="33"/>
  <c r="B43" i="18"/>
  <c r="B43" i="40"/>
  <c r="B43" i="31"/>
  <c r="B43" i="34"/>
  <c r="B43" i="32"/>
  <c r="O43" i="36"/>
  <c r="B43" i="37"/>
  <c r="O43" i="18"/>
  <c r="I40" i="40"/>
  <c r="J40" i="40"/>
  <c r="K40" i="40" s="1"/>
  <c r="K38" i="17" s="1"/>
  <c r="U40" i="40"/>
  <c r="V40" i="40"/>
  <c r="W40" i="40" s="1"/>
  <c r="AB38" i="17" s="1"/>
  <c r="U40" i="36"/>
  <c r="V40" i="36"/>
  <c r="W40" i="36" s="1"/>
  <c r="Z38" i="17" s="1"/>
  <c r="J43" i="36"/>
  <c r="K43" i="36" s="1"/>
  <c r="I41" i="17" s="1"/>
  <c r="I43" i="36"/>
  <c r="B44" i="34" l="1"/>
  <c r="O44" i="40"/>
  <c r="O44" i="33"/>
  <c r="O44" i="35"/>
  <c r="O44" i="32"/>
  <c r="B44" i="31"/>
  <c r="O44" i="31"/>
  <c r="O44" i="34"/>
  <c r="B44" i="33"/>
  <c r="B44" i="32"/>
  <c r="B40" i="7"/>
  <c r="B44" i="18"/>
  <c r="B44" i="37"/>
  <c r="O44" i="36"/>
  <c r="O44" i="18"/>
  <c r="O44" i="37"/>
  <c r="B44" i="36"/>
  <c r="B44" i="40"/>
  <c r="B44" i="35"/>
  <c r="U41" i="36"/>
  <c r="V41" i="36"/>
  <c r="W41" i="36" s="1"/>
  <c r="Z39" i="17" s="1"/>
  <c r="J41" i="40"/>
  <c r="K41" i="40" s="1"/>
  <c r="K39" i="17" s="1"/>
  <c r="I41" i="40"/>
  <c r="U41" i="40"/>
  <c r="V41" i="40"/>
  <c r="W41" i="40" s="1"/>
  <c r="AB39" i="17" s="1"/>
  <c r="J44" i="36"/>
  <c r="K44" i="36" s="1"/>
  <c r="I42" i="17" s="1"/>
  <c r="I44" i="36"/>
  <c r="O45" i="40" l="1"/>
  <c r="O45" i="31"/>
  <c r="O45" i="18"/>
  <c r="O45" i="35"/>
  <c r="B41" i="7"/>
  <c r="B45" i="32"/>
  <c r="O45" i="36"/>
  <c r="B45" i="40"/>
  <c r="O45" i="32"/>
  <c r="B45" i="35"/>
  <c r="B45" i="18"/>
  <c r="O45" i="34"/>
  <c r="B45" i="34"/>
  <c r="B45" i="31"/>
  <c r="B45" i="37"/>
  <c r="O45" i="37"/>
  <c r="B45" i="36"/>
  <c r="B45" i="33"/>
  <c r="O45" i="33"/>
  <c r="U42" i="36"/>
  <c r="V42" i="36"/>
  <c r="W42" i="36" s="1"/>
  <c r="Z40" i="17" s="1"/>
  <c r="V42" i="40"/>
  <c r="W42" i="40" s="1"/>
  <c r="AB40" i="17" s="1"/>
  <c r="U42" i="40"/>
  <c r="I42" i="40"/>
  <c r="J42" i="40"/>
  <c r="K42" i="40" s="1"/>
  <c r="K40" i="17" s="1"/>
  <c r="J45" i="36"/>
  <c r="K45" i="36" s="1"/>
  <c r="I43" i="17" s="1"/>
  <c r="I45" i="36"/>
  <c r="B46" i="35" l="1"/>
  <c r="O46" i="31"/>
  <c r="O46" i="32"/>
  <c r="B46" i="31"/>
  <c r="O46" i="34"/>
  <c r="B46" i="18"/>
  <c r="O46" i="33"/>
  <c r="O46" i="40"/>
  <c r="O46" i="35"/>
  <c r="B46" i="32"/>
  <c r="B42" i="7"/>
  <c r="B46" i="34"/>
  <c r="B46" i="40"/>
  <c r="O46" i="37"/>
  <c r="B46" i="33"/>
  <c r="B46" i="36"/>
  <c r="O46" i="36"/>
  <c r="B46" i="37"/>
  <c r="O46" i="18"/>
  <c r="V43" i="36"/>
  <c r="W43" i="36" s="1"/>
  <c r="Z41" i="17" s="1"/>
  <c r="U43" i="36"/>
  <c r="J43" i="40"/>
  <c r="K43" i="40" s="1"/>
  <c r="K41" i="17" s="1"/>
  <c r="I43" i="40"/>
  <c r="U43" i="40"/>
  <c r="V43" i="40"/>
  <c r="W43" i="40" s="1"/>
  <c r="AB41" i="17" s="1"/>
  <c r="J46" i="36"/>
  <c r="K46" i="36" s="1"/>
  <c r="I44" i="17" s="1"/>
  <c r="I46" i="36"/>
  <c r="B47" i="35" l="1"/>
  <c r="O47" i="18"/>
  <c r="B47" i="32"/>
  <c r="B47" i="18"/>
  <c r="B43" i="7"/>
  <c r="O47" i="33"/>
  <c r="O47" i="34"/>
  <c r="B47" i="36"/>
  <c r="B47" i="40"/>
  <c r="B47" i="31"/>
  <c r="B47" i="37"/>
  <c r="O47" i="31"/>
  <c r="O47" i="36"/>
  <c r="O47" i="35"/>
  <c r="B47" i="34"/>
  <c r="O47" i="32"/>
  <c r="B47" i="33"/>
  <c r="O47" i="37"/>
  <c r="O47" i="40"/>
  <c r="J44" i="40"/>
  <c r="K44" i="40" s="1"/>
  <c r="K42" i="17" s="1"/>
  <c r="I44" i="40"/>
  <c r="V44" i="40"/>
  <c r="W44" i="40" s="1"/>
  <c r="AB42" i="17" s="1"/>
  <c r="U44" i="40"/>
  <c r="V44" i="36"/>
  <c r="W44" i="36" s="1"/>
  <c r="Z42" i="17" s="1"/>
  <c r="U44" i="36"/>
  <c r="J47" i="36"/>
  <c r="K47" i="36" s="1"/>
  <c r="I45" i="17" s="1"/>
  <c r="I47" i="36"/>
  <c r="O48" i="18" l="1"/>
  <c r="B48" i="40"/>
  <c r="O48" i="36"/>
  <c r="B48" i="33"/>
  <c r="O48" i="33"/>
  <c r="B48" i="36"/>
  <c r="O48" i="40"/>
  <c r="B48" i="34"/>
  <c r="B44" i="7"/>
  <c r="O48" i="35"/>
  <c r="O48" i="34"/>
  <c r="B48" i="31"/>
  <c r="B48" i="37"/>
  <c r="O48" i="31"/>
  <c r="O48" i="32"/>
  <c r="B48" i="32"/>
  <c r="B48" i="18"/>
  <c r="O48" i="37"/>
  <c r="B48" i="35"/>
  <c r="V45" i="40"/>
  <c r="W45" i="40" s="1"/>
  <c r="AB43" i="17" s="1"/>
  <c r="U45" i="40"/>
  <c r="U45" i="36"/>
  <c r="V45" i="36"/>
  <c r="W45" i="36" s="1"/>
  <c r="Z43" i="17" s="1"/>
  <c r="I45" i="40"/>
  <c r="J45" i="40"/>
  <c r="K45" i="40" s="1"/>
  <c r="K43" i="17" s="1"/>
  <c r="J48" i="36"/>
  <c r="K48" i="36" s="1"/>
  <c r="I46" i="17" s="1"/>
  <c r="I48" i="36"/>
  <c r="O49" i="31" l="1"/>
  <c r="O49" i="34"/>
  <c r="B49" i="37"/>
  <c r="B45" i="7"/>
  <c r="O49" i="37"/>
  <c r="B49" i="34"/>
  <c r="O49" i="18"/>
  <c r="O49" i="36"/>
  <c r="O49" i="33"/>
  <c r="O49" i="40"/>
  <c r="B49" i="18"/>
  <c r="O49" i="35"/>
  <c r="B49" i="35"/>
  <c r="B49" i="31"/>
  <c r="B49" i="36"/>
  <c r="O49" i="32"/>
  <c r="B49" i="32"/>
  <c r="B49" i="40"/>
  <c r="B49" i="33"/>
  <c r="U46" i="36"/>
  <c r="V46" i="36"/>
  <c r="W46" i="36" s="1"/>
  <c r="Z44" i="17" s="1"/>
  <c r="J46" i="40"/>
  <c r="K46" i="40" s="1"/>
  <c r="K44" i="17" s="1"/>
  <c r="I46" i="40"/>
  <c r="V46" i="40"/>
  <c r="W46" i="40" s="1"/>
  <c r="AB44" i="17" s="1"/>
  <c r="U46" i="40"/>
  <c r="I49" i="36"/>
  <c r="J49" i="36"/>
  <c r="K49" i="36" s="1"/>
  <c r="I47" i="17" s="1"/>
  <c r="B50" i="37" l="1"/>
  <c r="B50" i="18"/>
  <c r="B50" i="33"/>
  <c r="O50" i="36"/>
  <c r="B50" i="36"/>
  <c r="O50" i="32"/>
  <c r="O50" i="37"/>
  <c r="O50" i="40"/>
  <c r="B46" i="7"/>
  <c r="O50" i="33"/>
  <c r="B50" i="35"/>
  <c r="B50" i="34"/>
  <c r="O50" i="18"/>
  <c r="B50" i="31"/>
  <c r="B50" i="40"/>
  <c r="B50" i="32"/>
  <c r="O50" i="34"/>
  <c r="O50" i="31"/>
  <c r="O50" i="35"/>
  <c r="V47" i="36"/>
  <c r="W47" i="36" s="1"/>
  <c r="Z45" i="17" s="1"/>
  <c r="U47" i="36"/>
  <c r="V47" i="40"/>
  <c r="W47" i="40" s="1"/>
  <c r="AB45" i="17" s="1"/>
  <c r="U47" i="40"/>
  <c r="I47" i="40"/>
  <c r="J47" i="40"/>
  <c r="K47" i="40" s="1"/>
  <c r="K45" i="17" s="1"/>
  <c r="J50" i="36"/>
  <c r="K50" i="36" s="1"/>
  <c r="I48" i="17" s="1"/>
  <c r="I50" i="36"/>
  <c r="O51" i="18" l="1"/>
  <c r="O51" i="35"/>
  <c r="O51" i="33"/>
  <c r="O51" i="37"/>
  <c r="O51" i="31"/>
  <c r="B51" i="18"/>
  <c r="B51" i="37"/>
  <c r="B51" i="35"/>
  <c r="B51" i="31"/>
  <c r="B51" i="34"/>
  <c r="B51" i="33"/>
  <c r="B51" i="36"/>
  <c r="B51" i="32"/>
  <c r="O51" i="36"/>
  <c r="B51" i="40"/>
  <c r="O51" i="40"/>
  <c r="O51" i="32"/>
  <c r="O51" i="34"/>
  <c r="B47" i="7"/>
  <c r="J48" i="40"/>
  <c r="K48" i="40" s="1"/>
  <c r="K46" i="17" s="1"/>
  <c r="I48" i="40"/>
  <c r="V48" i="40"/>
  <c r="W48" i="40" s="1"/>
  <c r="AB46" i="17" s="1"/>
  <c r="U48" i="40"/>
  <c r="U48" i="36"/>
  <c r="V48" i="36"/>
  <c r="W48" i="36" s="1"/>
  <c r="Z46" i="17" s="1"/>
  <c r="I51" i="36"/>
  <c r="J51" i="36"/>
  <c r="K51" i="36" s="1"/>
  <c r="I49" i="17" s="1"/>
  <c r="O52" i="32" l="1"/>
  <c r="B52" i="18"/>
  <c r="O52" i="35"/>
  <c r="O52" i="31"/>
  <c r="B52" i="31"/>
  <c r="O52" i="18"/>
  <c r="B52" i="36"/>
  <c r="O52" i="36"/>
  <c r="B52" i="34"/>
  <c r="B48" i="7"/>
  <c r="O52" i="37"/>
  <c r="O52" i="33"/>
  <c r="B52" i="33"/>
  <c r="O52" i="34"/>
  <c r="B52" i="37"/>
  <c r="B52" i="35"/>
  <c r="O52" i="40"/>
  <c r="B52" i="40"/>
  <c r="B52" i="32"/>
  <c r="V49" i="36"/>
  <c r="W49" i="36" s="1"/>
  <c r="Z47" i="17" s="1"/>
  <c r="U49" i="36"/>
  <c r="V49" i="40"/>
  <c r="W49" i="40" s="1"/>
  <c r="AB47" i="17" s="1"/>
  <c r="U49" i="40"/>
  <c r="I49" i="40"/>
  <c r="J49" i="40"/>
  <c r="K49" i="40" s="1"/>
  <c r="K47" i="17" s="1"/>
  <c r="I52" i="36"/>
  <c r="J52" i="36"/>
  <c r="K52" i="36" s="1"/>
  <c r="I50" i="17" s="1"/>
  <c r="O53" i="33" l="1"/>
  <c r="B53" i="35"/>
  <c r="B53" i="33"/>
  <c r="O53" i="34"/>
  <c r="B53" i="36"/>
  <c r="B53" i="32"/>
  <c r="O53" i="18"/>
  <c r="B53" i="40"/>
  <c r="O53" i="36"/>
  <c r="O53" i="35"/>
  <c r="O53" i="32"/>
  <c r="B53" i="37"/>
  <c r="O53" i="31"/>
  <c r="B53" i="18"/>
  <c r="B49" i="7"/>
  <c r="B53" i="31"/>
  <c r="O53" i="40"/>
  <c r="B53" i="34"/>
  <c r="O53" i="37"/>
  <c r="V50" i="40"/>
  <c r="W50" i="40" s="1"/>
  <c r="AB48" i="17" s="1"/>
  <c r="U50" i="40"/>
  <c r="I50" i="40"/>
  <c r="J50" i="40"/>
  <c r="K50" i="40" s="1"/>
  <c r="K48" i="17" s="1"/>
  <c r="V50" i="36"/>
  <c r="W50" i="36" s="1"/>
  <c r="Z48" i="17" s="1"/>
  <c r="U50" i="36"/>
  <c r="J53" i="36"/>
  <c r="K53" i="36" s="1"/>
  <c r="I51" i="17" s="1"/>
  <c r="I53" i="36"/>
  <c r="B54" i="32" l="1"/>
  <c r="O54" i="18"/>
  <c r="B54" i="18"/>
  <c r="B50" i="7"/>
  <c r="B54" i="36"/>
  <c r="B54" i="34"/>
  <c r="O54" i="32"/>
  <c r="O54" i="35"/>
  <c r="B54" i="40"/>
  <c r="O54" i="40"/>
  <c r="B54" i="33"/>
  <c r="O54" i="34"/>
  <c r="B54" i="35"/>
  <c r="O54" i="37"/>
  <c r="B54" i="37"/>
  <c r="B54" i="31"/>
  <c r="O54" i="36"/>
  <c r="O54" i="31"/>
  <c r="O54" i="33"/>
  <c r="J51" i="40"/>
  <c r="K51" i="40" s="1"/>
  <c r="K49" i="17" s="1"/>
  <c r="I51" i="40"/>
  <c r="V51" i="36"/>
  <c r="W51" i="36" s="1"/>
  <c r="Z49" i="17" s="1"/>
  <c r="U51" i="36"/>
  <c r="V51" i="40"/>
  <c r="W51" i="40" s="1"/>
  <c r="AB49" i="17" s="1"/>
  <c r="U51" i="40"/>
  <c r="J54" i="36"/>
  <c r="K54" i="36" s="1"/>
  <c r="I52" i="17" s="1"/>
  <c r="I54" i="36"/>
  <c r="B55" i="31" l="1"/>
  <c r="B55" i="33"/>
  <c r="O55" i="32"/>
  <c r="B51" i="7"/>
  <c r="B55" i="40"/>
  <c r="B55" i="18"/>
  <c r="O55" i="36"/>
  <c r="B55" i="32"/>
  <c r="B55" i="35"/>
  <c r="B55" i="34"/>
  <c r="B55" i="37"/>
  <c r="B55" i="36"/>
  <c r="O55" i="31"/>
  <c r="O55" i="33"/>
  <c r="O55" i="40"/>
  <c r="O55" i="18"/>
  <c r="O55" i="34"/>
  <c r="O55" i="35"/>
  <c r="O55" i="37"/>
  <c r="I52" i="40"/>
  <c r="J52" i="40"/>
  <c r="K52" i="40" s="1"/>
  <c r="K50" i="17" s="1"/>
  <c r="V52" i="40"/>
  <c r="W52" i="40" s="1"/>
  <c r="AB50" i="17" s="1"/>
  <c r="U52" i="40"/>
  <c r="U52" i="36"/>
  <c r="V52" i="36"/>
  <c r="W52" i="36" s="1"/>
  <c r="Z50" i="17" s="1"/>
  <c r="I55" i="36"/>
  <c r="J55" i="36"/>
  <c r="K55" i="36" s="1"/>
  <c r="I53" i="17" s="1"/>
  <c r="O56" i="35" l="1"/>
  <c r="B56" i="18"/>
  <c r="O56" i="32"/>
  <c r="B56" i="33"/>
  <c r="B56" i="40"/>
  <c r="O56" i="40"/>
  <c r="O56" i="34"/>
  <c r="B56" i="31"/>
  <c r="B52" i="7"/>
  <c r="B56" i="36"/>
  <c r="B56" i="37"/>
  <c r="B56" i="35"/>
  <c r="B56" i="34"/>
  <c r="O56" i="33"/>
  <c r="B56" i="32"/>
  <c r="O56" i="18"/>
  <c r="O56" i="37"/>
  <c r="O56" i="31"/>
  <c r="O56" i="36"/>
  <c r="U53" i="36"/>
  <c r="V53" i="36"/>
  <c r="W53" i="36" s="1"/>
  <c r="Z51" i="17" s="1"/>
  <c r="I53" i="40"/>
  <c r="J53" i="40"/>
  <c r="K53" i="40" s="1"/>
  <c r="K51" i="17" s="1"/>
  <c r="V53" i="40"/>
  <c r="W53" i="40" s="1"/>
  <c r="AB51" i="17" s="1"/>
  <c r="U53" i="40"/>
  <c r="J56" i="36"/>
  <c r="K56" i="36" s="1"/>
  <c r="I54" i="17" s="1"/>
  <c r="I56" i="36"/>
  <c r="O57" i="32" l="1"/>
  <c r="O57" i="37"/>
  <c r="O57" i="40"/>
  <c r="B57" i="18"/>
  <c r="O57" i="31"/>
  <c r="O57" i="18"/>
  <c r="B57" i="33"/>
  <c r="O57" i="34"/>
  <c r="O57" i="33"/>
  <c r="B57" i="37"/>
  <c r="O57" i="36"/>
  <c r="B57" i="40"/>
  <c r="B57" i="32"/>
  <c r="B57" i="31"/>
  <c r="O57" i="35"/>
  <c r="B57" i="35"/>
  <c r="B57" i="36"/>
  <c r="B53" i="7"/>
  <c r="B57" i="34"/>
  <c r="U54" i="36"/>
  <c r="V54" i="36"/>
  <c r="W54" i="36" s="1"/>
  <c r="Z52" i="17" s="1"/>
  <c r="V54" i="40"/>
  <c r="W54" i="40" s="1"/>
  <c r="AB52" i="17" s="1"/>
  <c r="U54" i="40"/>
  <c r="I54" i="40"/>
  <c r="J54" i="40"/>
  <c r="K54" i="40" s="1"/>
  <c r="K52" i="17" s="1"/>
  <c r="I57" i="36"/>
  <c r="J57" i="36"/>
  <c r="K57" i="36" s="1"/>
  <c r="I55" i="17" s="1"/>
  <c r="B58" i="33" l="1"/>
  <c r="B58" i="37"/>
  <c r="O58" i="33"/>
  <c r="O58" i="34"/>
  <c r="B58" i="31"/>
  <c r="B58" i="18"/>
  <c r="O58" i="32"/>
  <c r="B58" i="36"/>
  <c r="O58" i="35"/>
  <c r="B58" i="40"/>
  <c r="O58" i="40"/>
  <c r="B58" i="35"/>
  <c r="O58" i="31"/>
  <c r="O58" i="37"/>
  <c r="B58" i="32"/>
  <c r="O58" i="36"/>
  <c r="B58" i="34"/>
  <c r="O58" i="18"/>
  <c r="B54" i="7"/>
  <c r="I55" i="40"/>
  <c r="J55" i="40"/>
  <c r="K55" i="40" s="1"/>
  <c r="K53" i="17" s="1"/>
  <c r="U55" i="36"/>
  <c r="V55" i="36"/>
  <c r="W55" i="36" s="1"/>
  <c r="Z53" i="17" s="1"/>
  <c r="U55" i="40"/>
  <c r="V55" i="40"/>
  <c r="W55" i="40" s="1"/>
  <c r="AB53" i="17" s="1"/>
  <c r="J58" i="36"/>
  <c r="K58" i="36" s="1"/>
  <c r="I56" i="17" s="1"/>
  <c r="I58" i="36"/>
  <c r="B59" i="32" l="1"/>
  <c r="B55" i="7"/>
  <c r="O59" i="35"/>
  <c r="O59" i="31"/>
  <c r="B59" i="18"/>
  <c r="O59" i="18"/>
  <c r="B59" i="36"/>
  <c r="O59" i="33"/>
  <c r="O59" i="36"/>
  <c r="B59" i="37"/>
  <c r="O59" i="32"/>
  <c r="O59" i="40"/>
  <c r="O59" i="37"/>
  <c r="O59" i="34"/>
  <c r="B59" i="40"/>
  <c r="B59" i="35"/>
  <c r="B59" i="34"/>
  <c r="B59" i="31"/>
  <c r="B59" i="33"/>
  <c r="U56" i="40"/>
  <c r="V56" i="40"/>
  <c r="W56" i="40" s="1"/>
  <c r="AB54" i="17" s="1"/>
  <c r="J56" i="40"/>
  <c r="K56" i="40" s="1"/>
  <c r="K54" i="17" s="1"/>
  <c r="I56" i="40"/>
  <c r="U56" i="36"/>
  <c r="V56" i="36"/>
  <c r="W56" i="36" s="1"/>
  <c r="Z54" i="17" s="1"/>
  <c r="J59" i="36"/>
  <c r="K59" i="36" s="1"/>
  <c r="I57" i="17" s="1"/>
  <c r="I59" i="36"/>
  <c r="B60" i="34" l="1"/>
  <c r="B60" i="37"/>
  <c r="B60" i="32"/>
  <c r="O60" i="40"/>
  <c r="O60" i="35"/>
  <c r="O60" i="34"/>
  <c r="O60" i="37"/>
  <c r="O60" i="31"/>
  <c r="B56" i="7"/>
  <c r="B60" i="40"/>
  <c r="B60" i="35"/>
  <c r="B60" i="18"/>
  <c r="O60" i="36"/>
  <c r="B60" i="31"/>
  <c r="B60" i="33"/>
  <c r="O60" i="18"/>
  <c r="O60" i="32"/>
  <c r="B60" i="36"/>
  <c r="O60" i="33"/>
  <c r="I57" i="40"/>
  <c r="J57" i="40"/>
  <c r="K57" i="40" s="1"/>
  <c r="K55" i="17" s="1"/>
  <c r="V57" i="36"/>
  <c r="W57" i="36" s="1"/>
  <c r="Z55" i="17" s="1"/>
  <c r="U57" i="36"/>
  <c r="V57" i="40"/>
  <c r="W57" i="40" s="1"/>
  <c r="AB55" i="17" s="1"/>
  <c r="U57" i="40"/>
  <c r="J60" i="36"/>
  <c r="K60" i="36" s="1"/>
  <c r="I58" i="17" s="1"/>
  <c r="I60" i="36"/>
  <c r="B61" i="33" l="1"/>
  <c r="O61" i="34"/>
  <c r="B61" i="36"/>
  <c r="O61" i="35"/>
  <c r="B61" i="31"/>
  <c r="B61" i="35"/>
  <c r="B61" i="18"/>
  <c r="O61" i="31"/>
  <c r="B57" i="7"/>
  <c r="O61" i="37"/>
  <c r="O61" i="18"/>
  <c r="B61" i="37"/>
  <c r="B61" i="34"/>
  <c r="O61" i="40"/>
  <c r="O61" i="32"/>
  <c r="O61" i="36"/>
  <c r="B61" i="32"/>
  <c r="O61" i="33"/>
  <c r="B61" i="40"/>
  <c r="U58" i="36"/>
  <c r="V58" i="36"/>
  <c r="W58" i="36" s="1"/>
  <c r="Z56" i="17" s="1"/>
  <c r="U58" i="40"/>
  <c r="V58" i="40"/>
  <c r="W58" i="40" s="1"/>
  <c r="AB56" i="17" s="1"/>
  <c r="J58" i="40"/>
  <c r="K58" i="40" s="1"/>
  <c r="K56" i="17" s="1"/>
  <c r="I58" i="40"/>
  <c r="J61" i="36"/>
  <c r="K61" i="36" s="1"/>
  <c r="I59" i="17" s="1"/>
  <c r="I61" i="36"/>
  <c r="O62" i="35" l="1"/>
  <c r="B62" i="37"/>
  <c r="O62" i="34"/>
  <c r="B58" i="7"/>
  <c r="B62" i="18"/>
  <c r="B62" i="35"/>
  <c r="B62" i="40"/>
  <c r="O62" i="33"/>
  <c r="B62" i="32"/>
  <c r="O62" i="40"/>
  <c r="B62" i="33"/>
  <c r="B62" i="31"/>
  <c r="O62" i="32"/>
  <c r="O62" i="36"/>
  <c r="O62" i="31"/>
  <c r="B62" i="34"/>
  <c r="B62" i="36"/>
  <c r="O62" i="37"/>
  <c r="O62" i="18"/>
  <c r="J59" i="40"/>
  <c r="K59" i="40" s="1"/>
  <c r="K57" i="17" s="1"/>
  <c r="I59" i="40"/>
  <c r="U59" i="40"/>
  <c r="V59" i="40"/>
  <c r="W59" i="40" s="1"/>
  <c r="AB57" i="17" s="1"/>
  <c r="U59" i="36"/>
  <c r="V59" i="36"/>
  <c r="W59" i="36" s="1"/>
  <c r="Z57" i="17" s="1"/>
  <c r="J62" i="36"/>
  <c r="K62" i="36" s="1"/>
  <c r="I60" i="17" s="1"/>
  <c r="I62" i="36"/>
  <c r="B63" i="40" l="1"/>
  <c r="B63" i="34"/>
  <c r="B63" i="36"/>
  <c r="B63" i="35"/>
  <c r="O63" i="35"/>
  <c r="B63" i="18"/>
  <c r="O63" i="18"/>
  <c r="O63" i="33"/>
  <c r="B63" i="33"/>
  <c r="O63" i="36"/>
  <c r="O63" i="40"/>
  <c r="O63" i="34"/>
  <c r="B63" i="37"/>
  <c r="O63" i="31"/>
  <c r="B63" i="31"/>
  <c r="B63" i="32"/>
  <c r="B59" i="7"/>
  <c r="O63" i="37"/>
  <c r="O63" i="32"/>
  <c r="V60" i="40"/>
  <c r="W60" i="40" s="1"/>
  <c r="AB58" i="17" s="1"/>
  <c r="U60" i="40"/>
  <c r="U60" i="36"/>
  <c r="V60" i="36"/>
  <c r="W60" i="36" s="1"/>
  <c r="Z58" i="17" s="1"/>
  <c r="I60" i="40"/>
  <c r="J60" i="40"/>
  <c r="K60" i="40" s="1"/>
  <c r="K58" i="17" s="1"/>
  <c r="I63" i="36"/>
  <c r="J63" i="36"/>
  <c r="K63" i="36" s="1"/>
  <c r="I61" i="17" s="1"/>
  <c r="B64" i="35" l="1"/>
  <c r="O64" i="32"/>
  <c r="O64" i="33"/>
  <c r="O64" i="34"/>
  <c r="B64" i="31"/>
  <c r="O64" i="40"/>
  <c r="B64" i="32"/>
  <c r="O64" i="31"/>
  <c r="O64" i="18"/>
  <c r="B64" i="34"/>
  <c r="B64" i="40"/>
  <c r="B60" i="7"/>
  <c r="B64" i="36"/>
  <c r="B64" i="18"/>
  <c r="O64" i="36"/>
  <c r="O64" i="37"/>
  <c r="O64" i="35"/>
  <c r="B64" i="37"/>
  <c r="B64" i="33"/>
  <c r="I61" i="40"/>
  <c r="J61" i="40"/>
  <c r="K61" i="40" s="1"/>
  <c r="K59" i="17" s="1"/>
  <c r="U61" i="36"/>
  <c r="V61" i="36"/>
  <c r="W61" i="36" s="1"/>
  <c r="Z59" i="17" s="1"/>
  <c r="U61" i="40"/>
  <c r="V61" i="40"/>
  <c r="W61" i="40" s="1"/>
  <c r="AB59" i="17" s="1"/>
  <c r="J64" i="36"/>
  <c r="K64" i="36" s="1"/>
  <c r="I62" i="17" s="1"/>
  <c r="I64" i="36"/>
  <c r="O65" i="37" l="1"/>
  <c r="O65" i="33"/>
  <c r="O65" i="18"/>
  <c r="B65" i="33"/>
  <c r="B65" i="31"/>
  <c r="O65" i="34"/>
  <c r="B65" i="40"/>
  <c r="O65" i="32"/>
  <c r="B65" i="36"/>
  <c r="O65" i="36"/>
  <c r="B65" i="34"/>
  <c r="B65" i="37"/>
  <c r="B61" i="7"/>
  <c r="O65" i="35"/>
  <c r="B65" i="35"/>
  <c r="B65" i="18"/>
  <c r="B65" i="32"/>
  <c r="O65" i="40"/>
  <c r="O65" i="31"/>
  <c r="J62" i="40"/>
  <c r="K62" i="40" s="1"/>
  <c r="K60" i="17" s="1"/>
  <c r="I62" i="40"/>
  <c r="U62" i="40"/>
  <c r="V62" i="40"/>
  <c r="W62" i="40" s="1"/>
  <c r="AB60" i="17" s="1"/>
  <c r="V62" i="36"/>
  <c r="W62" i="36" s="1"/>
  <c r="Z60" i="17" s="1"/>
  <c r="U62" i="36"/>
  <c r="J65" i="36"/>
  <c r="K65" i="36" s="1"/>
  <c r="I63" i="17" s="1"/>
  <c r="I65" i="36"/>
  <c r="B66" i="37" l="1"/>
  <c r="O66" i="34"/>
  <c r="B66" i="32"/>
  <c r="B66" i="36"/>
  <c r="B66" i="34"/>
  <c r="B66" i="18"/>
  <c r="O66" i="32"/>
  <c r="O66" i="33"/>
  <c r="O66" i="31"/>
  <c r="O66" i="18"/>
  <c r="O66" i="36"/>
  <c r="B66" i="33"/>
  <c r="B66" i="31"/>
  <c r="B66" i="40"/>
  <c r="B66" i="35"/>
  <c r="O66" i="37"/>
  <c r="B62" i="7"/>
  <c r="O66" i="35"/>
  <c r="O66" i="40"/>
  <c r="U63" i="36"/>
  <c r="V63" i="36"/>
  <c r="W63" i="36" s="1"/>
  <c r="Z61" i="17" s="1"/>
  <c r="U63" i="40"/>
  <c r="V63" i="40"/>
  <c r="W63" i="40" s="1"/>
  <c r="AB61" i="17" s="1"/>
  <c r="J63" i="40"/>
  <c r="K63" i="40" s="1"/>
  <c r="K61" i="17" s="1"/>
  <c r="I63" i="40"/>
  <c r="J66" i="36"/>
  <c r="K66" i="36" s="1"/>
  <c r="I64" i="17" s="1"/>
  <c r="I66" i="36"/>
  <c r="O67" i="40" l="1"/>
  <c r="B67" i="36"/>
  <c r="O67" i="34"/>
  <c r="B67" i="31"/>
  <c r="B67" i="33"/>
  <c r="O67" i="31"/>
  <c r="B67" i="35"/>
  <c r="B67" i="37"/>
  <c r="B67" i="40"/>
  <c r="O67" i="32"/>
  <c r="B67" i="18"/>
  <c r="O67" i="33"/>
  <c r="B63" i="7"/>
  <c r="O67" i="37"/>
  <c r="O67" i="18"/>
  <c r="O67" i="36"/>
  <c r="B67" i="34"/>
  <c r="O67" i="35"/>
  <c r="B67" i="32"/>
  <c r="I64" i="40"/>
  <c r="J64" i="40"/>
  <c r="K64" i="40" s="1"/>
  <c r="K62" i="17" s="1"/>
  <c r="U64" i="40"/>
  <c r="V64" i="40"/>
  <c r="W64" i="40" s="1"/>
  <c r="AB62" i="17" s="1"/>
  <c r="U64" i="36"/>
  <c r="V64" i="36"/>
  <c r="W64" i="36" s="1"/>
  <c r="Z62" i="17" s="1"/>
  <c r="J67" i="36"/>
  <c r="K67" i="36" s="1"/>
  <c r="I65" i="17" s="1"/>
  <c r="I67" i="36"/>
  <c r="O68" i="31" l="1"/>
  <c r="O68" i="37"/>
  <c r="B68" i="18"/>
  <c r="B68" i="37"/>
  <c r="B68" i="35"/>
  <c r="O68" i="18"/>
  <c r="O68" i="34"/>
  <c r="B64" i="7"/>
  <c r="B68" i="31"/>
  <c r="O68" i="32"/>
  <c r="O68" i="33"/>
  <c r="O68" i="35"/>
  <c r="B68" i="40"/>
  <c r="O68" i="40"/>
  <c r="B68" i="33"/>
  <c r="B68" i="34"/>
  <c r="B68" i="32"/>
  <c r="O68" i="36"/>
  <c r="B68" i="36"/>
  <c r="V65" i="36"/>
  <c r="W65" i="36" s="1"/>
  <c r="Z63" i="17" s="1"/>
  <c r="U65" i="36"/>
  <c r="V65" i="40"/>
  <c r="W65" i="40" s="1"/>
  <c r="AB63" i="17" s="1"/>
  <c r="U65" i="40"/>
  <c r="I65" i="40"/>
  <c r="J65" i="40"/>
  <c r="K65" i="40" s="1"/>
  <c r="K63" i="17" s="1"/>
  <c r="J68" i="36"/>
  <c r="K68" i="36" s="1"/>
  <c r="I66" i="17" s="1"/>
  <c r="I68" i="36"/>
  <c r="O69" i="18" l="1"/>
  <c r="O69" i="35"/>
  <c r="B69" i="33"/>
  <c r="O69" i="33"/>
  <c r="B69" i="36"/>
  <c r="O69" i="37"/>
  <c r="B69" i="35"/>
  <c r="O69" i="34"/>
  <c r="B69" i="37"/>
  <c r="O69" i="32"/>
  <c r="B69" i="18"/>
  <c r="B69" i="40"/>
  <c r="O69" i="31"/>
  <c r="B69" i="32"/>
  <c r="B65" i="7"/>
  <c r="B69" i="31"/>
  <c r="O69" i="36"/>
  <c r="O69" i="40"/>
  <c r="B69" i="34"/>
  <c r="V66" i="40"/>
  <c r="W66" i="40" s="1"/>
  <c r="AB64" i="17" s="1"/>
  <c r="U66" i="40"/>
  <c r="I66" i="40"/>
  <c r="J66" i="40"/>
  <c r="K66" i="40" s="1"/>
  <c r="K64" i="17" s="1"/>
  <c r="V66" i="36"/>
  <c r="W66" i="36" s="1"/>
  <c r="Z64" i="17" s="1"/>
  <c r="U66" i="36"/>
  <c r="J69" i="36"/>
  <c r="K69" i="36" s="1"/>
  <c r="I67" i="17" s="1"/>
  <c r="I69" i="36"/>
  <c r="O70" i="33" l="1"/>
  <c r="O70" i="34"/>
  <c r="O70" i="31"/>
  <c r="O70" i="36"/>
  <c r="B70" i="35"/>
  <c r="O70" i="40"/>
  <c r="O70" i="32"/>
  <c r="B70" i="33"/>
  <c r="B70" i="34"/>
  <c r="B70" i="36"/>
  <c r="B70" i="40"/>
  <c r="B70" i="32"/>
  <c r="B70" i="18"/>
  <c r="B70" i="37"/>
  <c r="B66" i="7"/>
  <c r="B70" i="31"/>
  <c r="O70" i="37"/>
  <c r="O70" i="18"/>
  <c r="O70" i="35"/>
  <c r="J67" i="40"/>
  <c r="K67" i="40" s="1"/>
  <c r="K65" i="17" s="1"/>
  <c r="I67" i="40"/>
  <c r="U67" i="36"/>
  <c r="V67" i="36"/>
  <c r="W67" i="36" s="1"/>
  <c r="Z65" i="17" s="1"/>
  <c r="V67" i="40"/>
  <c r="W67" i="40" s="1"/>
  <c r="AB65" i="17" s="1"/>
  <c r="U67" i="40"/>
  <c r="J70" i="36"/>
  <c r="K70" i="36" s="1"/>
  <c r="I68" i="17" s="1"/>
  <c r="I70" i="36"/>
  <c r="B71" i="35" l="1"/>
  <c r="B71" i="32"/>
  <c r="B71" i="33"/>
  <c r="O71" i="18"/>
  <c r="B71" i="37"/>
  <c r="O71" i="32"/>
  <c r="B71" i="18"/>
  <c r="O71" i="37"/>
  <c r="B71" i="36"/>
  <c r="O71" i="31"/>
  <c r="O71" i="33"/>
  <c r="O71" i="35"/>
  <c r="B67" i="7"/>
  <c r="O71" i="36"/>
  <c r="B71" i="31"/>
  <c r="B71" i="40"/>
  <c r="B71" i="34"/>
  <c r="O71" i="34"/>
  <c r="O71" i="40"/>
  <c r="V68" i="36"/>
  <c r="W68" i="36" s="1"/>
  <c r="Z66" i="17" s="1"/>
  <c r="U68" i="36"/>
  <c r="J68" i="40"/>
  <c r="K68" i="40" s="1"/>
  <c r="K66" i="17" s="1"/>
  <c r="I68" i="40"/>
  <c r="U68" i="40"/>
  <c r="V68" i="40"/>
  <c r="W68" i="40" s="1"/>
  <c r="AB66" i="17" s="1"/>
  <c r="J71" i="36"/>
  <c r="K71" i="36" s="1"/>
  <c r="I69" i="17" s="1"/>
  <c r="I71" i="36"/>
  <c r="O72" i="40" l="1"/>
  <c r="O72" i="34"/>
  <c r="B72" i="35"/>
  <c r="B72" i="36"/>
  <c r="O72" i="35"/>
  <c r="O72" i="32"/>
  <c r="B72" i="32"/>
  <c r="B72" i="33"/>
  <c r="O72" i="33"/>
  <c r="B72" i="40"/>
  <c r="O72" i="36"/>
  <c r="O72" i="37"/>
  <c r="B72" i="34"/>
  <c r="B72" i="18"/>
  <c r="B72" i="37"/>
  <c r="B68" i="7"/>
  <c r="O72" i="31"/>
  <c r="O72" i="18"/>
  <c r="B72" i="31"/>
  <c r="J69" i="40"/>
  <c r="K69" i="40" s="1"/>
  <c r="K67" i="17" s="1"/>
  <c r="I69" i="40"/>
  <c r="U69" i="36"/>
  <c r="V69" i="36"/>
  <c r="W69" i="36" s="1"/>
  <c r="Z67" i="17" s="1"/>
  <c r="U69" i="40"/>
  <c r="V69" i="40"/>
  <c r="W69" i="40" s="1"/>
  <c r="AB67" i="17" s="1"/>
  <c r="J72" i="36"/>
  <c r="K72" i="36" s="1"/>
  <c r="I70" i="17" s="1"/>
  <c r="I72" i="36"/>
  <c r="O73" i="31" l="1"/>
  <c r="O73" i="34"/>
  <c r="B73" i="37"/>
  <c r="O73" i="18"/>
  <c r="B73" i="31"/>
  <c r="O73" i="37"/>
  <c r="B73" i="40"/>
  <c r="B73" i="18"/>
  <c r="B69" i="7"/>
  <c r="O73" i="36"/>
  <c r="O73" i="32"/>
  <c r="B73" i="33"/>
  <c r="B73" i="34"/>
  <c r="B73" i="32"/>
  <c r="B73" i="36"/>
  <c r="O73" i="40"/>
  <c r="B73" i="35"/>
  <c r="O73" i="33"/>
  <c r="O73" i="35"/>
  <c r="J70" i="40"/>
  <c r="K70" i="40" s="1"/>
  <c r="K68" i="17" s="1"/>
  <c r="I70" i="40"/>
  <c r="V70" i="40"/>
  <c r="W70" i="40" s="1"/>
  <c r="AB68" i="17" s="1"/>
  <c r="U70" i="40"/>
  <c r="V70" i="36"/>
  <c r="W70" i="36" s="1"/>
  <c r="Z68" i="17" s="1"/>
  <c r="U70" i="36"/>
  <c r="J73" i="36"/>
  <c r="K73" i="36" s="1"/>
  <c r="I71" i="17" s="1"/>
  <c r="I73" i="36"/>
  <c r="O74" i="18" l="1"/>
  <c r="O74" i="40"/>
  <c r="B74" i="40"/>
  <c r="O74" i="32"/>
  <c r="B74" i="18"/>
  <c r="B74" i="32"/>
  <c r="B74" i="36"/>
  <c r="O74" i="34"/>
  <c r="B74" i="33"/>
  <c r="B74" i="34"/>
  <c r="B70" i="7"/>
  <c r="O74" i="35"/>
  <c r="O74" i="37"/>
  <c r="O74" i="36"/>
  <c r="O74" i="31"/>
  <c r="B74" i="37"/>
  <c r="B74" i="35"/>
  <c r="B74" i="31"/>
  <c r="O74" i="33"/>
  <c r="J71" i="40"/>
  <c r="K71" i="40" s="1"/>
  <c r="K69" i="17" s="1"/>
  <c r="I71" i="40"/>
  <c r="U71" i="36"/>
  <c r="V71" i="36"/>
  <c r="W71" i="36" s="1"/>
  <c r="Z69" i="17" s="1"/>
  <c r="V71" i="40"/>
  <c r="W71" i="40" s="1"/>
  <c r="AB69" i="17" s="1"/>
  <c r="U71" i="40"/>
  <c r="J74" i="36"/>
  <c r="K74" i="36" s="1"/>
  <c r="I72" i="17" s="1"/>
  <c r="I74" i="36"/>
  <c r="B75" i="32" l="1"/>
  <c r="O75" i="18"/>
  <c r="B75" i="37"/>
  <c r="O75" i="33"/>
  <c r="B75" i="36"/>
  <c r="B75" i="35"/>
  <c r="O75" i="32"/>
  <c r="O75" i="31"/>
  <c r="B71" i="7"/>
  <c r="O75" i="35"/>
  <c r="B75" i="40"/>
  <c r="O75" i="40"/>
  <c r="O75" i="34"/>
  <c r="O75" i="37"/>
  <c r="B75" i="33"/>
  <c r="B75" i="34"/>
  <c r="B75" i="31"/>
  <c r="O75" i="36"/>
  <c r="B75" i="18"/>
  <c r="V72" i="36"/>
  <c r="W72" i="36" s="1"/>
  <c r="Z70" i="17" s="1"/>
  <c r="U72" i="36"/>
  <c r="U72" i="40"/>
  <c r="V72" i="40"/>
  <c r="W72" i="40" s="1"/>
  <c r="AB70" i="17" s="1"/>
  <c r="I72" i="40"/>
  <c r="J72" i="40"/>
  <c r="K72" i="40" s="1"/>
  <c r="K70" i="17" s="1"/>
  <c r="J75" i="36"/>
  <c r="K75" i="36" s="1"/>
  <c r="I73" i="17" s="1"/>
  <c r="I75" i="36"/>
  <c r="O76" i="32" l="1"/>
  <c r="B76" i="40"/>
  <c r="B76" i="31"/>
  <c r="B76" i="37"/>
  <c r="O76" i="18"/>
  <c r="B76" i="32"/>
  <c r="B72" i="7"/>
  <c r="O76" i="40"/>
  <c r="O76" i="31"/>
  <c r="O76" i="35"/>
  <c r="B76" i="34"/>
  <c r="B76" i="35"/>
  <c r="O76" i="33"/>
  <c r="O76" i="36"/>
  <c r="B76" i="36"/>
  <c r="B76" i="18"/>
  <c r="O76" i="34"/>
  <c r="O76" i="37"/>
  <c r="B76" i="33"/>
  <c r="J73" i="40"/>
  <c r="K73" i="40" s="1"/>
  <c r="K71" i="17" s="1"/>
  <c r="I73" i="40"/>
  <c r="U73" i="40"/>
  <c r="V73" i="40"/>
  <c r="W73" i="40" s="1"/>
  <c r="AB71" i="17" s="1"/>
  <c r="U73" i="36"/>
  <c r="V73" i="36"/>
  <c r="W73" i="36" s="1"/>
  <c r="Z71" i="17" s="1"/>
  <c r="J76" i="36"/>
  <c r="K76" i="36" s="1"/>
  <c r="I74" i="17" s="1"/>
  <c r="I76" i="36"/>
  <c r="O77" i="37" l="1"/>
  <c r="O77" i="40"/>
  <c r="B77" i="40"/>
  <c r="B77" i="31"/>
  <c r="B77" i="35"/>
  <c r="O77" i="33"/>
  <c r="B73" i="7"/>
  <c r="O77" i="34"/>
  <c r="O77" i="35"/>
  <c r="B77" i="37"/>
  <c r="B77" i="36"/>
  <c r="O77" i="36"/>
  <c r="B77" i="34"/>
  <c r="B77" i="32"/>
  <c r="O77" i="31"/>
  <c r="O77" i="18"/>
  <c r="O77" i="32"/>
  <c r="B77" i="18"/>
  <c r="B77" i="33"/>
  <c r="V74" i="40"/>
  <c r="W74" i="40" s="1"/>
  <c r="AB72" i="17" s="1"/>
  <c r="U74" i="40"/>
  <c r="U74" i="36"/>
  <c r="V74" i="36"/>
  <c r="W74" i="36" s="1"/>
  <c r="Z72" i="17" s="1"/>
  <c r="J74" i="40"/>
  <c r="K74" i="40" s="1"/>
  <c r="K72" i="17" s="1"/>
  <c r="I74" i="40"/>
  <c r="J77" i="36"/>
  <c r="K77" i="36" s="1"/>
  <c r="I75" i="17" s="1"/>
  <c r="I77" i="36"/>
  <c r="B78" i="34" l="1"/>
  <c r="B78" i="36"/>
  <c r="B78" i="35"/>
  <c r="O78" i="34"/>
  <c r="O78" i="40"/>
  <c r="B78" i="31"/>
  <c r="B78" i="33"/>
  <c r="B78" i="18"/>
  <c r="O78" i="37"/>
  <c r="O78" i="31"/>
  <c r="O78" i="33"/>
  <c r="O78" i="32"/>
  <c r="B78" i="37"/>
  <c r="O78" i="18"/>
  <c r="B78" i="32"/>
  <c r="B74" i="7"/>
  <c r="B78" i="40"/>
  <c r="O78" i="36"/>
  <c r="O78" i="35"/>
  <c r="J75" i="40"/>
  <c r="K75" i="40" s="1"/>
  <c r="K73" i="17" s="1"/>
  <c r="I75" i="40"/>
  <c r="U75" i="36"/>
  <c r="V75" i="36"/>
  <c r="W75" i="36" s="1"/>
  <c r="Z73" i="17" s="1"/>
  <c r="U75" i="40"/>
  <c r="V75" i="40"/>
  <c r="W75" i="40" s="1"/>
  <c r="AB73" i="17" s="1"/>
  <c r="J78" i="36"/>
  <c r="K78" i="36" s="1"/>
  <c r="I76" i="17" s="1"/>
  <c r="I78" i="36"/>
  <c r="O79" i="37" l="1"/>
  <c r="O79" i="18"/>
  <c r="B79" i="36"/>
  <c r="B79" i="35"/>
  <c r="O79" i="36"/>
  <c r="O79" i="35"/>
  <c r="B79" i="31"/>
  <c r="B79" i="37"/>
  <c r="B79" i="40"/>
  <c r="O79" i="34"/>
  <c r="O79" i="33"/>
  <c r="B75" i="7"/>
  <c r="B79" i="33"/>
  <c r="O79" i="31"/>
  <c r="O79" i="40"/>
  <c r="B79" i="18"/>
  <c r="O79" i="32"/>
  <c r="B79" i="32"/>
  <c r="B79" i="34"/>
  <c r="I76" i="40"/>
  <c r="J76" i="40"/>
  <c r="K76" i="40" s="1"/>
  <c r="K74" i="17" s="1"/>
  <c r="U76" i="40"/>
  <c r="V76" i="40"/>
  <c r="W76" i="40" s="1"/>
  <c r="AB74" i="17" s="1"/>
  <c r="V76" i="36"/>
  <c r="W76" i="36" s="1"/>
  <c r="Z74" i="17" s="1"/>
  <c r="U76" i="36"/>
  <c r="J79" i="36"/>
  <c r="K79" i="36" s="1"/>
  <c r="I77" i="17" s="1"/>
  <c r="I79" i="36"/>
  <c r="B80" i="37" l="1"/>
  <c r="B80" i="18"/>
  <c r="O80" i="34"/>
  <c r="B80" i="35"/>
  <c r="B80" i="31"/>
  <c r="O80" i="36"/>
  <c r="B80" i="40"/>
  <c r="B80" i="36"/>
  <c r="B80" i="32"/>
  <c r="O80" i="40"/>
  <c r="B80" i="34"/>
  <c r="O80" i="37"/>
  <c r="B80" i="33"/>
  <c r="O80" i="32"/>
  <c r="B76" i="7"/>
  <c r="O80" i="31"/>
  <c r="O80" i="35"/>
  <c r="O80" i="33"/>
  <c r="O80" i="18"/>
  <c r="I77" i="40"/>
  <c r="J77" i="40"/>
  <c r="K77" i="40" s="1"/>
  <c r="K75" i="17" s="1"/>
  <c r="V77" i="40"/>
  <c r="W77" i="40" s="1"/>
  <c r="AB75" i="17" s="1"/>
  <c r="U77" i="40"/>
  <c r="V77" i="36"/>
  <c r="W77" i="36" s="1"/>
  <c r="Z75" i="17" s="1"/>
  <c r="U77" i="36"/>
  <c r="I80" i="36"/>
  <c r="J80" i="36"/>
  <c r="K80" i="36" s="1"/>
  <c r="I78" i="17" s="1"/>
  <c r="O81" i="18" l="1"/>
  <c r="B81" i="31"/>
  <c r="B77" i="7"/>
  <c r="O81" i="36"/>
  <c r="O81" i="35"/>
  <c r="O81" i="37"/>
  <c r="B81" i="37"/>
  <c r="B81" i="33"/>
  <c r="O81" i="31"/>
  <c r="B81" i="34"/>
  <c r="B81" i="18"/>
  <c r="B81" i="32"/>
  <c r="B81" i="36"/>
  <c r="B81" i="40"/>
  <c r="O81" i="40"/>
  <c r="O81" i="33"/>
  <c r="O81" i="34"/>
  <c r="O81" i="32"/>
  <c r="B81" i="35"/>
  <c r="V78" i="36"/>
  <c r="W78" i="36" s="1"/>
  <c r="Z76" i="17" s="1"/>
  <c r="U78" i="36"/>
  <c r="U78" i="40"/>
  <c r="V78" i="40"/>
  <c r="W78" i="40" s="1"/>
  <c r="AB76" i="17" s="1"/>
  <c r="I78" i="40"/>
  <c r="J78" i="40"/>
  <c r="K78" i="40" s="1"/>
  <c r="K76" i="17" s="1"/>
  <c r="J81" i="36"/>
  <c r="K81" i="36" s="1"/>
  <c r="I79" i="17" s="1"/>
  <c r="I81" i="36"/>
  <c r="B82" i="37" l="1"/>
  <c r="O82" i="33"/>
  <c r="O82" i="18"/>
  <c r="B82" i="31"/>
  <c r="O82" i="31"/>
  <c r="O82" i="40"/>
  <c r="B82" i="36"/>
  <c r="O82" i="36"/>
  <c r="B82" i="34"/>
  <c r="B78" i="7"/>
  <c r="B82" i="33"/>
  <c r="O82" i="34"/>
  <c r="B82" i="18"/>
  <c r="B82" i="40"/>
  <c r="O82" i="35"/>
  <c r="B82" i="32"/>
  <c r="O82" i="37"/>
  <c r="O82" i="32"/>
  <c r="B82" i="35"/>
  <c r="U79" i="36"/>
  <c r="V79" i="36"/>
  <c r="W79" i="36" s="1"/>
  <c r="Z77" i="17" s="1"/>
  <c r="I79" i="40"/>
  <c r="J79" i="40"/>
  <c r="K79" i="40" s="1"/>
  <c r="K77" i="17" s="1"/>
  <c r="U79" i="40"/>
  <c r="V79" i="40"/>
  <c r="W79" i="40" s="1"/>
  <c r="AB77" i="17" s="1"/>
  <c r="J82" i="36"/>
  <c r="K82" i="36" s="1"/>
  <c r="I80" i="17" s="1"/>
  <c r="I82" i="36"/>
  <c r="B79" i="7" l="1"/>
  <c r="O83" i="31"/>
  <c r="O83" i="36"/>
  <c r="O83" i="35"/>
  <c r="B83" i="18"/>
  <c r="B83" i="36"/>
  <c r="O83" i="32"/>
  <c r="O83" i="40"/>
  <c r="B83" i="40"/>
  <c r="B83" i="31"/>
  <c r="B83" i="37"/>
  <c r="O83" i="18"/>
  <c r="B83" i="34"/>
  <c r="O83" i="34"/>
  <c r="O83" i="33"/>
  <c r="O83" i="37"/>
  <c r="B83" i="32"/>
  <c r="B83" i="33"/>
  <c r="B83" i="35"/>
  <c r="U80" i="40"/>
  <c r="V80" i="40"/>
  <c r="W80" i="40" s="1"/>
  <c r="AB78" i="17" s="1"/>
  <c r="V80" i="36"/>
  <c r="W80" i="36" s="1"/>
  <c r="Z78" i="17" s="1"/>
  <c r="U80" i="36"/>
  <c r="J80" i="40"/>
  <c r="K80" i="40" s="1"/>
  <c r="K78" i="17" s="1"/>
  <c r="I80" i="40"/>
  <c r="J83" i="36"/>
  <c r="K83" i="36" s="1"/>
  <c r="I81" i="17" s="1"/>
  <c r="I83" i="36"/>
  <c r="B84" i="32" l="1"/>
  <c r="B84" i="18"/>
  <c r="O84" i="32"/>
  <c r="O84" i="18"/>
  <c r="O84" i="34"/>
  <c r="O84" i="31"/>
  <c r="B84" i="36"/>
  <c r="O84" i="35"/>
  <c r="B84" i="34"/>
  <c r="B84" i="37"/>
  <c r="O84" i="40"/>
  <c r="B80" i="7"/>
  <c r="O84" i="33"/>
  <c r="B84" i="35"/>
  <c r="B84" i="40"/>
  <c r="B84" i="31"/>
  <c r="O84" i="37"/>
  <c r="O84" i="36"/>
  <c r="B84" i="33"/>
  <c r="V81" i="36"/>
  <c r="W81" i="36" s="1"/>
  <c r="Z79" i="17" s="1"/>
  <c r="U81" i="36"/>
  <c r="V81" i="40"/>
  <c r="W81" i="40" s="1"/>
  <c r="AB79" i="17" s="1"/>
  <c r="U81" i="40"/>
  <c r="I81" i="40"/>
  <c r="J81" i="40"/>
  <c r="K81" i="40" s="1"/>
  <c r="K79" i="17" s="1"/>
  <c r="J84" i="36"/>
  <c r="K84" i="36" s="1"/>
  <c r="I82" i="17" s="1"/>
  <c r="I84" i="36"/>
  <c r="B81" i="7" l="1"/>
  <c r="B85" i="35"/>
  <c r="O85" i="35"/>
  <c r="B85" i="40"/>
  <c r="O85" i="36"/>
  <c r="O85" i="37"/>
  <c r="O85" i="33"/>
  <c r="B85" i="31"/>
  <c r="B85" i="37"/>
  <c r="O85" i="31"/>
  <c r="O85" i="18"/>
  <c r="O85" i="40"/>
  <c r="B85" i="33"/>
  <c r="B85" i="32"/>
  <c r="B85" i="36"/>
  <c r="O85" i="34"/>
  <c r="B85" i="18"/>
  <c r="O85" i="32"/>
  <c r="B85" i="34"/>
  <c r="U82" i="40"/>
  <c r="V82" i="40"/>
  <c r="W82" i="40" s="1"/>
  <c r="AB80" i="17" s="1"/>
  <c r="U82" i="36"/>
  <c r="V82" i="36"/>
  <c r="W82" i="36" s="1"/>
  <c r="Z80" i="17" s="1"/>
  <c r="J82" i="40"/>
  <c r="K82" i="40" s="1"/>
  <c r="K80" i="17" s="1"/>
  <c r="I82" i="40"/>
  <c r="I85" i="36"/>
  <c r="J85" i="36"/>
  <c r="K85" i="36" s="1"/>
  <c r="I83" i="17" s="1"/>
  <c r="O86" i="18" l="1"/>
  <c r="B86" i="34"/>
  <c r="B86" i="31"/>
  <c r="O86" i="31"/>
  <c r="O86" i="37"/>
  <c r="B86" i="35"/>
  <c r="B86" i="32"/>
  <c r="B86" i="33"/>
  <c r="O86" i="32"/>
  <c r="O86" i="33"/>
  <c r="B86" i="40"/>
  <c r="B82" i="7"/>
  <c r="B86" i="18"/>
  <c r="B86" i="37"/>
  <c r="O86" i="40"/>
  <c r="O86" i="35"/>
  <c r="B86" i="36"/>
  <c r="O86" i="36"/>
  <c r="O86" i="34"/>
  <c r="U83" i="36"/>
  <c r="V83" i="36"/>
  <c r="W83" i="36" s="1"/>
  <c r="Z81" i="17" s="1"/>
  <c r="V83" i="40"/>
  <c r="W83" i="40" s="1"/>
  <c r="AB81" i="17" s="1"/>
  <c r="U83" i="40"/>
  <c r="J83" i="40"/>
  <c r="K83" i="40" s="1"/>
  <c r="K81" i="17" s="1"/>
  <c r="I83" i="40"/>
  <c r="J86" i="36"/>
  <c r="K86" i="36" s="1"/>
  <c r="I84" i="17" s="1"/>
  <c r="I86" i="36"/>
  <c r="B87" i="18" l="1"/>
  <c r="B87" i="33"/>
  <c r="O87" i="34"/>
  <c r="O87" i="35"/>
  <c r="B87" i="34"/>
  <c r="O87" i="31"/>
  <c r="O87" i="40"/>
  <c r="B83" i="7"/>
  <c r="O87" i="33"/>
  <c r="B87" i="35"/>
  <c r="O87" i="32"/>
  <c r="O87" i="18"/>
  <c r="B87" i="36"/>
  <c r="B87" i="31"/>
  <c r="B87" i="32"/>
  <c r="O87" i="36"/>
  <c r="O87" i="37"/>
  <c r="B87" i="40"/>
  <c r="B87" i="37"/>
  <c r="V84" i="40"/>
  <c r="W84" i="40" s="1"/>
  <c r="AB82" i="17" s="1"/>
  <c r="U84" i="40"/>
  <c r="U84" i="36"/>
  <c r="V84" i="36"/>
  <c r="W84" i="36" s="1"/>
  <c r="Z82" i="17" s="1"/>
  <c r="I84" i="40"/>
  <c r="J84" i="40"/>
  <c r="K84" i="40" s="1"/>
  <c r="K82" i="17" s="1"/>
  <c r="I87" i="36"/>
  <c r="J87" i="36"/>
  <c r="K87" i="36" s="1"/>
  <c r="I85" i="17" s="1"/>
  <c r="O88" i="36" l="1"/>
  <c r="O88" i="34"/>
  <c r="B88" i="35"/>
  <c r="O88" i="18"/>
  <c r="O88" i="33"/>
  <c r="O88" i="31"/>
  <c r="O88" i="37"/>
  <c r="B88" i="40"/>
  <c r="B88" i="33"/>
  <c r="B88" i="36"/>
  <c r="B88" i="18"/>
  <c r="B88" i="32"/>
  <c r="O88" i="35"/>
  <c r="B88" i="31"/>
  <c r="B84" i="7"/>
  <c r="O88" i="40"/>
  <c r="O88" i="32"/>
  <c r="B88" i="34"/>
  <c r="B88" i="37"/>
  <c r="V85" i="36"/>
  <c r="W85" i="36" s="1"/>
  <c r="Z83" i="17" s="1"/>
  <c r="U85" i="36"/>
  <c r="I85" i="40"/>
  <c r="J85" i="40"/>
  <c r="K85" i="40" s="1"/>
  <c r="K83" i="17" s="1"/>
  <c r="U85" i="40"/>
  <c r="V85" i="40"/>
  <c r="W85" i="40" s="1"/>
  <c r="AB83" i="17" s="1"/>
  <c r="I88" i="36"/>
  <c r="J88" i="36"/>
  <c r="K88" i="36" s="1"/>
  <c r="I86" i="17" s="1"/>
  <c r="B89" i="40" l="1"/>
  <c r="B89" i="36"/>
  <c r="O89" i="33"/>
  <c r="O89" i="31"/>
  <c r="B89" i="32"/>
  <c r="O89" i="36"/>
  <c r="O89" i="40"/>
  <c r="B89" i="37"/>
  <c r="B85" i="7"/>
  <c r="B89" i="33"/>
  <c r="O89" i="32"/>
  <c r="B89" i="34"/>
  <c r="O89" i="34"/>
  <c r="B89" i="35"/>
  <c r="O89" i="35"/>
  <c r="O89" i="18"/>
  <c r="B89" i="31"/>
  <c r="O89" i="37"/>
  <c r="B89" i="18"/>
  <c r="U86" i="40"/>
  <c r="V86" i="40"/>
  <c r="W86" i="40" s="1"/>
  <c r="AB84" i="17" s="1"/>
  <c r="I86" i="40"/>
  <c r="J86" i="40"/>
  <c r="K86" i="40" s="1"/>
  <c r="K84" i="17" s="1"/>
  <c r="U86" i="36"/>
  <c r="V86" i="36"/>
  <c r="W86" i="36" s="1"/>
  <c r="Z84" i="17" s="1"/>
  <c r="I89" i="36"/>
  <c r="J89" i="36"/>
  <c r="K89" i="36" s="1"/>
  <c r="I87" i="17" s="1"/>
  <c r="O90" i="37" l="1"/>
  <c r="O90" i="32"/>
  <c r="O90" i="35"/>
  <c r="O90" i="36"/>
  <c r="B90" i="18"/>
  <c r="O90" i="34"/>
  <c r="B90" i="34"/>
  <c r="B90" i="37"/>
  <c r="O90" i="31"/>
  <c r="O90" i="40"/>
  <c r="B90" i="36"/>
  <c r="B90" i="32"/>
  <c r="B90" i="33"/>
  <c r="O90" i="33"/>
  <c r="B90" i="40"/>
  <c r="B86" i="7"/>
  <c r="B90" i="35"/>
  <c r="B90" i="31"/>
  <c r="O90" i="18"/>
  <c r="U87" i="36"/>
  <c r="V87" i="36"/>
  <c r="W87" i="36" s="1"/>
  <c r="Z85" i="17" s="1"/>
  <c r="J87" i="40"/>
  <c r="K87" i="40" s="1"/>
  <c r="K85" i="17" s="1"/>
  <c r="I87" i="40"/>
  <c r="U87" i="40"/>
  <c r="V87" i="40"/>
  <c r="W87" i="40" s="1"/>
  <c r="AB85" i="17" s="1"/>
  <c r="I90" i="36"/>
  <c r="J90" i="36"/>
  <c r="K90" i="36" s="1"/>
  <c r="I88" i="17" s="1"/>
  <c r="B91" i="40" l="1"/>
  <c r="O91" i="32"/>
  <c r="O91" i="18"/>
  <c r="B91" i="18"/>
  <c r="B91" i="34"/>
  <c r="B91" i="35"/>
  <c r="B87" i="7"/>
  <c r="O91" i="36"/>
  <c r="B91" i="33"/>
  <c r="B91" i="31"/>
  <c r="O91" i="34"/>
  <c r="O91" i="31"/>
  <c r="B91" i="32"/>
  <c r="B91" i="36"/>
  <c r="O91" i="33"/>
  <c r="O91" i="40"/>
  <c r="O91" i="35"/>
  <c r="O91" i="37"/>
  <c r="B91" i="37"/>
  <c r="U88" i="36"/>
  <c r="V88" i="36"/>
  <c r="W88" i="36" s="1"/>
  <c r="Z86" i="17" s="1"/>
  <c r="U88" i="40"/>
  <c r="V88" i="40"/>
  <c r="W88" i="40" s="1"/>
  <c r="AB86" i="17" s="1"/>
  <c r="J88" i="40"/>
  <c r="K88" i="40" s="1"/>
  <c r="K86" i="17" s="1"/>
  <c r="I88" i="40"/>
  <c r="J91" i="36"/>
  <c r="K91" i="36" s="1"/>
  <c r="I89" i="17" s="1"/>
  <c r="I91" i="36"/>
  <c r="B88" i="7" l="1"/>
  <c r="O92" i="32"/>
  <c r="B92" i="33"/>
  <c r="B92" i="34"/>
  <c r="B92" i="35"/>
  <c r="B92" i="31"/>
  <c r="B92" i="32"/>
  <c r="O92" i="36"/>
  <c r="O92" i="37"/>
  <c r="O92" i="34"/>
  <c r="O92" i="33"/>
  <c r="B92" i="37"/>
  <c r="O92" i="18"/>
  <c r="B92" i="36"/>
  <c r="O92" i="40"/>
  <c r="B92" i="18"/>
  <c r="O92" i="31"/>
  <c r="O92" i="35"/>
  <c r="B92" i="40"/>
  <c r="V89" i="36"/>
  <c r="W89" i="36" s="1"/>
  <c r="Z87" i="17" s="1"/>
  <c r="U89" i="36"/>
  <c r="V89" i="40"/>
  <c r="W89" i="40" s="1"/>
  <c r="AB87" i="17" s="1"/>
  <c r="U89" i="40"/>
  <c r="J89" i="40"/>
  <c r="K89" i="40" s="1"/>
  <c r="K87" i="17" s="1"/>
  <c r="I89" i="40"/>
  <c r="J92" i="36"/>
  <c r="K92" i="36" s="1"/>
  <c r="I90" i="17" s="1"/>
  <c r="I92" i="36"/>
  <c r="O93" i="18" l="1"/>
  <c r="B93" i="32"/>
  <c r="B93" i="31"/>
  <c r="O93" i="32"/>
  <c r="B89" i="7"/>
  <c r="O93" i="35"/>
  <c r="B93" i="36"/>
  <c r="B93" i="18"/>
  <c r="B93" i="37"/>
  <c r="B93" i="33"/>
  <c r="O93" i="40"/>
  <c r="B93" i="40"/>
  <c r="B93" i="34"/>
  <c r="O93" i="33"/>
  <c r="B93" i="35"/>
  <c r="O93" i="37"/>
  <c r="O93" i="31"/>
  <c r="O93" i="34"/>
  <c r="O93" i="36"/>
  <c r="J90" i="40"/>
  <c r="K90" i="40" s="1"/>
  <c r="K88" i="17" s="1"/>
  <c r="I90" i="40"/>
  <c r="U90" i="40"/>
  <c r="V90" i="40"/>
  <c r="W90" i="40" s="1"/>
  <c r="AB88" i="17" s="1"/>
  <c r="V90" i="36"/>
  <c r="W90" i="36" s="1"/>
  <c r="Z88" i="17" s="1"/>
  <c r="U90" i="36"/>
  <c r="J93" i="36"/>
  <c r="K93" i="36" s="1"/>
  <c r="I91" i="17" s="1"/>
  <c r="I93" i="36"/>
  <c r="B94" i="36" l="1"/>
  <c r="O94" i="36"/>
  <c r="O94" i="35"/>
  <c r="O94" i="40"/>
  <c r="B90" i="7"/>
  <c r="O94" i="31"/>
  <c r="B94" i="40"/>
  <c r="B94" i="18"/>
  <c r="B94" i="34"/>
  <c r="B94" i="33"/>
  <c r="B94" i="35"/>
  <c r="O94" i="37"/>
  <c r="O94" i="32"/>
  <c r="B94" i="37"/>
  <c r="B94" i="31"/>
  <c r="B94" i="32"/>
  <c r="O94" i="18"/>
  <c r="O94" i="34"/>
  <c r="O94" i="33"/>
  <c r="U91" i="40"/>
  <c r="V91" i="40"/>
  <c r="W91" i="40" s="1"/>
  <c r="AB89" i="17" s="1"/>
  <c r="U91" i="36"/>
  <c r="V91" i="36"/>
  <c r="W91" i="36" s="1"/>
  <c r="Z89" i="17" s="1"/>
  <c r="J91" i="40"/>
  <c r="K91" i="40" s="1"/>
  <c r="K89" i="17" s="1"/>
  <c r="I91" i="40"/>
  <c r="J94" i="36"/>
  <c r="K94" i="36" s="1"/>
  <c r="I92" i="17" s="1"/>
  <c r="I94" i="36"/>
  <c r="O95" i="40" l="1"/>
  <c r="B95" i="37"/>
  <c r="B95" i="31"/>
  <c r="O95" i="35"/>
  <c r="B95" i="33"/>
  <c r="O95" i="32"/>
  <c r="B91" i="7"/>
  <c r="O95" i="34"/>
  <c r="B95" i="32"/>
  <c r="B95" i="18"/>
  <c r="O95" i="36"/>
  <c r="O95" i="33"/>
  <c r="O95" i="31"/>
  <c r="O95" i="18"/>
  <c r="B95" i="35"/>
  <c r="B95" i="36"/>
  <c r="B95" i="40"/>
  <c r="B95" i="34"/>
  <c r="O95" i="37"/>
  <c r="U92" i="40"/>
  <c r="V92" i="40"/>
  <c r="W92" i="40" s="1"/>
  <c r="AB90" i="17" s="1"/>
  <c r="U92" i="36"/>
  <c r="V92" i="36"/>
  <c r="W92" i="36" s="1"/>
  <c r="Z90" i="17" s="1"/>
  <c r="J92" i="40"/>
  <c r="K92" i="40" s="1"/>
  <c r="K90" i="17" s="1"/>
  <c r="I92" i="40"/>
  <c r="I95" i="36"/>
  <c r="J95" i="36"/>
  <c r="K95" i="36" s="1"/>
  <c r="I93" i="17" s="1"/>
  <c r="B92" i="7" l="1"/>
  <c r="B96" i="35"/>
  <c r="B96" i="37"/>
  <c r="O96" i="36"/>
  <c r="O96" i="40"/>
  <c r="B96" i="40"/>
  <c r="B96" i="31"/>
  <c r="O96" i="31"/>
  <c r="B96" i="36"/>
  <c r="O96" i="32"/>
  <c r="O96" i="35"/>
  <c r="O96" i="18"/>
  <c r="O96" i="34"/>
  <c r="B96" i="34"/>
  <c r="B96" i="33"/>
  <c r="O96" i="37"/>
  <c r="B96" i="32"/>
  <c r="O96" i="33"/>
  <c r="B96" i="18"/>
  <c r="J93" i="40"/>
  <c r="K93" i="40" s="1"/>
  <c r="K91" i="17" s="1"/>
  <c r="I93" i="40"/>
  <c r="U93" i="36"/>
  <c r="V93" i="36"/>
  <c r="W93" i="36" s="1"/>
  <c r="Z91" i="17" s="1"/>
  <c r="U93" i="40"/>
  <c r="V93" i="40"/>
  <c r="W93" i="40" s="1"/>
  <c r="AB91" i="17" s="1"/>
  <c r="J96" i="36"/>
  <c r="K96" i="36" s="1"/>
  <c r="I94" i="17" s="1"/>
  <c r="I96" i="36"/>
  <c r="B97" i="32" l="1"/>
  <c r="O97" i="31"/>
  <c r="O97" i="18"/>
  <c r="B97" i="37"/>
  <c r="B97" i="18"/>
  <c r="O97" i="34"/>
  <c r="O97" i="40"/>
  <c r="O97" i="33"/>
  <c r="O97" i="35"/>
  <c r="O97" i="37"/>
  <c r="B93" i="7"/>
  <c r="B97" i="33"/>
  <c r="B97" i="34"/>
  <c r="B97" i="40"/>
  <c r="O97" i="36"/>
  <c r="B97" i="31"/>
  <c r="O97" i="32"/>
  <c r="B97" i="35"/>
  <c r="B97" i="36"/>
  <c r="J94" i="40"/>
  <c r="K94" i="40" s="1"/>
  <c r="K92" i="17" s="1"/>
  <c r="I94" i="40"/>
  <c r="U94" i="40"/>
  <c r="V94" i="40"/>
  <c r="W94" i="40" s="1"/>
  <c r="AB92" i="17" s="1"/>
  <c r="U94" i="36"/>
  <c r="V94" i="36"/>
  <c r="W94" i="36" s="1"/>
  <c r="Z92" i="17" s="1"/>
  <c r="I97" i="36"/>
  <c r="J97" i="36"/>
  <c r="K97" i="36" s="1"/>
  <c r="I95" i="17" s="1"/>
  <c r="B98" i="18" l="1"/>
  <c r="B98" i="40"/>
  <c r="O98" i="31"/>
  <c r="B98" i="33"/>
  <c r="B98" i="35"/>
  <c r="B98" i="34"/>
  <c r="B94" i="7"/>
  <c r="O98" i="40"/>
  <c r="O98" i="18"/>
  <c r="O98" i="37"/>
  <c r="B98" i="31"/>
  <c r="O98" i="35"/>
  <c r="O98" i="34"/>
  <c r="B98" i="32"/>
  <c r="B98" i="36"/>
  <c r="O98" i="33"/>
  <c r="O98" i="36"/>
  <c r="B98" i="37"/>
  <c r="O98" i="32"/>
  <c r="V95" i="36"/>
  <c r="W95" i="36" s="1"/>
  <c r="Z93" i="17" s="1"/>
  <c r="U95" i="36"/>
  <c r="J95" i="40"/>
  <c r="K95" i="40" s="1"/>
  <c r="K93" i="17" s="1"/>
  <c r="I95" i="40"/>
  <c r="V95" i="40"/>
  <c r="W95" i="40" s="1"/>
  <c r="AB93" i="17" s="1"/>
  <c r="U95" i="40"/>
  <c r="I98" i="36"/>
  <c r="J98" i="36"/>
  <c r="K98" i="36" s="1"/>
  <c r="I96" i="17" s="1"/>
  <c r="B99" i="33" l="1"/>
  <c r="B99" i="18"/>
  <c r="O99" i="31"/>
  <c r="O99" i="18"/>
  <c r="B99" i="32"/>
  <c r="B99" i="40"/>
  <c r="B99" i="31"/>
  <c r="B99" i="37"/>
  <c r="O99" i="36"/>
  <c r="B99" i="36"/>
  <c r="O99" i="40"/>
  <c r="O99" i="33"/>
  <c r="O99" i="34"/>
  <c r="O99" i="32"/>
  <c r="B99" i="35"/>
  <c r="O99" i="35"/>
  <c r="B99" i="34"/>
  <c r="O99" i="37"/>
  <c r="V96" i="40"/>
  <c r="W96" i="40" s="1"/>
  <c r="AB94" i="17" s="1"/>
  <c r="U96" i="40"/>
  <c r="U96" i="36"/>
  <c r="V96" i="36"/>
  <c r="W96" i="36" s="1"/>
  <c r="Z94" i="17" s="1"/>
  <c r="I96" i="40"/>
  <c r="J96" i="40"/>
  <c r="K96" i="40" s="1"/>
  <c r="K94" i="17" s="1"/>
  <c r="I99" i="36"/>
  <c r="J99" i="36"/>
  <c r="K99" i="36" s="1"/>
  <c r="I97" i="17" s="1"/>
  <c r="J97" i="40" l="1"/>
  <c r="K97" i="40" s="1"/>
  <c r="K95" i="17" s="1"/>
  <c r="I97" i="40"/>
  <c r="U97" i="40"/>
  <c r="V97" i="40"/>
  <c r="W97" i="40" s="1"/>
  <c r="AB95" i="17" s="1"/>
  <c r="U97" i="36"/>
  <c r="V97" i="36"/>
  <c r="W97" i="36" s="1"/>
  <c r="Z95" i="17" s="1"/>
  <c r="V98" i="40" l="1"/>
  <c r="W98" i="40" s="1"/>
  <c r="AB96" i="17" s="1"/>
  <c r="U98" i="40"/>
  <c r="U98" i="36"/>
  <c r="V98" i="36"/>
  <c r="W98" i="36" s="1"/>
  <c r="Z96" i="17" s="1"/>
  <c r="J98" i="40"/>
  <c r="K98" i="40" s="1"/>
  <c r="K96" i="17" s="1"/>
  <c r="I98" i="40"/>
  <c r="J99" i="40" l="1"/>
  <c r="K99" i="40" s="1"/>
  <c r="K97" i="17" s="1"/>
  <c r="I99" i="40"/>
  <c r="U99" i="40"/>
  <c r="V99" i="40"/>
  <c r="W99" i="40" s="1"/>
  <c r="AB97" i="17" s="1"/>
  <c r="U99" i="36"/>
  <c r="V99" i="36"/>
  <c r="W99" i="36" s="1"/>
  <c r="Z97" i="17" s="1"/>
  <c r="F30" i="7" l="1"/>
  <c r="L30" i="7"/>
  <c r="G30" i="7"/>
  <c r="I30" i="7"/>
  <c r="E30" i="7"/>
  <c r="O30" i="7"/>
  <c r="D30" i="7"/>
  <c r="C30" i="7"/>
  <c r="J30" i="7"/>
  <c r="H30" i="7"/>
  <c r="K30" i="7"/>
  <c r="M30" i="7"/>
  <c r="G28" i="7"/>
  <c r="K28" i="7"/>
  <c r="E28" i="7"/>
  <c r="O28" i="7"/>
  <c r="F28" i="7"/>
  <c r="D28" i="7"/>
  <c r="I28" i="7"/>
  <c r="L28" i="7"/>
  <c r="H28" i="7"/>
  <c r="C28" i="7"/>
  <c r="J28" i="7"/>
  <c r="M28" i="7"/>
  <c r="E26" i="7"/>
  <c r="L26" i="7"/>
  <c r="G26" i="7"/>
  <c r="F26" i="7"/>
  <c r="H26" i="7"/>
  <c r="D26" i="7"/>
  <c r="O26" i="7"/>
  <c r="I26" i="7"/>
  <c r="C26" i="7"/>
  <c r="J26" i="7"/>
  <c r="K26" i="7"/>
  <c r="M26" i="7"/>
  <c r="I25" i="7"/>
  <c r="F25" i="7"/>
  <c r="M25" i="7"/>
  <c r="G25" i="7"/>
  <c r="H25" i="7"/>
  <c r="O25" i="7"/>
  <c r="J25" i="7"/>
  <c r="L25" i="7"/>
  <c r="C25" i="7"/>
  <c r="E25" i="7"/>
  <c r="K25" i="7"/>
  <c r="D25" i="7"/>
  <c r="C31" i="7"/>
  <c r="F31" i="7"/>
  <c r="E31" i="7"/>
  <c r="G31" i="7"/>
  <c r="K31" i="7"/>
  <c r="J31" i="7"/>
  <c r="H31" i="7"/>
  <c r="D31" i="7"/>
  <c r="O31" i="7"/>
  <c r="I31" i="7"/>
  <c r="L31" i="7"/>
  <c r="M31" i="7"/>
  <c r="D32" i="7"/>
  <c r="L32" i="7"/>
  <c r="E32" i="7"/>
  <c r="I32" i="7"/>
  <c r="G32" i="7"/>
  <c r="H32" i="7"/>
  <c r="J32" i="7"/>
  <c r="C32" i="7"/>
  <c r="F32" i="7"/>
  <c r="O32" i="7"/>
  <c r="K32" i="7"/>
  <c r="M32" i="7"/>
  <c r="F27" i="7"/>
  <c r="I27" i="7"/>
  <c r="L27" i="7"/>
  <c r="G27" i="7"/>
  <c r="J27" i="7"/>
  <c r="D27" i="7"/>
  <c r="H27" i="7"/>
  <c r="C27" i="7"/>
  <c r="K27" i="7"/>
  <c r="O27" i="7"/>
  <c r="E27" i="7"/>
  <c r="M27" i="7"/>
  <c r="P37" i="18" l="1"/>
  <c r="R37" i="18" s="1"/>
  <c r="C37" i="18"/>
  <c r="F37" i="18" s="1"/>
  <c r="P30" i="35"/>
  <c r="R30" i="35" s="1"/>
  <c r="C31" i="31"/>
  <c r="F31" i="31" s="1"/>
  <c r="P31" i="31"/>
  <c r="R31" i="31" s="1"/>
  <c r="C31" i="35"/>
  <c r="F31" i="35" s="1"/>
  <c r="D24" i="38"/>
  <c r="C33" i="18"/>
  <c r="F33" i="18" s="1"/>
  <c r="P33" i="18"/>
  <c r="R33" i="18" s="1"/>
  <c r="P35" i="37"/>
  <c r="R35" i="37" s="1"/>
  <c r="C35" i="37"/>
  <c r="F35" i="37" s="1"/>
  <c r="P32" i="35"/>
  <c r="R32" i="35" s="1"/>
  <c r="C30" i="18"/>
  <c r="F30" i="18" s="1"/>
  <c r="P30" i="18"/>
  <c r="R30" i="18" s="1"/>
  <c r="C33" i="33"/>
  <c r="F33" i="33" s="1"/>
  <c r="P33" i="33"/>
  <c r="R33" i="33" s="1"/>
  <c r="P33" i="34"/>
  <c r="R33" i="34" s="1"/>
  <c r="E26" i="38"/>
  <c r="P35" i="35"/>
  <c r="R35" i="35" s="1"/>
  <c r="C32" i="37"/>
  <c r="F32" i="37" s="1"/>
  <c r="P32" i="37"/>
  <c r="R32" i="37" s="1"/>
  <c r="P37" i="33"/>
  <c r="R37" i="33" s="1"/>
  <c r="C37" i="33"/>
  <c r="F37" i="33" s="1"/>
  <c r="P36" i="34"/>
  <c r="R36" i="34" s="1"/>
  <c r="E29" i="38"/>
  <c r="C31" i="32"/>
  <c r="F31" i="32" s="1"/>
  <c r="C31" i="34"/>
  <c r="F31" i="34" s="1"/>
  <c r="P31" i="32"/>
  <c r="R31" i="32" s="1"/>
  <c r="C24" i="38"/>
  <c r="L33" i="7"/>
  <c r="C33" i="7"/>
  <c r="F33" i="7"/>
  <c r="G33" i="7"/>
  <c r="I33" i="7"/>
  <c r="J33" i="7"/>
  <c r="D33" i="7"/>
  <c r="H33" i="7"/>
  <c r="E33" i="7"/>
  <c r="K33" i="7"/>
  <c r="O33" i="7"/>
  <c r="M33" i="7"/>
  <c r="C30" i="34"/>
  <c r="F30" i="34" s="1"/>
  <c r="P30" i="32"/>
  <c r="R30" i="32" s="1"/>
  <c r="C30" i="32"/>
  <c r="F30" i="32" s="1"/>
  <c r="C23" i="38"/>
  <c r="P31" i="33"/>
  <c r="R31" i="33" s="1"/>
  <c r="C31" i="33"/>
  <c r="F31" i="33" s="1"/>
  <c r="C32" i="32"/>
  <c r="F32" i="32" s="1"/>
  <c r="C32" i="34"/>
  <c r="F32" i="34" s="1"/>
  <c r="P32" i="32"/>
  <c r="R32" i="32" s="1"/>
  <c r="C25" i="38"/>
  <c r="P37" i="34"/>
  <c r="R37" i="34" s="1"/>
  <c r="E30" i="38"/>
  <c r="P36" i="35"/>
  <c r="R36" i="35" s="1"/>
  <c r="P31" i="34"/>
  <c r="R31" i="34" s="1"/>
  <c r="E24" i="38"/>
  <c r="P35" i="34"/>
  <c r="R35" i="34" s="1"/>
  <c r="E28" i="38"/>
  <c r="P32" i="18"/>
  <c r="R32" i="18" s="1"/>
  <c r="C32" i="18"/>
  <c r="F32" i="18" s="1"/>
  <c r="C30" i="37"/>
  <c r="F30" i="37" s="1"/>
  <c r="P30" i="37"/>
  <c r="R30" i="37" s="1"/>
  <c r="C33" i="35"/>
  <c r="F33" i="35" s="1"/>
  <c r="P33" i="31"/>
  <c r="R33" i="31" s="1"/>
  <c r="C33" i="31"/>
  <c r="F33" i="31" s="1"/>
  <c r="D26" i="38"/>
  <c r="P31" i="18"/>
  <c r="R31" i="18" s="1"/>
  <c r="C31" i="18"/>
  <c r="F31" i="18" s="1"/>
  <c r="P32" i="31"/>
  <c r="R32" i="31" s="1"/>
  <c r="C32" i="35"/>
  <c r="F32" i="35" s="1"/>
  <c r="C32" i="31"/>
  <c r="F32" i="31" s="1"/>
  <c r="D25" i="38"/>
  <c r="C37" i="37"/>
  <c r="F37" i="37" s="1"/>
  <c r="P37" i="37"/>
  <c r="R37" i="37" s="1"/>
  <c r="P36" i="31"/>
  <c r="R36" i="31" s="1"/>
  <c r="C36" i="35"/>
  <c r="F36" i="35" s="1"/>
  <c r="C36" i="31"/>
  <c r="F36" i="31" s="1"/>
  <c r="D29" i="38"/>
  <c r="C30" i="35"/>
  <c r="F30" i="35" s="1"/>
  <c r="C30" i="31"/>
  <c r="F30" i="31" s="1"/>
  <c r="P30" i="31"/>
  <c r="R30" i="31" s="1"/>
  <c r="D23" i="38"/>
  <c r="P30" i="34"/>
  <c r="R30" i="34" s="1"/>
  <c r="E23" i="38"/>
  <c r="P33" i="37"/>
  <c r="R33" i="37" s="1"/>
  <c r="C33" i="37"/>
  <c r="F33" i="37" s="1"/>
  <c r="P35" i="18"/>
  <c r="R35" i="18" s="1"/>
  <c r="C35" i="18"/>
  <c r="F35" i="18" s="1"/>
  <c r="F29" i="7"/>
  <c r="C29" i="7"/>
  <c r="I29" i="7"/>
  <c r="J29" i="7"/>
  <c r="K29" i="7"/>
  <c r="H29" i="7"/>
  <c r="L29" i="7"/>
  <c r="G29" i="7"/>
  <c r="E29" i="7"/>
  <c r="O29" i="7"/>
  <c r="D29" i="7"/>
  <c r="M29" i="7"/>
  <c r="P32" i="34"/>
  <c r="R32" i="34" s="1"/>
  <c r="E25" i="38"/>
  <c r="P36" i="32"/>
  <c r="R36" i="32" s="1"/>
  <c r="C36" i="34"/>
  <c r="F36" i="34" s="1"/>
  <c r="C36" i="32"/>
  <c r="F36" i="32" s="1"/>
  <c r="C29" i="38"/>
  <c r="P35" i="33"/>
  <c r="R35" i="33" s="1"/>
  <c r="C35" i="33"/>
  <c r="F35" i="33" s="1"/>
  <c r="C32" i="33"/>
  <c r="F32" i="33" s="1"/>
  <c r="P32" i="33"/>
  <c r="R32" i="33" s="1"/>
  <c r="P37" i="35"/>
  <c r="R37" i="35" s="1"/>
  <c r="P36" i="37"/>
  <c r="R36" i="37" s="1"/>
  <c r="C36" i="37"/>
  <c r="F36" i="37" s="1"/>
  <c r="P36" i="18"/>
  <c r="R36" i="18" s="1"/>
  <c r="C36" i="18"/>
  <c r="F36" i="18" s="1"/>
  <c r="P30" i="33"/>
  <c r="R30" i="33" s="1"/>
  <c r="C30" i="33"/>
  <c r="F30" i="33" s="1"/>
  <c r="P31" i="35"/>
  <c r="R31" i="35" s="1"/>
  <c r="P33" i="32"/>
  <c r="R33" i="32" s="1"/>
  <c r="C33" i="32"/>
  <c r="F33" i="32" s="1"/>
  <c r="C33" i="34"/>
  <c r="F33" i="34" s="1"/>
  <c r="C26" i="38"/>
  <c r="P35" i="32"/>
  <c r="R35" i="32" s="1"/>
  <c r="C35" i="32"/>
  <c r="F35" i="32" s="1"/>
  <c r="C35" i="34"/>
  <c r="F35" i="34" s="1"/>
  <c r="C28" i="38"/>
  <c r="P37" i="32"/>
  <c r="R37" i="32" s="1"/>
  <c r="C37" i="34"/>
  <c r="F37" i="34" s="1"/>
  <c r="C37" i="32"/>
  <c r="F37" i="32" s="1"/>
  <c r="C30" i="38"/>
  <c r="C37" i="35"/>
  <c r="F37" i="35" s="1"/>
  <c r="C37" i="31"/>
  <c r="F37" i="31" s="1"/>
  <c r="P37" i="31"/>
  <c r="R37" i="31" s="1"/>
  <c r="D30" i="38"/>
  <c r="C36" i="33"/>
  <c r="F36" i="33" s="1"/>
  <c r="P36" i="33"/>
  <c r="R36" i="33" s="1"/>
  <c r="C31" i="37"/>
  <c r="F31" i="37" s="1"/>
  <c r="P31" i="37"/>
  <c r="R31" i="37" s="1"/>
  <c r="P33" i="35"/>
  <c r="R33" i="35" s="1"/>
  <c r="P35" i="31"/>
  <c r="R35" i="31" s="1"/>
  <c r="C35" i="31"/>
  <c r="F35" i="31" s="1"/>
  <c r="C35" i="35"/>
  <c r="F35" i="35" s="1"/>
  <c r="D28" i="38"/>
  <c r="H36" i="33" l="1"/>
  <c r="G36" i="33"/>
  <c r="S36" i="18"/>
  <c r="T36" i="18"/>
  <c r="C34" i="33"/>
  <c r="F34" i="33" s="1"/>
  <c r="P34" i="33"/>
  <c r="R34" i="33" s="1"/>
  <c r="H30" i="31"/>
  <c r="G30" i="31"/>
  <c r="G32" i="18"/>
  <c r="H32" i="18"/>
  <c r="T31" i="33"/>
  <c r="S31" i="33"/>
  <c r="P38" i="35"/>
  <c r="R38" i="35" s="1"/>
  <c r="S33" i="34"/>
  <c r="T33" i="34"/>
  <c r="G31" i="35"/>
  <c r="H31" i="35"/>
  <c r="S32" i="34"/>
  <c r="T32" i="34"/>
  <c r="G30" i="35"/>
  <c r="H30" i="35"/>
  <c r="T32" i="18"/>
  <c r="S32" i="18"/>
  <c r="P38" i="33"/>
  <c r="R38" i="33" s="1"/>
  <c r="C38" i="33"/>
  <c r="F38" i="33" s="1"/>
  <c r="H35" i="37"/>
  <c r="G35" i="37"/>
  <c r="S33" i="35"/>
  <c r="T33" i="35"/>
  <c r="T37" i="31"/>
  <c r="S37" i="31"/>
  <c r="H35" i="34"/>
  <c r="G35" i="34"/>
  <c r="T31" i="35"/>
  <c r="S31" i="35"/>
  <c r="G36" i="37"/>
  <c r="H36" i="37"/>
  <c r="G33" i="37"/>
  <c r="H33" i="37"/>
  <c r="G32" i="31"/>
  <c r="H32" i="31"/>
  <c r="S33" i="31"/>
  <c r="T33" i="31"/>
  <c r="G30" i="32"/>
  <c r="H30" i="32"/>
  <c r="C38" i="35"/>
  <c r="F38" i="35" s="1"/>
  <c r="P38" i="31"/>
  <c r="R38" i="31" s="1"/>
  <c r="C38" i="31"/>
  <c r="F38" i="31" s="1"/>
  <c r="D31" i="38"/>
  <c r="S31" i="32"/>
  <c r="T31" i="32"/>
  <c r="T33" i="33"/>
  <c r="S33" i="33"/>
  <c r="T35" i="37"/>
  <c r="S35" i="37"/>
  <c r="H31" i="31"/>
  <c r="G31" i="31"/>
  <c r="S35" i="31"/>
  <c r="T35" i="31"/>
  <c r="T37" i="32"/>
  <c r="S37" i="32"/>
  <c r="T33" i="32"/>
  <c r="S33" i="32"/>
  <c r="G32" i="33"/>
  <c r="H32" i="33"/>
  <c r="S35" i="18"/>
  <c r="T35" i="18"/>
  <c r="H37" i="37"/>
  <c r="G37" i="37"/>
  <c r="G37" i="33"/>
  <c r="H37" i="33"/>
  <c r="S32" i="35"/>
  <c r="T32" i="35"/>
  <c r="H35" i="33"/>
  <c r="G35" i="33"/>
  <c r="G33" i="31"/>
  <c r="H33" i="31"/>
  <c r="S37" i="34"/>
  <c r="T37" i="34"/>
  <c r="S37" i="33"/>
  <c r="T37" i="33"/>
  <c r="T31" i="31"/>
  <c r="S31" i="31"/>
  <c r="F14" i="7"/>
  <c r="O14" i="7"/>
  <c r="E14" i="7"/>
  <c r="G14" i="7"/>
  <c r="C14" i="7"/>
  <c r="L14" i="7"/>
  <c r="J14" i="7"/>
  <c r="D14" i="7"/>
  <c r="K14" i="7"/>
  <c r="I14" i="7"/>
  <c r="H14" i="7"/>
  <c r="M14" i="7"/>
  <c r="G37" i="31"/>
  <c r="H37" i="31"/>
  <c r="G35" i="32"/>
  <c r="H35" i="32"/>
  <c r="T36" i="37"/>
  <c r="S36" i="37"/>
  <c r="S35" i="33"/>
  <c r="T35" i="33"/>
  <c r="C34" i="35"/>
  <c r="F34" i="35" s="1"/>
  <c r="P34" i="31"/>
  <c r="R34" i="31" s="1"/>
  <c r="C34" i="31"/>
  <c r="F34" i="31" s="1"/>
  <c r="D27" i="38"/>
  <c r="T33" i="37"/>
  <c r="S33" i="37"/>
  <c r="G36" i="31"/>
  <c r="H36" i="31"/>
  <c r="H32" i="35"/>
  <c r="G32" i="35"/>
  <c r="H33" i="35"/>
  <c r="G33" i="35"/>
  <c r="S35" i="34"/>
  <c r="T35" i="34"/>
  <c r="T32" i="32"/>
  <c r="S32" i="32"/>
  <c r="S30" i="32"/>
  <c r="T30" i="32"/>
  <c r="H31" i="34"/>
  <c r="G31" i="34"/>
  <c r="T32" i="37"/>
  <c r="S32" i="37"/>
  <c r="G33" i="33"/>
  <c r="H33" i="33"/>
  <c r="S31" i="37"/>
  <c r="T31" i="37"/>
  <c r="S35" i="32"/>
  <c r="T35" i="32"/>
  <c r="T32" i="31"/>
  <c r="S32" i="31"/>
  <c r="H32" i="34"/>
  <c r="G32" i="34"/>
  <c r="G32" i="37"/>
  <c r="H32" i="37"/>
  <c r="S37" i="35"/>
  <c r="T37" i="35"/>
  <c r="P34" i="35"/>
  <c r="R34" i="35" s="1"/>
  <c r="S30" i="34"/>
  <c r="T30" i="34"/>
  <c r="S36" i="31"/>
  <c r="T36" i="31"/>
  <c r="T30" i="37"/>
  <c r="S30" i="37"/>
  <c r="H32" i="32"/>
  <c r="G32" i="32"/>
  <c r="P38" i="34"/>
  <c r="R38" i="34" s="1"/>
  <c r="E31" i="38"/>
  <c r="G35" i="35"/>
  <c r="H35" i="35"/>
  <c r="G37" i="32"/>
  <c r="H37" i="32"/>
  <c r="G33" i="34"/>
  <c r="H33" i="34"/>
  <c r="T32" i="33"/>
  <c r="S32" i="33"/>
  <c r="G36" i="34"/>
  <c r="H36" i="34"/>
  <c r="P34" i="34"/>
  <c r="R34" i="34" s="1"/>
  <c r="E27" i="38"/>
  <c r="G31" i="18"/>
  <c r="H31" i="18"/>
  <c r="H30" i="37"/>
  <c r="G30" i="37"/>
  <c r="P38" i="37"/>
  <c r="R38" i="37" s="1"/>
  <c r="C38" i="37"/>
  <c r="F38" i="37" s="1"/>
  <c r="C38" i="34"/>
  <c r="F38" i="34" s="1"/>
  <c r="P38" i="32"/>
  <c r="R38" i="32" s="1"/>
  <c r="C38" i="32"/>
  <c r="F38" i="32" s="1"/>
  <c r="C31" i="38"/>
  <c r="T36" i="34"/>
  <c r="S36" i="34"/>
  <c r="S35" i="35"/>
  <c r="T35" i="35"/>
  <c r="G30" i="18"/>
  <c r="H30" i="18"/>
  <c r="G33" i="18"/>
  <c r="H33" i="18"/>
  <c r="H37" i="18"/>
  <c r="G37" i="18"/>
  <c r="G37" i="35"/>
  <c r="H37" i="35"/>
  <c r="H30" i="33"/>
  <c r="G30" i="33"/>
  <c r="P34" i="37"/>
  <c r="R34" i="37" s="1"/>
  <c r="C34" i="37"/>
  <c r="F34" i="37" s="1"/>
  <c r="C34" i="18"/>
  <c r="F34" i="18" s="1"/>
  <c r="P34" i="18"/>
  <c r="R34" i="18" s="1"/>
  <c r="H36" i="35"/>
  <c r="G36" i="35"/>
  <c r="G30" i="34"/>
  <c r="H30" i="34"/>
  <c r="H31" i="32"/>
  <c r="G31" i="32"/>
  <c r="S30" i="35"/>
  <c r="T30" i="35"/>
  <c r="G31" i="37"/>
  <c r="H31" i="37"/>
  <c r="S30" i="33"/>
  <c r="T30" i="33"/>
  <c r="G36" i="32"/>
  <c r="H36" i="32"/>
  <c r="P34" i="32"/>
  <c r="R34" i="32" s="1"/>
  <c r="C34" i="34"/>
  <c r="F34" i="34" s="1"/>
  <c r="C34" i="32"/>
  <c r="F34" i="32" s="1"/>
  <c r="C27" i="38"/>
  <c r="S31" i="34"/>
  <c r="T31" i="34"/>
  <c r="T30" i="18"/>
  <c r="S30" i="18"/>
  <c r="T33" i="18"/>
  <c r="S33" i="18"/>
  <c r="G35" i="31"/>
  <c r="H35" i="31"/>
  <c r="S36" i="33"/>
  <c r="T36" i="33"/>
  <c r="H37" i="34"/>
  <c r="G37" i="34"/>
  <c r="G33" i="32"/>
  <c r="H33" i="32"/>
  <c r="G36" i="18"/>
  <c r="H36" i="18"/>
  <c r="T36" i="32"/>
  <c r="S36" i="32"/>
  <c r="H35" i="18"/>
  <c r="G35" i="18"/>
  <c r="T30" i="31"/>
  <c r="S30" i="31"/>
  <c r="T37" i="37"/>
  <c r="S37" i="37"/>
  <c r="S31" i="18"/>
  <c r="T31" i="18"/>
  <c r="T36" i="35"/>
  <c r="S36" i="35"/>
  <c r="G31" i="33"/>
  <c r="H31" i="33"/>
  <c r="P38" i="18"/>
  <c r="R38" i="18" s="1"/>
  <c r="C38" i="18"/>
  <c r="F38" i="18" s="1"/>
  <c r="T37" i="18"/>
  <c r="S37" i="18"/>
  <c r="H34" i="32" l="1"/>
  <c r="G34" i="32"/>
  <c r="S34" i="18"/>
  <c r="T34" i="18"/>
  <c r="G38" i="37"/>
  <c r="H38" i="37"/>
  <c r="T34" i="34"/>
  <c r="S34" i="34"/>
  <c r="S34" i="35"/>
  <c r="T34" i="35"/>
  <c r="P19" i="37"/>
  <c r="R19" i="37" s="1"/>
  <c r="C19" i="37"/>
  <c r="F19" i="37" s="1"/>
  <c r="L18" i="7"/>
  <c r="O18" i="7"/>
  <c r="H18" i="7"/>
  <c r="J18" i="7"/>
  <c r="K18" i="7"/>
  <c r="I18" i="7"/>
  <c r="F18" i="7"/>
  <c r="G18" i="7"/>
  <c r="E18" i="7"/>
  <c r="C18" i="7"/>
  <c r="D18" i="7"/>
  <c r="M18" i="7"/>
  <c r="G34" i="18"/>
  <c r="H34" i="18"/>
  <c r="T38" i="37"/>
  <c r="S38" i="37"/>
  <c r="C19" i="34"/>
  <c r="F19" i="34" s="1"/>
  <c r="P19" i="32"/>
  <c r="R19" i="32" s="1"/>
  <c r="C19" i="32"/>
  <c r="F19" i="32" s="1"/>
  <c r="C12" i="38"/>
  <c r="F12" i="38" s="1"/>
  <c r="H38" i="18"/>
  <c r="G38" i="18"/>
  <c r="P19" i="31"/>
  <c r="R19" i="31" s="1"/>
  <c r="C19" i="35"/>
  <c r="F19" i="35" s="1"/>
  <c r="C19" i="31"/>
  <c r="F19" i="31" s="1"/>
  <c r="D12" i="38"/>
  <c r="G12" i="38" s="1"/>
  <c r="T38" i="35"/>
  <c r="S38" i="35"/>
  <c r="S34" i="33"/>
  <c r="T34" i="33"/>
  <c r="H34" i="33"/>
  <c r="G34" i="33"/>
  <c r="J17" i="7"/>
  <c r="H17" i="7"/>
  <c r="K17" i="7"/>
  <c r="D17" i="7"/>
  <c r="C17" i="7"/>
  <c r="L17" i="7"/>
  <c r="F17" i="7"/>
  <c r="E17" i="7"/>
  <c r="I17" i="7"/>
  <c r="O17" i="7"/>
  <c r="G17" i="7"/>
  <c r="M17" i="7"/>
  <c r="J15" i="7"/>
  <c r="I15" i="7"/>
  <c r="L15" i="7"/>
  <c r="E15" i="7"/>
  <c r="H15" i="7"/>
  <c r="O15" i="7"/>
  <c r="G15" i="7"/>
  <c r="K15" i="7"/>
  <c r="C15" i="7"/>
  <c r="D15" i="7"/>
  <c r="F15" i="7"/>
  <c r="M15" i="7"/>
  <c r="S38" i="18"/>
  <c r="T38" i="18"/>
  <c r="H34" i="37"/>
  <c r="G34" i="37"/>
  <c r="H34" i="31"/>
  <c r="G34" i="31"/>
  <c r="T34" i="37"/>
  <c r="S34" i="37"/>
  <c r="G38" i="32"/>
  <c r="H38" i="32"/>
  <c r="T34" i="31"/>
  <c r="S34" i="31"/>
  <c r="H38" i="33"/>
  <c r="G38" i="33"/>
  <c r="T38" i="32"/>
  <c r="S38" i="32"/>
  <c r="H34" i="35"/>
  <c r="G34" i="35"/>
  <c r="C19" i="18"/>
  <c r="F19" i="18" s="1"/>
  <c r="G19" i="18" s="1"/>
  <c r="P19" i="18"/>
  <c r="R19" i="18" s="1"/>
  <c r="H38" i="31"/>
  <c r="G38" i="31"/>
  <c r="S38" i="33"/>
  <c r="T38" i="33"/>
  <c r="H34" i="34"/>
  <c r="G34" i="34"/>
  <c r="G38" i="34"/>
  <c r="H38" i="34"/>
  <c r="T38" i="34"/>
  <c r="S38" i="34"/>
  <c r="P19" i="34"/>
  <c r="R19" i="34" s="1"/>
  <c r="E12" i="38"/>
  <c r="H12" i="38" s="1"/>
  <c r="T38" i="31"/>
  <c r="S38" i="31"/>
  <c r="S34" i="32"/>
  <c r="T34" i="32"/>
  <c r="C19" i="33"/>
  <c r="F19" i="33" s="1"/>
  <c r="P19" i="33"/>
  <c r="R19" i="33" s="1"/>
  <c r="P19" i="35"/>
  <c r="R19" i="35" s="1"/>
  <c r="H38" i="35"/>
  <c r="G38" i="35"/>
  <c r="O18" i="39" l="1"/>
  <c r="H19" i="33"/>
  <c r="J19" i="33" s="1"/>
  <c r="K19" i="33" s="1"/>
  <c r="H17" i="17" s="1"/>
  <c r="G19" i="33"/>
  <c r="I19" i="33" s="1"/>
  <c r="P20" i="37"/>
  <c r="R20" i="37" s="1"/>
  <c r="C20" i="37"/>
  <c r="F20" i="37" s="1"/>
  <c r="P22" i="33"/>
  <c r="R22" i="33" s="1"/>
  <c r="C22" i="33"/>
  <c r="F22" i="33" s="1"/>
  <c r="C20" i="33"/>
  <c r="F20" i="33" s="1"/>
  <c r="P20" i="33"/>
  <c r="R20" i="33" s="1"/>
  <c r="G19" i="35"/>
  <c r="I19" i="35" s="1"/>
  <c r="H19" i="35"/>
  <c r="J19" i="35" s="1"/>
  <c r="K19" i="35" s="1"/>
  <c r="E17" i="17" s="1"/>
  <c r="L20" i="7"/>
  <c r="E20" i="7"/>
  <c r="J20" i="7"/>
  <c r="D20" i="7"/>
  <c r="I20" i="7"/>
  <c r="C20" i="7"/>
  <c r="F20" i="7"/>
  <c r="H20" i="7"/>
  <c r="G20" i="7"/>
  <c r="K20" i="7"/>
  <c r="O20" i="7"/>
  <c r="M20" i="7"/>
  <c r="S19" i="35"/>
  <c r="U19" i="35" s="1"/>
  <c r="T19" i="35"/>
  <c r="V19" i="35" s="1"/>
  <c r="W19" i="35" s="1"/>
  <c r="V17" i="17" s="1"/>
  <c r="P20" i="35"/>
  <c r="R20" i="35" s="1"/>
  <c r="P22" i="35"/>
  <c r="R22" i="35" s="1"/>
  <c r="T19" i="31"/>
  <c r="V19" i="31" s="1"/>
  <c r="W19" i="31" s="1"/>
  <c r="U17" i="17" s="1"/>
  <c r="S19" i="31"/>
  <c r="U19" i="31" s="1"/>
  <c r="D19" i="7"/>
  <c r="C19" i="7"/>
  <c r="K19" i="7"/>
  <c r="E19" i="7"/>
  <c r="L19" i="7"/>
  <c r="I19" i="7"/>
  <c r="O19" i="7"/>
  <c r="H19" i="7"/>
  <c r="J19" i="7"/>
  <c r="F19" i="7"/>
  <c r="G19" i="7"/>
  <c r="M19" i="7"/>
  <c r="C22" i="37"/>
  <c r="F22" i="37" s="1"/>
  <c r="P22" i="37"/>
  <c r="R22" i="37" s="1"/>
  <c r="G19" i="31"/>
  <c r="I19" i="31" s="1"/>
  <c r="H19" i="31"/>
  <c r="J19" i="31" s="1"/>
  <c r="C23" i="32"/>
  <c r="F23" i="32" s="1"/>
  <c r="P23" i="32"/>
  <c r="R23" i="32" s="1"/>
  <c r="C23" i="34"/>
  <c r="F23" i="34" s="1"/>
  <c r="C16" i="38"/>
  <c r="O21" i="7"/>
  <c r="G21" i="7"/>
  <c r="L21" i="7"/>
  <c r="I21" i="7"/>
  <c r="K21" i="7"/>
  <c r="E21" i="7"/>
  <c r="J21" i="7"/>
  <c r="H21" i="7"/>
  <c r="C21" i="7"/>
  <c r="D21" i="7"/>
  <c r="F21" i="7"/>
  <c r="M21" i="7"/>
  <c r="D24" i="7"/>
  <c r="L24" i="7"/>
  <c r="F24" i="7"/>
  <c r="K24" i="7"/>
  <c r="E24" i="7"/>
  <c r="G24" i="7"/>
  <c r="C24" i="7"/>
  <c r="O24" i="7"/>
  <c r="J24" i="7"/>
  <c r="I24" i="7"/>
  <c r="H24" i="7"/>
  <c r="M24" i="7"/>
  <c r="C20" i="34"/>
  <c r="F20" i="34" s="1"/>
  <c r="C20" i="32"/>
  <c r="F20" i="32" s="1"/>
  <c r="P20" i="32"/>
  <c r="R20" i="32" s="1"/>
  <c r="C13" i="38"/>
  <c r="F13" i="38" s="1"/>
  <c r="P22" i="32"/>
  <c r="R22" i="32" s="1"/>
  <c r="C22" i="32"/>
  <c r="F22" i="32" s="1"/>
  <c r="C22" i="34"/>
  <c r="F22" i="34" s="1"/>
  <c r="C15" i="38"/>
  <c r="G19" i="32"/>
  <c r="I19" i="32" s="1"/>
  <c r="H19" i="32"/>
  <c r="J19" i="32" s="1"/>
  <c r="T19" i="33"/>
  <c r="V19" i="33" s="1"/>
  <c r="W19" i="33" s="1"/>
  <c r="Y17" i="17" s="1"/>
  <c r="S19" i="33"/>
  <c r="U19" i="33" s="1"/>
  <c r="P20" i="31"/>
  <c r="R20" i="31" s="1"/>
  <c r="C20" i="31"/>
  <c r="F20" i="31" s="1"/>
  <c r="D13" i="38"/>
  <c r="G13" i="38" s="1"/>
  <c r="C20" i="35"/>
  <c r="F20" i="35" s="1"/>
  <c r="S19" i="32"/>
  <c r="U19" i="32" s="1"/>
  <c r="T19" i="32"/>
  <c r="V19" i="32" s="1"/>
  <c r="W19" i="32" s="1"/>
  <c r="W17" i="17" s="1"/>
  <c r="C23" i="31"/>
  <c r="F23" i="31" s="1"/>
  <c r="C23" i="35"/>
  <c r="F23" i="35" s="1"/>
  <c r="P23" i="31"/>
  <c r="R23" i="31" s="1"/>
  <c r="D16" i="38"/>
  <c r="P23" i="33"/>
  <c r="R23" i="33" s="1"/>
  <c r="C23" i="33"/>
  <c r="F23" i="33" s="1"/>
  <c r="H19" i="37"/>
  <c r="J19" i="37" s="1"/>
  <c r="K19" i="37" s="1"/>
  <c r="J17" i="17" s="1"/>
  <c r="G19" i="37"/>
  <c r="I19" i="37" s="1"/>
  <c r="G16" i="7"/>
  <c r="L16" i="7"/>
  <c r="J16" i="7"/>
  <c r="H16" i="7"/>
  <c r="D16" i="7"/>
  <c r="K16" i="7"/>
  <c r="E16" i="7"/>
  <c r="C16" i="7"/>
  <c r="O16" i="7"/>
  <c r="I16" i="7"/>
  <c r="F16" i="7"/>
  <c r="M16" i="7"/>
  <c r="S19" i="34"/>
  <c r="U19" i="34" s="1"/>
  <c r="T19" i="34"/>
  <c r="V19" i="34" s="1"/>
  <c r="W19" i="34" s="1"/>
  <c r="X17" i="17" s="1"/>
  <c r="C20" i="18"/>
  <c r="F20" i="18" s="1"/>
  <c r="P20" i="18"/>
  <c r="R20" i="18" s="1"/>
  <c r="C22" i="18"/>
  <c r="F22" i="18" s="1"/>
  <c r="P22" i="18"/>
  <c r="R22" i="18" s="1"/>
  <c r="H19" i="34"/>
  <c r="J19" i="34" s="1"/>
  <c r="G19" i="34"/>
  <c r="I19" i="34" s="1"/>
  <c r="P23" i="18"/>
  <c r="R23" i="18" s="1"/>
  <c r="C23" i="18"/>
  <c r="F23" i="18" s="1"/>
  <c r="C23" i="37"/>
  <c r="F23" i="37" s="1"/>
  <c r="P23" i="37"/>
  <c r="R23" i="37" s="1"/>
  <c r="T19" i="37"/>
  <c r="V19" i="37" s="1"/>
  <c r="W19" i="37" s="1"/>
  <c r="AA17" i="17" s="1"/>
  <c r="S19" i="37"/>
  <c r="U19" i="37" s="1"/>
  <c r="O23" i="7"/>
  <c r="D23" i="7"/>
  <c r="L23" i="7"/>
  <c r="H23" i="7"/>
  <c r="J23" i="7"/>
  <c r="K23" i="7"/>
  <c r="C23" i="7"/>
  <c r="I23" i="7"/>
  <c r="G23" i="7"/>
  <c r="F23" i="7"/>
  <c r="E23" i="7"/>
  <c r="M23" i="7"/>
  <c r="T19" i="18"/>
  <c r="V19" i="18" s="1"/>
  <c r="W19" i="18" s="1"/>
  <c r="T17" i="17" s="1"/>
  <c r="S19" i="18"/>
  <c r="U19" i="18" s="1"/>
  <c r="C22" i="31"/>
  <c r="F22" i="31" s="1"/>
  <c r="P22" i="31"/>
  <c r="R22" i="31" s="1"/>
  <c r="C22" i="35"/>
  <c r="F22" i="35" s="1"/>
  <c r="D15" i="38"/>
  <c r="P23" i="35"/>
  <c r="R23" i="35" s="1"/>
  <c r="G22" i="7"/>
  <c r="K22" i="7"/>
  <c r="D22" i="7"/>
  <c r="L22" i="7"/>
  <c r="J22" i="7"/>
  <c r="C22" i="7"/>
  <c r="I22" i="7"/>
  <c r="F22" i="7"/>
  <c r="O22" i="7"/>
  <c r="H22" i="7"/>
  <c r="M22" i="7"/>
  <c r="E22" i="7"/>
  <c r="H19" i="18"/>
  <c r="I19" i="18"/>
  <c r="P20" i="34"/>
  <c r="R20" i="34" s="1"/>
  <c r="E13" i="38"/>
  <c r="H13" i="38" s="1"/>
  <c r="P22" i="34"/>
  <c r="R22" i="34" s="1"/>
  <c r="E15" i="38"/>
  <c r="P23" i="34"/>
  <c r="R23" i="34" s="1"/>
  <c r="E16" i="38"/>
  <c r="J19" i="18" l="1"/>
  <c r="K19" i="18" s="1"/>
  <c r="C17" i="17" s="1"/>
  <c r="P28" i="35"/>
  <c r="R28" i="35" s="1"/>
  <c r="G22" i="18"/>
  <c r="H22" i="18"/>
  <c r="P29" i="33"/>
  <c r="R29" i="33" s="1"/>
  <c r="C29" i="33"/>
  <c r="F29" i="33" s="1"/>
  <c r="H23" i="34"/>
  <c r="G23" i="34"/>
  <c r="P24" i="37"/>
  <c r="R24" i="37" s="1"/>
  <c r="C24" i="37"/>
  <c r="F24" i="37" s="1"/>
  <c r="C25" i="18"/>
  <c r="F25" i="18" s="1"/>
  <c r="P25" i="18"/>
  <c r="R25" i="18" s="1"/>
  <c r="S20" i="34"/>
  <c r="U20" i="34" s="1"/>
  <c r="T20" i="34"/>
  <c r="V20" i="34" s="1"/>
  <c r="W20" i="34" s="1"/>
  <c r="X18" i="17" s="1"/>
  <c r="P27" i="34"/>
  <c r="R27" i="34" s="1"/>
  <c r="E20" i="38"/>
  <c r="P28" i="31"/>
  <c r="R28" i="31" s="1"/>
  <c r="C28" i="31"/>
  <c r="F28" i="31" s="1"/>
  <c r="C28" i="35"/>
  <c r="F28" i="35" s="1"/>
  <c r="D21" i="38"/>
  <c r="O19" i="39"/>
  <c r="G20" i="31"/>
  <c r="I20" i="31" s="1"/>
  <c r="H20" i="31"/>
  <c r="J20" i="31" s="1"/>
  <c r="K19" i="32"/>
  <c r="F17" i="17" s="1"/>
  <c r="J12" i="38"/>
  <c r="P26" i="35"/>
  <c r="R26" i="35" s="1"/>
  <c r="S23" i="32"/>
  <c r="T23" i="32"/>
  <c r="T22" i="33"/>
  <c r="S22" i="33"/>
  <c r="C27" i="34"/>
  <c r="F27" i="34" s="1"/>
  <c r="C27" i="32"/>
  <c r="F27" i="32" s="1"/>
  <c r="P27" i="32"/>
  <c r="R27" i="32" s="1"/>
  <c r="C20" i="38"/>
  <c r="P28" i="34"/>
  <c r="R28" i="34" s="1"/>
  <c r="E21" i="38"/>
  <c r="P28" i="37"/>
  <c r="R28" i="37" s="1"/>
  <c r="C28" i="37"/>
  <c r="F28" i="37" s="1"/>
  <c r="H23" i="18"/>
  <c r="G23" i="18"/>
  <c r="S20" i="18"/>
  <c r="U20" i="18" s="1"/>
  <c r="T20" i="18"/>
  <c r="V20" i="18" s="1"/>
  <c r="W20" i="18" s="1"/>
  <c r="T18" i="17" s="1"/>
  <c r="C21" i="37"/>
  <c r="F21" i="37" s="1"/>
  <c r="P21" i="37"/>
  <c r="R21" i="37" s="1"/>
  <c r="P21" i="34"/>
  <c r="R21" i="34" s="1"/>
  <c r="E14" i="38"/>
  <c r="H14" i="38" s="1"/>
  <c r="H15" i="38" s="1"/>
  <c r="H16" i="38" s="1"/>
  <c r="T23" i="31"/>
  <c r="S23" i="31"/>
  <c r="T20" i="31"/>
  <c r="V20" i="31" s="1"/>
  <c r="W20" i="31" s="1"/>
  <c r="U18" i="17" s="1"/>
  <c r="S20" i="31"/>
  <c r="U20" i="31" s="1"/>
  <c r="T20" i="32"/>
  <c r="V20" i="32" s="1"/>
  <c r="W20" i="32" s="1"/>
  <c r="W18" i="17" s="1"/>
  <c r="S20" i="32"/>
  <c r="U20" i="32" s="1"/>
  <c r="P29" i="31"/>
  <c r="R29" i="31" s="1"/>
  <c r="C29" i="31"/>
  <c r="F29" i="31" s="1"/>
  <c r="C29" i="35"/>
  <c r="F29" i="35" s="1"/>
  <c r="D22" i="38"/>
  <c r="G23" i="32"/>
  <c r="H23" i="32"/>
  <c r="C25" i="35"/>
  <c r="F25" i="35" s="1"/>
  <c r="C25" i="31"/>
  <c r="F25" i="31" s="1"/>
  <c r="P25" i="31"/>
  <c r="R25" i="31" s="1"/>
  <c r="D18" i="38"/>
  <c r="S20" i="33"/>
  <c r="U20" i="33" s="1"/>
  <c r="T20" i="33"/>
  <c r="V20" i="33" s="1"/>
  <c r="W20" i="33" s="1"/>
  <c r="Y18" i="17" s="1"/>
  <c r="K19" i="34"/>
  <c r="G17" i="17" s="1"/>
  <c r="L12" i="38"/>
  <c r="C27" i="33"/>
  <c r="F27" i="33" s="1"/>
  <c r="P27" i="33"/>
  <c r="R27" i="33" s="1"/>
  <c r="G22" i="31"/>
  <c r="H22" i="31"/>
  <c r="H23" i="37"/>
  <c r="G23" i="37"/>
  <c r="C21" i="32"/>
  <c r="F21" i="32" s="1"/>
  <c r="C21" i="34"/>
  <c r="F21" i="34" s="1"/>
  <c r="P21" i="32"/>
  <c r="R21" i="32" s="1"/>
  <c r="C14" i="38"/>
  <c r="F14" i="38" s="1"/>
  <c r="F15" i="38" s="1"/>
  <c r="F16" i="38" s="1"/>
  <c r="S23" i="33"/>
  <c r="T23" i="33"/>
  <c r="S22" i="32"/>
  <c r="T22" i="32"/>
  <c r="P29" i="32"/>
  <c r="R29" i="32" s="1"/>
  <c r="C29" i="32"/>
  <c r="F29" i="32" s="1"/>
  <c r="C29" i="34"/>
  <c r="F29" i="34" s="1"/>
  <c r="C22" i="38"/>
  <c r="H22" i="33"/>
  <c r="G22" i="33"/>
  <c r="P27" i="37"/>
  <c r="R27" i="37" s="1"/>
  <c r="C27" i="37"/>
  <c r="F27" i="37" s="1"/>
  <c r="C28" i="34"/>
  <c r="F28" i="34" s="1"/>
  <c r="P28" i="32"/>
  <c r="R28" i="32" s="1"/>
  <c r="C28" i="32"/>
  <c r="F28" i="32" s="1"/>
  <c r="C21" i="38"/>
  <c r="T23" i="34"/>
  <c r="S23" i="34"/>
  <c r="S23" i="35"/>
  <c r="T23" i="35"/>
  <c r="AC17" i="17"/>
  <c r="AF17" i="17" s="1"/>
  <c r="T23" i="18"/>
  <c r="S23" i="18"/>
  <c r="H20" i="18"/>
  <c r="J20" i="18" s="1"/>
  <c r="K20" i="18" s="1"/>
  <c r="G20" i="18"/>
  <c r="I20" i="18" s="1"/>
  <c r="C21" i="18"/>
  <c r="F21" i="18" s="1"/>
  <c r="P21" i="18"/>
  <c r="R21" i="18" s="1"/>
  <c r="H23" i="35"/>
  <c r="G23" i="35"/>
  <c r="G20" i="32"/>
  <c r="I20" i="32" s="1"/>
  <c r="H20" i="32"/>
  <c r="J20" i="32" s="1"/>
  <c r="P29" i="37"/>
  <c r="R29" i="37" s="1"/>
  <c r="C29" i="37"/>
  <c r="F29" i="37" s="1"/>
  <c r="K12" i="38"/>
  <c r="K19" i="31"/>
  <c r="D17" i="17" s="1"/>
  <c r="P24" i="35"/>
  <c r="R24" i="35" s="1"/>
  <c r="C25" i="37"/>
  <c r="F25" i="37" s="1"/>
  <c r="P25" i="37"/>
  <c r="R25" i="37" s="1"/>
  <c r="G20" i="33"/>
  <c r="I20" i="33" s="1"/>
  <c r="H20" i="33"/>
  <c r="J20" i="33" s="1"/>
  <c r="K20" i="33" s="1"/>
  <c r="H18" i="17" s="1"/>
  <c r="H20" i="37"/>
  <c r="J20" i="37" s="1"/>
  <c r="K20" i="37" s="1"/>
  <c r="J18" i="17" s="1"/>
  <c r="G20" i="37"/>
  <c r="I20" i="37" s="1"/>
  <c r="P27" i="18"/>
  <c r="R27" i="18" s="1"/>
  <c r="C27" i="18"/>
  <c r="F27" i="18" s="1"/>
  <c r="C28" i="18"/>
  <c r="F28" i="18" s="1"/>
  <c r="P28" i="18"/>
  <c r="R28" i="18" s="1"/>
  <c r="P21" i="35"/>
  <c r="R21" i="35" s="1"/>
  <c r="G23" i="31"/>
  <c r="H23" i="31"/>
  <c r="H20" i="34"/>
  <c r="J20" i="34" s="1"/>
  <c r="G20" i="34"/>
  <c r="I20" i="34" s="1"/>
  <c r="P29" i="18"/>
  <c r="R29" i="18" s="1"/>
  <c r="C29" i="18"/>
  <c r="F29" i="18" s="1"/>
  <c r="C26" i="34"/>
  <c r="F26" i="34" s="1"/>
  <c r="P26" i="32"/>
  <c r="R26" i="32" s="1"/>
  <c r="C26" i="32"/>
  <c r="F26" i="32" s="1"/>
  <c r="C19" i="38"/>
  <c r="P24" i="34"/>
  <c r="R24" i="34" s="1"/>
  <c r="E17" i="38"/>
  <c r="S22" i="35"/>
  <c r="T22" i="35"/>
  <c r="P25" i="35"/>
  <c r="R25" i="35" s="1"/>
  <c r="T20" i="37"/>
  <c r="V20" i="37" s="1"/>
  <c r="W20" i="37" s="1"/>
  <c r="AA18" i="17" s="1"/>
  <c r="S20" i="37"/>
  <c r="U20" i="37" s="1"/>
  <c r="P29" i="34"/>
  <c r="R29" i="34" s="1"/>
  <c r="E22" i="38"/>
  <c r="C26" i="35"/>
  <c r="F26" i="35" s="1"/>
  <c r="P26" i="31"/>
  <c r="R26" i="31" s="1"/>
  <c r="C26" i="31"/>
  <c r="F26" i="31" s="1"/>
  <c r="D19" i="38"/>
  <c r="P26" i="34"/>
  <c r="R26" i="34" s="1"/>
  <c r="E19" i="38"/>
  <c r="P24" i="32"/>
  <c r="R24" i="32" s="1"/>
  <c r="C24" i="32"/>
  <c r="F24" i="32" s="1"/>
  <c r="C24" i="34"/>
  <c r="F24" i="34" s="1"/>
  <c r="C17" i="38"/>
  <c r="C24" i="18"/>
  <c r="F24" i="18" s="1"/>
  <c r="P24" i="18"/>
  <c r="R24" i="18" s="1"/>
  <c r="P25" i="34"/>
  <c r="R25" i="34" s="1"/>
  <c r="E18" i="38"/>
  <c r="P27" i="35"/>
  <c r="R27" i="35" s="1"/>
  <c r="H22" i="35"/>
  <c r="G22" i="35"/>
  <c r="C21" i="35"/>
  <c r="F21" i="35" s="1"/>
  <c r="C21" i="31"/>
  <c r="F21" i="31" s="1"/>
  <c r="P21" i="31"/>
  <c r="R21" i="31" s="1"/>
  <c r="D14" i="38"/>
  <c r="G14" i="38" s="1"/>
  <c r="G15" i="38" s="1"/>
  <c r="G16" i="38" s="1"/>
  <c r="G22" i="34"/>
  <c r="H22" i="34"/>
  <c r="P29" i="35"/>
  <c r="R29" i="35" s="1"/>
  <c r="P26" i="18"/>
  <c r="R26" i="18" s="1"/>
  <c r="C26" i="18"/>
  <c r="F26" i="18" s="1"/>
  <c r="C26" i="37"/>
  <c r="F26" i="37" s="1"/>
  <c r="P26" i="37"/>
  <c r="R26" i="37" s="1"/>
  <c r="S22" i="37"/>
  <c r="T22" i="37"/>
  <c r="C24" i="35"/>
  <c r="F24" i="35" s="1"/>
  <c r="P24" i="31"/>
  <c r="R24" i="31" s="1"/>
  <c r="C24" i="31"/>
  <c r="F24" i="31" s="1"/>
  <c r="D17" i="38"/>
  <c r="S20" i="35"/>
  <c r="U20" i="35" s="1"/>
  <c r="T20" i="35"/>
  <c r="V20" i="35" s="1"/>
  <c r="W20" i="35" s="1"/>
  <c r="V18" i="17" s="1"/>
  <c r="P25" i="33"/>
  <c r="R25" i="33" s="1"/>
  <c r="C25" i="33"/>
  <c r="F25" i="33" s="1"/>
  <c r="T22" i="34"/>
  <c r="S22" i="34"/>
  <c r="P27" i="31"/>
  <c r="R27" i="31" s="1"/>
  <c r="C27" i="35"/>
  <c r="F27" i="35" s="1"/>
  <c r="C27" i="31"/>
  <c r="F27" i="31" s="1"/>
  <c r="D20" i="38"/>
  <c r="T22" i="31"/>
  <c r="S22" i="31"/>
  <c r="P28" i="33"/>
  <c r="R28" i="33" s="1"/>
  <c r="C28" i="33"/>
  <c r="F28" i="33" s="1"/>
  <c r="S23" i="37"/>
  <c r="T23" i="37"/>
  <c r="S22" i="18"/>
  <c r="T22" i="18"/>
  <c r="P21" i="33"/>
  <c r="R21" i="33" s="1"/>
  <c r="C21" i="33"/>
  <c r="F21" i="33" s="1"/>
  <c r="H23" i="33"/>
  <c r="G23" i="33"/>
  <c r="G20" i="35"/>
  <c r="I20" i="35" s="1"/>
  <c r="H20" i="35"/>
  <c r="J20" i="35" s="1"/>
  <c r="K20" i="35" s="1"/>
  <c r="E18" i="17" s="1"/>
  <c r="G22" i="32"/>
  <c r="H22" i="32"/>
  <c r="C26" i="33"/>
  <c r="F26" i="33" s="1"/>
  <c r="P26" i="33"/>
  <c r="R26" i="33" s="1"/>
  <c r="G22" i="37"/>
  <c r="H22" i="37"/>
  <c r="P24" i="33"/>
  <c r="R24" i="33" s="1"/>
  <c r="C24" i="33"/>
  <c r="F24" i="33" s="1"/>
  <c r="C25" i="32"/>
  <c r="F25" i="32" s="1"/>
  <c r="P25" i="32"/>
  <c r="R25" i="32" s="1"/>
  <c r="C25" i="34"/>
  <c r="F25" i="34" s="1"/>
  <c r="C18" i="38"/>
  <c r="C18" i="17" l="1"/>
  <c r="G17" i="38"/>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L17" i="17"/>
  <c r="O17" i="17" s="1"/>
  <c r="J13" i="38"/>
  <c r="K20" i="32"/>
  <c r="F18" i="17" s="1"/>
  <c r="AC18" i="17"/>
  <c r="AF18" i="17" s="1"/>
  <c r="L13" i="38"/>
  <c r="K20" i="34"/>
  <c r="G18" i="17" s="1"/>
  <c r="H29" i="32"/>
  <c r="G29" i="32"/>
  <c r="S27" i="32"/>
  <c r="T27" i="32"/>
  <c r="G26" i="33"/>
  <c r="H26" i="33"/>
  <c r="G24" i="31"/>
  <c r="H24" i="31"/>
  <c r="T27" i="35"/>
  <c r="S27" i="35"/>
  <c r="G26" i="34"/>
  <c r="H26" i="34"/>
  <c r="S27" i="37"/>
  <c r="T27" i="37"/>
  <c r="T28" i="31"/>
  <c r="S28" i="31"/>
  <c r="G26" i="18"/>
  <c r="H26" i="18"/>
  <c r="S25" i="37"/>
  <c r="T25" i="37"/>
  <c r="G24" i="33"/>
  <c r="H24" i="33"/>
  <c r="H24" i="35"/>
  <c r="G24" i="35"/>
  <c r="S26" i="18"/>
  <c r="T26" i="18"/>
  <c r="G21" i="31"/>
  <c r="I21" i="31" s="1"/>
  <c r="J22" i="31" s="1"/>
  <c r="H21" i="31"/>
  <c r="J21" i="31" s="1"/>
  <c r="T25" i="34"/>
  <c r="S25" i="34"/>
  <c r="S24" i="34"/>
  <c r="T24" i="34"/>
  <c r="G29" i="18"/>
  <c r="H29" i="18"/>
  <c r="T21" i="35"/>
  <c r="V21" i="35" s="1"/>
  <c r="W21" i="35" s="1"/>
  <c r="V19" i="17" s="1"/>
  <c r="S21" i="35"/>
  <c r="U21" i="35" s="1"/>
  <c r="V22" i="35" s="1"/>
  <c r="W22" i="35" s="1"/>
  <c r="V20" i="17" s="1"/>
  <c r="S27" i="18"/>
  <c r="T27" i="18"/>
  <c r="H25" i="37"/>
  <c r="G25" i="37"/>
  <c r="G29" i="35"/>
  <c r="H29" i="35"/>
  <c r="T27" i="34"/>
  <c r="S27" i="34"/>
  <c r="H24" i="37"/>
  <c r="G24" i="37"/>
  <c r="G21" i="34"/>
  <c r="I21" i="34" s="1"/>
  <c r="H21" i="34"/>
  <c r="J21" i="34" s="1"/>
  <c r="H25" i="31"/>
  <c r="G25" i="31"/>
  <c r="H21" i="33"/>
  <c r="J21" i="33" s="1"/>
  <c r="K21" i="33" s="1"/>
  <c r="H19" i="17" s="1"/>
  <c r="G21" i="33"/>
  <c r="I21" i="33" s="1"/>
  <c r="G29" i="37"/>
  <c r="H29" i="37"/>
  <c r="S29" i="33"/>
  <c r="T29" i="33"/>
  <c r="S21" i="33"/>
  <c r="U21" i="33" s="1"/>
  <c r="V22" i="33" s="1"/>
  <c r="W22" i="33" s="1"/>
  <c r="Y20" i="17" s="1"/>
  <c r="T21" i="33"/>
  <c r="V21" i="33" s="1"/>
  <c r="W21" i="33" s="1"/>
  <c r="Y19" i="17" s="1"/>
  <c r="T24" i="32"/>
  <c r="S24" i="32"/>
  <c r="T29" i="34"/>
  <c r="S29" i="34"/>
  <c r="T29" i="37"/>
  <c r="S29" i="37"/>
  <c r="T24" i="33"/>
  <c r="S24" i="33"/>
  <c r="G21" i="35"/>
  <c r="I21" i="35" s="1"/>
  <c r="J22" i="35" s="1"/>
  <c r="K22" i="35" s="1"/>
  <c r="E20" i="17" s="1"/>
  <c r="H21" i="35"/>
  <c r="J21" i="35" s="1"/>
  <c r="K21" i="35" s="1"/>
  <c r="E19" i="17" s="1"/>
  <c r="S26" i="34"/>
  <c r="T26" i="34"/>
  <c r="K13" i="38"/>
  <c r="K20" i="31"/>
  <c r="D18" i="17" s="1"/>
  <c r="S29" i="18"/>
  <c r="T29" i="18"/>
  <c r="H28" i="32"/>
  <c r="G28" i="32"/>
  <c r="H29" i="31"/>
  <c r="G29" i="31"/>
  <c r="S24" i="37"/>
  <c r="T24" i="37"/>
  <c r="G27" i="35"/>
  <c r="H27" i="35"/>
  <c r="H26" i="31"/>
  <c r="G26" i="31"/>
  <c r="H27" i="33"/>
  <c r="G27" i="33"/>
  <c r="H25" i="34"/>
  <c r="G25" i="34"/>
  <c r="H25" i="32"/>
  <c r="G25" i="32"/>
  <c r="S28" i="33"/>
  <c r="T28" i="33"/>
  <c r="G24" i="32"/>
  <c r="H24" i="32"/>
  <c r="H21" i="18"/>
  <c r="G21" i="18"/>
  <c r="I21" i="18" s="1"/>
  <c r="J22" i="18" s="1"/>
  <c r="K22" i="18" s="1"/>
  <c r="C20" i="17" s="1"/>
  <c r="G21" i="37"/>
  <c r="I21" i="37" s="1"/>
  <c r="H21" i="37"/>
  <c r="J21" i="37" s="1"/>
  <c r="K21" i="37" s="1"/>
  <c r="J19" i="17" s="1"/>
  <c r="F17" i="38"/>
  <c r="F18" i="38" s="1"/>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S24" i="31"/>
  <c r="T24" i="31"/>
  <c r="T21" i="31"/>
  <c r="V21" i="31" s="1"/>
  <c r="W21" i="31" s="1"/>
  <c r="U19" i="17" s="1"/>
  <c r="S21" i="31"/>
  <c r="U21" i="31" s="1"/>
  <c r="G27" i="18"/>
  <c r="H27" i="18"/>
  <c r="S28" i="34"/>
  <c r="T28" i="34"/>
  <c r="H25" i="33"/>
  <c r="G25" i="33"/>
  <c r="G27" i="31"/>
  <c r="H27" i="31"/>
  <c r="T25" i="33"/>
  <c r="S25" i="33"/>
  <c r="S29" i="35"/>
  <c r="T29" i="35"/>
  <c r="S24" i="18"/>
  <c r="T24" i="18"/>
  <c r="S24" i="35"/>
  <c r="T24" i="35"/>
  <c r="T28" i="32"/>
  <c r="S28" i="32"/>
  <c r="G29" i="34"/>
  <c r="H29" i="34"/>
  <c r="S21" i="32"/>
  <c r="U21" i="32" s="1"/>
  <c r="V22" i="32" s="1"/>
  <c r="W22" i="32" s="1"/>
  <c r="W20" i="17" s="1"/>
  <c r="T21" i="32"/>
  <c r="V21" i="32" s="1"/>
  <c r="W21" i="32" s="1"/>
  <c r="W19" i="17" s="1"/>
  <c r="S27" i="33"/>
  <c r="T27" i="33"/>
  <c r="S25" i="31"/>
  <c r="T25" i="31"/>
  <c r="T29" i="31"/>
  <c r="S29" i="31"/>
  <c r="S28" i="35"/>
  <c r="T28" i="35"/>
  <c r="H24" i="18"/>
  <c r="G24" i="18"/>
  <c r="H28" i="34"/>
  <c r="G28" i="34"/>
  <c r="S21" i="34"/>
  <c r="U21" i="34" s="1"/>
  <c r="V22" i="34" s="1"/>
  <c r="W22" i="34" s="1"/>
  <c r="X20" i="17" s="1"/>
  <c r="T21" i="34"/>
  <c r="V21" i="34" s="1"/>
  <c r="W21" i="34" s="1"/>
  <c r="X19" i="17" s="1"/>
  <c r="S27" i="31"/>
  <c r="T27" i="31"/>
  <c r="T26" i="37"/>
  <c r="S26" i="37"/>
  <c r="T26" i="31"/>
  <c r="S26" i="31"/>
  <c r="S25" i="35"/>
  <c r="T25" i="35"/>
  <c r="G26" i="32"/>
  <c r="H26" i="32"/>
  <c r="T28" i="18"/>
  <c r="S28" i="18"/>
  <c r="O20" i="39"/>
  <c r="O21" i="39" s="1"/>
  <c r="O22" i="39" s="1"/>
  <c r="T29" i="32"/>
  <c r="S29" i="32"/>
  <c r="G21" i="32"/>
  <c r="I21" i="32" s="1"/>
  <c r="J22" i="32" s="1"/>
  <c r="H21" i="32"/>
  <c r="J21" i="32" s="1"/>
  <c r="H25" i="35"/>
  <c r="G25" i="35"/>
  <c r="G28" i="37"/>
  <c r="H28" i="37"/>
  <c r="H27" i="32"/>
  <c r="G27" i="32"/>
  <c r="G28" i="35"/>
  <c r="H28" i="35"/>
  <c r="S25" i="18"/>
  <c r="T25" i="18"/>
  <c r="H17" i="38"/>
  <c r="H18" i="38" s="1"/>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T25" i="32"/>
  <c r="S25" i="32"/>
  <c r="T26" i="33"/>
  <c r="S26" i="33"/>
  <c r="H28" i="33"/>
  <c r="G28" i="33"/>
  <c r="G26" i="37"/>
  <c r="H26" i="37"/>
  <c r="H24" i="34"/>
  <c r="G24" i="34"/>
  <c r="H26" i="35"/>
  <c r="G26" i="35"/>
  <c r="S26" i="32"/>
  <c r="T26" i="32"/>
  <c r="H28" i="18"/>
  <c r="G28" i="18"/>
  <c r="T21" i="18"/>
  <c r="V21" i="18" s="1"/>
  <c r="W21" i="18" s="1"/>
  <c r="T19" i="17" s="1"/>
  <c r="S21" i="18"/>
  <c r="U21" i="18" s="1"/>
  <c r="H27" i="37"/>
  <c r="G27" i="37"/>
  <c r="S21" i="37"/>
  <c r="U21" i="37" s="1"/>
  <c r="T21" i="37"/>
  <c r="V21" i="37" s="1"/>
  <c r="W21" i="37" s="1"/>
  <c r="AA19" i="17" s="1"/>
  <c r="S28" i="37"/>
  <c r="T28" i="37"/>
  <c r="H27" i="34"/>
  <c r="G27" i="34"/>
  <c r="S26" i="35"/>
  <c r="T26" i="35"/>
  <c r="H28" i="31"/>
  <c r="G28" i="31"/>
  <c r="H25" i="18"/>
  <c r="G25" i="18"/>
  <c r="H29" i="33"/>
  <c r="G29" i="33"/>
  <c r="L18" i="17" l="1"/>
  <c r="J21" i="18"/>
  <c r="K21" i="18" s="1"/>
  <c r="C19" i="17" s="1"/>
  <c r="I22" i="32"/>
  <c r="J23" i="32" s="1"/>
  <c r="K23" i="32" s="1"/>
  <c r="F21" i="17" s="1"/>
  <c r="U22" i="35"/>
  <c r="V23" i="35" s="1"/>
  <c r="W23" i="35" s="1"/>
  <c r="V21" i="17" s="1"/>
  <c r="U22" i="34"/>
  <c r="V23" i="34" s="1"/>
  <c r="W23" i="34" s="1"/>
  <c r="X21" i="17" s="1"/>
  <c r="I22" i="18"/>
  <c r="V22" i="37"/>
  <c r="W22" i="37" s="1"/>
  <c r="AA20" i="17" s="1"/>
  <c r="U22" i="37"/>
  <c r="E12" i="28"/>
  <c r="O12" i="38" s="1"/>
  <c r="U22" i="32"/>
  <c r="V23" i="32" s="1"/>
  <c r="W23" i="32" s="1"/>
  <c r="W21" i="17" s="1"/>
  <c r="O23" i="39"/>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V22" i="31"/>
  <c r="W22" i="31" s="1"/>
  <c r="U20" i="17" s="1"/>
  <c r="U22" i="31"/>
  <c r="J22" i="34"/>
  <c r="I22" i="34"/>
  <c r="J22" i="33"/>
  <c r="K22" i="33" s="1"/>
  <c r="H20" i="17" s="1"/>
  <c r="I22" i="33"/>
  <c r="AC19" i="17"/>
  <c r="AF19" i="17" s="1"/>
  <c r="K21" i="32"/>
  <c r="F19" i="17" s="1"/>
  <c r="J14" i="38"/>
  <c r="L14" i="38"/>
  <c r="K21" i="34"/>
  <c r="G19" i="17" s="1"/>
  <c r="K15" i="38"/>
  <c r="K22" i="31"/>
  <c r="D20" i="17" s="1"/>
  <c r="I22" i="31"/>
  <c r="U23" i="32"/>
  <c r="V24" i="32" s="1"/>
  <c r="W24" i="32" s="1"/>
  <c r="W22" i="17" s="1"/>
  <c r="J16" i="38"/>
  <c r="U22" i="18"/>
  <c r="V22" i="18"/>
  <c r="W22" i="18" s="1"/>
  <c r="T20" i="17" s="1"/>
  <c r="I22" i="37"/>
  <c r="J22" i="37"/>
  <c r="K22" i="37" s="1"/>
  <c r="J20" i="17" s="1"/>
  <c r="K22" i="32"/>
  <c r="F20" i="17" s="1"/>
  <c r="J15" i="38"/>
  <c r="U22" i="33"/>
  <c r="I23" i="32"/>
  <c r="J24" i="32" s="1"/>
  <c r="I22" i="35"/>
  <c r="K14" i="38"/>
  <c r="K21" i="31"/>
  <c r="D19" i="17" s="1"/>
  <c r="U23" i="34" l="1"/>
  <c r="V24" i="34" s="1"/>
  <c r="W24" i="34" s="1"/>
  <c r="X22" i="17" s="1"/>
  <c r="U23" i="35"/>
  <c r="U24" i="35" s="1"/>
  <c r="V25" i="35" s="1"/>
  <c r="W25" i="35" s="1"/>
  <c r="V23" i="17" s="1"/>
  <c r="L19" i="17"/>
  <c r="E14" i="28" s="1"/>
  <c r="M14" i="38" s="1"/>
  <c r="J23" i="18"/>
  <c r="K23" i="18" s="1"/>
  <c r="C21" i="17" s="1"/>
  <c r="I23" i="18"/>
  <c r="AC20" i="17"/>
  <c r="AF20" i="17" s="1"/>
  <c r="M12" i="38"/>
  <c r="N12" i="38"/>
  <c r="V23" i="37"/>
  <c r="W23" i="37" s="1"/>
  <c r="AA21" i="17" s="1"/>
  <c r="U23" i="37"/>
  <c r="I24" i="32"/>
  <c r="K24" i="32"/>
  <c r="F22" i="17" s="1"/>
  <c r="J17" i="38"/>
  <c r="J23" i="33"/>
  <c r="K23" i="33" s="1"/>
  <c r="H21" i="17" s="1"/>
  <c r="I23" i="33"/>
  <c r="V23" i="18"/>
  <c r="W23" i="18" s="1"/>
  <c r="T21" i="17" s="1"/>
  <c r="U23" i="18"/>
  <c r="U24" i="32"/>
  <c r="J23" i="35"/>
  <c r="K23" i="35" s="1"/>
  <c r="E21" i="17" s="1"/>
  <c r="I23" i="35"/>
  <c r="V23" i="33"/>
  <c r="W23" i="33" s="1"/>
  <c r="Y21" i="17" s="1"/>
  <c r="U23" i="33"/>
  <c r="J23" i="37"/>
  <c r="K23" i="37" s="1"/>
  <c r="J21" i="17" s="1"/>
  <c r="I23" i="37"/>
  <c r="J23" i="34"/>
  <c r="I23" i="34"/>
  <c r="L15" i="38"/>
  <c r="K22" i="34"/>
  <c r="G20" i="17" s="1"/>
  <c r="L20" i="17" s="1"/>
  <c r="V23" i="31"/>
  <c r="W23" i="31" s="1"/>
  <c r="U21" i="17" s="1"/>
  <c r="U23" i="31"/>
  <c r="E13" i="28"/>
  <c r="O18" i="17"/>
  <c r="J23" i="31"/>
  <c r="I23" i="31"/>
  <c r="U24" i="34" l="1"/>
  <c r="V25" i="34" s="1"/>
  <c r="W25" i="34" s="1"/>
  <c r="X23" i="17" s="1"/>
  <c r="U25" i="35"/>
  <c r="V26" i="35" s="1"/>
  <c r="W26" i="35" s="1"/>
  <c r="V24" i="17" s="1"/>
  <c r="V24" i="35"/>
  <c r="W24" i="35" s="1"/>
  <c r="V22" i="17" s="1"/>
  <c r="O19" i="17"/>
  <c r="J24" i="18"/>
  <c r="K24" i="18" s="1"/>
  <c r="C22" i="17" s="1"/>
  <c r="I24" i="18"/>
  <c r="AC21" i="17"/>
  <c r="AF21" i="17" s="1"/>
  <c r="O14" i="38"/>
  <c r="V24" i="37"/>
  <c r="W24" i="37" s="1"/>
  <c r="AA22" i="17" s="1"/>
  <c r="U24" i="37"/>
  <c r="J25" i="32"/>
  <c r="I25" i="32"/>
  <c r="V24" i="33"/>
  <c r="W24" i="33" s="1"/>
  <c r="Y22" i="17" s="1"/>
  <c r="U24" i="33"/>
  <c r="K16" i="38"/>
  <c r="K23" i="31"/>
  <c r="D21" i="17" s="1"/>
  <c r="V25" i="32"/>
  <c r="W25" i="32" s="1"/>
  <c r="W23" i="17" s="1"/>
  <c r="U25" i="32"/>
  <c r="V24" i="31"/>
  <c r="W24" i="31" s="1"/>
  <c r="U22" i="17" s="1"/>
  <c r="U24" i="31"/>
  <c r="E15" i="28"/>
  <c r="O15" i="38" s="1"/>
  <c r="O20" i="17"/>
  <c r="L16" i="38"/>
  <c r="K23" i="34"/>
  <c r="G21" i="17" s="1"/>
  <c r="J24" i="37"/>
  <c r="K24" i="37" s="1"/>
  <c r="J22" i="17" s="1"/>
  <c r="I24" i="37"/>
  <c r="I24" i="33"/>
  <c r="J24" i="33"/>
  <c r="K24" i="33" s="1"/>
  <c r="H22" i="17" s="1"/>
  <c r="M13" i="38"/>
  <c r="O13" i="38"/>
  <c r="N13" i="38"/>
  <c r="N14" i="38"/>
  <c r="J24" i="31"/>
  <c r="I24" i="31"/>
  <c r="J24" i="34"/>
  <c r="I24" i="34"/>
  <c r="J24" i="35"/>
  <c r="K24" i="35" s="1"/>
  <c r="E22" i="17" s="1"/>
  <c r="I24" i="35"/>
  <c r="V24" i="18"/>
  <c r="W24" i="18" s="1"/>
  <c r="T22" i="17" s="1"/>
  <c r="U24" i="18"/>
  <c r="U26" i="35" l="1"/>
  <c r="V27" i="35" s="1"/>
  <c r="W27" i="35" s="1"/>
  <c r="V25" i="17" s="1"/>
  <c r="U25" i="34"/>
  <c r="V26" i="34" s="1"/>
  <c r="W26" i="34" s="1"/>
  <c r="X24" i="17" s="1"/>
  <c r="J25" i="18"/>
  <c r="K25" i="18" s="1"/>
  <c r="C23" i="17" s="1"/>
  <c r="I25" i="18"/>
  <c r="J26" i="32"/>
  <c r="I26" i="32"/>
  <c r="K25" i="32"/>
  <c r="F23" i="17" s="1"/>
  <c r="J18" i="38"/>
  <c r="AC22" i="17"/>
  <c r="AF22" i="17" s="1"/>
  <c r="V25" i="37"/>
  <c r="W25" i="37" s="1"/>
  <c r="AA23" i="17" s="1"/>
  <c r="U25" i="37"/>
  <c r="L21" i="17"/>
  <c r="O21" i="17" s="1"/>
  <c r="J25" i="31"/>
  <c r="I25" i="31"/>
  <c r="J25" i="37"/>
  <c r="K25" i="37" s="1"/>
  <c r="J23" i="17" s="1"/>
  <c r="I25" i="37"/>
  <c r="K17" i="38"/>
  <c r="K24" i="31"/>
  <c r="D22" i="17" s="1"/>
  <c r="L17" i="38"/>
  <c r="K24" i="34"/>
  <c r="G22" i="17" s="1"/>
  <c r="M15" i="38"/>
  <c r="N15" i="38"/>
  <c r="V25" i="31"/>
  <c r="W25" i="31" s="1"/>
  <c r="U23" i="17" s="1"/>
  <c r="U25" i="31"/>
  <c r="V25" i="18"/>
  <c r="W25" i="18" s="1"/>
  <c r="T23" i="17" s="1"/>
  <c r="U25" i="18"/>
  <c r="J25" i="34"/>
  <c r="I25" i="34"/>
  <c r="J25" i="33"/>
  <c r="K25" i="33" s="1"/>
  <c r="H23" i="17" s="1"/>
  <c r="I25" i="33"/>
  <c r="V25" i="33"/>
  <c r="W25" i="33" s="1"/>
  <c r="Y23" i="17" s="1"/>
  <c r="U25" i="33"/>
  <c r="J25" i="35"/>
  <c r="K25" i="35" s="1"/>
  <c r="E23" i="17" s="1"/>
  <c r="I25" i="35"/>
  <c r="V26" i="32"/>
  <c r="W26" i="32" s="1"/>
  <c r="W24" i="17" s="1"/>
  <c r="U26" i="32"/>
  <c r="U27" i="35" l="1"/>
  <c r="V28" i="35" s="1"/>
  <c r="W28" i="35" s="1"/>
  <c r="V26" i="17" s="1"/>
  <c r="U26" i="34"/>
  <c r="U27" i="34" s="1"/>
  <c r="V28" i="34" s="1"/>
  <c r="W28" i="34" s="1"/>
  <c r="X26" i="17" s="1"/>
  <c r="L22" i="17"/>
  <c r="O22" i="17" s="1"/>
  <c r="E16" i="28"/>
  <c r="M16" i="38" s="1"/>
  <c r="J26" i="18"/>
  <c r="K26" i="18" s="1"/>
  <c r="C24" i="17" s="1"/>
  <c r="I26" i="18"/>
  <c r="U26" i="37"/>
  <c r="V26" i="37"/>
  <c r="W26" i="37" s="1"/>
  <c r="AA24" i="17" s="1"/>
  <c r="J27" i="32"/>
  <c r="I27" i="32"/>
  <c r="K26" i="32"/>
  <c r="F24" i="17" s="1"/>
  <c r="J19" i="38"/>
  <c r="K25" i="34"/>
  <c r="G23" i="17" s="1"/>
  <c r="L18" i="38"/>
  <c r="V27" i="32"/>
  <c r="W27" i="32" s="1"/>
  <c r="W25" i="17" s="1"/>
  <c r="U27" i="32"/>
  <c r="V26" i="18"/>
  <c r="W26" i="18" s="1"/>
  <c r="T24" i="17" s="1"/>
  <c r="U26" i="18"/>
  <c r="AC23" i="17"/>
  <c r="AF23" i="17" s="1"/>
  <c r="J26" i="33"/>
  <c r="K26" i="33" s="1"/>
  <c r="H24" i="17" s="1"/>
  <c r="I26" i="33"/>
  <c r="J26" i="35"/>
  <c r="K26" i="35" s="1"/>
  <c r="E24" i="17" s="1"/>
  <c r="I26" i="35"/>
  <c r="V26" i="31"/>
  <c r="W26" i="31" s="1"/>
  <c r="U24" i="17" s="1"/>
  <c r="U26" i="31"/>
  <c r="V26" i="33"/>
  <c r="W26" i="33" s="1"/>
  <c r="Y24" i="17" s="1"/>
  <c r="U26" i="33"/>
  <c r="I26" i="34"/>
  <c r="J26" i="34"/>
  <c r="J26" i="37"/>
  <c r="K26" i="37" s="1"/>
  <c r="J24" i="17" s="1"/>
  <c r="I26" i="37"/>
  <c r="J26" i="31"/>
  <c r="I26" i="31"/>
  <c r="K18" i="38"/>
  <c r="K25" i="31"/>
  <c r="D23" i="17" s="1"/>
  <c r="U28" i="35" l="1"/>
  <c r="V29" i="35" s="1"/>
  <c r="W29" i="35" s="1"/>
  <c r="V27" i="17" s="1"/>
  <c r="U28" i="34"/>
  <c r="U29" i="34" s="1"/>
  <c r="V27" i="34"/>
  <c r="W27" i="34" s="1"/>
  <c r="X25" i="17" s="1"/>
  <c r="N16" i="38"/>
  <c r="O16" i="38"/>
  <c r="E17" i="28"/>
  <c r="M17" i="38" s="1"/>
  <c r="L23" i="17"/>
  <c r="O23" i="17" s="1"/>
  <c r="I27" i="18"/>
  <c r="J27" i="18"/>
  <c r="K27" i="18" s="1"/>
  <c r="C25" i="17" s="1"/>
  <c r="J28" i="32"/>
  <c r="I28" i="32"/>
  <c r="J20" i="38"/>
  <c r="K27" i="32"/>
  <c r="F25" i="17" s="1"/>
  <c r="V27" i="37"/>
  <c r="W27" i="37" s="1"/>
  <c r="AA25" i="17" s="1"/>
  <c r="U27" i="37"/>
  <c r="J27" i="31"/>
  <c r="I27" i="31"/>
  <c r="AC24" i="17"/>
  <c r="AF24" i="17" s="1"/>
  <c r="V28" i="32"/>
  <c r="W28" i="32" s="1"/>
  <c r="W26" i="17" s="1"/>
  <c r="U28" i="32"/>
  <c r="V27" i="18"/>
  <c r="W27" i="18" s="1"/>
  <c r="T25" i="17" s="1"/>
  <c r="U27" i="18"/>
  <c r="K19" i="38"/>
  <c r="K26" i="31"/>
  <c r="D24" i="17" s="1"/>
  <c r="J27" i="35"/>
  <c r="K27" i="35" s="1"/>
  <c r="E25" i="17" s="1"/>
  <c r="I27" i="35"/>
  <c r="K26" i="34"/>
  <c r="G24" i="17" s="1"/>
  <c r="L19" i="38"/>
  <c r="J27" i="33"/>
  <c r="K27" i="33" s="1"/>
  <c r="H25" i="17" s="1"/>
  <c r="I27" i="33"/>
  <c r="J27" i="37"/>
  <c r="K27" i="37" s="1"/>
  <c r="J25" i="17" s="1"/>
  <c r="I27" i="37"/>
  <c r="J27" i="34"/>
  <c r="I27" i="34"/>
  <c r="V27" i="33"/>
  <c r="W27" i="33" s="1"/>
  <c r="Y25" i="17" s="1"/>
  <c r="U27" i="33"/>
  <c r="V27" i="31"/>
  <c r="W27" i="31" s="1"/>
  <c r="U25" i="17" s="1"/>
  <c r="U27" i="31"/>
  <c r="U29" i="35" l="1"/>
  <c r="V30" i="35" s="1"/>
  <c r="W30" i="35" s="1"/>
  <c r="V28" i="17" s="1"/>
  <c r="V29" i="34"/>
  <c r="W29" i="34" s="1"/>
  <c r="X27" i="17" s="1"/>
  <c r="N17" i="38"/>
  <c r="E18" i="28"/>
  <c r="M18" i="38" s="1"/>
  <c r="O17" i="38"/>
  <c r="L24" i="17"/>
  <c r="O24" i="17" s="1"/>
  <c r="J28" i="18"/>
  <c r="K28" i="18" s="1"/>
  <c r="C26" i="17" s="1"/>
  <c r="I28" i="18"/>
  <c r="V28" i="37"/>
  <c r="W28" i="37" s="1"/>
  <c r="AA26" i="17" s="1"/>
  <c r="U28" i="37"/>
  <c r="J29" i="32"/>
  <c r="I29" i="32"/>
  <c r="J21" i="38"/>
  <c r="K28" i="32"/>
  <c r="F26" i="17" s="1"/>
  <c r="V30" i="34"/>
  <c r="W30" i="34" s="1"/>
  <c r="X28" i="17" s="1"/>
  <c r="U30" i="34"/>
  <c r="V28" i="31"/>
  <c r="W28" i="31" s="1"/>
  <c r="U26" i="17" s="1"/>
  <c r="U28" i="31"/>
  <c r="K27" i="34"/>
  <c r="G25" i="17" s="1"/>
  <c r="L20" i="38"/>
  <c r="J28" i="33"/>
  <c r="K28" i="33" s="1"/>
  <c r="H26" i="17" s="1"/>
  <c r="I28" i="33"/>
  <c r="V29" i="32"/>
  <c r="W29" i="32" s="1"/>
  <c r="W27" i="17" s="1"/>
  <c r="U29" i="32"/>
  <c r="AC25" i="17"/>
  <c r="AF25" i="17" s="1"/>
  <c r="J28" i="31"/>
  <c r="I28" i="31"/>
  <c r="O18" i="38"/>
  <c r="J28" i="34"/>
  <c r="I28" i="34"/>
  <c r="V28" i="18"/>
  <c r="W28" i="18" s="1"/>
  <c r="T26" i="17" s="1"/>
  <c r="U28" i="18"/>
  <c r="V28" i="33"/>
  <c r="W28" i="33" s="1"/>
  <c r="Y26" i="17" s="1"/>
  <c r="U28" i="33"/>
  <c r="J28" i="37"/>
  <c r="K28" i="37" s="1"/>
  <c r="J26" i="17" s="1"/>
  <c r="I28" i="37"/>
  <c r="J28" i="35"/>
  <c r="K28" i="35" s="1"/>
  <c r="E26" i="17" s="1"/>
  <c r="I28" i="35"/>
  <c r="K20" i="38"/>
  <c r="K27" i="31"/>
  <c r="D25" i="17" s="1"/>
  <c r="U30" i="35" l="1"/>
  <c r="V31" i="35" s="1"/>
  <c r="W31" i="35" s="1"/>
  <c r="V29" i="17" s="1"/>
  <c r="N18" i="38"/>
  <c r="E19" i="28"/>
  <c r="M19" i="38" s="1"/>
  <c r="J29" i="18"/>
  <c r="K29" i="18" s="1"/>
  <c r="C27" i="17" s="1"/>
  <c r="I29" i="18"/>
  <c r="I30" i="32"/>
  <c r="J30" i="32"/>
  <c r="J22" i="38"/>
  <c r="K29" i="32"/>
  <c r="F27" i="17" s="1"/>
  <c r="U29" i="37"/>
  <c r="V29" i="37"/>
  <c r="W29" i="37" s="1"/>
  <c r="AA27" i="17" s="1"/>
  <c r="V29" i="33"/>
  <c r="W29" i="33" s="1"/>
  <c r="Y27" i="17" s="1"/>
  <c r="U29" i="33"/>
  <c r="K28" i="34"/>
  <c r="G26" i="17" s="1"/>
  <c r="L21" i="38"/>
  <c r="J29" i="37"/>
  <c r="K29" i="37" s="1"/>
  <c r="J27" i="17" s="1"/>
  <c r="I29" i="37"/>
  <c r="V29" i="18"/>
  <c r="W29" i="18" s="1"/>
  <c r="T27" i="17" s="1"/>
  <c r="U29" i="18"/>
  <c r="V29" i="31"/>
  <c r="W29" i="31" s="1"/>
  <c r="U27" i="17" s="1"/>
  <c r="U29" i="31"/>
  <c r="J29" i="35"/>
  <c r="K29" i="35" s="1"/>
  <c r="E27" i="17" s="1"/>
  <c r="I29" i="35"/>
  <c r="J29" i="34"/>
  <c r="I29" i="34"/>
  <c r="AC26" i="17"/>
  <c r="AF26" i="17" s="1"/>
  <c r="V30" i="32"/>
  <c r="W30" i="32" s="1"/>
  <c r="W28" i="17" s="1"/>
  <c r="U30" i="32"/>
  <c r="J29" i="33"/>
  <c r="K29" i="33" s="1"/>
  <c r="H27" i="17" s="1"/>
  <c r="I29" i="33"/>
  <c r="J29" i="31"/>
  <c r="I29" i="31"/>
  <c r="V31" i="34"/>
  <c r="W31" i="34" s="1"/>
  <c r="X29" i="17" s="1"/>
  <c r="U31" i="34"/>
  <c r="L25" i="17"/>
  <c r="K28" i="31"/>
  <c r="D26" i="17" s="1"/>
  <c r="K21" i="38"/>
  <c r="L26" i="17" l="1"/>
  <c r="O26" i="17" s="1"/>
  <c r="U31" i="35"/>
  <c r="N19" i="38"/>
  <c r="O19" i="38"/>
  <c r="J30" i="18"/>
  <c r="K30" i="18" s="1"/>
  <c r="C28" i="17" s="1"/>
  <c r="I30" i="18"/>
  <c r="AC27" i="17"/>
  <c r="AF27" i="17" s="1"/>
  <c r="U30" i="37"/>
  <c r="V30" i="37"/>
  <c r="W30" i="37" s="1"/>
  <c r="AA28" i="17" s="1"/>
  <c r="K30" i="32"/>
  <c r="F28" i="17" s="1"/>
  <c r="J23" i="38"/>
  <c r="J31" i="32"/>
  <c r="I31" i="32"/>
  <c r="K29" i="31"/>
  <c r="D27" i="17" s="1"/>
  <c r="K22" i="38"/>
  <c r="J30" i="34"/>
  <c r="I30" i="34"/>
  <c r="J30" i="35"/>
  <c r="K30" i="35" s="1"/>
  <c r="E28" i="17" s="1"/>
  <c r="I30" i="35"/>
  <c r="J30" i="31"/>
  <c r="I30" i="31"/>
  <c r="K29" i="34"/>
  <c r="G27" i="17" s="1"/>
  <c r="L22" i="38"/>
  <c r="V31" i="32"/>
  <c r="W31" i="32" s="1"/>
  <c r="W29" i="17" s="1"/>
  <c r="U31" i="32"/>
  <c r="J30" i="37"/>
  <c r="K30" i="37" s="1"/>
  <c r="J28" i="17" s="1"/>
  <c r="I30" i="37"/>
  <c r="J30" i="33"/>
  <c r="K30" i="33" s="1"/>
  <c r="H28" i="17" s="1"/>
  <c r="I30" i="33"/>
  <c r="V30" i="33"/>
  <c r="W30" i="33" s="1"/>
  <c r="Y28" i="17" s="1"/>
  <c r="U30" i="33"/>
  <c r="V32" i="34"/>
  <c r="W32" i="34" s="1"/>
  <c r="X30" i="17" s="1"/>
  <c r="U32" i="34"/>
  <c r="V30" i="31"/>
  <c r="W30" i="31" s="1"/>
  <c r="U28" i="17" s="1"/>
  <c r="U30" i="31"/>
  <c r="O25" i="17"/>
  <c r="E20" i="28"/>
  <c r="V32" i="35"/>
  <c r="W32" i="35" s="1"/>
  <c r="V30" i="17" s="1"/>
  <c r="U32" i="35"/>
  <c r="V30" i="18"/>
  <c r="W30" i="18" s="1"/>
  <c r="T28" i="17" s="1"/>
  <c r="U30" i="18"/>
  <c r="E21" i="28" l="1"/>
  <c r="M21" i="38" s="1"/>
  <c r="J31" i="18"/>
  <c r="K31" i="18" s="1"/>
  <c r="C29" i="17" s="1"/>
  <c r="I31" i="18"/>
  <c r="J24" i="38"/>
  <c r="K31" i="32"/>
  <c r="F29" i="17" s="1"/>
  <c r="AC28" i="17"/>
  <c r="AF28" i="17" s="1"/>
  <c r="J32" i="32"/>
  <c r="I32" i="32"/>
  <c r="L27" i="17"/>
  <c r="E22" i="28" s="1"/>
  <c r="V31" i="37"/>
  <c r="W31" i="37" s="1"/>
  <c r="AA29" i="17" s="1"/>
  <c r="U31" i="37"/>
  <c r="J31" i="31"/>
  <c r="I31" i="31"/>
  <c r="J31" i="34"/>
  <c r="I31" i="34"/>
  <c r="J31" i="35"/>
  <c r="K31" i="35" s="1"/>
  <c r="E29" i="17" s="1"/>
  <c r="I31" i="35"/>
  <c r="V33" i="34"/>
  <c r="W33" i="34" s="1"/>
  <c r="X31" i="17" s="1"/>
  <c r="U33" i="34"/>
  <c r="V31" i="33"/>
  <c r="W31" i="33" s="1"/>
  <c r="Y29" i="17" s="1"/>
  <c r="U31" i="33"/>
  <c r="V32" i="32"/>
  <c r="W32" i="32" s="1"/>
  <c r="W30" i="17" s="1"/>
  <c r="U32" i="32"/>
  <c r="K30" i="34"/>
  <c r="G28" i="17" s="1"/>
  <c r="L23" i="38"/>
  <c r="J31" i="37"/>
  <c r="K31" i="37" s="1"/>
  <c r="J29" i="17" s="1"/>
  <c r="I31" i="37"/>
  <c r="V33" i="35"/>
  <c r="W33" i="35" s="1"/>
  <c r="V31" i="17" s="1"/>
  <c r="U33" i="35"/>
  <c r="M20" i="38"/>
  <c r="N20" i="38"/>
  <c r="O20" i="38"/>
  <c r="K23" i="38"/>
  <c r="K30" i="31"/>
  <c r="D28" i="17" s="1"/>
  <c r="V31" i="31"/>
  <c r="W31" i="31" s="1"/>
  <c r="U29" i="17" s="1"/>
  <c r="U31" i="31"/>
  <c r="J31" i="33"/>
  <c r="K31" i="33" s="1"/>
  <c r="H29" i="17" s="1"/>
  <c r="I31" i="33"/>
  <c r="V31" i="18"/>
  <c r="W31" i="18" s="1"/>
  <c r="T29" i="17" s="1"/>
  <c r="U31" i="18"/>
  <c r="O21" i="38"/>
  <c r="N21" i="38" l="1"/>
  <c r="L28" i="17"/>
  <c r="O27" i="17"/>
  <c r="J32" i="18"/>
  <c r="K32" i="18" s="1"/>
  <c r="C30" i="17" s="1"/>
  <c r="I32" i="18"/>
  <c r="M22" i="38"/>
  <c r="O22" i="38"/>
  <c r="N22" i="38"/>
  <c r="J33" i="32"/>
  <c r="I33" i="32"/>
  <c r="J25" i="38"/>
  <c r="K32" i="32"/>
  <c r="F30" i="17" s="1"/>
  <c r="U32" i="37"/>
  <c r="V32" i="37"/>
  <c r="W32" i="37" s="1"/>
  <c r="AA30" i="17" s="1"/>
  <c r="V32" i="33"/>
  <c r="W32" i="33" s="1"/>
  <c r="Y30" i="17" s="1"/>
  <c r="U32" i="33"/>
  <c r="V32" i="31"/>
  <c r="W32" i="31" s="1"/>
  <c r="U30" i="17" s="1"/>
  <c r="U32" i="31"/>
  <c r="J32" i="35"/>
  <c r="K32" i="35" s="1"/>
  <c r="E30" i="17" s="1"/>
  <c r="I32" i="35"/>
  <c r="AC29" i="17"/>
  <c r="AF29" i="17" s="1"/>
  <c r="V33" i="32"/>
  <c r="W33" i="32" s="1"/>
  <c r="W31" i="17" s="1"/>
  <c r="U33" i="32"/>
  <c r="L24" i="38"/>
  <c r="K31" i="34"/>
  <c r="G29" i="17" s="1"/>
  <c r="V32" i="18"/>
  <c r="W32" i="18" s="1"/>
  <c r="T30" i="17" s="1"/>
  <c r="U32" i="18"/>
  <c r="J32" i="37"/>
  <c r="K32" i="37" s="1"/>
  <c r="J30" i="17" s="1"/>
  <c r="I32" i="37"/>
  <c r="J32" i="34"/>
  <c r="I32" i="34"/>
  <c r="J32" i="33"/>
  <c r="K32" i="33" s="1"/>
  <c r="H30" i="17" s="1"/>
  <c r="I32" i="33"/>
  <c r="J32" i="31"/>
  <c r="I32" i="31"/>
  <c r="V34" i="35"/>
  <c r="W34" i="35" s="1"/>
  <c r="V32" i="17" s="1"/>
  <c r="U34" i="35"/>
  <c r="V34" i="34"/>
  <c r="W34" i="34" s="1"/>
  <c r="X32" i="17" s="1"/>
  <c r="U34" i="34"/>
  <c r="K24" i="38"/>
  <c r="K31" i="31"/>
  <c r="D29" i="17" s="1"/>
  <c r="E23" i="28" l="1"/>
  <c r="M23" i="38" s="1"/>
  <c r="O28" i="17"/>
  <c r="I33" i="18"/>
  <c r="J33" i="18"/>
  <c r="K33" i="18" s="1"/>
  <c r="C31" i="17" s="1"/>
  <c r="L29" i="17"/>
  <c r="E24" i="28" s="1"/>
  <c r="M24" i="38" s="1"/>
  <c r="J34" i="32"/>
  <c r="I34" i="32"/>
  <c r="K33" i="32"/>
  <c r="F31" i="17" s="1"/>
  <c r="J26" i="38"/>
  <c r="V33" i="37"/>
  <c r="W33" i="37" s="1"/>
  <c r="AA31" i="17" s="1"/>
  <c r="U33" i="37"/>
  <c r="V35" i="34"/>
  <c r="W35" i="34" s="1"/>
  <c r="X33" i="17" s="1"/>
  <c r="U35" i="34"/>
  <c r="V33" i="31"/>
  <c r="W33" i="31" s="1"/>
  <c r="U31" i="17" s="1"/>
  <c r="U33" i="31"/>
  <c r="V33" i="18"/>
  <c r="W33" i="18" s="1"/>
  <c r="T31" i="17" s="1"/>
  <c r="U33" i="18"/>
  <c r="J33" i="33"/>
  <c r="K33" i="33" s="1"/>
  <c r="H31" i="17" s="1"/>
  <c r="I33" i="33"/>
  <c r="V35" i="35"/>
  <c r="W35" i="35" s="1"/>
  <c r="V33" i="17" s="1"/>
  <c r="U35" i="35"/>
  <c r="AC30" i="17"/>
  <c r="AF30" i="17" s="1"/>
  <c r="V33" i="33"/>
  <c r="W33" i="33" s="1"/>
  <c r="Y31" i="17" s="1"/>
  <c r="U33" i="33"/>
  <c r="J33" i="34"/>
  <c r="I33" i="34"/>
  <c r="J33" i="35"/>
  <c r="K33" i="35" s="1"/>
  <c r="E31" i="17" s="1"/>
  <c r="I33" i="35"/>
  <c r="J33" i="31"/>
  <c r="I33" i="31"/>
  <c r="L25" i="38"/>
  <c r="K32" i="34"/>
  <c r="G30" i="17" s="1"/>
  <c r="K25" i="38"/>
  <c r="K32" i="31"/>
  <c r="D30" i="17" s="1"/>
  <c r="J33" i="37"/>
  <c r="K33" i="37" s="1"/>
  <c r="J31" i="17" s="1"/>
  <c r="I33" i="37"/>
  <c r="V34" i="32"/>
  <c r="W34" i="32" s="1"/>
  <c r="W32" i="17" s="1"/>
  <c r="U34" i="32"/>
  <c r="O23" i="38" l="1"/>
  <c r="N23" i="38"/>
  <c r="I34" i="18"/>
  <c r="J34" i="18"/>
  <c r="K34" i="18" s="1"/>
  <c r="C32" i="17" s="1"/>
  <c r="O29" i="17"/>
  <c r="U34" i="37"/>
  <c r="V34" i="37"/>
  <c r="W34" i="37" s="1"/>
  <c r="AA32" i="17" s="1"/>
  <c r="J35" i="32"/>
  <c r="I35" i="32"/>
  <c r="K34" i="32"/>
  <c r="F32" i="17" s="1"/>
  <c r="J27" i="38"/>
  <c r="V34" i="33"/>
  <c r="W34" i="33" s="1"/>
  <c r="Y32" i="17" s="1"/>
  <c r="U34" i="33"/>
  <c r="V34" i="31"/>
  <c r="W34" i="31" s="1"/>
  <c r="U32" i="17" s="1"/>
  <c r="U34" i="31"/>
  <c r="J34" i="34"/>
  <c r="I34" i="34"/>
  <c r="V35" i="32"/>
  <c r="W35" i="32" s="1"/>
  <c r="W33" i="17" s="1"/>
  <c r="U35" i="32"/>
  <c r="J34" i="33"/>
  <c r="K34" i="33" s="1"/>
  <c r="H32" i="17" s="1"/>
  <c r="I34" i="33"/>
  <c r="J34" i="37"/>
  <c r="K34" i="37" s="1"/>
  <c r="J32" i="17" s="1"/>
  <c r="I34" i="37"/>
  <c r="L30" i="17"/>
  <c r="K26" i="38"/>
  <c r="K33" i="31"/>
  <c r="D31" i="17" s="1"/>
  <c r="V36" i="35"/>
  <c r="W36" i="35" s="1"/>
  <c r="V34" i="17" s="1"/>
  <c r="U36" i="35"/>
  <c r="V34" i="18"/>
  <c r="W34" i="18" s="1"/>
  <c r="T32" i="17" s="1"/>
  <c r="U34" i="18"/>
  <c r="J34" i="35"/>
  <c r="K34" i="35" s="1"/>
  <c r="E32" i="17" s="1"/>
  <c r="I34" i="35"/>
  <c r="AC31" i="17"/>
  <c r="AF31" i="17" s="1"/>
  <c r="V36" i="34"/>
  <c r="W36" i="34" s="1"/>
  <c r="X34" i="17" s="1"/>
  <c r="U36" i="34"/>
  <c r="O24" i="38"/>
  <c r="L26" i="38"/>
  <c r="K33" i="34"/>
  <c r="G31" i="17" s="1"/>
  <c r="N24" i="38"/>
  <c r="J34" i="31"/>
  <c r="I34" i="31"/>
  <c r="I35" i="18" l="1"/>
  <c r="J35" i="18"/>
  <c r="K35" i="18" s="1"/>
  <c r="C33" i="17" s="1"/>
  <c r="J36" i="32"/>
  <c r="I36" i="32"/>
  <c r="K35" i="32"/>
  <c r="F33" i="17" s="1"/>
  <c r="J28" i="38"/>
  <c r="AC32" i="17"/>
  <c r="AF32" i="17" s="1"/>
  <c r="V35" i="37"/>
  <c r="W35" i="37" s="1"/>
  <c r="AA33" i="17" s="1"/>
  <c r="U35" i="37"/>
  <c r="J35" i="34"/>
  <c r="I35" i="34"/>
  <c r="J35" i="37"/>
  <c r="K35" i="37" s="1"/>
  <c r="J33" i="17" s="1"/>
  <c r="I35" i="37"/>
  <c r="V35" i="31"/>
  <c r="W35" i="31" s="1"/>
  <c r="U33" i="17" s="1"/>
  <c r="U35" i="31"/>
  <c r="V37" i="35"/>
  <c r="W37" i="35" s="1"/>
  <c r="V35" i="17" s="1"/>
  <c r="U37" i="35"/>
  <c r="V36" i="32"/>
  <c r="W36" i="32" s="1"/>
  <c r="W34" i="17" s="1"/>
  <c r="U36" i="32"/>
  <c r="V35" i="18"/>
  <c r="W35" i="18" s="1"/>
  <c r="T33" i="17" s="1"/>
  <c r="U35" i="18"/>
  <c r="V37" i="34"/>
  <c r="W37" i="34" s="1"/>
  <c r="X35" i="17" s="1"/>
  <c r="U37" i="34"/>
  <c r="K34" i="34"/>
  <c r="G32" i="17" s="1"/>
  <c r="L27" i="38"/>
  <c r="J35" i="35"/>
  <c r="K35" i="35" s="1"/>
  <c r="E33" i="17" s="1"/>
  <c r="I35" i="35"/>
  <c r="J35" i="33"/>
  <c r="K35" i="33" s="1"/>
  <c r="H33" i="17" s="1"/>
  <c r="I35" i="33"/>
  <c r="V35" i="33"/>
  <c r="W35" i="33" s="1"/>
  <c r="Y33" i="17" s="1"/>
  <c r="U35" i="33"/>
  <c r="J35" i="31"/>
  <c r="I35" i="31"/>
  <c r="K27" i="38"/>
  <c r="K34" i="31"/>
  <c r="D32" i="17" s="1"/>
  <c r="L31" i="17"/>
  <c r="O30" i="17"/>
  <c r="E25" i="28"/>
  <c r="I36" i="18" l="1"/>
  <c r="J36" i="18"/>
  <c r="K36" i="18" s="1"/>
  <c r="C34" i="17" s="1"/>
  <c r="AC33" i="17"/>
  <c r="AF33" i="17" s="1"/>
  <c r="V36" i="37"/>
  <c r="W36" i="37" s="1"/>
  <c r="AA34" i="17" s="1"/>
  <c r="U36" i="37"/>
  <c r="J37" i="32"/>
  <c r="I37" i="32"/>
  <c r="L32" i="17"/>
  <c r="E27" i="28" s="1"/>
  <c r="K36" i="32"/>
  <c r="F34" i="17" s="1"/>
  <c r="J29" i="38"/>
  <c r="V37" i="32"/>
  <c r="W37" i="32" s="1"/>
  <c r="W35" i="17" s="1"/>
  <c r="U37" i="32"/>
  <c r="J36" i="37"/>
  <c r="K36" i="37" s="1"/>
  <c r="J34" i="17" s="1"/>
  <c r="I36" i="37"/>
  <c r="V36" i="33"/>
  <c r="W36" i="33" s="1"/>
  <c r="Y34" i="17" s="1"/>
  <c r="U36" i="33"/>
  <c r="J36" i="33"/>
  <c r="K36" i="33" s="1"/>
  <c r="H34" i="17" s="1"/>
  <c r="I36" i="33"/>
  <c r="J36" i="31"/>
  <c r="I36" i="31"/>
  <c r="V38" i="34"/>
  <c r="W38" i="34" s="1"/>
  <c r="X36" i="17" s="1"/>
  <c r="U38" i="34"/>
  <c r="J36" i="34"/>
  <c r="I36" i="34"/>
  <c r="V36" i="31"/>
  <c r="W36" i="31" s="1"/>
  <c r="U34" i="17" s="1"/>
  <c r="U36" i="31"/>
  <c r="K35" i="34"/>
  <c r="G33" i="17" s="1"/>
  <c r="L28" i="38"/>
  <c r="J36" i="35"/>
  <c r="K36" i="35" s="1"/>
  <c r="E34" i="17" s="1"/>
  <c r="I36" i="35"/>
  <c r="E26" i="28"/>
  <c r="O31" i="17"/>
  <c r="K28" i="38"/>
  <c r="K35" i="31"/>
  <c r="D33" i="17" s="1"/>
  <c r="M25" i="38"/>
  <c r="N25" i="38"/>
  <c r="O25" i="38"/>
  <c r="V36" i="18"/>
  <c r="W36" i="18" s="1"/>
  <c r="T34" i="17" s="1"/>
  <c r="U36" i="18"/>
  <c r="V38" i="35"/>
  <c r="W38" i="35" s="1"/>
  <c r="V36" i="17" s="1"/>
  <c r="U38" i="35"/>
  <c r="I37" i="18" l="1"/>
  <c r="J37" i="18"/>
  <c r="K37" i="18" s="1"/>
  <c r="C35" i="17" s="1"/>
  <c r="O32" i="17"/>
  <c r="M27" i="38"/>
  <c r="N27" i="38"/>
  <c r="O27" i="38"/>
  <c r="I38" i="32"/>
  <c r="J38" i="32"/>
  <c r="J30" i="38"/>
  <c r="K37" i="32"/>
  <c r="F35" i="17" s="1"/>
  <c r="V37" i="37"/>
  <c r="W37" i="37" s="1"/>
  <c r="AA35" i="17" s="1"/>
  <c r="U37" i="37"/>
  <c r="J37" i="37"/>
  <c r="K37" i="37" s="1"/>
  <c r="J35" i="17" s="1"/>
  <c r="I37" i="37"/>
  <c r="K36" i="31"/>
  <c r="D34" i="17" s="1"/>
  <c r="K29" i="38"/>
  <c r="J37" i="35"/>
  <c r="K37" i="35" s="1"/>
  <c r="E35" i="17" s="1"/>
  <c r="I37" i="35"/>
  <c r="J37" i="34"/>
  <c r="I37" i="34"/>
  <c r="J37" i="33"/>
  <c r="K37" i="33" s="1"/>
  <c r="H35" i="17" s="1"/>
  <c r="I37" i="33"/>
  <c r="V38" i="32"/>
  <c r="W38" i="32" s="1"/>
  <c r="W36" i="17" s="1"/>
  <c r="U38" i="32"/>
  <c r="U39" i="35"/>
  <c r="V39" i="35"/>
  <c r="W39" i="35" s="1"/>
  <c r="V37" i="17" s="1"/>
  <c r="K36" i="34"/>
  <c r="G34" i="17" s="1"/>
  <c r="L29" i="38"/>
  <c r="V37" i="18"/>
  <c r="W37" i="18" s="1"/>
  <c r="T35" i="17" s="1"/>
  <c r="U37" i="18"/>
  <c r="V37" i="33"/>
  <c r="W37" i="33" s="1"/>
  <c r="Y35" i="17" s="1"/>
  <c r="U37" i="33"/>
  <c r="L33" i="17"/>
  <c r="V37" i="31"/>
  <c r="W37" i="31" s="1"/>
  <c r="U35" i="17" s="1"/>
  <c r="U37" i="31"/>
  <c r="J37" i="31"/>
  <c r="I37" i="31"/>
  <c r="M26" i="38"/>
  <c r="N26" i="38"/>
  <c r="O26" i="38"/>
  <c r="AC34" i="17"/>
  <c r="AF34" i="17" s="1"/>
  <c r="V39" i="34"/>
  <c r="W39" i="34" s="1"/>
  <c r="X37" i="17" s="1"/>
  <c r="U39" i="34"/>
  <c r="J38" i="18" l="1"/>
  <c r="K38" i="18" s="1"/>
  <c r="C36" i="17" s="1"/>
  <c r="I38" i="18"/>
  <c r="J31" i="38"/>
  <c r="K38" i="32"/>
  <c r="F36" i="17" s="1"/>
  <c r="J39" i="32"/>
  <c r="I39" i="32"/>
  <c r="V38" i="37"/>
  <c r="W38" i="37" s="1"/>
  <c r="AA36" i="17" s="1"/>
  <c r="U38" i="37"/>
  <c r="J38" i="35"/>
  <c r="K38" i="35" s="1"/>
  <c r="E36" i="17" s="1"/>
  <c r="I38" i="35"/>
  <c r="J38" i="34"/>
  <c r="I38" i="34"/>
  <c r="V40" i="34"/>
  <c r="W40" i="34" s="1"/>
  <c r="X38" i="17" s="1"/>
  <c r="U40" i="34"/>
  <c r="V38" i="33"/>
  <c r="W38" i="33" s="1"/>
  <c r="Y36" i="17" s="1"/>
  <c r="U38" i="33"/>
  <c r="J38" i="31"/>
  <c r="I38" i="31"/>
  <c r="V40" i="35"/>
  <c r="W40" i="35" s="1"/>
  <c r="V38" i="17" s="1"/>
  <c r="U40" i="35"/>
  <c r="L30" i="38"/>
  <c r="K37" i="34"/>
  <c r="G35" i="17" s="1"/>
  <c r="V39" i="32"/>
  <c r="W39" i="32" s="1"/>
  <c r="W37" i="17" s="1"/>
  <c r="U39" i="32"/>
  <c r="L34" i="17"/>
  <c r="V38" i="18"/>
  <c r="W38" i="18" s="1"/>
  <c r="T36" i="17" s="1"/>
  <c r="U38" i="18"/>
  <c r="J38" i="33"/>
  <c r="K38" i="33" s="1"/>
  <c r="H36" i="17" s="1"/>
  <c r="I38" i="33"/>
  <c r="J38" i="37"/>
  <c r="K38" i="37" s="1"/>
  <c r="J36" i="17" s="1"/>
  <c r="I38" i="37"/>
  <c r="K37" i="31"/>
  <c r="D35" i="17" s="1"/>
  <c r="K30" i="38"/>
  <c r="V38" i="31"/>
  <c r="W38" i="31" s="1"/>
  <c r="U36" i="17" s="1"/>
  <c r="U38" i="31"/>
  <c r="E28" i="28"/>
  <c r="O33" i="17"/>
  <c r="AC35" i="17"/>
  <c r="AF35" i="17" s="1"/>
  <c r="I39" i="18" l="1"/>
  <c r="J39" i="18"/>
  <c r="K39" i="18" s="1"/>
  <c r="C37" i="17" s="1"/>
  <c r="V39" i="37"/>
  <c r="W39" i="37" s="1"/>
  <c r="AA37" i="17" s="1"/>
  <c r="U39" i="37"/>
  <c r="L35" i="17"/>
  <c r="O35" i="17" s="1"/>
  <c r="I40" i="32"/>
  <c r="J40" i="32"/>
  <c r="J32" i="38"/>
  <c r="K39" i="32"/>
  <c r="F37" i="17" s="1"/>
  <c r="E29" i="28"/>
  <c r="O34" i="17"/>
  <c r="J39" i="37"/>
  <c r="K39" i="37" s="1"/>
  <c r="J37" i="17" s="1"/>
  <c r="I39" i="37"/>
  <c r="V41" i="35"/>
  <c r="W41" i="35" s="1"/>
  <c r="V39" i="17" s="1"/>
  <c r="U41" i="35"/>
  <c r="V41" i="34"/>
  <c r="W41" i="34" s="1"/>
  <c r="X39" i="17" s="1"/>
  <c r="U41" i="34"/>
  <c r="M28" i="38"/>
  <c r="N28" i="38"/>
  <c r="O28" i="38"/>
  <c r="I39" i="31"/>
  <c r="J39" i="31"/>
  <c r="I39" i="34"/>
  <c r="J39" i="34"/>
  <c r="K38" i="31"/>
  <c r="D36" i="17" s="1"/>
  <c r="K31" i="38"/>
  <c r="K38" i="34"/>
  <c r="G36" i="17" s="1"/>
  <c r="L31" i="38"/>
  <c r="U40" i="32"/>
  <c r="V40" i="32"/>
  <c r="W40" i="32" s="1"/>
  <c r="W38" i="17" s="1"/>
  <c r="V39" i="33"/>
  <c r="W39" i="33" s="1"/>
  <c r="Y37" i="17" s="1"/>
  <c r="U39" i="33"/>
  <c r="I39" i="35"/>
  <c r="J39" i="35"/>
  <c r="K39" i="35" s="1"/>
  <c r="E37" i="17" s="1"/>
  <c r="V39" i="31"/>
  <c r="W39" i="31" s="1"/>
  <c r="U37" i="17" s="1"/>
  <c r="U39" i="31"/>
  <c r="J39" i="33"/>
  <c r="K39" i="33" s="1"/>
  <c r="H37" i="17" s="1"/>
  <c r="I39" i="33"/>
  <c r="U39" i="18"/>
  <c r="V39" i="18"/>
  <c r="W39" i="18" s="1"/>
  <c r="T37" i="17" s="1"/>
  <c r="AC36" i="17"/>
  <c r="AF36" i="17" s="1"/>
  <c r="L36" i="17" l="1"/>
  <c r="O36" i="17" s="1"/>
  <c r="I40" i="18"/>
  <c r="J40" i="18"/>
  <c r="K40" i="18" s="1"/>
  <c r="C38" i="17" s="1"/>
  <c r="E30" i="28"/>
  <c r="K40" i="32"/>
  <c r="F38" i="17" s="1"/>
  <c r="J33" i="38"/>
  <c r="J41" i="32"/>
  <c r="I41" i="32"/>
  <c r="V40" i="37"/>
  <c r="W40" i="37" s="1"/>
  <c r="AA38" i="17" s="1"/>
  <c r="U40" i="37"/>
  <c r="AC37" i="17"/>
  <c r="AF37" i="17" s="1"/>
  <c r="V41" i="32"/>
  <c r="W41" i="32" s="1"/>
  <c r="W39" i="17" s="1"/>
  <c r="U41" i="32"/>
  <c r="I40" i="34"/>
  <c r="J40" i="34"/>
  <c r="I40" i="37"/>
  <c r="J40" i="37"/>
  <c r="K40" i="37" s="1"/>
  <c r="J38" i="17" s="1"/>
  <c r="K39" i="31"/>
  <c r="D37" i="17" s="1"/>
  <c r="K32" i="38"/>
  <c r="U40" i="31"/>
  <c r="V40" i="31"/>
  <c r="W40" i="31" s="1"/>
  <c r="U38" i="17" s="1"/>
  <c r="J40" i="35"/>
  <c r="K40" i="35" s="1"/>
  <c r="E38" i="17" s="1"/>
  <c r="I40" i="35"/>
  <c r="I40" i="31"/>
  <c r="J40" i="31"/>
  <c r="V40" i="33"/>
  <c r="W40" i="33" s="1"/>
  <c r="Y38" i="17" s="1"/>
  <c r="U40" i="33"/>
  <c r="K39" i="34"/>
  <c r="G37" i="17" s="1"/>
  <c r="L32" i="38"/>
  <c r="U42" i="34"/>
  <c r="V42" i="34"/>
  <c r="W42" i="34" s="1"/>
  <c r="X40" i="17" s="1"/>
  <c r="V42" i="35"/>
  <c r="W42" i="35" s="1"/>
  <c r="V40" i="17" s="1"/>
  <c r="U42" i="35"/>
  <c r="V40" i="18"/>
  <c r="W40" i="18" s="1"/>
  <c r="T38" i="17" s="1"/>
  <c r="U40" i="18"/>
  <c r="J40" i="33"/>
  <c r="K40" i="33" s="1"/>
  <c r="H38" i="17" s="1"/>
  <c r="I40" i="33"/>
  <c r="M29" i="38"/>
  <c r="N29" i="38"/>
  <c r="O29" i="38"/>
  <c r="E31" i="28" l="1"/>
  <c r="M31" i="38" s="1"/>
  <c r="L37" i="17"/>
  <c r="E32" i="28" s="1"/>
  <c r="M32" i="38" s="1"/>
  <c r="I41" i="18"/>
  <c r="J41" i="18"/>
  <c r="K41" i="18" s="1"/>
  <c r="C39" i="17" s="1"/>
  <c r="V41" i="37"/>
  <c r="W41" i="37" s="1"/>
  <c r="AA39" i="17" s="1"/>
  <c r="U41" i="37"/>
  <c r="J42" i="32"/>
  <c r="I42" i="32"/>
  <c r="J34" i="38"/>
  <c r="K41" i="32"/>
  <c r="F39" i="17" s="1"/>
  <c r="M30" i="38"/>
  <c r="N30" i="38"/>
  <c r="O30" i="38"/>
  <c r="V41" i="31"/>
  <c r="W41" i="31" s="1"/>
  <c r="U39" i="17" s="1"/>
  <c r="U41" i="31"/>
  <c r="K40" i="34"/>
  <c r="G38" i="17" s="1"/>
  <c r="L33" i="38"/>
  <c r="I41" i="33"/>
  <c r="J41" i="33"/>
  <c r="K41" i="33" s="1"/>
  <c r="H39" i="17" s="1"/>
  <c r="U43" i="34"/>
  <c r="V43" i="34"/>
  <c r="W43" i="34" s="1"/>
  <c r="X41" i="17" s="1"/>
  <c r="I41" i="34"/>
  <c r="J41" i="34"/>
  <c r="K33" i="38"/>
  <c r="K40" i="31"/>
  <c r="D38" i="17" s="1"/>
  <c r="V41" i="33"/>
  <c r="W41" i="33" s="1"/>
  <c r="Y39" i="17" s="1"/>
  <c r="U41" i="33"/>
  <c r="U41" i="18"/>
  <c r="V41" i="18"/>
  <c r="W41" i="18" s="1"/>
  <c r="T39" i="17" s="1"/>
  <c r="I41" i="31"/>
  <c r="J41" i="31"/>
  <c r="U42" i="32"/>
  <c r="V42" i="32"/>
  <c r="W42" i="32" s="1"/>
  <c r="W40" i="17" s="1"/>
  <c r="U43" i="35"/>
  <c r="V43" i="35"/>
  <c r="W43" i="35" s="1"/>
  <c r="V41" i="17" s="1"/>
  <c r="J41" i="37"/>
  <c r="K41" i="37" s="1"/>
  <c r="J39" i="17" s="1"/>
  <c r="I41" i="37"/>
  <c r="AC38" i="17"/>
  <c r="AF38" i="17" s="1"/>
  <c r="J41" i="35"/>
  <c r="K41" i="35" s="1"/>
  <c r="E39" i="17" s="1"/>
  <c r="I41" i="35"/>
  <c r="O37" i="17" l="1"/>
  <c r="O31" i="38"/>
  <c r="N31" i="38"/>
  <c r="L38" i="17"/>
  <c r="E33" i="28" s="1"/>
  <c r="M33" i="38" s="1"/>
  <c r="J42" i="18"/>
  <c r="K42" i="18" s="1"/>
  <c r="C40" i="17" s="1"/>
  <c r="I42" i="18"/>
  <c r="I43" i="32"/>
  <c r="J43" i="32"/>
  <c r="J35" i="38"/>
  <c r="K42" i="32"/>
  <c r="F40" i="17" s="1"/>
  <c r="V42" i="37"/>
  <c r="W42" i="37" s="1"/>
  <c r="AA40" i="17" s="1"/>
  <c r="U42" i="37"/>
  <c r="AC39" i="17"/>
  <c r="AF39" i="17" s="1"/>
  <c r="V44" i="34"/>
  <c r="W44" i="34" s="1"/>
  <c r="X42" i="17" s="1"/>
  <c r="U44" i="34"/>
  <c r="V42" i="33"/>
  <c r="W42" i="33" s="1"/>
  <c r="Y40" i="17" s="1"/>
  <c r="U42" i="33"/>
  <c r="O32" i="38"/>
  <c r="U43" i="32"/>
  <c r="V43" i="32"/>
  <c r="W43" i="32" s="1"/>
  <c r="W41" i="17" s="1"/>
  <c r="K41" i="34"/>
  <c r="G39" i="17" s="1"/>
  <c r="L34" i="38"/>
  <c r="J42" i="33"/>
  <c r="K42" i="33" s="1"/>
  <c r="H40" i="17" s="1"/>
  <c r="I42" i="33"/>
  <c r="V44" i="35"/>
  <c r="W44" i="35" s="1"/>
  <c r="V42" i="17" s="1"/>
  <c r="U44" i="35"/>
  <c r="I42" i="34"/>
  <c r="J42" i="34"/>
  <c r="J42" i="31"/>
  <c r="I42" i="31"/>
  <c r="N32" i="38"/>
  <c r="K34" i="38"/>
  <c r="K41" i="31"/>
  <c r="D39" i="17" s="1"/>
  <c r="J42" i="37"/>
  <c r="K42" i="37" s="1"/>
  <c r="J40" i="17" s="1"/>
  <c r="I42" i="37"/>
  <c r="U42" i="31"/>
  <c r="V42" i="31"/>
  <c r="W42" i="31" s="1"/>
  <c r="U40" i="17" s="1"/>
  <c r="J42" i="35"/>
  <c r="K42" i="35" s="1"/>
  <c r="E40" i="17" s="1"/>
  <c r="I42" i="35"/>
  <c r="U42" i="18"/>
  <c r="V42" i="18"/>
  <c r="W42" i="18" s="1"/>
  <c r="T40" i="17" s="1"/>
  <c r="O38" i="17" l="1"/>
  <c r="I43" i="18"/>
  <c r="J43" i="18"/>
  <c r="K43" i="18" s="1"/>
  <c r="C41" i="17" s="1"/>
  <c r="AC40" i="17"/>
  <c r="AF40" i="17" s="1"/>
  <c r="V43" i="37"/>
  <c r="W43" i="37" s="1"/>
  <c r="AA41" i="17" s="1"/>
  <c r="U43" i="37"/>
  <c r="O33" i="38"/>
  <c r="N33" i="38"/>
  <c r="K43" i="32"/>
  <c r="F41" i="17" s="1"/>
  <c r="J36" i="38"/>
  <c r="J44" i="32"/>
  <c r="I44" i="32"/>
  <c r="K42" i="31"/>
  <c r="D40" i="17" s="1"/>
  <c r="K35" i="38"/>
  <c r="V45" i="35"/>
  <c r="W45" i="35" s="1"/>
  <c r="V43" i="17" s="1"/>
  <c r="U45" i="35"/>
  <c r="V44" i="32"/>
  <c r="W44" i="32" s="1"/>
  <c r="W42" i="17" s="1"/>
  <c r="U44" i="32"/>
  <c r="I43" i="37"/>
  <c r="J43" i="37"/>
  <c r="K43" i="37" s="1"/>
  <c r="J41" i="17" s="1"/>
  <c r="I43" i="31"/>
  <c r="J43" i="31"/>
  <c r="L39" i="17"/>
  <c r="U43" i="18"/>
  <c r="V43" i="18"/>
  <c r="W43" i="18" s="1"/>
  <c r="T41" i="17" s="1"/>
  <c r="V43" i="33"/>
  <c r="W43" i="33" s="1"/>
  <c r="Y41" i="17" s="1"/>
  <c r="U43" i="33"/>
  <c r="I43" i="34"/>
  <c r="J43" i="34"/>
  <c r="I43" i="33"/>
  <c r="J43" i="33"/>
  <c r="K43" i="33" s="1"/>
  <c r="H41" i="17" s="1"/>
  <c r="V43" i="31"/>
  <c r="W43" i="31" s="1"/>
  <c r="U41" i="17" s="1"/>
  <c r="U43" i="31"/>
  <c r="U45" i="34"/>
  <c r="V45" i="34"/>
  <c r="W45" i="34" s="1"/>
  <c r="X43" i="17" s="1"/>
  <c r="J43" i="35"/>
  <c r="K43" i="35" s="1"/>
  <c r="E41" i="17" s="1"/>
  <c r="I43" i="35"/>
  <c r="L35" i="38"/>
  <c r="K42" i="34"/>
  <c r="G40" i="17" s="1"/>
  <c r="J44" i="18" l="1"/>
  <c r="K44" i="18" s="1"/>
  <c r="C42" i="17" s="1"/>
  <c r="I44" i="18"/>
  <c r="K44" i="32"/>
  <c r="F42" i="17" s="1"/>
  <c r="J37" i="38"/>
  <c r="I45" i="32"/>
  <c r="J45" i="32"/>
  <c r="V44" i="37"/>
  <c r="W44" i="37" s="1"/>
  <c r="AA42" i="17" s="1"/>
  <c r="U44" i="37"/>
  <c r="AC41" i="17"/>
  <c r="AF41" i="17" s="1"/>
  <c r="J44" i="37"/>
  <c r="K44" i="37" s="1"/>
  <c r="J42" i="17" s="1"/>
  <c r="I44" i="37"/>
  <c r="U44" i="18"/>
  <c r="V44" i="18"/>
  <c r="W44" i="18" s="1"/>
  <c r="T42" i="17" s="1"/>
  <c r="U45" i="32"/>
  <c r="V45" i="32"/>
  <c r="W45" i="32" s="1"/>
  <c r="W43" i="17" s="1"/>
  <c r="J44" i="33"/>
  <c r="K44" i="33" s="1"/>
  <c r="H42" i="17" s="1"/>
  <c r="I44" i="33"/>
  <c r="V46" i="34"/>
  <c r="W46" i="34" s="1"/>
  <c r="X44" i="17" s="1"/>
  <c r="U46" i="34"/>
  <c r="L36" i="38"/>
  <c r="K43" i="34"/>
  <c r="G41" i="17" s="1"/>
  <c r="V46" i="35"/>
  <c r="W46" i="35" s="1"/>
  <c r="V44" i="17" s="1"/>
  <c r="U46" i="35"/>
  <c r="I44" i="34"/>
  <c r="J44" i="34"/>
  <c r="O39" i="17"/>
  <c r="E34" i="28"/>
  <c r="J44" i="35"/>
  <c r="K44" i="35" s="1"/>
  <c r="E42" i="17" s="1"/>
  <c r="I44" i="35"/>
  <c r="U44" i="33"/>
  <c r="V44" i="33"/>
  <c r="W44" i="33" s="1"/>
  <c r="Y42" i="17" s="1"/>
  <c r="K36" i="38"/>
  <c r="K43" i="31"/>
  <c r="D41" i="17" s="1"/>
  <c r="U44" i="31"/>
  <c r="V44" i="31"/>
  <c r="W44" i="31" s="1"/>
  <c r="U42" i="17" s="1"/>
  <c r="I44" i="31"/>
  <c r="J44" i="31"/>
  <c r="L40" i="17"/>
  <c r="I45" i="18" l="1"/>
  <c r="J45" i="18"/>
  <c r="K45" i="18" s="1"/>
  <c r="C43" i="17" s="1"/>
  <c r="U45" i="37"/>
  <c r="V45" i="37"/>
  <c r="W45" i="37" s="1"/>
  <c r="AA43" i="17" s="1"/>
  <c r="J38" i="38"/>
  <c r="K45" i="32"/>
  <c r="F43" i="17" s="1"/>
  <c r="I46" i="32"/>
  <c r="J46" i="32"/>
  <c r="U45" i="33"/>
  <c r="V45" i="33"/>
  <c r="W45" i="33" s="1"/>
  <c r="Y43" i="17" s="1"/>
  <c r="V45" i="31"/>
  <c r="W45" i="31" s="1"/>
  <c r="U43" i="17" s="1"/>
  <c r="U45" i="31"/>
  <c r="U47" i="34"/>
  <c r="V47" i="34"/>
  <c r="W47" i="34" s="1"/>
  <c r="X45" i="17" s="1"/>
  <c r="U45" i="18"/>
  <c r="V45" i="18"/>
  <c r="W45" i="18" s="1"/>
  <c r="T43" i="17" s="1"/>
  <c r="J45" i="31"/>
  <c r="I45" i="31"/>
  <c r="J45" i="35"/>
  <c r="K45" i="35" s="1"/>
  <c r="E43" i="17" s="1"/>
  <c r="I45" i="35"/>
  <c r="L41" i="17"/>
  <c r="J45" i="37"/>
  <c r="K45" i="37" s="1"/>
  <c r="J43" i="17" s="1"/>
  <c r="I45" i="37"/>
  <c r="I45" i="34"/>
  <c r="J45" i="34"/>
  <c r="AC42" i="17"/>
  <c r="AF42" i="17" s="1"/>
  <c r="M34" i="38"/>
  <c r="N34" i="38"/>
  <c r="O34" i="38"/>
  <c r="V47" i="35"/>
  <c r="W47" i="35" s="1"/>
  <c r="V45" i="17" s="1"/>
  <c r="U47" i="35"/>
  <c r="I45" i="33"/>
  <c r="J45" i="33"/>
  <c r="K45" i="33" s="1"/>
  <c r="H43" i="17" s="1"/>
  <c r="L37" i="38"/>
  <c r="K44" i="34"/>
  <c r="G42" i="17" s="1"/>
  <c r="U46" i="32"/>
  <c r="V46" i="32"/>
  <c r="W46" i="32" s="1"/>
  <c r="W44" i="17" s="1"/>
  <c r="E35" i="28"/>
  <c r="O40" i="17"/>
  <c r="K37" i="38"/>
  <c r="K44" i="31"/>
  <c r="D42" i="17" s="1"/>
  <c r="L42" i="17" l="1"/>
  <c r="O42" i="17" s="1"/>
  <c r="J46" i="18"/>
  <c r="K46" i="18" s="1"/>
  <c r="C44" i="17" s="1"/>
  <c r="I46" i="18"/>
  <c r="K46" i="32"/>
  <c r="F44" i="17" s="1"/>
  <c r="J39" i="38"/>
  <c r="J47" i="32"/>
  <c r="I47" i="32"/>
  <c r="AC43" i="17"/>
  <c r="AF43" i="17" s="1"/>
  <c r="V46" i="37"/>
  <c r="W46" i="37" s="1"/>
  <c r="AA44" i="17" s="1"/>
  <c r="U46" i="37"/>
  <c r="I46" i="33"/>
  <c r="J46" i="33"/>
  <c r="K46" i="33" s="1"/>
  <c r="H44" i="17" s="1"/>
  <c r="I46" i="35"/>
  <c r="J46" i="35"/>
  <c r="K46" i="35" s="1"/>
  <c r="E44" i="17" s="1"/>
  <c r="V48" i="35"/>
  <c r="W48" i="35" s="1"/>
  <c r="V46" i="17" s="1"/>
  <c r="U48" i="35"/>
  <c r="V46" i="18"/>
  <c r="W46" i="18" s="1"/>
  <c r="T44" i="17" s="1"/>
  <c r="U46" i="18"/>
  <c r="J46" i="34"/>
  <c r="I46" i="34"/>
  <c r="V47" i="32"/>
  <c r="W47" i="32" s="1"/>
  <c r="W45" i="17" s="1"/>
  <c r="U47" i="32"/>
  <c r="J46" i="37"/>
  <c r="K46" i="37" s="1"/>
  <c r="J44" i="17" s="1"/>
  <c r="I46" i="37"/>
  <c r="V48" i="34"/>
  <c r="W48" i="34" s="1"/>
  <c r="X46" i="17" s="1"/>
  <c r="U48" i="34"/>
  <c r="K45" i="34"/>
  <c r="G43" i="17" s="1"/>
  <c r="L38" i="38"/>
  <c r="J46" i="31"/>
  <c r="I46" i="31"/>
  <c r="U46" i="31"/>
  <c r="V46" i="31"/>
  <c r="W46" i="31" s="1"/>
  <c r="U44" i="17" s="1"/>
  <c r="M35" i="38"/>
  <c r="O35" i="38"/>
  <c r="N35" i="38"/>
  <c r="E36" i="28"/>
  <c r="O41" i="17"/>
  <c r="K45" i="31"/>
  <c r="D43" i="17" s="1"/>
  <c r="K38" i="38"/>
  <c r="V46" i="33"/>
  <c r="W46" i="33" s="1"/>
  <c r="Y44" i="17" s="1"/>
  <c r="U46" i="33"/>
  <c r="E37" i="28" l="1"/>
  <c r="M37" i="38" s="1"/>
  <c r="J47" i="18"/>
  <c r="K47" i="18" s="1"/>
  <c r="C45" i="17" s="1"/>
  <c r="I47" i="18"/>
  <c r="AC44" i="17"/>
  <c r="AF44" i="17" s="1"/>
  <c r="I48" i="32"/>
  <c r="J48" i="32"/>
  <c r="V47" i="37"/>
  <c r="W47" i="37" s="1"/>
  <c r="AA45" i="17" s="1"/>
  <c r="U47" i="37"/>
  <c r="K47" i="32"/>
  <c r="F45" i="17" s="1"/>
  <c r="J40" i="38"/>
  <c r="K39" i="38"/>
  <c r="K46" i="31"/>
  <c r="D44" i="17" s="1"/>
  <c r="J47" i="37"/>
  <c r="K47" i="37" s="1"/>
  <c r="J45" i="17" s="1"/>
  <c r="I47" i="37"/>
  <c r="V49" i="35"/>
  <c r="W49" i="35" s="1"/>
  <c r="V47" i="17" s="1"/>
  <c r="U49" i="35"/>
  <c r="M36" i="38"/>
  <c r="N36" i="38"/>
  <c r="O36" i="38"/>
  <c r="U48" i="32"/>
  <c r="V48" i="32"/>
  <c r="W48" i="32" s="1"/>
  <c r="W46" i="17" s="1"/>
  <c r="V47" i="18"/>
  <c r="W47" i="18" s="1"/>
  <c r="T45" i="17" s="1"/>
  <c r="U47" i="18"/>
  <c r="J47" i="31"/>
  <c r="I47" i="31"/>
  <c r="J47" i="35"/>
  <c r="K47" i="35" s="1"/>
  <c r="E45" i="17" s="1"/>
  <c r="I47" i="35"/>
  <c r="U49" i="34"/>
  <c r="V49" i="34"/>
  <c r="W49" i="34" s="1"/>
  <c r="X47" i="17" s="1"/>
  <c r="I47" i="34"/>
  <c r="J47" i="34"/>
  <c r="U47" i="31"/>
  <c r="V47" i="31"/>
  <c r="W47" i="31" s="1"/>
  <c r="U45" i="17" s="1"/>
  <c r="V47" i="33"/>
  <c r="W47" i="33" s="1"/>
  <c r="Y45" i="17" s="1"/>
  <c r="U47" i="33"/>
  <c r="L43" i="17"/>
  <c r="L39" i="38"/>
  <c r="K46" i="34"/>
  <c r="G44" i="17" s="1"/>
  <c r="J47" i="33"/>
  <c r="K47" i="33" s="1"/>
  <c r="H45" i="17" s="1"/>
  <c r="I47" i="33"/>
  <c r="N37" i="38" l="1"/>
  <c r="O37" i="38"/>
  <c r="I48" i="18"/>
  <c r="J48" i="18"/>
  <c r="K48" i="18" s="1"/>
  <c r="C46" i="17" s="1"/>
  <c r="U48" i="37"/>
  <c r="V48" i="37"/>
  <c r="W48" i="37" s="1"/>
  <c r="AA46" i="17" s="1"/>
  <c r="J41" i="38"/>
  <c r="K48" i="32"/>
  <c r="F46" i="17" s="1"/>
  <c r="J49" i="32"/>
  <c r="I49" i="32"/>
  <c r="J48" i="35"/>
  <c r="K48" i="35" s="1"/>
  <c r="E46" i="17" s="1"/>
  <c r="I48" i="35"/>
  <c r="I48" i="31"/>
  <c r="J48" i="31"/>
  <c r="J48" i="37"/>
  <c r="K48" i="37" s="1"/>
  <c r="J46" i="17" s="1"/>
  <c r="I48" i="37"/>
  <c r="K47" i="34"/>
  <c r="G45" i="17" s="1"/>
  <c r="L40" i="38"/>
  <c r="J48" i="34"/>
  <c r="I48" i="34"/>
  <c r="J48" i="33"/>
  <c r="K48" i="33" s="1"/>
  <c r="H46" i="17" s="1"/>
  <c r="I48" i="33"/>
  <c r="U50" i="34"/>
  <c r="V50" i="34"/>
  <c r="W50" i="34" s="1"/>
  <c r="X48" i="17" s="1"/>
  <c r="K47" i="31"/>
  <c r="D45" i="17" s="1"/>
  <c r="K40" i="38"/>
  <c r="L44" i="17"/>
  <c r="U49" i="32"/>
  <c r="V49" i="32"/>
  <c r="W49" i="32" s="1"/>
  <c r="W47" i="17" s="1"/>
  <c r="O43" i="17"/>
  <c r="E38" i="28"/>
  <c r="V48" i="33"/>
  <c r="W48" i="33" s="1"/>
  <c r="Y46" i="17" s="1"/>
  <c r="U48" i="33"/>
  <c r="U48" i="18"/>
  <c r="V48" i="18"/>
  <c r="W48" i="18" s="1"/>
  <c r="T46" i="17" s="1"/>
  <c r="U48" i="31"/>
  <c r="V48" i="31"/>
  <c r="W48" i="31" s="1"/>
  <c r="U46" i="17" s="1"/>
  <c r="AC45" i="17"/>
  <c r="AF45" i="17" s="1"/>
  <c r="U50" i="35"/>
  <c r="V50" i="35"/>
  <c r="W50" i="35" s="1"/>
  <c r="V48" i="17" s="1"/>
  <c r="L45" i="17" l="1"/>
  <c r="E40" i="28" s="1"/>
  <c r="M40" i="38" s="1"/>
  <c r="J49" i="18"/>
  <c r="K49" i="18" s="1"/>
  <c r="C47" i="17" s="1"/>
  <c r="I49" i="18"/>
  <c r="J50" i="32"/>
  <c r="I50" i="32"/>
  <c r="J42" i="38"/>
  <c r="K49" i="32"/>
  <c r="F47" i="17" s="1"/>
  <c r="AC46" i="17"/>
  <c r="AF46" i="17" s="1"/>
  <c r="U49" i="37"/>
  <c r="V49" i="37"/>
  <c r="W49" i="37" s="1"/>
  <c r="AA47" i="17" s="1"/>
  <c r="V51" i="35"/>
  <c r="W51" i="35" s="1"/>
  <c r="V49" i="17" s="1"/>
  <c r="U51" i="35"/>
  <c r="I49" i="31"/>
  <c r="J49" i="31"/>
  <c r="I49" i="34"/>
  <c r="J49" i="34"/>
  <c r="V49" i="18"/>
  <c r="W49" i="18" s="1"/>
  <c r="T47" i="17" s="1"/>
  <c r="U49" i="18"/>
  <c r="K48" i="31"/>
  <c r="D46" i="17" s="1"/>
  <c r="K41" i="38"/>
  <c r="J49" i="35"/>
  <c r="K49" i="35" s="1"/>
  <c r="E47" i="17" s="1"/>
  <c r="I49" i="35"/>
  <c r="I49" i="33"/>
  <c r="J49" i="33"/>
  <c r="K49" i="33" s="1"/>
  <c r="H47" i="17" s="1"/>
  <c r="O44" i="17"/>
  <c r="E39" i="28"/>
  <c r="U51" i="34"/>
  <c r="V51" i="34"/>
  <c r="W51" i="34" s="1"/>
  <c r="X49" i="17" s="1"/>
  <c r="U50" i="32"/>
  <c r="V50" i="32"/>
  <c r="W50" i="32" s="1"/>
  <c r="W48" i="17" s="1"/>
  <c r="V49" i="33"/>
  <c r="W49" i="33" s="1"/>
  <c r="Y47" i="17" s="1"/>
  <c r="U49" i="33"/>
  <c r="K48" i="34"/>
  <c r="G46" i="17" s="1"/>
  <c r="L41" i="38"/>
  <c r="V49" i="31"/>
  <c r="W49" i="31" s="1"/>
  <c r="U47" i="17" s="1"/>
  <c r="U49" i="31"/>
  <c r="M38" i="38"/>
  <c r="N38" i="38"/>
  <c r="O38" i="38"/>
  <c r="J49" i="37"/>
  <c r="K49" i="37" s="1"/>
  <c r="J47" i="17" s="1"/>
  <c r="I49" i="37"/>
  <c r="O45" i="17" l="1"/>
  <c r="J50" i="18"/>
  <c r="K50" i="18" s="1"/>
  <c r="C48" i="17" s="1"/>
  <c r="I50" i="18"/>
  <c r="U50" i="37"/>
  <c r="V50" i="37"/>
  <c r="W50" i="37" s="1"/>
  <c r="AA48" i="17" s="1"/>
  <c r="N40" i="38"/>
  <c r="I51" i="32"/>
  <c r="J51" i="32"/>
  <c r="K50" i="32"/>
  <c r="F48" i="17" s="1"/>
  <c r="J43" i="38"/>
  <c r="V51" i="32"/>
  <c r="W51" i="32" s="1"/>
  <c r="W49" i="17" s="1"/>
  <c r="U51" i="32"/>
  <c r="L46" i="17"/>
  <c r="V50" i="31"/>
  <c r="W50" i="31" s="1"/>
  <c r="U48" i="17" s="1"/>
  <c r="U50" i="31"/>
  <c r="U50" i="18"/>
  <c r="V50" i="18"/>
  <c r="W50" i="18" s="1"/>
  <c r="T48" i="17" s="1"/>
  <c r="J50" i="33"/>
  <c r="K50" i="33" s="1"/>
  <c r="H48" i="17" s="1"/>
  <c r="I50" i="33"/>
  <c r="I50" i="35"/>
  <c r="J50" i="35"/>
  <c r="K50" i="35" s="1"/>
  <c r="E48" i="17" s="1"/>
  <c r="K49" i="34"/>
  <c r="G47" i="17" s="1"/>
  <c r="L42" i="38"/>
  <c r="J50" i="31"/>
  <c r="I50" i="31"/>
  <c r="AC47" i="17"/>
  <c r="AF47" i="17" s="1"/>
  <c r="J50" i="34"/>
  <c r="I50" i="34"/>
  <c r="V52" i="35"/>
  <c r="W52" i="35" s="1"/>
  <c r="V50" i="17" s="1"/>
  <c r="U52" i="35"/>
  <c r="I50" i="37"/>
  <c r="J50" i="37"/>
  <c r="K50" i="37" s="1"/>
  <c r="J48" i="17" s="1"/>
  <c r="U52" i="34"/>
  <c r="V52" i="34"/>
  <c r="W52" i="34" s="1"/>
  <c r="X50" i="17" s="1"/>
  <c r="U50" i="33"/>
  <c r="V50" i="33"/>
  <c r="W50" i="33" s="1"/>
  <c r="Y48" i="17" s="1"/>
  <c r="M39" i="38"/>
  <c r="O39" i="38"/>
  <c r="N39" i="38"/>
  <c r="O40" i="38"/>
  <c r="K49" i="31"/>
  <c r="D47" i="17" s="1"/>
  <c r="K42" i="38"/>
  <c r="I51" i="18" l="1"/>
  <c r="J51" i="18"/>
  <c r="K51" i="18" s="1"/>
  <c r="C49" i="17" s="1"/>
  <c r="K51" i="32"/>
  <c r="F49" i="17" s="1"/>
  <c r="J44" i="38"/>
  <c r="AC48" i="17"/>
  <c r="AF48" i="17" s="1"/>
  <c r="I52" i="32"/>
  <c r="J52" i="32"/>
  <c r="V51" i="37"/>
  <c r="W51" i="37" s="1"/>
  <c r="AA49" i="17" s="1"/>
  <c r="U51" i="37"/>
  <c r="K50" i="31"/>
  <c r="D48" i="17" s="1"/>
  <c r="K43" i="38"/>
  <c r="O46" i="17"/>
  <c r="E41" i="28"/>
  <c r="U51" i="18"/>
  <c r="V51" i="18"/>
  <c r="W51" i="18" s="1"/>
  <c r="T49" i="17" s="1"/>
  <c r="I51" i="33"/>
  <c r="J51" i="33"/>
  <c r="K51" i="33" s="1"/>
  <c r="H49" i="17" s="1"/>
  <c r="J51" i="37"/>
  <c r="K51" i="37" s="1"/>
  <c r="J49" i="17" s="1"/>
  <c r="I51" i="37"/>
  <c r="I51" i="31"/>
  <c r="J51" i="31"/>
  <c r="U51" i="33"/>
  <c r="V51" i="33"/>
  <c r="W51" i="33" s="1"/>
  <c r="Y49" i="17" s="1"/>
  <c r="U53" i="35"/>
  <c r="V53" i="35"/>
  <c r="W53" i="35" s="1"/>
  <c r="V51" i="17" s="1"/>
  <c r="V52" i="32"/>
  <c r="W52" i="32" s="1"/>
  <c r="W50" i="17" s="1"/>
  <c r="U52" i="32"/>
  <c r="I51" i="35"/>
  <c r="J51" i="35"/>
  <c r="K51" i="35" s="1"/>
  <c r="E49" i="17" s="1"/>
  <c r="U51" i="31"/>
  <c r="V51" i="31"/>
  <c r="W51" i="31" s="1"/>
  <c r="U49" i="17" s="1"/>
  <c r="L47" i="17"/>
  <c r="J51" i="34"/>
  <c r="I51" i="34"/>
  <c r="U53" i="34"/>
  <c r="V53" i="34"/>
  <c r="W53" i="34" s="1"/>
  <c r="X51" i="17" s="1"/>
  <c r="L43" i="38"/>
  <c r="K50" i="34"/>
  <c r="G48" i="17" s="1"/>
  <c r="I52" i="18" l="1"/>
  <c r="J52" i="18"/>
  <c r="K52" i="18" s="1"/>
  <c r="C50" i="17" s="1"/>
  <c r="U52" i="37"/>
  <c r="V52" i="37"/>
  <c r="W52" i="37" s="1"/>
  <c r="AA50" i="17" s="1"/>
  <c r="AC49" i="17"/>
  <c r="AF49" i="17" s="1"/>
  <c r="J45" i="38"/>
  <c r="K52" i="32"/>
  <c r="F50" i="17" s="1"/>
  <c r="J53" i="32"/>
  <c r="I53" i="32"/>
  <c r="J52" i="31"/>
  <c r="I52" i="31"/>
  <c r="M41" i="38"/>
  <c r="N41" i="38"/>
  <c r="O41" i="38"/>
  <c r="J52" i="37"/>
  <c r="K52" i="37" s="1"/>
  <c r="J50" i="17" s="1"/>
  <c r="I52" i="37"/>
  <c r="U54" i="34"/>
  <c r="V54" i="34"/>
  <c r="W54" i="34" s="1"/>
  <c r="X52" i="17" s="1"/>
  <c r="I52" i="34"/>
  <c r="J52" i="34"/>
  <c r="U53" i="32"/>
  <c r="V53" i="32"/>
  <c r="W53" i="32" s="1"/>
  <c r="W51" i="17" s="1"/>
  <c r="K51" i="31"/>
  <c r="D49" i="17" s="1"/>
  <c r="K44" i="38"/>
  <c r="L44" i="38"/>
  <c r="K51" i="34"/>
  <c r="G49" i="17" s="1"/>
  <c r="U52" i="31"/>
  <c r="V52" i="31"/>
  <c r="W52" i="31" s="1"/>
  <c r="U50" i="17" s="1"/>
  <c r="U54" i="35"/>
  <c r="V54" i="35"/>
  <c r="W54" i="35" s="1"/>
  <c r="V52" i="17" s="1"/>
  <c r="I52" i="33"/>
  <c r="J52" i="33"/>
  <c r="K52" i="33" s="1"/>
  <c r="H50" i="17" s="1"/>
  <c r="L48" i="17"/>
  <c r="V52" i="18"/>
  <c r="W52" i="18" s="1"/>
  <c r="T50" i="17" s="1"/>
  <c r="U52" i="18"/>
  <c r="O47" i="17"/>
  <c r="E42" i="28"/>
  <c r="I52" i="35"/>
  <c r="J52" i="35"/>
  <c r="K52" i="35" s="1"/>
  <c r="E50" i="17" s="1"/>
  <c r="V52" i="33"/>
  <c r="W52" i="33" s="1"/>
  <c r="Y50" i="17" s="1"/>
  <c r="U52" i="33"/>
  <c r="J53" i="18" l="1"/>
  <c r="K53" i="18" s="1"/>
  <c r="C51" i="17" s="1"/>
  <c r="I53" i="18"/>
  <c r="K53" i="32"/>
  <c r="F51" i="17" s="1"/>
  <c r="J46" i="38"/>
  <c r="J54" i="32"/>
  <c r="I54" i="32"/>
  <c r="L49" i="17"/>
  <c r="E44" i="28" s="1"/>
  <c r="V53" i="37"/>
  <c r="W53" i="37" s="1"/>
  <c r="AA51" i="17" s="1"/>
  <c r="U53" i="37"/>
  <c r="U53" i="18"/>
  <c r="V53" i="18"/>
  <c r="W53" i="18" s="1"/>
  <c r="T51" i="17" s="1"/>
  <c r="AC50" i="17"/>
  <c r="AF50" i="17" s="1"/>
  <c r="V55" i="35"/>
  <c r="W55" i="35" s="1"/>
  <c r="V53" i="17" s="1"/>
  <c r="U55" i="35"/>
  <c r="I53" i="35"/>
  <c r="J53" i="35"/>
  <c r="K53" i="35" s="1"/>
  <c r="E51" i="17" s="1"/>
  <c r="M42" i="38"/>
  <c r="N42" i="38"/>
  <c r="O42" i="38"/>
  <c r="O48" i="17"/>
  <c r="E43" i="28"/>
  <c r="V54" i="32"/>
  <c r="W54" i="32" s="1"/>
  <c r="W52" i="17" s="1"/>
  <c r="U54" i="32"/>
  <c r="J53" i="37"/>
  <c r="K53" i="37" s="1"/>
  <c r="J51" i="17" s="1"/>
  <c r="I53" i="37"/>
  <c r="V53" i="31"/>
  <c r="W53" i="31" s="1"/>
  <c r="U51" i="17" s="1"/>
  <c r="U53" i="31"/>
  <c r="L45" i="38"/>
  <c r="K52" i="34"/>
  <c r="G50" i="17" s="1"/>
  <c r="I53" i="34"/>
  <c r="J53" i="34"/>
  <c r="I53" i="31"/>
  <c r="J53" i="31"/>
  <c r="K52" i="31"/>
  <c r="D50" i="17" s="1"/>
  <c r="K45" i="38"/>
  <c r="J53" i="33"/>
  <c r="K53" i="33" s="1"/>
  <c r="H51" i="17" s="1"/>
  <c r="I53" i="33"/>
  <c r="V53" i="33"/>
  <c r="W53" i="33" s="1"/>
  <c r="Y51" i="17" s="1"/>
  <c r="U53" i="33"/>
  <c r="U55" i="34"/>
  <c r="V55" i="34"/>
  <c r="W55" i="34" s="1"/>
  <c r="X53" i="17" s="1"/>
  <c r="O49" i="17" l="1"/>
  <c r="J54" i="18"/>
  <c r="K54" i="18" s="1"/>
  <c r="C52" i="17" s="1"/>
  <c r="I54" i="18"/>
  <c r="L50" i="17"/>
  <c r="E45" i="28" s="1"/>
  <c r="M45" i="38" s="1"/>
  <c r="M44" i="38"/>
  <c r="O44" i="38"/>
  <c r="U54" i="37"/>
  <c r="V54" i="37"/>
  <c r="W54" i="37" s="1"/>
  <c r="AA52" i="17" s="1"/>
  <c r="J55" i="32"/>
  <c r="I55" i="32"/>
  <c r="K54" i="32"/>
  <c r="F52" i="17" s="1"/>
  <c r="J47" i="38"/>
  <c r="I54" i="31"/>
  <c r="J54" i="31"/>
  <c r="V56" i="35"/>
  <c r="W56" i="35" s="1"/>
  <c r="V54" i="17" s="1"/>
  <c r="U56" i="35"/>
  <c r="I54" i="33"/>
  <c r="J54" i="33"/>
  <c r="K54" i="33" s="1"/>
  <c r="H52" i="17" s="1"/>
  <c r="K53" i="31"/>
  <c r="D51" i="17" s="1"/>
  <c r="K46" i="38"/>
  <c r="L46" i="38"/>
  <c r="K53" i="34"/>
  <c r="G51" i="17" s="1"/>
  <c r="V54" i="31"/>
  <c r="W54" i="31" s="1"/>
  <c r="U52" i="17" s="1"/>
  <c r="U54" i="31"/>
  <c r="M43" i="38"/>
  <c r="O43" i="38"/>
  <c r="N43" i="38"/>
  <c r="I54" i="35"/>
  <c r="J54" i="35"/>
  <c r="K54" i="35" s="1"/>
  <c r="E52" i="17" s="1"/>
  <c r="V56" i="34"/>
  <c r="W56" i="34" s="1"/>
  <c r="X54" i="17" s="1"/>
  <c r="U56" i="34"/>
  <c r="I54" i="34"/>
  <c r="J54" i="34"/>
  <c r="U55" i="32"/>
  <c r="V55" i="32"/>
  <c r="W55" i="32" s="1"/>
  <c r="W53" i="17" s="1"/>
  <c r="U54" i="33"/>
  <c r="V54" i="33"/>
  <c r="W54" i="33" s="1"/>
  <c r="Y52" i="17" s="1"/>
  <c r="AC51" i="17"/>
  <c r="AF51" i="17" s="1"/>
  <c r="V54" i="18"/>
  <c r="W54" i="18" s="1"/>
  <c r="T52" i="17" s="1"/>
  <c r="U54" i="18"/>
  <c r="J54" i="37"/>
  <c r="K54" i="37" s="1"/>
  <c r="J52" i="17" s="1"/>
  <c r="I54" i="37"/>
  <c r="N44" i="38"/>
  <c r="O50" i="17" l="1"/>
  <c r="J55" i="18"/>
  <c r="K55" i="18" s="1"/>
  <c r="C53" i="17" s="1"/>
  <c r="I55" i="18"/>
  <c r="L51" i="17"/>
  <c r="O51" i="17" s="1"/>
  <c r="J56" i="32"/>
  <c r="I56" i="32"/>
  <c r="K55" i="32"/>
  <c r="F53" i="17" s="1"/>
  <c r="J48" i="38"/>
  <c r="V55" i="37"/>
  <c r="W55" i="37" s="1"/>
  <c r="AA53" i="17" s="1"/>
  <c r="U55" i="37"/>
  <c r="K54" i="34"/>
  <c r="G52" i="17" s="1"/>
  <c r="L47" i="38"/>
  <c r="AC52" i="17"/>
  <c r="AF52" i="17" s="1"/>
  <c r="V57" i="34"/>
  <c r="W57" i="34" s="1"/>
  <c r="X55" i="17" s="1"/>
  <c r="U57" i="34"/>
  <c r="I55" i="33"/>
  <c r="J55" i="33"/>
  <c r="K55" i="33" s="1"/>
  <c r="H53" i="17" s="1"/>
  <c r="U55" i="33"/>
  <c r="V55" i="33"/>
  <c r="W55" i="33" s="1"/>
  <c r="Y53" i="17" s="1"/>
  <c r="V57" i="35"/>
  <c r="W57" i="35" s="1"/>
  <c r="V55" i="17" s="1"/>
  <c r="U57" i="35"/>
  <c r="J55" i="34"/>
  <c r="I55" i="34"/>
  <c r="U55" i="31"/>
  <c r="V55" i="31"/>
  <c r="W55" i="31" s="1"/>
  <c r="U53" i="17" s="1"/>
  <c r="U56" i="32"/>
  <c r="V56" i="32"/>
  <c r="W56" i="32" s="1"/>
  <c r="W54" i="17" s="1"/>
  <c r="J55" i="37"/>
  <c r="K55" i="37" s="1"/>
  <c r="J53" i="17" s="1"/>
  <c r="I55" i="37"/>
  <c r="K54" i="31"/>
  <c r="D52" i="17" s="1"/>
  <c r="K47" i="38"/>
  <c r="U55" i="18"/>
  <c r="V55" i="18"/>
  <c r="W55" i="18" s="1"/>
  <c r="T53" i="17" s="1"/>
  <c r="J55" i="35"/>
  <c r="K55" i="35" s="1"/>
  <c r="E53" i="17" s="1"/>
  <c r="I55" i="35"/>
  <c r="O45" i="38"/>
  <c r="N45" i="38"/>
  <c r="J55" i="31"/>
  <c r="I55" i="31"/>
  <c r="E46" i="28" l="1"/>
  <c r="M46" i="38" s="1"/>
  <c r="I56" i="18"/>
  <c r="J56" i="18"/>
  <c r="K56" i="18" s="1"/>
  <c r="C54" i="17" s="1"/>
  <c r="L52" i="17"/>
  <c r="O52" i="17" s="1"/>
  <c r="U56" i="37"/>
  <c r="V56" i="37"/>
  <c r="W56" i="37" s="1"/>
  <c r="AA54" i="17" s="1"/>
  <c r="AC53" i="17"/>
  <c r="AF53" i="17" s="1"/>
  <c r="J57" i="32"/>
  <c r="I57" i="32"/>
  <c r="J49" i="38"/>
  <c r="K56" i="32"/>
  <c r="F54" i="17" s="1"/>
  <c r="V56" i="33"/>
  <c r="W56" i="33" s="1"/>
  <c r="Y54" i="17" s="1"/>
  <c r="U56" i="33"/>
  <c r="I56" i="33"/>
  <c r="J56" i="33"/>
  <c r="K56" i="33" s="1"/>
  <c r="H54" i="17" s="1"/>
  <c r="I56" i="34"/>
  <c r="J56" i="34"/>
  <c r="V58" i="34"/>
  <c r="W58" i="34" s="1"/>
  <c r="X56" i="17" s="1"/>
  <c r="U58" i="34"/>
  <c r="V57" i="32"/>
  <c r="W57" i="32" s="1"/>
  <c r="W55" i="17" s="1"/>
  <c r="U57" i="32"/>
  <c r="V58" i="35"/>
  <c r="W58" i="35" s="1"/>
  <c r="V56" i="17" s="1"/>
  <c r="U58" i="35"/>
  <c r="J56" i="37"/>
  <c r="K56" i="37" s="1"/>
  <c r="J54" i="17" s="1"/>
  <c r="I56" i="37"/>
  <c r="U56" i="18"/>
  <c r="V56" i="18"/>
  <c r="W56" i="18" s="1"/>
  <c r="T54" i="17" s="1"/>
  <c r="J56" i="31"/>
  <c r="I56" i="31"/>
  <c r="I56" i="35"/>
  <c r="J56" i="35"/>
  <c r="K56" i="35" s="1"/>
  <c r="E54" i="17" s="1"/>
  <c r="L48" i="38"/>
  <c r="K55" i="34"/>
  <c r="G53" i="17" s="1"/>
  <c r="K55" i="31"/>
  <c r="D53" i="17" s="1"/>
  <c r="K48" i="38"/>
  <c r="V56" i="31"/>
  <c r="W56" i="31" s="1"/>
  <c r="U54" i="17" s="1"/>
  <c r="U56" i="31"/>
  <c r="O46" i="38" l="1"/>
  <c r="N46" i="38"/>
  <c r="E47" i="28"/>
  <c r="M47" i="38" s="1"/>
  <c r="L53" i="17"/>
  <c r="E48" i="28" s="1"/>
  <c r="M48" i="38" s="1"/>
  <c r="J57" i="18"/>
  <c r="K57" i="18" s="1"/>
  <c r="C55" i="17" s="1"/>
  <c r="I57" i="18"/>
  <c r="AC54" i="17"/>
  <c r="AF54" i="17" s="1"/>
  <c r="I58" i="32"/>
  <c r="J58" i="32"/>
  <c r="J50" i="38"/>
  <c r="K57" i="32"/>
  <c r="F55" i="17" s="1"/>
  <c r="V57" i="37"/>
  <c r="W57" i="37" s="1"/>
  <c r="AA55" i="17" s="1"/>
  <c r="U57" i="37"/>
  <c r="V57" i="31"/>
  <c r="W57" i="31" s="1"/>
  <c r="U55" i="17" s="1"/>
  <c r="U57" i="31"/>
  <c r="K49" i="38"/>
  <c r="K56" i="31"/>
  <c r="D54" i="17" s="1"/>
  <c r="V58" i="32"/>
  <c r="W58" i="32" s="1"/>
  <c r="W56" i="17" s="1"/>
  <c r="U58" i="32"/>
  <c r="U57" i="18"/>
  <c r="V57" i="18"/>
  <c r="W57" i="18" s="1"/>
  <c r="T55" i="17" s="1"/>
  <c r="J57" i="33"/>
  <c r="K57" i="33" s="1"/>
  <c r="H55" i="17" s="1"/>
  <c r="I57" i="33"/>
  <c r="U57" i="33"/>
  <c r="V57" i="33"/>
  <c r="W57" i="33" s="1"/>
  <c r="Y55" i="17" s="1"/>
  <c r="J57" i="37"/>
  <c r="K57" i="37" s="1"/>
  <c r="J55" i="17" s="1"/>
  <c r="I57" i="37"/>
  <c r="U59" i="34"/>
  <c r="V59" i="34"/>
  <c r="W59" i="34" s="1"/>
  <c r="X57" i="17" s="1"/>
  <c r="I57" i="35"/>
  <c r="J57" i="35"/>
  <c r="K57" i="35" s="1"/>
  <c r="E55" i="17" s="1"/>
  <c r="L49" i="38"/>
  <c r="K56" i="34"/>
  <c r="G54" i="17" s="1"/>
  <c r="J57" i="31"/>
  <c r="I57" i="31"/>
  <c r="V59" i="35"/>
  <c r="W59" i="35" s="1"/>
  <c r="V57" i="17" s="1"/>
  <c r="U59" i="35"/>
  <c r="I57" i="34"/>
  <c r="J57" i="34"/>
  <c r="O53" i="17" l="1"/>
  <c r="O47" i="38"/>
  <c r="N47" i="38"/>
  <c r="I58" i="18"/>
  <c r="J58" i="18"/>
  <c r="K58" i="18" s="1"/>
  <c r="C56" i="17" s="1"/>
  <c r="V58" i="37"/>
  <c r="W58" i="37" s="1"/>
  <c r="AA56" i="17" s="1"/>
  <c r="U58" i="37"/>
  <c r="AC55" i="17"/>
  <c r="AF55" i="17" s="1"/>
  <c r="O48" i="38"/>
  <c r="K58" i="32"/>
  <c r="F56" i="17" s="1"/>
  <c r="J51" i="38"/>
  <c r="I59" i="32"/>
  <c r="J59" i="32"/>
  <c r="U60" i="35"/>
  <c r="V60" i="35"/>
  <c r="W60" i="35" s="1"/>
  <c r="V58" i="17" s="1"/>
  <c r="N48" i="38"/>
  <c r="V59" i="32"/>
  <c r="W59" i="32" s="1"/>
  <c r="W57" i="17" s="1"/>
  <c r="U59" i="32"/>
  <c r="K57" i="31"/>
  <c r="D55" i="17" s="1"/>
  <c r="K50" i="38"/>
  <c r="L54" i="17"/>
  <c r="J58" i="37"/>
  <c r="K58" i="37" s="1"/>
  <c r="J56" i="17" s="1"/>
  <c r="I58" i="37"/>
  <c r="I58" i="33"/>
  <c r="J58" i="33"/>
  <c r="K58" i="33" s="1"/>
  <c r="H56" i="17" s="1"/>
  <c r="J58" i="34"/>
  <c r="I58" i="34"/>
  <c r="U58" i="33"/>
  <c r="V58" i="33"/>
  <c r="W58" i="33" s="1"/>
  <c r="Y56" i="17" s="1"/>
  <c r="U60" i="34"/>
  <c r="V60" i="34"/>
  <c r="W60" i="34" s="1"/>
  <c r="X58" i="17" s="1"/>
  <c r="U58" i="18"/>
  <c r="V58" i="18"/>
  <c r="W58" i="18" s="1"/>
  <c r="T56" i="17" s="1"/>
  <c r="J58" i="31"/>
  <c r="I58" i="31"/>
  <c r="V58" i="31"/>
  <c r="W58" i="31" s="1"/>
  <c r="U56" i="17" s="1"/>
  <c r="U58" i="31"/>
  <c r="L50" i="38"/>
  <c r="K57" i="34"/>
  <c r="G55" i="17" s="1"/>
  <c r="I58" i="35"/>
  <c r="J58" i="35"/>
  <c r="K58" i="35" s="1"/>
  <c r="E56" i="17" s="1"/>
  <c r="J59" i="18" l="1"/>
  <c r="K59" i="18" s="1"/>
  <c r="C57" i="17" s="1"/>
  <c r="I59" i="18"/>
  <c r="J60" i="32"/>
  <c r="I60" i="32"/>
  <c r="J52" i="38"/>
  <c r="K59" i="32"/>
  <c r="F57" i="17" s="1"/>
  <c r="U59" i="37"/>
  <c r="V59" i="37"/>
  <c r="W59" i="37" s="1"/>
  <c r="AA57" i="17" s="1"/>
  <c r="U59" i="33"/>
  <c r="V59" i="33"/>
  <c r="W59" i="33" s="1"/>
  <c r="Y57" i="17" s="1"/>
  <c r="I59" i="34"/>
  <c r="J59" i="34"/>
  <c r="O54" i="17"/>
  <c r="E49" i="28"/>
  <c r="U60" i="32"/>
  <c r="V60" i="32"/>
  <c r="W60" i="32" s="1"/>
  <c r="W58" i="17" s="1"/>
  <c r="I59" i="35"/>
  <c r="J59" i="35"/>
  <c r="K59" i="35" s="1"/>
  <c r="E57" i="17" s="1"/>
  <c r="K51" i="38"/>
  <c r="K58" i="31"/>
  <c r="D56" i="17" s="1"/>
  <c r="L51" i="38"/>
  <c r="K58" i="34"/>
  <c r="G56" i="17" s="1"/>
  <c r="V59" i="18"/>
  <c r="W59" i="18" s="1"/>
  <c r="T57" i="17" s="1"/>
  <c r="U59" i="18"/>
  <c r="J59" i="33"/>
  <c r="K59" i="33" s="1"/>
  <c r="H57" i="17" s="1"/>
  <c r="I59" i="33"/>
  <c r="AC56" i="17"/>
  <c r="AF56" i="17" s="1"/>
  <c r="J59" i="37"/>
  <c r="K59" i="37" s="1"/>
  <c r="J57" i="17" s="1"/>
  <c r="I59" i="37"/>
  <c r="J59" i="31"/>
  <c r="I59" i="31"/>
  <c r="L55" i="17"/>
  <c r="U61" i="34"/>
  <c r="V61" i="34"/>
  <c r="W61" i="34" s="1"/>
  <c r="X59" i="17" s="1"/>
  <c r="V59" i="31"/>
  <c r="W59" i="31" s="1"/>
  <c r="U57" i="17" s="1"/>
  <c r="U59" i="31"/>
  <c r="U61" i="35"/>
  <c r="V61" i="35"/>
  <c r="W61" i="35" s="1"/>
  <c r="V59" i="17" s="1"/>
  <c r="J60" i="18" l="1"/>
  <c r="K60" i="18" s="1"/>
  <c r="C58" i="17" s="1"/>
  <c r="I60" i="18"/>
  <c r="V60" i="37"/>
  <c r="W60" i="37" s="1"/>
  <c r="AA58" i="17" s="1"/>
  <c r="U60" i="37"/>
  <c r="L56" i="17"/>
  <c r="O56" i="17" s="1"/>
  <c r="J61" i="32"/>
  <c r="I61" i="32"/>
  <c r="J53" i="38"/>
  <c r="K60" i="32"/>
  <c r="F58" i="17" s="1"/>
  <c r="V61" i="32"/>
  <c r="W61" i="32" s="1"/>
  <c r="W59" i="17" s="1"/>
  <c r="U61" i="32"/>
  <c r="M49" i="38"/>
  <c r="O49" i="38"/>
  <c r="N49" i="38"/>
  <c r="V62" i="35"/>
  <c r="W62" i="35" s="1"/>
  <c r="V60" i="17" s="1"/>
  <c r="U62" i="35"/>
  <c r="E50" i="28"/>
  <c r="O55" i="17"/>
  <c r="J60" i="33"/>
  <c r="K60" i="33" s="1"/>
  <c r="H58" i="17" s="1"/>
  <c r="I60" i="33"/>
  <c r="J60" i="31"/>
  <c r="I60" i="31"/>
  <c r="K52" i="38"/>
  <c r="K59" i="31"/>
  <c r="D57" i="17" s="1"/>
  <c r="V60" i="31"/>
  <c r="W60" i="31" s="1"/>
  <c r="U58" i="17" s="1"/>
  <c r="U60" i="31"/>
  <c r="I60" i="37"/>
  <c r="J60" i="37"/>
  <c r="K60" i="37" s="1"/>
  <c r="J58" i="17" s="1"/>
  <c r="V60" i="18"/>
  <c r="W60" i="18" s="1"/>
  <c r="T58" i="17" s="1"/>
  <c r="U60" i="18"/>
  <c r="AC57" i="17"/>
  <c r="AF57" i="17" s="1"/>
  <c r="I60" i="34"/>
  <c r="J60" i="34"/>
  <c r="U62" i="34"/>
  <c r="V62" i="34"/>
  <c r="W62" i="34" s="1"/>
  <c r="X60" i="17" s="1"/>
  <c r="K59" i="34"/>
  <c r="G57" i="17" s="1"/>
  <c r="L52" i="38"/>
  <c r="J60" i="35"/>
  <c r="K60" i="35" s="1"/>
  <c r="E58" i="17" s="1"/>
  <c r="I60" i="35"/>
  <c r="V60" i="33"/>
  <c r="W60" i="33" s="1"/>
  <c r="Y58" i="17" s="1"/>
  <c r="U60" i="33"/>
  <c r="E51" i="28" l="1"/>
  <c r="M51" i="38" s="1"/>
  <c r="I61" i="18"/>
  <c r="J61" i="18"/>
  <c r="K61" i="18" s="1"/>
  <c r="C59" i="17" s="1"/>
  <c r="J62" i="32"/>
  <c r="I62" i="32"/>
  <c r="J54" i="38"/>
  <c r="K61" i="32"/>
  <c r="F59" i="17" s="1"/>
  <c r="V61" i="37"/>
  <c r="W61" i="37" s="1"/>
  <c r="AA59" i="17" s="1"/>
  <c r="U61" i="37"/>
  <c r="U61" i="33"/>
  <c r="V61" i="33"/>
  <c r="W61" i="33" s="1"/>
  <c r="Y59" i="17" s="1"/>
  <c r="U61" i="18"/>
  <c r="V61" i="18"/>
  <c r="W61" i="18" s="1"/>
  <c r="T59" i="17" s="1"/>
  <c r="U61" i="31"/>
  <c r="V61" i="31"/>
  <c r="W61" i="31" s="1"/>
  <c r="U59" i="17" s="1"/>
  <c r="AC58" i="17"/>
  <c r="AF58" i="17" s="1"/>
  <c r="L57" i="17"/>
  <c r="I61" i="33"/>
  <c r="J61" i="33"/>
  <c r="K61" i="33" s="1"/>
  <c r="H59" i="17" s="1"/>
  <c r="I61" i="34"/>
  <c r="J61" i="34"/>
  <c r="I61" i="35"/>
  <c r="J61" i="35"/>
  <c r="K61" i="35" s="1"/>
  <c r="E59" i="17" s="1"/>
  <c r="I61" i="31"/>
  <c r="J61" i="31"/>
  <c r="V63" i="34"/>
  <c r="W63" i="34" s="1"/>
  <c r="X61" i="17" s="1"/>
  <c r="U63" i="34"/>
  <c r="K53" i="38"/>
  <c r="K60" i="31"/>
  <c r="D58" i="17" s="1"/>
  <c r="M50" i="38"/>
  <c r="O50" i="38"/>
  <c r="N50" i="38"/>
  <c r="U62" i="32"/>
  <c r="V62" i="32"/>
  <c r="W62" i="32" s="1"/>
  <c r="W60" i="17" s="1"/>
  <c r="J61" i="37"/>
  <c r="K61" i="37" s="1"/>
  <c r="J59" i="17" s="1"/>
  <c r="I61" i="37"/>
  <c r="K60" i="34"/>
  <c r="G58" i="17" s="1"/>
  <c r="L53" i="38"/>
  <c r="V63" i="35"/>
  <c r="W63" i="35" s="1"/>
  <c r="V61" i="17" s="1"/>
  <c r="U63" i="35"/>
  <c r="O51" i="38" l="1"/>
  <c r="N51" i="38"/>
  <c r="I62" i="18"/>
  <c r="J62" i="18"/>
  <c r="K62" i="18" s="1"/>
  <c r="C60" i="17" s="1"/>
  <c r="U62" i="37"/>
  <c r="V62" i="37"/>
  <c r="W62" i="37" s="1"/>
  <c r="AA60" i="17" s="1"/>
  <c r="I63" i="32"/>
  <c r="J63" i="32"/>
  <c r="K62" i="32"/>
  <c r="F60" i="17" s="1"/>
  <c r="J55" i="38"/>
  <c r="L58" i="17"/>
  <c r="I62" i="31"/>
  <c r="J62" i="31"/>
  <c r="AC59" i="17"/>
  <c r="AF59" i="17" s="1"/>
  <c r="J62" i="34"/>
  <c r="I62" i="34"/>
  <c r="J62" i="37"/>
  <c r="K62" i="37" s="1"/>
  <c r="J60" i="17" s="1"/>
  <c r="I62" i="37"/>
  <c r="I62" i="33"/>
  <c r="J62" i="33"/>
  <c r="K62" i="33" s="1"/>
  <c r="H60" i="17" s="1"/>
  <c r="V62" i="18"/>
  <c r="W62" i="18" s="1"/>
  <c r="T60" i="17" s="1"/>
  <c r="U62" i="18"/>
  <c r="V64" i="34"/>
  <c r="W64" i="34" s="1"/>
  <c r="X62" i="17" s="1"/>
  <c r="U64" i="34"/>
  <c r="V62" i="33"/>
  <c r="W62" i="33" s="1"/>
  <c r="Y60" i="17" s="1"/>
  <c r="U62" i="33"/>
  <c r="I62" i="35"/>
  <c r="J62" i="35"/>
  <c r="K62" i="35" s="1"/>
  <c r="E60" i="17" s="1"/>
  <c r="K61" i="31"/>
  <c r="D59" i="17" s="1"/>
  <c r="K54" i="38"/>
  <c r="O57" i="17"/>
  <c r="E52" i="28"/>
  <c r="V64" i="35"/>
  <c r="W64" i="35" s="1"/>
  <c r="V62" i="17" s="1"/>
  <c r="U64" i="35"/>
  <c r="U63" i="32"/>
  <c r="V63" i="32"/>
  <c r="W63" i="32" s="1"/>
  <c r="W61" i="17" s="1"/>
  <c r="L54" i="38"/>
  <c r="K61" i="34"/>
  <c r="G59" i="17" s="1"/>
  <c r="V62" i="31"/>
  <c r="W62" i="31" s="1"/>
  <c r="U60" i="17" s="1"/>
  <c r="U62" i="31"/>
  <c r="I63" i="18" l="1"/>
  <c r="J63" i="18"/>
  <c r="K63" i="18" s="1"/>
  <c r="C61" i="17" s="1"/>
  <c r="J56" i="38"/>
  <c r="K63" i="32"/>
  <c r="F61" i="17" s="1"/>
  <c r="L59" i="17"/>
  <c r="O59" i="17" s="1"/>
  <c r="I64" i="32"/>
  <c r="J64" i="32"/>
  <c r="V63" i="37"/>
  <c r="W63" i="37" s="1"/>
  <c r="AA61" i="17" s="1"/>
  <c r="U63" i="37"/>
  <c r="V63" i="31"/>
  <c r="W63" i="31" s="1"/>
  <c r="U61" i="17" s="1"/>
  <c r="U63" i="31"/>
  <c r="J63" i="35"/>
  <c r="K63" i="35" s="1"/>
  <c r="E61" i="17" s="1"/>
  <c r="I63" i="35"/>
  <c r="V63" i="18"/>
  <c r="W63" i="18" s="1"/>
  <c r="T61" i="17" s="1"/>
  <c r="U63" i="18"/>
  <c r="K62" i="34"/>
  <c r="G60" i="17" s="1"/>
  <c r="L55" i="38"/>
  <c r="M52" i="38"/>
  <c r="N52" i="38"/>
  <c r="O52" i="38"/>
  <c r="AC60" i="17"/>
  <c r="AF60" i="17" s="1"/>
  <c r="V64" i="32"/>
  <c r="W64" i="32" s="1"/>
  <c r="W62" i="17" s="1"/>
  <c r="U64" i="32"/>
  <c r="U65" i="34"/>
  <c r="V65" i="34"/>
  <c r="W65" i="34" s="1"/>
  <c r="X63" i="17" s="1"/>
  <c r="V65" i="35"/>
  <c r="W65" i="35" s="1"/>
  <c r="V63" i="17" s="1"/>
  <c r="U65" i="35"/>
  <c r="I63" i="33"/>
  <c r="J63" i="33"/>
  <c r="K63" i="33" s="1"/>
  <c r="H61" i="17" s="1"/>
  <c r="V63" i="33"/>
  <c r="W63" i="33" s="1"/>
  <c r="Y61" i="17" s="1"/>
  <c r="U63" i="33"/>
  <c r="I63" i="31"/>
  <c r="J63" i="31"/>
  <c r="I63" i="34"/>
  <c r="J63" i="34"/>
  <c r="K62" i="31"/>
  <c r="D60" i="17" s="1"/>
  <c r="K55" i="38"/>
  <c r="J63" i="37"/>
  <c r="K63" i="37" s="1"/>
  <c r="J61" i="17" s="1"/>
  <c r="I63" i="37"/>
  <c r="O58" i="17"/>
  <c r="E53" i="28"/>
  <c r="J64" i="18" l="1"/>
  <c r="K64" i="18" s="1"/>
  <c r="C62" i="17" s="1"/>
  <c r="I64" i="18"/>
  <c r="V64" i="37"/>
  <c r="W64" i="37" s="1"/>
  <c r="AA62" i="17" s="1"/>
  <c r="U64" i="37"/>
  <c r="E54" i="28"/>
  <c r="M54" i="38" s="1"/>
  <c r="K64" i="32"/>
  <c r="F62" i="17" s="1"/>
  <c r="J57" i="38"/>
  <c r="AC61" i="17"/>
  <c r="AF61" i="17" s="1"/>
  <c r="I65" i="32"/>
  <c r="J65" i="32"/>
  <c r="I64" i="34"/>
  <c r="J64" i="34"/>
  <c r="J64" i="31"/>
  <c r="I64" i="31"/>
  <c r="V66" i="35"/>
  <c r="W66" i="35" s="1"/>
  <c r="V64" i="17" s="1"/>
  <c r="U66" i="35"/>
  <c r="I64" i="35"/>
  <c r="J64" i="35"/>
  <c r="K64" i="35" s="1"/>
  <c r="E62" i="17" s="1"/>
  <c r="J64" i="33"/>
  <c r="K64" i="33" s="1"/>
  <c r="H62" i="17" s="1"/>
  <c r="I64" i="33"/>
  <c r="V65" i="32"/>
  <c r="W65" i="32" s="1"/>
  <c r="W63" i="17" s="1"/>
  <c r="U65" i="32"/>
  <c r="L60" i="17"/>
  <c r="K63" i="31"/>
  <c r="D61" i="17" s="1"/>
  <c r="K56" i="38"/>
  <c r="I64" i="37"/>
  <c r="J64" i="37"/>
  <c r="K64" i="37" s="1"/>
  <c r="J62" i="17" s="1"/>
  <c r="V64" i="33"/>
  <c r="W64" i="33" s="1"/>
  <c r="Y62" i="17" s="1"/>
  <c r="U64" i="33"/>
  <c r="V64" i="18"/>
  <c r="W64" i="18" s="1"/>
  <c r="T62" i="17" s="1"/>
  <c r="U64" i="18"/>
  <c r="M53" i="38"/>
  <c r="N53" i="38"/>
  <c r="O53" i="38"/>
  <c r="V64" i="31"/>
  <c r="W64" i="31" s="1"/>
  <c r="U62" i="17" s="1"/>
  <c r="U64" i="31"/>
  <c r="L56" i="38"/>
  <c r="K63" i="34"/>
  <c r="G61" i="17" s="1"/>
  <c r="V66" i="34"/>
  <c r="W66" i="34" s="1"/>
  <c r="X64" i="17" s="1"/>
  <c r="U66" i="34"/>
  <c r="O54" i="38" l="1"/>
  <c r="J65" i="18"/>
  <c r="K65" i="18" s="1"/>
  <c r="C63" i="17" s="1"/>
  <c r="I65" i="18"/>
  <c r="I66" i="32"/>
  <c r="J66" i="32"/>
  <c r="N54" i="38"/>
  <c r="K65" i="32"/>
  <c r="F63" i="17" s="1"/>
  <c r="J58" i="38"/>
  <c r="AC62" i="17"/>
  <c r="AF62" i="17" s="1"/>
  <c r="L61" i="17"/>
  <c r="E56" i="28" s="1"/>
  <c r="M56" i="38" s="1"/>
  <c r="V65" i="37"/>
  <c r="W65" i="37" s="1"/>
  <c r="AA63" i="17" s="1"/>
  <c r="U65" i="37"/>
  <c r="J65" i="37"/>
  <c r="K65" i="37" s="1"/>
  <c r="J63" i="17" s="1"/>
  <c r="I65" i="37"/>
  <c r="V65" i="31"/>
  <c r="W65" i="31" s="1"/>
  <c r="U63" i="17" s="1"/>
  <c r="U65" i="31"/>
  <c r="E55" i="28"/>
  <c r="O60" i="17"/>
  <c r="U66" i="32"/>
  <c r="V66" i="32"/>
  <c r="W66" i="32" s="1"/>
  <c r="W64" i="17" s="1"/>
  <c r="U65" i="18"/>
  <c r="V65" i="18"/>
  <c r="W65" i="18" s="1"/>
  <c r="T63" i="17" s="1"/>
  <c r="I65" i="33"/>
  <c r="J65" i="33"/>
  <c r="K65" i="33" s="1"/>
  <c r="H63" i="17" s="1"/>
  <c r="J65" i="31"/>
  <c r="I65" i="31"/>
  <c r="K64" i="31"/>
  <c r="D62" i="17" s="1"/>
  <c r="K57" i="38"/>
  <c r="J65" i="35"/>
  <c r="K65" i="35" s="1"/>
  <c r="E63" i="17" s="1"/>
  <c r="I65" i="35"/>
  <c r="L57" i="38"/>
  <c r="K64" i="34"/>
  <c r="G62" i="17" s="1"/>
  <c r="V67" i="34"/>
  <c r="W67" i="34" s="1"/>
  <c r="X65" i="17" s="1"/>
  <c r="U67" i="34"/>
  <c r="V65" i="33"/>
  <c r="W65" i="33" s="1"/>
  <c r="Y63" i="17" s="1"/>
  <c r="U65" i="33"/>
  <c r="U67" i="35"/>
  <c r="V67" i="35"/>
  <c r="W67" i="35" s="1"/>
  <c r="V65" i="17" s="1"/>
  <c r="I65" i="34"/>
  <c r="J65" i="34"/>
  <c r="I66" i="18" l="1"/>
  <c r="J66" i="18"/>
  <c r="K66" i="18" s="1"/>
  <c r="C64" i="17" s="1"/>
  <c r="O61" i="17"/>
  <c r="K66" i="32"/>
  <c r="F64" i="17" s="1"/>
  <c r="J59" i="38"/>
  <c r="V66" i="37"/>
  <c r="W66" i="37" s="1"/>
  <c r="AA64" i="17" s="1"/>
  <c r="U66" i="37"/>
  <c r="J67" i="32"/>
  <c r="I67" i="32"/>
  <c r="AC63" i="17"/>
  <c r="AF63" i="17" s="1"/>
  <c r="V66" i="31"/>
  <c r="W66" i="31" s="1"/>
  <c r="U64" i="17" s="1"/>
  <c r="U66" i="31"/>
  <c r="I66" i="34"/>
  <c r="J66" i="34"/>
  <c r="O56" i="38"/>
  <c r="L62" i="17"/>
  <c r="I66" i="35"/>
  <c r="J66" i="35"/>
  <c r="K66" i="35" s="1"/>
  <c r="E64" i="17" s="1"/>
  <c r="N56" i="38"/>
  <c r="V67" i="32"/>
  <c r="W67" i="32" s="1"/>
  <c r="W65" i="17" s="1"/>
  <c r="U67" i="32"/>
  <c r="I66" i="33"/>
  <c r="J66" i="33"/>
  <c r="K66" i="33" s="1"/>
  <c r="H64" i="17" s="1"/>
  <c r="V68" i="35"/>
  <c r="W68" i="35" s="1"/>
  <c r="V66" i="17" s="1"/>
  <c r="U68" i="35"/>
  <c r="U66" i="18"/>
  <c r="V66" i="18"/>
  <c r="W66" i="18" s="1"/>
  <c r="T64" i="17" s="1"/>
  <c r="V66" i="33"/>
  <c r="W66" i="33" s="1"/>
  <c r="Y64" i="17" s="1"/>
  <c r="U66" i="33"/>
  <c r="J66" i="31"/>
  <c r="I66" i="31"/>
  <c r="J66" i="37"/>
  <c r="K66" i="37" s="1"/>
  <c r="J64" i="17" s="1"/>
  <c r="I66" i="37"/>
  <c r="M55" i="38"/>
  <c r="N55" i="38"/>
  <c r="O55" i="38"/>
  <c r="L58" i="38"/>
  <c r="K65" i="34"/>
  <c r="G63" i="17" s="1"/>
  <c r="U68" i="34"/>
  <c r="V68" i="34"/>
  <c r="W68" i="34" s="1"/>
  <c r="X66" i="17" s="1"/>
  <c r="K65" i="31"/>
  <c r="D63" i="17" s="1"/>
  <c r="K58" i="38"/>
  <c r="J67" i="18" l="1"/>
  <c r="K67" i="18" s="1"/>
  <c r="C65" i="17" s="1"/>
  <c r="I67" i="18"/>
  <c r="L63" i="17"/>
  <c r="O63" i="17" s="1"/>
  <c r="I68" i="32"/>
  <c r="J68" i="32"/>
  <c r="K67" i="32"/>
  <c r="F65" i="17" s="1"/>
  <c r="J60" i="38"/>
  <c r="AC64" i="17"/>
  <c r="AF64" i="17" s="1"/>
  <c r="V67" i="37"/>
  <c r="W67" i="37" s="1"/>
  <c r="AA65" i="17" s="1"/>
  <c r="U67" i="37"/>
  <c r="U69" i="34"/>
  <c r="V69" i="34"/>
  <c r="W69" i="34" s="1"/>
  <c r="X67" i="17" s="1"/>
  <c r="I67" i="31"/>
  <c r="J67" i="31"/>
  <c r="U67" i="18"/>
  <c r="V67" i="18"/>
  <c r="W67" i="18" s="1"/>
  <c r="T65" i="17" s="1"/>
  <c r="V68" i="32"/>
  <c r="W68" i="32" s="1"/>
  <c r="W66" i="17" s="1"/>
  <c r="U68" i="32"/>
  <c r="I67" i="34"/>
  <c r="J67" i="34"/>
  <c r="K66" i="31"/>
  <c r="D64" i="17" s="1"/>
  <c r="K59" i="38"/>
  <c r="V67" i="31"/>
  <c r="W67" i="31" s="1"/>
  <c r="U65" i="17" s="1"/>
  <c r="U67" i="31"/>
  <c r="K66" i="34"/>
  <c r="G64" i="17" s="1"/>
  <c r="L59" i="38"/>
  <c r="V67" i="33"/>
  <c r="W67" i="33" s="1"/>
  <c r="Y65" i="17" s="1"/>
  <c r="U67" i="33"/>
  <c r="V69" i="35"/>
  <c r="W69" i="35" s="1"/>
  <c r="V67" i="17" s="1"/>
  <c r="U69" i="35"/>
  <c r="I67" i="35"/>
  <c r="J67" i="35"/>
  <c r="K67" i="35" s="1"/>
  <c r="E65" i="17" s="1"/>
  <c r="J67" i="37"/>
  <c r="K67" i="37" s="1"/>
  <c r="J65" i="17" s="1"/>
  <c r="I67" i="37"/>
  <c r="E58" i="28"/>
  <c r="M58" i="38" s="1"/>
  <c r="I67" i="33"/>
  <c r="J67" i="33"/>
  <c r="K67" i="33" s="1"/>
  <c r="H65" i="17" s="1"/>
  <c r="E57" i="28"/>
  <c r="O62" i="17"/>
  <c r="J68" i="18" l="1"/>
  <c r="K68" i="18" s="1"/>
  <c r="C66" i="17" s="1"/>
  <c r="I68" i="18"/>
  <c r="AC65" i="17"/>
  <c r="AF65" i="17" s="1"/>
  <c r="U68" i="37"/>
  <c r="V68" i="37"/>
  <c r="W68" i="37" s="1"/>
  <c r="AA66" i="17" s="1"/>
  <c r="K68" i="32"/>
  <c r="F66" i="17" s="1"/>
  <c r="J61" i="38"/>
  <c r="J69" i="32"/>
  <c r="I69" i="32"/>
  <c r="V68" i="18"/>
  <c r="W68" i="18" s="1"/>
  <c r="T66" i="17" s="1"/>
  <c r="U68" i="18"/>
  <c r="M57" i="38"/>
  <c r="N57" i="38"/>
  <c r="O57" i="38"/>
  <c r="J68" i="37"/>
  <c r="K68" i="37" s="1"/>
  <c r="J66" i="17" s="1"/>
  <c r="I68" i="37"/>
  <c r="U68" i="33"/>
  <c r="V68" i="33"/>
  <c r="W68" i="33" s="1"/>
  <c r="Y66" i="17" s="1"/>
  <c r="L64" i="17"/>
  <c r="I68" i="31"/>
  <c r="J68" i="31"/>
  <c r="V68" i="31"/>
  <c r="W68" i="31" s="1"/>
  <c r="U66" i="17" s="1"/>
  <c r="U68" i="31"/>
  <c r="K60" i="38"/>
  <c r="K67" i="31"/>
  <c r="D65" i="17" s="1"/>
  <c r="K67" i="34"/>
  <c r="G65" i="17" s="1"/>
  <c r="L60" i="38"/>
  <c r="O58" i="38"/>
  <c r="J68" i="34"/>
  <c r="I68" i="34"/>
  <c r="V70" i="34"/>
  <c r="W70" i="34" s="1"/>
  <c r="X68" i="17" s="1"/>
  <c r="U70" i="34"/>
  <c r="V70" i="35"/>
  <c r="W70" i="35" s="1"/>
  <c r="V68" i="17" s="1"/>
  <c r="U70" i="35"/>
  <c r="I68" i="33"/>
  <c r="J68" i="33"/>
  <c r="K68" i="33" s="1"/>
  <c r="H66" i="17" s="1"/>
  <c r="I68" i="35"/>
  <c r="J68" i="35"/>
  <c r="K68" i="35" s="1"/>
  <c r="E66" i="17" s="1"/>
  <c r="V69" i="32"/>
  <c r="W69" i="32" s="1"/>
  <c r="W67" i="17" s="1"/>
  <c r="U69" i="32"/>
  <c r="N58" i="38"/>
  <c r="J69" i="18" l="1"/>
  <c r="K69" i="18" s="1"/>
  <c r="C67" i="17" s="1"/>
  <c r="I69" i="18"/>
  <c r="L65" i="17"/>
  <c r="O65" i="17" s="1"/>
  <c r="I70" i="32"/>
  <c r="J70" i="32"/>
  <c r="J62" i="38"/>
  <c r="K69" i="32"/>
  <c r="F67" i="17" s="1"/>
  <c r="V69" i="37"/>
  <c r="W69" i="37" s="1"/>
  <c r="AA67" i="17" s="1"/>
  <c r="U69" i="37"/>
  <c r="U71" i="35"/>
  <c r="V71" i="35"/>
  <c r="W71" i="35" s="1"/>
  <c r="V69" i="17" s="1"/>
  <c r="U69" i="33"/>
  <c r="V69" i="33"/>
  <c r="W69" i="33" s="1"/>
  <c r="Y67" i="17" s="1"/>
  <c r="V70" i="32"/>
  <c r="W70" i="32" s="1"/>
  <c r="W68" i="17" s="1"/>
  <c r="U70" i="32"/>
  <c r="I69" i="34"/>
  <c r="J69" i="34"/>
  <c r="K61" i="38"/>
  <c r="K68" i="31"/>
  <c r="D66" i="17" s="1"/>
  <c r="J69" i="33"/>
  <c r="K69" i="33" s="1"/>
  <c r="H67" i="17" s="1"/>
  <c r="I69" i="33"/>
  <c r="J69" i="37"/>
  <c r="K69" i="37" s="1"/>
  <c r="J67" i="17" s="1"/>
  <c r="I69" i="37"/>
  <c r="L61" i="38"/>
  <c r="K68" i="34"/>
  <c r="G66" i="17" s="1"/>
  <c r="I69" i="31"/>
  <c r="J69" i="31"/>
  <c r="V69" i="31"/>
  <c r="W69" i="31" s="1"/>
  <c r="U67" i="17" s="1"/>
  <c r="U69" i="31"/>
  <c r="J69" i="35"/>
  <c r="K69" i="35" s="1"/>
  <c r="E67" i="17" s="1"/>
  <c r="I69" i="35"/>
  <c r="E59" i="28"/>
  <c r="O64" i="17"/>
  <c r="U69" i="18"/>
  <c r="V69" i="18"/>
  <c r="W69" i="18" s="1"/>
  <c r="T67" i="17" s="1"/>
  <c r="U71" i="34"/>
  <c r="V71" i="34"/>
  <c r="W71" i="34" s="1"/>
  <c r="X69" i="17" s="1"/>
  <c r="AC66" i="17"/>
  <c r="AF66" i="17" s="1"/>
  <c r="E60" i="28" l="1"/>
  <c r="M60" i="38" s="1"/>
  <c r="I70" i="18"/>
  <c r="J70" i="18"/>
  <c r="K70" i="18" s="1"/>
  <c r="C68" i="17" s="1"/>
  <c r="V70" i="37"/>
  <c r="W70" i="37" s="1"/>
  <c r="AA68" i="17" s="1"/>
  <c r="U70" i="37"/>
  <c r="J63" i="38"/>
  <c r="K70" i="32"/>
  <c r="F68" i="17" s="1"/>
  <c r="I71" i="32"/>
  <c r="J71" i="32"/>
  <c r="L66" i="17"/>
  <c r="E61" i="28" s="1"/>
  <c r="U72" i="34"/>
  <c r="V72" i="34"/>
  <c r="W72" i="34" s="1"/>
  <c r="X70" i="17" s="1"/>
  <c r="I70" i="35"/>
  <c r="J70" i="35"/>
  <c r="K70" i="35" s="1"/>
  <c r="E68" i="17" s="1"/>
  <c r="L62" i="38"/>
  <c r="K69" i="34"/>
  <c r="G67" i="17" s="1"/>
  <c r="I70" i="34"/>
  <c r="J70" i="34"/>
  <c r="U70" i="31"/>
  <c r="V70" i="31"/>
  <c r="W70" i="31" s="1"/>
  <c r="U68" i="17" s="1"/>
  <c r="V71" i="32"/>
  <c r="W71" i="32" s="1"/>
  <c r="W69" i="17" s="1"/>
  <c r="U71" i="32"/>
  <c r="K62" i="38"/>
  <c r="K69" i="31"/>
  <c r="D67" i="17" s="1"/>
  <c r="AC67" i="17"/>
  <c r="AF67" i="17" s="1"/>
  <c r="J70" i="31"/>
  <c r="I70" i="31"/>
  <c r="U70" i="33"/>
  <c r="V70" i="33"/>
  <c r="W70" i="33" s="1"/>
  <c r="Y68" i="17" s="1"/>
  <c r="I70" i="33"/>
  <c r="J70" i="33"/>
  <c r="K70" i="33" s="1"/>
  <c r="H68" i="17" s="1"/>
  <c r="U70" i="18"/>
  <c r="V70" i="18"/>
  <c r="W70" i="18" s="1"/>
  <c r="T68" i="17" s="1"/>
  <c r="M59" i="38"/>
  <c r="N59" i="38"/>
  <c r="O59" i="38"/>
  <c r="J70" i="37"/>
  <c r="K70" i="37" s="1"/>
  <c r="J68" i="17" s="1"/>
  <c r="I70" i="37"/>
  <c r="V72" i="35"/>
  <c r="W72" i="35" s="1"/>
  <c r="V70" i="17" s="1"/>
  <c r="U72" i="35"/>
  <c r="N60" i="38" l="1"/>
  <c r="O60" i="38"/>
  <c r="I71" i="18"/>
  <c r="J71" i="18"/>
  <c r="K71" i="18" s="1"/>
  <c r="C69" i="17" s="1"/>
  <c r="M61" i="38"/>
  <c r="O61" i="38"/>
  <c r="K71" i="32"/>
  <c r="F69" i="17" s="1"/>
  <c r="J64" i="38"/>
  <c r="J72" i="32"/>
  <c r="I72" i="32"/>
  <c r="AC68" i="17"/>
  <c r="AF68" i="17" s="1"/>
  <c r="O66" i="17"/>
  <c r="V71" i="37"/>
  <c r="W71" i="37" s="1"/>
  <c r="AA69" i="17" s="1"/>
  <c r="U71" i="37"/>
  <c r="J71" i="37"/>
  <c r="K71" i="37" s="1"/>
  <c r="J69" i="17" s="1"/>
  <c r="I71" i="37"/>
  <c r="V71" i="31"/>
  <c r="W71" i="31" s="1"/>
  <c r="U69" i="17" s="1"/>
  <c r="U71" i="31"/>
  <c r="I71" i="31"/>
  <c r="J71" i="31"/>
  <c r="I71" i="33"/>
  <c r="J71" i="33"/>
  <c r="K71" i="33" s="1"/>
  <c r="H69" i="17" s="1"/>
  <c r="I71" i="35"/>
  <c r="J71" i="35"/>
  <c r="K71" i="35" s="1"/>
  <c r="E69" i="17" s="1"/>
  <c r="K63" i="38"/>
  <c r="K70" i="31"/>
  <c r="D68" i="17" s="1"/>
  <c r="V73" i="35"/>
  <c r="W73" i="35" s="1"/>
  <c r="V71" i="17" s="1"/>
  <c r="U73" i="35"/>
  <c r="L67" i="17"/>
  <c r="V72" i="32"/>
  <c r="W72" i="32" s="1"/>
  <c r="W70" i="17" s="1"/>
  <c r="U72" i="32"/>
  <c r="L63" i="38"/>
  <c r="K70" i="34"/>
  <c r="G68" i="17" s="1"/>
  <c r="I71" i="34"/>
  <c r="J71" i="34"/>
  <c r="U71" i="18"/>
  <c r="V71" i="18"/>
  <c r="W71" i="18" s="1"/>
  <c r="T69" i="17" s="1"/>
  <c r="V71" i="33"/>
  <c r="W71" i="33" s="1"/>
  <c r="Y69" i="17" s="1"/>
  <c r="U71" i="33"/>
  <c r="N61" i="38"/>
  <c r="U73" i="34"/>
  <c r="V73" i="34"/>
  <c r="W73" i="34" s="1"/>
  <c r="X71" i="17" s="1"/>
  <c r="L68" i="17" l="1"/>
  <c r="E63" i="28" s="1"/>
  <c r="M63" i="38" s="1"/>
  <c r="I72" i="18"/>
  <c r="J72" i="18"/>
  <c r="K72" i="18" s="1"/>
  <c r="C70" i="17" s="1"/>
  <c r="J73" i="32"/>
  <c r="I73" i="32"/>
  <c r="J65" i="38"/>
  <c r="K72" i="32"/>
  <c r="F70" i="17" s="1"/>
  <c r="U72" i="37"/>
  <c r="V72" i="37"/>
  <c r="W72" i="37" s="1"/>
  <c r="AA70" i="17" s="1"/>
  <c r="U72" i="33"/>
  <c r="V72" i="33"/>
  <c r="W72" i="33" s="1"/>
  <c r="Y70" i="17" s="1"/>
  <c r="K64" i="38"/>
  <c r="K71" i="31"/>
  <c r="D69" i="17" s="1"/>
  <c r="V74" i="34"/>
  <c r="W74" i="34" s="1"/>
  <c r="X72" i="17" s="1"/>
  <c r="U74" i="34"/>
  <c r="AC69" i="17"/>
  <c r="AF69" i="17" s="1"/>
  <c r="I72" i="35"/>
  <c r="J72" i="35"/>
  <c r="K72" i="35" s="1"/>
  <c r="E70" i="17" s="1"/>
  <c r="I72" i="31"/>
  <c r="J72" i="31"/>
  <c r="V72" i="18"/>
  <c r="W72" i="18" s="1"/>
  <c r="T70" i="17" s="1"/>
  <c r="U72" i="18"/>
  <c r="E62" i="28"/>
  <c r="O67" i="17"/>
  <c r="J72" i="33"/>
  <c r="K72" i="33" s="1"/>
  <c r="H70" i="17" s="1"/>
  <c r="I72" i="33"/>
  <c r="V72" i="31"/>
  <c r="W72" i="31" s="1"/>
  <c r="U70" i="17" s="1"/>
  <c r="U72" i="31"/>
  <c r="K71" i="34"/>
  <c r="G69" i="17" s="1"/>
  <c r="L64" i="38"/>
  <c r="I72" i="34"/>
  <c r="J72" i="34"/>
  <c r="U74" i="35"/>
  <c r="V74" i="35"/>
  <c r="W74" i="35" s="1"/>
  <c r="V72" i="17" s="1"/>
  <c r="I72" i="37"/>
  <c r="J72" i="37"/>
  <c r="K72" i="37" s="1"/>
  <c r="J70" i="17" s="1"/>
  <c r="V73" i="32"/>
  <c r="W73" i="32" s="1"/>
  <c r="W71" i="17" s="1"/>
  <c r="U73" i="32"/>
  <c r="O68" i="17" l="1"/>
  <c r="J73" i="18"/>
  <c r="K73" i="18" s="1"/>
  <c r="C71" i="17" s="1"/>
  <c r="I73" i="18"/>
  <c r="V73" i="37"/>
  <c r="W73" i="37" s="1"/>
  <c r="AA71" i="17" s="1"/>
  <c r="U73" i="37"/>
  <c r="O63" i="38"/>
  <c r="AC70" i="17"/>
  <c r="AF70" i="17" s="1"/>
  <c r="N63" i="38"/>
  <c r="I74" i="32"/>
  <c r="J74" i="32"/>
  <c r="J66" i="38"/>
  <c r="K73" i="32"/>
  <c r="F71" i="17" s="1"/>
  <c r="I73" i="31"/>
  <c r="J73" i="31"/>
  <c r="U75" i="34"/>
  <c r="V75" i="34"/>
  <c r="W75" i="34" s="1"/>
  <c r="X73" i="17" s="1"/>
  <c r="V73" i="31"/>
  <c r="W73" i="31" s="1"/>
  <c r="U71" i="17" s="1"/>
  <c r="U73" i="31"/>
  <c r="K72" i="31"/>
  <c r="D70" i="17" s="1"/>
  <c r="K65" i="38"/>
  <c r="J73" i="37"/>
  <c r="K73" i="37" s="1"/>
  <c r="J71" i="17" s="1"/>
  <c r="I73" i="37"/>
  <c r="L69" i="17"/>
  <c r="M62" i="38"/>
  <c r="N62" i="38"/>
  <c r="O62" i="38"/>
  <c r="J73" i="35"/>
  <c r="K73" i="35" s="1"/>
  <c r="E71" i="17" s="1"/>
  <c r="I73" i="35"/>
  <c r="V73" i="33"/>
  <c r="W73" i="33" s="1"/>
  <c r="Y71" i="17" s="1"/>
  <c r="U73" i="33"/>
  <c r="U74" i="32"/>
  <c r="V74" i="32"/>
  <c r="W74" i="32" s="1"/>
  <c r="W72" i="17" s="1"/>
  <c r="V75" i="35"/>
  <c r="W75" i="35" s="1"/>
  <c r="V73" i="17" s="1"/>
  <c r="U75" i="35"/>
  <c r="K72" i="34"/>
  <c r="G70" i="17" s="1"/>
  <c r="L65" i="38"/>
  <c r="I73" i="34"/>
  <c r="J73" i="34"/>
  <c r="I73" i="33"/>
  <c r="J73" i="33"/>
  <c r="K73" i="33" s="1"/>
  <c r="H71" i="17" s="1"/>
  <c r="U73" i="18"/>
  <c r="V73" i="18"/>
  <c r="W73" i="18" s="1"/>
  <c r="T71" i="17" s="1"/>
  <c r="I74" i="18" l="1"/>
  <c r="J74" i="18"/>
  <c r="K74" i="18" s="1"/>
  <c r="C72" i="17" s="1"/>
  <c r="J67" i="38"/>
  <c r="K74" i="32"/>
  <c r="F72" i="17" s="1"/>
  <c r="J75" i="32"/>
  <c r="I75" i="32"/>
  <c r="V74" i="37"/>
  <c r="W74" i="37" s="1"/>
  <c r="AA72" i="17" s="1"/>
  <c r="U74" i="37"/>
  <c r="V74" i="33"/>
  <c r="W74" i="33" s="1"/>
  <c r="Y72" i="17" s="1"/>
  <c r="U74" i="33"/>
  <c r="J74" i="33"/>
  <c r="K74" i="33" s="1"/>
  <c r="H72" i="17" s="1"/>
  <c r="I74" i="33"/>
  <c r="U76" i="34"/>
  <c r="V76" i="34"/>
  <c r="W76" i="34" s="1"/>
  <c r="X74" i="17" s="1"/>
  <c r="O69" i="17"/>
  <c r="E64" i="28"/>
  <c r="L66" i="38"/>
  <c r="K73" i="34"/>
  <c r="G71" i="17" s="1"/>
  <c r="L70" i="17"/>
  <c r="K73" i="31"/>
  <c r="D71" i="17" s="1"/>
  <c r="K66" i="38"/>
  <c r="I74" i="35"/>
  <c r="J74" i="35"/>
  <c r="K74" i="35" s="1"/>
  <c r="E72" i="17" s="1"/>
  <c r="I74" i="37"/>
  <c r="J74" i="37"/>
  <c r="K74" i="37" s="1"/>
  <c r="J72" i="17" s="1"/>
  <c r="I74" i="34"/>
  <c r="J74" i="34"/>
  <c r="AC71" i="17"/>
  <c r="AF71" i="17" s="1"/>
  <c r="V74" i="18"/>
  <c r="W74" i="18" s="1"/>
  <c r="T72" i="17" s="1"/>
  <c r="U74" i="18"/>
  <c r="V76" i="35"/>
  <c r="W76" i="35" s="1"/>
  <c r="V74" i="17" s="1"/>
  <c r="U76" i="35"/>
  <c r="U75" i="32"/>
  <c r="V75" i="32"/>
  <c r="W75" i="32" s="1"/>
  <c r="W73" i="17" s="1"/>
  <c r="U74" i="31"/>
  <c r="V74" i="31"/>
  <c r="W74" i="31" s="1"/>
  <c r="U72" i="17" s="1"/>
  <c r="J74" i="31"/>
  <c r="I74" i="31"/>
  <c r="I75" i="18" l="1"/>
  <c r="J75" i="18"/>
  <c r="K75" i="18" s="1"/>
  <c r="C73" i="17" s="1"/>
  <c r="L71" i="17"/>
  <c r="E66" i="28" s="1"/>
  <c r="M66" i="38" s="1"/>
  <c r="V75" i="37"/>
  <c r="W75" i="37" s="1"/>
  <c r="AA73" i="17" s="1"/>
  <c r="U75" i="37"/>
  <c r="I76" i="32"/>
  <c r="J76" i="32"/>
  <c r="AC72" i="17"/>
  <c r="AF72" i="17" s="1"/>
  <c r="J68" i="38"/>
  <c r="K75" i="32"/>
  <c r="F73" i="17" s="1"/>
  <c r="I75" i="34"/>
  <c r="J75" i="34"/>
  <c r="U77" i="34"/>
  <c r="V77" i="34"/>
  <c r="W77" i="34" s="1"/>
  <c r="X75" i="17" s="1"/>
  <c r="V76" i="32"/>
  <c r="W76" i="32" s="1"/>
  <c r="W74" i="17" s="1"/>
  <c r="U76" i="32"/>
  <c r="E65" i="28"/>
  <c r="O70" i="17"/>
  <c r="J75" i="33"/>
  <c r="K75" i="33" s="1"/>
  <c r="H73" i="17" s="1"/>
  <c r="I75" i="33"/>
  <c r="U77" i="35"/>
  <c r="V77" i="35"/>
  <c r="W77" i="35" s="1"/>
  <c r="V75" i="17" s="1"/>
  <c r="J75" i="37"/>
  <c r="K75" i="37" s="1"/>
  <c r="J73" i="17" s="1"/>
  <c r="I75" i="37"/>
  <c r="K67" i="38"/>
  <c r="K74" i="31"/>
  <c r="D72" i="17" s="1"/>
  <c r="V75" i="31"/>
  <c r="W75" i="31" s="1"/>
  <c r="U73" i="17" s="1"/>
  <c r="U75" i="31"/>
  <c r="U75" i="33"/>
  <c r="V75" i="33"/>
  <c r="W75" i="33" s="1"/>
  <c r="Y73" i="17" s="1"/>
  <c r="I75" i="35"/>
  <c r="J75" i="35"/>
  <c r="K75" i="35" s="1"/>
  <c r="E73" i="17" s="1"/>
  <c r="L67" i="38"/>
  <c r="K74" i="34"/>
  <c r="G72" i="17" s="1"/>
  <c r="I75" i="31"/>
  <c r="J75" i="31"/>
  <c r="U75" i="18"/>
  <c r="V75" i="18"/>
  <c r="W75" i="18" s="1"/>
  <c r="T73" i="17" s="1"/>
  <c r="M64" i="38"/>
  <c r="N64" i="38"/>
  <c r="O64" i="38"/>
  <c r="J76" i="18" l="1"/>
  <c r="K76" i="18" s="1"/>
  <c r="C74" i="17" s="1"/>
  <c r="I76" i="18"/>
  <c r="O71" i="17"/>
  <c r="J69" i="38"/>
  <c r="K76" i="32"/>
  <c r="F74" i="17" s="1"/>
  <c r="I77" i="32"/>
  <c r="J77" i="32"/>
  <c r="U76" i="37"/>
  <c r="V76" i="37"/>
  <c r="W76" i="37" s="1"/>
  <c r="AA74" i="17" s="1"/>
  <c r="AC73" i="17"/>
  <c r="AF73" i="17" s="1"/>
  <c r="I76" i="31"/>
  <c r="J76" i="31"/>
  <c r="U76" i="33"/>
  <c r="V76" i="33"/>
  <c r="W76" i="33" s="1"/>
  <c r="Y74" i="17" s="1"/>
  <c r="N66" i="38"/>
  <c r="J76" i="37"/>
  <c r="K76" i="37" s="1"/>
  <c r="J74" i="17" s="1"/>
  <c r="I76" i="37"/>
  <c r="O66" i="38"/>
  <c r="V78" i="35"/>
  <c r="W78" i="35" s="1"/>
  <c r="V76" i="17" s="1"/>
  <c r="U78" i="35"/>
  <c r="K75" i="34"/>
  <c r="G73" i="17" s="1"/>
  <c r="L68" i="38"/>
  <c r="L72" i="17"/>
  <c r="M65" i="38"/>
  <c r="N65" i="38"/>
  <c r="O65" i="38"/>
  <c r="U76" i="18"/>
  <c r="V76" i="18"/>
  <c r="W76" i="18" s="1"/>
  <c r="T74" i="17" s="1"/>
  <c r="J76" i="35"/>
  <c r="K76" i="35" s="1"/>
  <c r="E74" i="17" s="1"/>
  <c r="I76" i="35"/>
  <c r="V77" i="32"/>
  <c r="W77" i="32" s="1"/>
  <c r="W75" i="17" s="1"/>
  <c r="U77" i="32"/>
  <c r="K75" i="31"/>
  <c r="D73" i="17" s="1"/>
  <c r="K68" i="38"/>
  <c r="U76" i="31"/>
  <c r="V76" i="31"/>
  <c r="W76" i="31" s="1"/>
  <c r="U74" i="17" s="1"/>
  <c r="I76" i="33"/>
  <c r="J76" i="33"/>
  <c r="K76" i="33" s="1"/>
  <c r="H74" i="17" s="1"/>
  <c r="U78" i="34"/>
  <c r="V78" i="34"/>
  <c r="W78" i="34" s="1"/>
  <c r="X76" i="17" s="1"/>
  <c r="J76" i="34"/>
  <c r="I76" i="34"/>
  <c r="J77" i="18" l="1"/>
  <c r="K77" i="18" s="1"/>
  <c r="C75" i="17" s="1"/>
  <c r="I77" i="18"/>
  <c r="V77" i="37"/>
  <c r="W77" i="37" s="1"/>
  <c r="AA75" i="17" s="1"/>
  <c r="U77" i="37"/>
  <c r="K77" i="32"/>
  <c r="F75" i="17" s="1"/>
  <c r="J70" i="38"/>
  <c r="J78" i="32"/>
  <c r="I78" i="32"/>
  <c r="J77" i="33"/>
  <c r="K77" i="33" s="1"/>
  <c r="H75" i="17" s="1"/>
  <c r="I77" i="33"/>
  <c r="J77" i="37"/>
  <c r="K77" i="37" s="1"/>
  <c r="J75" i="17" s="1"/>
  <c r="I77" i="37"/>
  <c r="O72" i="17"/>
  <c r="E67" i="28"/>
  <c r="V77" i="31"/>
  <c r="W77" i="31" s="1"/>
  <c r="U75" i="17" s="1"/>
  <c r="U77" i="31"/>
  <c r="I77" i="34"/>
  <c r="J77" i="34"/>
  <c r="U78" i="32"/>
  <c r="V78" i="32"/>
  <c r="W78" i="32" s="1"/>
  <c r="W76" i="17" s="1"/>
  <c r="J77" i="35"/>
  <c r="K77" i="35" s="1"/>
  <c r="E75" i="17" s="1"/>
  <c r="I77" i="35"/>
  <c r="AC74" i="17"/>
  <c r="AF74" i="17" s="1"/>
  <c r="V77" i="18"/>
  <c r="W77" i="18" s="1"/>
  <c r="T75" i="17" s="1"/>
  <c r="U77" i="18"/>
  <c r="U79" i="35"/>
  <c r="V79" i="35"/>
  <c r="W79" i="35" s="1"/>
  <c r="V77" i="17" s="1"/>
  <c r="V77" i="33"/>
  <c r="W77" i="33" s="1"/>
  <c r="Y75" i="17" s="1"/>
  <c r="U77" i="33"/>
  <c r="J77" i="31"/>
  <c r="I77" i="31"/>
  <c r="L69" i="38"/>
  <c r="K76" i="34"/>
  <c r="G74" i="17" s="1"/>
  <c r="L73" i="17"/>
  <c r="V79" i="34"/>
  <c r="W79" i="34" s="1"/>
  <c r="X77" i="17" s="1"/>
  <c r="U79" i="34"/>
  <c r="K69" i="38"/>
  <c r="K76" i="31"/>
  <c r="D74" i="17" s="1"/>
  <c r="I78" i="18" l="1"/>
  <c r="J78" i="18"/>
  <c r="K78" i="18" s="1"/>
  <c r="C76" i="17" s="1"/>
  <c r="J79" i="32"/>
  <c r="I79" i="32"/>
  <c r="J71" i="38"/>
  <c r="K78" i="32"/>
  <c r="F76" i="17" s="1"/>
  <c r="L74" i="17"/>
  <c r="E69" i="28" s="1"/>
  <c r="M69" i="38" s="1"/>
  <c r="V78" i="37"/>
  <c r="W78" i="37" s="1"/>
  <c r="AA76" i="17" s="1"/>
  <c r="U78" i="37"/>
  <c r="M67" i="38"/>
  <c r="N67" i="38"/>
  <c r="O67" i="38"/>
  <c r="K77" i="31"/>
  <c r="D75" i="17" s="1"/>
  <c r="K70" i="38"/>
  <c r="U80" i="34"/>
  <c r="V80" i="34"/>
  <c r="W80" i="34" s="1"/>
  <c r="X78" i="17" s="1"/>
  <c r="L70" i="38"/>
  <c r="K77" i="34"/>
  <c r="G75" i="17" s="1"/>
  <c r="J78" i="37"/>
  <c r="K78" i="37" s="1"/>
  <c r="J76" i="17" s="1"/>
  <c r="I78" i="37"/>
  <c r="V78" i="33"/>
  <c r="W78" i="33" s="1"/>
  <c r="Y76" i="17" s="1"/>
  <c r="U78" i="33"/>
  <c r="O73" i="17"/>
  <c r="E68" i="28"/>
  <c r="V78" i="18"/>
  <c r="W78" i="18" s="1"/>
  <c r="T76" i="17" s="1"/>
  <c r="U78" i="18"/>
  <c r="V79" i="32"/>
  <c r="W79" i="32" s="1"/>
  <c r="W77" i="17" s="1"/>
  <c r="U79" i="32"/>
  <c r="U78" i="31"/>
  <c r="V78" i="31"/>
  <c r="W78" i="31" s="1"/>
  <c r="U76" i="17" s="1"/>
  <c r="J78" i="33"/>
  <c r="K78" i="33" s="1"/>
  <c r="H76" i="17" s="1"/>
  <c r="I78" i="33"/>
  <c r="J78" i="31"/>
  <c r="I78" i="31"/>
  <c r="I78" i="35"/>
  <c r="J78" i="35"/>
  <c r="K78" i="35" s="1"/>
  <c r="E76" i="17" s="1"/>
  <c r="U80" i="35"/>
  <c r="V80" i="35"/>
  <c r="W80" i="35" s="1"/>
  <c r="V78" i="17" s="1"/>
  <c r="I78" i="34"/>
  <c r="J78" i="34"/>
  <c r="AC75" i="17"/>
  <c r="AF75" i="17" s="1"/>
  <c r="J79" i="18" l="1"/>
  <c r="K79" i="18" s="1"/>
  <c r="C77" i="17" s="1"/>
  <c r="I79" i="18"/>
  <c r="O74" i="17"/>
  <c r="AC76" i="17"/>
  <c r="AF76" i="17" s="1"/>
  <c r="V79" i="37"/>
  <c r="W79" i="37" s="1"/>
  <c r="AA77" i="17" s="1"/>
  <c r="U79" i="37"/>
  <c r="I80" i="32"/>
  <c r="J80" i="32"/>
  <c r="K79" i="32"/>
  <c r="F77" i="17" s="1"/>
  <c r="J72" i="38"/>
  <c r="I79" i="35"/>
  <c r="J79" i="35"/>
  <c r="K79" i="35" s="1"/>
  <c r="E77" i="17" s="1"/>
  <c r="M68" i="38"/>
  <c r="N68" i="38"/>
  <c r="O68" i="38"/>
  <c r="J79" i="33"/>
  <c r="K79" i="33" s="1"/>
  <c r="H77" i="17" s="1"/>
  <c r="I79" i="33"/>
  <c r="I79" i="37"/>
  <c r="J79" i="37"/>
  <c r="K79" i="37" s="1"/>
  <c r="J77" i="17" s="1"/>
  <c r="N69" i="38"/>
  <c r="L75" i="17"/>
  <c r="U81" i="34"/>
  <c r="V81" i="34"/>
  <c r="W81" i="34" s="1"/>
  <c r="X79" i="17" s="1"/>
  <c r="O69" i="38"/>
  <c r="V79" i="31"/>
  <c r="W79" i="31" s="1"/>
  <c r="U77" i="17" s="1"/>
  <c r="U79" i="31"/>
  <c r="K78" i="34"/>
  <c r="G76" i="17" s="1"/>
  <c r="L71" i="38"/>
  <c r="I79" i="31"/>
  <c r="J79" i="31"/>
  <c r="U80" i="32"/>
  <c r="V80" i="32"/>
  <c r="W80" i="32" s="1"/>
  <c r="W78" i="17" s="1"/>
  <c r="V79" i="33"/>
  <c r="W79" i="33" s="1"/>
  <c r="Y77" i="17" s="1"/>
  <c r="U79" i="33"/>
  <c r="U81" i="35"/>
  <c r="V81" i="35"/>
  <c r="W81" i="35" s="1"/>
  <c r="V79" i="17" s="1"/>
  <c r="I79" i="34"/>
  <c r="J79" i="34"/>
  <c r="K71" i="38"/>
  <c r="K78" i="31"/>
  <c r="D76" i="17" s="1"/>
  <c r="U79" i="18"/>
  <c r="V79" i="18"/>
  <c r="W79" i="18" s="1"/>
  <c r="T77" i="17" s="1"/>
  <c r="L76" i="17" l="1"/>
  <c r="E71" i="28" s="1"/>
  <c r="M71" i="38" s="1"/>
  <c r="I80" i="18"/>
  <c r="J80" i="18"/>
  <c r="K80" i="18" s="1"/>
  <c r="C78" i="17" s="1"/>
  <c r="K80" i="32"/>
  <c r="F78" i="17" s="1"/>
  <c r="J73" i="38"/>
  <c r="I81" i="32"/>
  <c r="J81" i="32"/>
  <c r="V80" i="37"/>
  <c r="W80" i="37" s="1"/>
  <c r="AA78" i="17" s="1"/>
  <c r="U80" i="37"/>
  <c r="O75" i="17"/>
  <c r="E70" i="28"/>
  <c r="J80" i="31"/>
  <c r="I80" i="31"/>
  <c r="V80" i="31"/>
  <c r="W80" i="31" s="1"/>
  <c r="U78" i="17" s="1"/>
  <c r="U80" i="31"/>
  <c r="L72" i="38"/>
  <c r="K79" i="34"/>
  <c r="G77" i="17" s="1"/>
  <c r="U82" i="35"/>
  <c r="V82" i="35"/>
  <c r="W82" i="35" s="1"/>
  <c r="V80" i="17" s="1"/>
  <c r="I80" i="34"/>
  <c r="J80" i="34"/>
  <c r="U81" i="32"/>
  <c r="V81" i="32"/>
  <c r="W81" i="32" s="1"/>
  <c r="W79" i="17" s="1"/>
  <c r="J80" i="37"/>
  <c r="K80" i="37" s="1"/>
  <c r="J78" i="17" s="1"/>
  <c r="I80" i="37"/>
  <c r="I80" i="35"/>
  <c r="J80" i="35"/>
  <c r="K80" i="35" s="1"/>
  <c r="E78" i="17" s="1"/>
  <c r="V80" i="18"/>
  <c r="W80" i="18" s="1"/>
  <c r="T78" i="17" s="1"/>
  <c r="U80" i="18"/>
  <c r="V82" i="34"/>
  <c r="W82" i="34" s="1"/>
  <c r="X80" i="17" s="1"/>
  <c r="U82" i="34"/>
  <c r="U80" i="33"/>
  <c r="V80" i="33"/>
  <c r="W80" i="33" s="1"/>
  <c r="Y78" i="17" s="1"/>
  <c r="AC77" i="17"/>
  <c r="AF77" i="17" s="1"/>
  <c r="K72" i="38"/>
  <c r="K79" i="31"/>
  <c r="D77" i="17" s="1"/>
  <c r="I80" i="33"/>
  <c r="J80" i="33"/>
  <c r="K80" i="33" s="1"/>
  <c r="H78" i="17" s="1"/>
  <c r="O76" i="17" l="1"/>
  <c r="I81" i="18"/>
  <c r="J81" i="18"/>
  <c r="K81" i="18" s="1"/>
  <c r="C79" i="17" s="1"/>
  <c r="L77" i="17"/>
  <c r="O77" i="17" s="1"/>
  <c r="J74" i="38"/>
  <c r="K81" i="32"/>
  <c r="F79" i="17" s="1"/>
  <c r="V81" i="37"/>
  <c r="W81" i="37" s="1"/>
  <c r="AA79" i="17" s="1"/>
  <c r="U81" i="37"/>
  <c r="J82" i="32"/>
  <c r="I82" i="32"/>
  <c r="AC78" i="17"/>
  <c r="AF78" i="17" s="1"/>
  <c r="U82" i="32"/>
  <c r="V82" i="32"/>
  <c r="W82" i="32" s="1"/>
  <c r="W80" i="17" s="1"/>
  <c r="J81" i="31"/>
  <c r="I81" i="31"/>
  <c r="I81" i="34"/>
  <c r="J81" i="34"/>
  <c r="J81" i="35"/>
  <c r="K81" i="35" s="1"/>
  <c r="E79" i="17" s="1"/>
  <c r="I81" i="35"/>
  <c r="M70" i="38"/>
  <c r="O70" i="38"/>
  <c r="N70" i="38"/>
  <c r="I81" i="37"/>
  <c r="J81" i="37"/>
  <c r="K81" i="37" s="1"/>
  <c r="J79" i="17" s="1"/>
  <c r="V81" i="31"/>
  <c r="W81" i="31" s="1"/>
  <c r="U79" i="17" s="1"/>
  <c r="U81" i="31"/>
  <c r="V83" i="35"/>
  <c r="W83" i="35" s="1"/>
  <c r="V81" i="17" s="1"/>
  <c r="U83" i="35"/>
  <c r="O71" i="38"/>
  <c r="V81" i="18"/>
  <c r="W81" i="18" s="1"/>
  <c r="T79" i="17" s="1"/>
  <c r="U81" i="18"/>
  <c r="K80" i="34"/>
  <c r="G78" i="17" s="1"/>
  <c r="L73" i="38"/>
  <c r="K80" i="31"/>
  <c r="D78" i="17" s="1"/>
  <c r="K73" i="38"/>
  <c r="U81" i="33"/>
  <c r="V81" i="33"/>
  <c r="W81" i="33" s="1"/>
  <c r="Y79" i="17" s="1"/>
  <c r="J81" i="33"/>
  <c r="K81" i="33" s="1"/>
  <c r="H79" i="17" s="1"/>
  <c r="I81" i="33"/>
  <c r="V83" i="34"/>
  <c r="W83" i="34" s="1"/>
  <c r="X81" i="17" s="1"/>
  <c r="U83" i="34"/>
  <c r="N71" i="38"/>
  <c r="E72" i="28" l="1"/>
  <c r="M72" i="38" s="1"/>
  <c r="I82" i="18"/>
  <c r="J82" i="18"/>
  <c r="K82" i="18" s="1"/>
  <c r="C80" i="17" s="1"/>
  <c r="I83" i="32"/>
  <c r="J83" i="32"/>
  <c r="J75" i="38"/>
  <c r="K82" i="32"/>
  <c r="F80" i="17" s="1"/>
  <c r="AC79" i="17"/>
  <c r="AF79" i="17" s="1"/>
  <c r="U82" i="37"/>
  <c r="V82" i="37"/>
  <c r="W82" i="37" s="1"/>
  <c r="AA80" i="17" s="1"/>
  <c r="K81" i="31"/>
  <c r="D79" i="17" s="1"/>
  <c r="K74" i="38"/>
  <c r="I82" i="37"/>
  <c r="J82" i="37"/>
  <c r="K82" i="37" s="1"/>
  <c r="J80" i="17" s="1"/>
  <c r="I82" i="35"/>
  <c r="J82" i="35"/>
  <c r="K82" i="35" s="1"/>
  <c r="E80" i="17" s="1"/>
  <c r="V82" i="33"/>
  <c r="W82" i="33" s="1"/>
  <c r="Y80" i="17" s="1"/>
  <c r="U82" i="33"/>
  <c r="K81" i="34"/>
  <c r="G79" i="17" s="1"/>
  <c r="L74" i="38"/>
  <c r="U83" i="32"/>
  <c r="V83" i="32"/>
  <c r="W83" i="32" s="1"/>
  <c r="W81" i="17" s="1"/>
  <c r="U82" i="18"/>
  <c r="V82" i="18"/>
  <c r="W82" i="18" s="1"/>
  <c r="T80" i="17" s="1"/>
  <c r="I82" i="31"/>
  <c r="J82" i="31"/>
  <c r="V84" i="35"/>
  <c r="W84" i="35" s="1"/>
  <c r="V82" i="17" s="1"/>
  <c r="U84" i="35"/>
  <c r="U84" i="34"/>
  <c r="V84" i="34"/>
  <c r="W84" i="34" s="1"/>
  <c r="X82" i="17" s="1"/>
  <c r="I82" i="34"/>
  <c r="J82" i="34"/>
  <c r="V82" i="31"/>
  <c r="W82" i="31" s="1"/>
  <c r="U80" i="17" s="1"/>
  <c r="U82" i="31"/>
  <c r="L78" i="17"/>
  <c r="J82" i="33"/>
  <c r="K82" i="33" s="1"/>
  <c r="H80" i="17" s="1"/>
  <c r="I82" i="33"/>
  <c r="O72" i="38" l="1"/>
  <c r="N72" i="38"/>
  <c r="J83" i="18"/>
  <c r="K83" i="18" s="1"/>
  <c r="C81" i="17" s="1"/>
  <c r="I83" i="18"/>
  <c r="U83" i="37"/>
  <c r="V83" i="37"/>
  <c r="W83" i="37" s="1"/>
  <c r="AA81" i="17" s="1"/>
  <c r="K83" i="32"/>
  <c r="F81" i="17" s="1"/>
  <c r="J76" i="38"/>
  <c r="I84" i="32"/>
  <c r="J84" i="32"/>
  <c r="I83" i="37"/>
  <c r="J83" i="37"/>
  <c r="K83" i="37" s="1"/>
  <c r="J81" i="17" s="1"/>
  <c r="K82" i="34"/>
  <c r="G80" i="17" s="1"/>
  <c r="L75" i="38"/>
  <c r="V83" i="31"/>
  <c r="W83" i="31" s="1"/>
  <c r="U81" i="17" s="1"/>
  <c r="U83" i="31"/>
  <c r="I83" i="34"/>
  <c r="J83" i="34"/>
  <c r="J83" i="31"/>
  <c r="I83" i="31"/>
  <c r="L79" i="17"/>
  <c r="K75" i="38"/>
  <c r="K82" i="31"/>
  <c r="D80" i="17" s="1"/>
  <c r="U85" i="34"/>
  <c r="V85" i="34"/>
  <c r="W85" i="34" s="1"/>
  <c r="X83" i="17" s="1"/>
  <c r="V83" i="18"/>
  <c r="W83" i="18" s="1"/>
  <c r="T81" i="17" s="1"/>
  <c r="U83" i="18"/>
  <c r="AC80" i="17"/>
  <c r="AF80" i="17" s="1"/>
  <c r="V83" i="33"/>
  <c r="W83" i="33" s="1"/>
  <c r="Y81" i="17" s="1"/>
  <c r="U83" i="33"/>
  <c r="I83" i="33"/>
  <c r="J83" i="33"/>
  <c r="K83" i="33" s="1"/>
  <c r="H81" i="17" s="1"/>
  <c r="U85" i="35"/>
  <c r="V85" i="35"/>
  <c r="W85" i="35" s="1"/>
  <c r="V83" i="17" s="1"/>
  <c r="E73" i="28"/>
  <c r="O78" i="17"/>
  <c r="U84" i="32"/>
  <c r="V84" i="32"/>
  <c r="W84" i="32" s="1"/>
  <c r="W82" i="17" s="1"/>
  <c r="I83" i="35"/>
  <c r="J83" i="35"/>
  <c r="K83" i="35" s="1"/>
  <c r="E81" i="17" s="1"/>
  <c r="J84" i="18" l="1"/>
  <c r="K84" i="18" s="1"/>
  <c r="C82" i="17" s="1"/>
  <c r="I84" i="18"/>
  <c r="L80" i="17"/>
  <c r="O80" i="17" s="1"/>
  <c r="J77" i="38"/>
  <c r="K84" i="32"/>
  <c r="F82" i="17" s="1"/>
  <c r="I85" i="32"/>
  <c r="J85" i="32"/>
  <c r="AC81" i="17"/>
  <c r="AF81" i="17" s="1"/>
  <c r="V84" i="37"/>
  <c r="W84" i="37" s="1"/>
  <c r="AA82" i="17" s="1"/>
  <c r="U84" i="37"/>
  <c r="I84" i="35"/>
  <c r="J84" i="35"/>
  <c r="K84" i="35" s="1"/>
  <c r="E82" i="17" s="1"/>
  <c r="L76" i="38"/>
  <c r="K83" i="34"/>
  <c r="G81" i="17" s="1"/>
  <c r="V84" i="31"/>
  <c r="W84" i="31" s="1"/>
  <c r="U82" i="17" s="1"/>
  <c r="U84" i="31"/>
  <c r="I84" i="33"/>
  <c r="J84" i="33"/>
  <c r="K84" i="33" s="1"/>
  <c r="H82" i="17" s="1"/>
  <c r="J84" i="34"/>
  <c r="I84" i="34"/>
  <c r="K76" i="38"/>
  <c r="K83" i="31"/>
  <c r="D81" i="17" s="1"/>
  <c r="U85" i="32"/>
  <c r="V85" i="32"/>
  <c r="W85" i="32" s="1"/>
  <c r="W83" i="17" s="1"/>
  <c r="U84" i="33"/>
  <c r="V84" i="33"/>
  <c r="W84" i="33" s="1"/>
  <c r="Y82" i="17" s="1"/>
  <c r="I84" i="31"/>
  <c r="J84" i="31"/>
  <c r="V86" i="35"/>
  <c r="W86" i="35" s="1"/>
  <c r="V84" i="17" s="1"/>
  <c r="U86" i="35"/>
  <c r="V86" i="34"/>
  <c r="W86" i="34" s="1"/>
  <c r="X84" i="17" s="1"/>
  <c r="U86" i="34"/>
  <c r="M73" i="38"/>
  <c r="O73" i="38"/>
  <c r="N73" i="38"/>
  <c r="U84" i="18"/>
  <c r="V84" i="18"/>
  <c r="W84" i="18" s="1"/>
  <c r="T82" i="17" s="1"/>
  <c r="E74" i="28"/>
  <c r="O79" i="17"/>
  <c r="J84" i="37"/>
  <c r="K84" i="37" s="1"/>
  <c r="J82" i="17" s="1"/>
  <c r="I84" i="37"/>
  <c r="E75" i="28" l="1"/>
  <c r="M75" i="38" s="1"/>
  <c r="J85" i="18"/>
  <c r="K85" i="18" s="1"/>
  <c r="C83" i="17" s="1"/>
  <c r="I85" i="18"/>
  <c r="AC82" i="17"/>
  <c r="AF82" i="17" s="1"/>
  <c r="V85" i="37"/>
  <c r="W85" i="37" s="1"/>
  <c r="AA83" i="17" s="1"/>
  <c r="U85" i="37"/>
  <c r="L81" i="17"/>
  <c r="O81" i="17" s="1"/>
  <c r="K85" i="32"/>
  <c r="F83" i="17" s="1"/>
  <c r="J78" i="38"/>
  <c r="I86" i="32"/>
  <c r="J86" i="32"/>
  <c r="V86" i="32"/>
  <c r="W86" i="32" s="1"/>
  <c r="W84" i="17" s="1"/>
  <c r="U86" i="32"/>
  <c r="J85" i="37"/>
  <c r="K85" i="37" s="1"/>
  <c r="J83" i="17" s="1"/>
  <c r="I85" i="37"/>
  <c r="J85" i="34"/>
  <c r="I85" i="34"/>
  <c r="L77" i="38"/>
  <c r="K84" i="34"/>
  <c r="G82" i="17" s="1"/>
  <c r="I85" i="33"/>
  <c r="J85" i="33"/>
  <c r="K85" i="33" s="1"/>
  <c r="H83" i="17" s="1"/>
  <c r="V87" i="35"/>
  <c r="W87" i="35" s="1"/>
  <c r="V85" i="17" s="1"/>
  <c r="U87" i="35"/>
  <c r="U87" i="34"/>
  <c r="V87" i="34"/>
  <c r="W87" i="34" s="1"/>
  <c r="X85" i="17" s="1"/>
  <c r="K84" i="31"/>
  <c r="D82" i="17" s="1"/>
  <c r="K77" i="38"/>
  <c r="V85" i="18"/>
  <c r="W85" i="18" s="1"/>
  <c r="T83" i="17" s="1"/>
  <c r="U85" i="18"/>
  <c r="V85" i="31"/>
  <c r="W85" i="31" s="1"/>
  <c r="U83" i="17" s="1"/>
  <c r="U85" i="31"/>
  <c r="M74" i="38"/>
  <c r="O74" i="38"/>
  <c r="N74" i="38"/>
  <c r="J85" i="31"/>
  <c r="I85" i="31"/>
  <c r="V85" i="33"/>
  <c r="W85" i="33" s="1"/>
  <c r="Y83" i="17" s="1"/>
  <c r="U85" i="33"/>
  <c r="I85" i="35"/>
  <c r="J85" i="35"/>
  <c r="K85" i="35" s="1"/>
  <c r="E83" i="17" s="1"/>
  <c r="O75" i="38" l="1"/>
  <c r="N75" i="38"/>
  <c r="J86" i="18"/>
  <c r="K86" i="18" s="1"/>
  <c r="C84" i="17" s="1"/>
  <c r="I86" i="18"/>
  <c r="E76" i="28"/>
  <c r="O76" i="38" s="1"/>
  <c r="I87" i="32"/>
  <c r="J87" i="32"/>
  <c r="J79" i="38"/>
  <c r="K86" i="32"/>
  <c r="F84" i="17" s="1"/>
  <c r="U86" i="37"/>
  <c r="V86" i="37"/>
  <c r="W86" i="37" s="1"/>
  <c r="AA84" i="17" s="1"/>
  <c r="J86" i="34"/>
  <c r="I86" i="34"/>
  <c r="V88" i="35"/>
  <c r="W88" i="35" s="1"/>
  <c r="V86" i="17" s="1"/>
  <c r="U88" i="35"/>
  <c r="J86" i="33"/>
  <c r="K86" i="33" s="1"/>
  <c r="H84" i="17" s="1"/>
  <c r="I86" i="33"/>
  <c r="L78" i="38"/>
  <c r="K85" i="34"/>
  <c r="G83" i="17" s="1"/>
  <c r="AC83" i="17"/>
  <c r="AF83" i="17" s="1"/>
  <c r="I86" i="35"/>
  <c r="J86" i="35"/>
  <c r="K86" i="35" s="1"/>
  <c r="E84" i="17" s="1"/>
  <c r="V86" i="31"/>
  <c r="W86" i="31" s="1"/>
  <c r="U84" i="17" s="1"/>
  <c r="U86" i="31"/>
  <c r="V87" i="32"/>
  <c r="W87" i="32" s="1"/>
  <c r="W85" i="17" s="1"/>
  <c r="U87" i="32"/>
  <c r="I86" i="31"/>
  <c r="J86" i="31"/>
  <c r="V88" i="34"/>
  <c r="W88" i="34" s="1"/>
  <c r="X86" i="17" s="1"/>
  <c r="U88" i="34"/>
  <c r="K85" i="31"/>
  <c r="D83" i="17" s="1"/>
  <c r="K78" i="38"/>
  <c r="U86" i="18"/>
  <c r="V86" i="18"/>
  <c r="W86" i="18" s="1"/>
  <c r="T84" i="17" s="1"/>
  <c r="U86" i="33"/>
  <c r="V86" i="33"/>
  <c r="W86" i="33" s="1"/>
  <c r="Y84" i="17" s="1"/>
  <c r="L82" i="17"/>
  <c r="J86" i="37"/>
  <c r="K86" i="37" s="1"/>
  <c r="J84" i="17" s="1"/>
  <c r="I86" i="37"/>
  <c r="J87" i="18" l="1"/>
  <c r="K87" i="18" s="1"/>
  <c r="C85" i="17" s="1"/>
  <c r="I87" i="18"/>
  <c r="M76" i="38"/>
  <c r="N76" i="38"/>
  <c r="V87" i="37"/>
  <c r="W87" i="37" s="1"/>
  <c r="AA85" i="17" s="1"/>
  <c r="U87" i="37"/>
  <c r="AC84" i="17"/>
  <c r="AF84" i="17" s="1"/>
  <c r="K87" i="32"/>
  <c r="F85" i="17" s="1"/>
  <c r="J80" i="38"/>
  <c r="I88" i="32"/>
  <c r="J88" i="32"/>
  <c r="I87" i="34"/>
  <c r="J87" i="34"/>
  <c r="L83" i="17"/>
  <c r="J87" i="33"/>
  <c r="K87" i="33" s="1"/>
  <c r="H85" i="17" s="1"/>
  <c r="I87" i="33"/>
  <c r="L79" i="38"/>
  <c r="K86" i="34"/>
  <c r="G84" i="17" s="1"/>
  <c r="U87" i="18"/>
  <c r="V87" i="18"/>
  <c r="W87" i="18" s="1"/>
  <c r="T85" i="17" s="1"/>
  <c r="V88" i="32"/>
  <c r="W88" i="32" s="1"/>
  <c r="W86" i="17" s="1"/>
  <c r="U88" i="32"/>
  <c r="E77" i="28"/>
  <c r="O82" i="17"/>
  <c r="U89" i="34"/>
  <c r="V89" i="34"/>
  <c r="W89" i="34" s="1"/>
  <c r="X87" i="17" s="1"/>
  <c r="V87" i="31"/>
  <c r="W87" i="31" s="1"/>
  <c r="U85" i="17" s="1"/>
  <c r="U87" i="31"/>
  <c r="I87" i="37"/>
  <c r="J87" i="37"/>
  <c r="K87" i="37" s="1"/>
  <c r="J85" i="17" s="1"/>
  <c r="U87" i="33"/>
  <c r="V87" i="33"/>
  <c r="W87" i="33" s="1"/>
  <c r="Y85" i="17" s="1"/>
  <c r="K79" i="38"/>
  <c r="K86" i="31"/>
  <c r="D84" i="17" s="1"/>
  <c r="J87" i="31"/>
  <c r="I87" i="31"/>
  <c r="J87" i="35"/>
  <c r="K87" i="35" s="1"/>
  <c r="E85" i="17" s="1"/>
  <c r="I87" i="35"/>
  <c r="V89" i="35"/>
  <c r="W89" i="35" s="1"/>
  <c r="V87" i="17" s="1"/>
  <c r="U89" i="35"/>
  <c r="J88" i="18" l="1"/>
  <c r="K88" i="18" s="1"/>
  <c r="C86" i="17" s="1"/>
  <c r="I88" i="18"/>
  <c r="K88" i="32"/>
  <c r="F86" i="17" s="1"/>
  <c r="J81" i="38"/>
  <c r="I89" i="32"/>
  <c r="J89" i="32"/>
  <c r="V88" i="37"/>
  <c r="W88" i="37" s="1"/>
  <c r="AA86" i="17" s="1"/>
  <c r="U88" i="37"/>
  <c r="V90" i="35"/>
  <c r="W90" i="35" s="1"/>
  <c r="V88" i="17" s="1"/>
  <c r="U90" i="35"/>
  <c r="M77" i="38"/>
  <c r="O77" i="38"/>
  <c r="N77" i="38"/>
  <c r="J88" i="33"/>
  <c r="K88" i="33" s="1"/>
  <c r="H86" i="17" s="1"/>
  <c r="I88" i="33"/>
  <c r="U88" i="33"/>
  <c r="V88" i="33"/>
  <c r="W88" i="33" s="1"/>
  <c r="Y86" i="17" s="1"/>
  <c r="J88" i="35"/>
  <c r="K88" i="35" s="1"/>
  <c r="E86" i="17" s="1"/>
  <c r="I88" i="35"/>
  <c r="V88" i="31"/>
  <c r="W88" i="31" s="1"/>
  <c r="U86" i="17" s="1"/>
  <c r="U88" i="31"/>
  <c r="AC85" i="17"/>
  <c r="AF85" i="17" s="1"/>
  <c r="J88" i="31"/>
  <c r="I88" i="31"/>
  <c r="V88" i="18"/>
  <c r="W88" i="18" s="1"/>
  <c r="T86" i="17" s="1"/>
  <c r="U88" i="18"/>
  <c r="K87" i="34"/>
  <c r="G85" i="17" s="1"/>
  <c r="L80" i="38"/>
  <c r="U89" i="32"/>
  <c r="V89" i="32"/>
  <c r="W89" i="32" s="1"/>
  <c r="W87" i="17" s="1"/>
  <c r="K80" i="38"/>
  <c r="K87" i="31"/>
  <c r="D85" i="17" s="1"/>
  <c r="I88" i="37"/>
  <c r="J88" i="37"/>
  <c r="K88" i="37" s="1"/>
  <c r="J86" i="17" s="1"/>
  <c r="V90" i="34"/>
  <c r="W90" i="34" s="1"/>
  <c r="X88" i="17" s="1"/>
  <c r="U90" i="34"/>
  <c r="J88" i="34"/>
  <c r="I88" i="34"/>
  <c r="E78" i="28"/>
  <c r="O83" i="17"/>
  <c r="L84" i="17"/>
  <c r="I89" i="18" l="1"/>
  <c r="J89" i="18"/>
  <c r="K89" i="18" s="1"/>
  <c r="C87" i="17" s="1"/>
  <c r="V89" i="37"/>
  <c r="W89" i="37" s="1"/>
  <c r="AA87" i="17" s="1"/>
  <c r="U89" i="37"/>
  <c r="J82" i="38"/>
  <c r="K89" i="32"/>
  <c r="F87" i="17" s="1"/>
  <c r="AC86" i="17"/>
  <c r="AF86" i="17" s="1"/>
  <c r="I90" i="32"/>
  <c r="J90" i="32"/>
  <c r="J89" i="35"/>
  <c r="K89" i="35" s="1"/>
  <c r="E87" i="17" s="1"/>
  <c r="I89" i="35"/>
  <c r="L85" i="17"/>
  <c r="J89" i="31"/>
  <c r="I89" i="31"/>
  <c r="V89" i="18"/>
  <c r="W89" i="18" s="1"/>
  <c r="T87" i="17" s="1"/>
  <c r="U89" i="18"/>
  <c r="I89" i="37"/>
  <c r="J89" i="37"/>
  <c r="K89" i="37" s="1"/>
  <c r="J87" i="17" s="1"/>
  <c r="K88" i="31"/>
  <c r="D86" i="17" s="1"/>
  <c r="K81" i="38"/>
  <c r="I89" i="34"/>
  <c r="J89" i="34"/>
  <c r="U89" i="33"/>
  <c r="V89" i="33"/>
  <c r="W89" i="33" s="1"/>
  <c r="Y87" i="17" s="1"/>
  <c r="L81" i="38"/>
  <c r="K88" i="34"/>
  <c r="G86" i="17" s="1"/>
  <c r="U90" i="32"/>
  <c r="V90" i="32"/>
  <c r="W90" i="32" s="1"/>
  <c r="W88" i="17" s="1"/>
  <c r="V89" i="31"/>
  <c r="W89" i="31" s="1"/>
  <c r="U87" i="17" s="1"/>
  <c r="U89" i="31"/>
  <c r="I89" i="33"/>
  <c r="J89" i="33"/>
  <c r="K89" i="33" s="1"/>
  <c r="H87" i="17" s="1"/>
  <c r="V91" i="35"/>
  <c r="W91" i="35" s="1"/>
  <c r="V89" i="17" s="1"/>
  <c r="U91" i="35"/>
  <c r="M78" i="38"/>
  <c r="O78" i="38"/>
  <c r="N78" i="38"/>
  <c r="E79" i="28"/>
  <c r="O84" i="17"/>
  <c r="U91" i="34"/>
  <c r="V91" i="34"/>
  <c r="W91" i="34" s="1"/>
  <c r="X89" i="17" s="1"/>
  <c r="J90" i="18" l="1"/>
  <c r="K90" i="18" s="1"/>
  <c r="C88" i="17" s="1"/>
  <c r="I90" i="18"/>
  <c r="L86" i="17"/>
  <c r="E81" i="28" s="1"/>
  <c r="M81" i="38" s="1"/>
  <c r="J83" i="38"/>
  <c r="K90" i="32"/>
  <c r="F88" i="17" s="1"/>
  <c r="J91" i="32"/>
  <c r="I91" i="32"/>
  <c r="U90" i="37"/>
  <c r="V90" i="37"/>
  <c r="W90" i="37" s="1"/>
  <c r="AA88" i="17" s="1"/>
  <c r="U90" i="31"/>
  <c r="V90" i="31"/>
  <c r="W90" i="31" s="1"/>
  <c r="U88" i="17" s="1"/>
  <c r="V90" i="33"/>
  <c r="W90" i="33" s="1"/>
  <c r="Y88" i="17" s="1"/>
  <c r="U90" i="33"/>
  <c r="J90" i="31"/>
  <c r="I90" i="31"/>
  <c r="M79" i="38"/>
  <c r="N79" i="38"/>
  <c r="O79" i="38"/>
  <c r="J90" i="34"/>
  <c r="I90" i="34"/>
  <c r="U90" i="18"/>
  <c r="V90" i="18"/>
  <c r="W90" i="18" s="1"/>
  <c r="T88" i="17" s="1"/>
  <c r="E80" i="28"/>
  <c r="O85" i="17"/>
  <c r="I90" i="33"/>
  <c r="J90" i="33"/>
  <c r="K90" i="33" s="1"/>
  <c r="H88" i="17" s="1"/>
  <c r="I90" i="37"/>
  <c r="J90" i="37"/>
  <c r="K90" i="37" s="1"/>
  <c r="J88" i="17" s="1"/>
  <c r="U91" i="32"/>
  <c r="V91" i="32"/>
  <c r="W91" i="32" s="1"/>
  <c r="W89" i="17" s="1"/>
  <c r="AC87" i="17"/>
  <c r="AF87" i="17" s="1"/>
  <c r="J90" i="35"/>
  <c r="K90" i="35" s="1"/>
  <c r="E88" i="17" s="1"/>
  <c r="I90" i="35"/>
  <c r="L82" i="38"/>
  <c r="K89" i="34"/>
  <c r="G87" i="17" s="1"/>
  <c r="K89" i="31"/>
  <c r="D87" i="17" s="1"/>
  <c r="K82" i="38"/>
  <c r="V92" i="34"/>
  <c r="W92" i="34" s="1"/>
  <c r="X90" i="17" s="1"/>
  <c r="U92" i="34"/>
  <c r="U92" i="35"/>
  <c r="V92" i="35"/>
  <c r="W92" i="35" s="1"/>
  <c r="V90" i="17" s="1"/>
  <c r="O86" i="17" l="1"/>
  <c r="I91" i="18"/>
  <c r="J91" i="18"/>
  <c r="K91" i="18" s="1"/>
  <c r="C89" i="17" s="1"/>
  <c r="V91" i="37"/>
  <c r="W91" i="37" s="1"/>
  <c r="AA89" i="17" s="1"/>
  <c r="U91" i="37"/>
  <c r="I92" i="32"/>
  <c r="J92" i="32"/>
  <c r="L87" i="17"/>
  <c r="E82" i="28" s="1"/>
  <c r="M82" i="38" s="1"/>
  <c r="J84" i="38"/>
  <c r="K91" i="32"/>
  <c r="F89" i="17" s="1"/>
  <c r="I91" i="33"/>
  <c r="J91" i="33"/>
  <c r="K91" i="33" s="1"/>
  <c r="H89" i="17" s="1"/>
  <c r="U91" i="31"/>
  <c r="V91" i="31"/>
  <c r="W91" i="31" s="1"/>
  <c r="U89" i="17" s="1"/>
  <c r="N81" i="38"/>
  <c r="J91" i="34"/>
  <c r="I91" i="34"/>
  <c r="M80" i="38"/>
  <c r="O80" i="38"/>
  <c r="N80" i="38"/>
  <c r="J91" i="31"/>
  <c r="I91" i="31"/>
  <c r="J91" i="37"/>
  <c r="K91" i="37" s="1"/>
  <c r="J89" i="17" s="1"/>
  <c r="I91" i="37"/>
  <c r="AC88" i="17"/>
  <c r="AF88" i="17" s="1"/>
  <c r="K90" i="31"/>
  <c r="D88" i="17" s="1"/>
  <c r="K83" i="38"/>
  <c r="J91" i="35"/>
  <c r="K91" i="35" s="1"/>
  <c r="E89" i="17" s="1"/>
  <c r="I91" i="35"/>
  <c r="K90" i="34"/>
  <c r="G88" i="17" s="1"/>
  <c r="L83" i="38"/>
  <c r="U92" i="32"/>
  <c r="V92" i="32"/>
  <c r="W92" i="32" s="1"/>
  <c r="W90" i="17" s="1"/>
  <c r="U93" i="35"/>
  <c r="V93" i="35"/>
  <c r="W93" i="35" s="1"/>
  <c r="V91" i="17" s="1"/>
  <c r="V93" i="34"/>
  <c r="W93" i="34" s="1"/>
  <c r="X91" i="17" s="1"/>
  <c r="U93" i="34"/>
  <c r="V91" i="18"/>
  <c r="W91" i="18" s="1"/>
  <c r="T89" i="17" s="1"/>
  <c r="U91" i="18"/>
  <c r="V91" i="33"/>
  <c r="W91" i="33" s="1"/>
  <c r="Y89" i="17" s="1"/>
  <c r="U91" i="33"/>
  <c r="O81" i="38"/>
  <c r="O87" i="17" l="1"/>
  <c r="I92" i="18"/>
  <c r="J92" i="18"/>
  <c r="K92" i="18" s="1"/>
  <c r="C90" i="17" s="1"/>
  <c r="U92" i="37"/>
  <c r="V92" i="37"/>
  <c r="W92" i="37" s="1"/>
  <c r="AA90" i="17" s="1"/>
  <c r="AC89" i="17"/>
  <c r="AF89" i="17" s="1"/>
  <c r="I93" i="32"/>
  <c r="J93" i="32"/>
  <c r="J85" i="38"/>
  <c r="K92" i="32"/>
  <c r="F90" i="17" s="1"/>
  <c r="J92" i="37"/>
  <c r="K92" i="37" s="1"/>
  <c r="J90" i="17" s="1"/>
  <c r="I92" i="37"/>
  <c r="J92" i="35"/>
  <c r="K92" i="35" s="1"/>
  <c r="E90" i="17" s="1"/>
  <c r="I92" i="35"/>
  <c r="J92" i="31"/>
  <c r="I92" i="31"/>
  <c r="V92" i="33"/>
  <c r="W92" i="33" s="1"/>
  <c r="Y90" i="17" s="1"/>
  <c r="U92" i="33"/>
  <c r="U93" i="32"/>
  <c r="V93" i="32"/>
  <c r="W93" i="32" s="1"/>
  <c r="W91" i="17" s="1"/>
  <c r="I92" i="34"/>
  <c r="J92" i="34"/>
  <c r="U94" i="35"/>
  <c r="V94" i="35"/>
  <c r="W94" i="35" s="1"/>
  <c r="V92" i="17" s="1"/>
  <c r="K84" i="38"/>
  <c r="K91" i="31"/>
  <c r="D89" i="17" s="1"/>
  <c r="V92" i="31"/>
  <c r="W92" i="31" s="1"/>
  <c r="U90" i="17" s="1"/>
  <c r="U92" i="31"/>
  <c r="V92" i="18"/>
  <c r="W92" i="18" s="1"/>
  <c r="T90" i="17" s="1"/>
  <c r="U92" i="18"/>
  <c r="K91" i="34"/>
  <c r="G89" i="17" s="1"/>
  <c r="L84" i="38"/>
  <c r="J92" i="33"/>
  <c r="K92" i="33" s="1"/>
  <c r="H90" i="17" s="1"/>
  <c r="I92" i="33"/>
  <c r="U94" i="34"/>
  <c r="V94" i="34"/>
  <c r="W94" i="34" s="1"/>
  <c r="X92" i="17" s="1"/>
  <c r="O82" i="38"/>
  <c r="L88" i="17"/>
  <c r="N82" i="38"/>
  <c r="I93" i="18" l="1"/>
  <c r="J93" i="18"/>
  <c r="K93" i="18" s="1"/>
  <c r="C91" i="17" s="1"/>
  <c r="AC90" i="17"/>
  <c r="AF90" i="17" s="1"/>
  <c r="J86" i="38"/>
  <c r="K93" i="32"/>
  <c r="F91" i="17" s="1"/>
  <c r="J94" i="32"/>
  <c r="I94" i="32"/>
  <c r="U93" i="37"/>
  <c r="V93" i="37"/>
  <c r="W93" i="37" s="1"/>
  <c r="AA91" i="17" s="1"/>
  <c r="V93" i="18"/>
  <c r="W93" i="18" s="1"/>
  <c r="T91" i="17" s="1"/>
  <c r="U93" i="18"/>
  <c r="V93" i="33"/>
  <c r="W93" i="33" s="1"/>
  <c r="Y91" i="17" s="1"/>
  <c r="U93" i="33"/>
  <c r="J93" i="35"/>
  <c r="K93" i="35" s="1"/>
  <c r="E91" i="17" s="1"/>
  <c r="I93" i="35"/>
  <c r="L89" i="17"/>
  <c r="V95" i="35"/>
  <c r="W95" i="35" s="1"/>
  <c r="V93" i="17" s="1"/>
  <c r="U95" i="35"/>
  <c r="E83" i="28"/>
  <c r="O88" i="17"/>
  <c r="K92" i="31"/>
  <c r="D90" i="17" s="1"/>
  <c r="K85" i="38"/>
  <c r="V95" i="34"/>
  <c r="W95" i="34" s="1"/>
  <c r="X93" i="17" s="1"/>
  <c r="U95" i="34"/>
  <c r="J93" i="33"/>
  <c r="K93" i="33" s="1"/>
  <c r="H91" i="17" s="1"/>
  <c r="I93" i="33"/>
  <c r="V93" i="31"/>
  <c r="W93" i="31" s="1"/>
  <c r="U91" i="17" s="1"/>
  <c r="U93" i="31"/>
  <c r="L85" i="38"/>
  <c r="K92" i="34"/>
  <c r="G90" i="17" s="1"/>
  <c r="I93" i="37"/>
  <c r="J93" i="37"/>
  <c r="K93" i="37" s="1"/>
  <c r="J91" i="17" s="1"/>
  <c r="I93" i="31"/>
  <c r="J93" i="31"/>
  <c r="U94" i="32"/>
  <c r="V94" i="32"/>
  <c r="W94" i="32" s="1"/>
  <c r="W92" i="17" s="1"/>
  <c r="I93" i="34"/>
  <c r="J93" i="34"/>
  <c r="I94" i="18" l="1"/>
  <c r="J94" i="18"/>
  <c r="K94" i="18" s="1"/>
  <c r="C92" i="17" s="1"/>
  <c r="AC91" i="17"/>
  <c r="AF91" i="17" s="1"/>
  <c r="L90" i="17"/>
  <c r="E85" i="28" s="1"/>
  <c r="M85" i="38" s="1"/>
  <c r="V94" i="37"/>
  <c r="W94" i="37" s="1"/>
  <c r="AA92" i="17" s="1"/>
  <c r="U94" i="37"/>
  <c r="I95" i="32"/>
  <c r="J95" i="32"/>
  <c r="K94" i="32"/>
  <c r="F92" i="17" s="1"/>
  <c r="J87" i="38"/>
  <c r="U96" i="35"/>
  <c r="V96" i="35"/>
  <c r="W96" i="35" s="1"/>
  <c r="V94" i="17" s="1"/>
  <c r="V96" i="34"/>
  <c r="W96" i="34" s="1"/>
  <c r="X94" i="17" s="1"/>
  <c r="U96" i="34"/>
  <c r="O89" i="17"/>
  <c r="E84" i="28"/>
  <c r="I94" i="37"/>
  <c r="J94" i="37"/>
  <c r="K94" i="37" s="1"/>
  <c r="J92" i="17" s="1"/>
  <c r="V95" i="32"/>
  <c r="W95" i="32" s="1"/>
  <c r="W93" i="17" s="1"/>
  <c r="U95" i="32"/>
  <c r="I94" i="35"/>
  <c r="J94" i="35"/>
  <c r="K94" i="35" s="1"/>
  <c r="E92" i="17" s="1"/>
  <c r="I94" i="33"/>
  <c r="J94" i="33"/>
  <c r="K94" i="33" s="1"/>
  <c r="H92" i="17" s="1"/>
  <c r="V94" i="18"/>
  <c r="W94" i="18" s="1"/>
  <c r="T92" i="17" s="1"/>
  <c r="U94" i="18"/>
  <c r="K93" i="34"/>
  <c r="G91" i="17" s="1"/>
  <c r="L86" i="38"/>
  <c r="J94" i="34"/>
  <c r="I94" i="34"/>
  <c r="I94" i="31"/>
  <c r="J94" i="31"/>
  <c r="U94" i="31"/>
  <c r="V94" i="31"/>
  <c r="W94" i="31" s="1"/>
  <c r="U92" i="17" s="1"/>
  <c r="U94" i="33"/>
  <c r="V94" i="33"/>
  <c r="W94" i="33" s="1"/>
  <c r="Y92" i="17" s="1"/>
  <c r="K93" i="31"/>
  <c r="D91" i="17" s="1"/>
  <c r="K86" i="38"/>
  <c r="M83" i="38"/>
  <c r="N83" i="38"/>
  <c r="O83" i="38"/>
  <c r="J95" i="18" l="1"/>
  <c r="K95" i="18" s="1"/>
  <c r="C93" i="17" s="1"/>
  <c r="I95" i="18"/>
  <c r="O90" i="17"/>
  <c r="K95" i="32"/>
  <c r="F93" i="17" s="1"/>
  <c r="J88" i="38"/>
  <c r="I96" i="32"/>
  <c r="J96" i="32"/>
  <c r="V95" i="37"/>
  <c r="W95" i="37" s="1"/>
  <c r="AA93" i="17" s="1"/>
  <c r="U95" i="37"/>
  <c r="AC92" i="17"/>
  <c r="AF92" i="17" s="1"/>
  <c r="U95" i="31"/>
  <c r="V95" i="31"/>
  <c r="W95" i="31" s="1"/>
  <c r="U93" i="17" s="1"/>
  <c r="I95" i="33"/>
  <c r="J95" i="33"/>
  <c r="K95" i="33" s="1"/>
  <c r="H93" i="17" s="1"/>
  <c r="M84" i="38"/>
  <c r="N84" i="38"/>
  <c r="O84" i="38"/>
  <c r="J95" i="35"/>
  <c r="K95" i="35" s="1"/>
  <c r="E93" i="17" s="1"/>
  <c r="I95" i="35"/>
  <c r="J95" i="34"/>
  <c r="I95" i="34"/>
  <c r="N85" i="38"/>
  <c r="K94" i="31"/>
  <c r="D92" i="17" s="1"/>
  <c r="K87" i="38"/>
  <c r="J95" i="31"/>
  <c r="I95" i="31"/>
  <c r="U97" i="34"/>
  <c r="V97" i="34"/>
  <c r="W97" i="34" s="1"/>
  <c r="X95" i="17" s="1"/>
  <c r="V95" i="33"/>
  <c r="W95" i="33" s="1"/>
  <c r="Y93" i="17" s="1"/>
  <c r="U95" i="33"/>
  <c r="K94" i="34"/>
  <c r="G92" i="17" s="1"/>
  <c r="L87" i="38"/>
  <c r="O85" i="38"/>
  <c r="V96" i="32"/>
  <c r="W96" i="32" s="1"/>
  <c r="W94" i="17" s="1"/>
  <c r="U96" i="32"/>
  <c r="V95" i="18"/>
  <c r="W95" i="18" s="1"/>
  <c r="T93" i="17" s="1"/>
  <c r="U95" i="18"/>
  <c r="J95" i="37"/>
  <c r="K95" i="37" s="1"/>
  <c r="J93" i="17" s="1"/>
  <c r="I95" i="37"/>
  <c r="L91" i="17"/>
  <c r="V97" i="35"/>
  <c r="W97" i="35" s="1"/>
  <c r="V95" i="17" s="1"/>
  <c r="U97" i="35"/>
  <c r="I96" i="18" l="1"/>
  <c r="J96" i="18"/>
  <c r="K96" i="18" s="1"/>
  <c r="C94" i="17" s="1"/>
  <c r="V96" i="37"/>
  <c r="W96" i="37" s="1"/>
  <c r="AA94" i="17" s="1"/>
  <c r="U96" i="37"/>
  <c r="J89" i="38"/>
  <c r="K96" i="32"/>
  <c r="F94" i="17" s="1"/>
  <c r="J97" i="32"/>
  <c r="I97" i="32"/>
  <c r="V96" i="18"/>
  <c r="W96" i="18" s="1"/>
  <c r="T94" i="17" s="1"/>
  <c r="U96" i="18"/>
  <c r="AC93" i="17"/>
  <c r="AF93" i="17" s="1"/>
  <c r="V96" i="33"/>
  <c r="W96" i="33" s="1"/>
  <c r="Y94" i="17" s="1"/>
  <c r="U96" i="33"/>
  <c r="U98" i="34"/>
  <c r="V98" i="34"/>
  <c r="W98" i="34" s="1"/>
  <c r="X96" i="17" s="1"/>
  <c r="I96" i="33"/>
  <c r="J96" i="33"/>
  <c r="K96" i="33" s="1"/>
  <c r="H94" i="17" s="1"/>
  <c r="O91" i="17"/>
  <c r="E86" i="28"/>
  <c r="I96" i="35"/>
  <c r="J96" i="35"/>
  <c r="K96" i="35" s="1"/>
  <c r="E94" i="17" s="1"/>
  <c r="U98" i="35"/>
  <c r="V98" i="35"/>
  <c r="W98" i="35" s="1"/>
  <c r="V96" i="17" s="1"/>
  <c r="U97" i="32"/>
  <c r="V97" i="32"/>
  <c r="W97" i="32" s="1"/>
  <c r="W95" i="17" s="1"/>
  <c r="I96" i="31"/>
  <c r="J96" i="31"/>
  <c r="J96" i="37"/>
  <c r="K96" i="37" s="1"/>
  <c r="J94" i="17" s="1"/>
  <c r="I96" i="37"/>
  <c r="L92" i="17"/>
  <c r="J96" i="34"/>
  <c r="I96" i="34"/>
  <c r="K95" i="31"/>
  <c r="D93" i="17" s="1"/>
  <c r="K88" i="38"/>
  <c r="L88" i="38"/>
  <c r="K95" i="34"/>
  <c r="G93" i="17" s="1"/>
  <c r="V96" i="31"/>
  <c r="W96" i="31" s="1"/>
  <c r="U94" i="17" s="1"/>
  <c r="U96" i="31"/>
  <c r="I97" i="18" l="1"/>
  <c r="J97" i="18"/>
  <c r="K97" i="18" s="1"/>
  <c r="C95" i="17" s="1"/>
  <c r="J98" i="32"/>
  <c r="I98" i="32"/>
  <c r="J90" i="38"/>
  <c r="K97" i="32"/>
  <c r="F95" i="17" s="1"/>
  <c r="U97" i="37"/>
  <c r="V97" i="37"/>
  <c r="W97" i="37" s="1"/>
  <c r="AA95" i="17" s="1"/>
  <c r="V99" i="35"/>
  <c r="W99" i="35" s="1"/>
  <c r="V97" i="17" s="1"/>
  <c r="U99" i="35"/>
  <c r="V99" i="34"/>
  <c r="W99" i="34" s="1"/>
  <c r="X97" i="17" s="1"/>
  <c r="U99" i="34"/>
  <c r="K89" i="38"/>
  <c r="K96" i="31"/>
  <c r="D94" i="17" s="1"/>
  <c r="M86" i="38"/>
  <c r="N86" i="38"/>
  <c r="O86" i="38"/>
  <c r="L93" i="17"/>
  <c r="V97" i="18"/>
  <c r="W97" i="18" s="1"/>
  <c r="T95" i="17" s="1"/>
  <c r="U97" i="18"/>
  <c r="AC94" i="17"/>
  <c r="AF94" i="17" s="1"/>
  <c r="U97" i="33"/>
  <c r="V97" i="33"/>
  <c r="W97" i="33" s="1"/>
  <c r="Y95" i="17" s="1"/>
  <c r="J97" i="31"/>
  <c r="I97" i="31"/>
  <c r="I97" i="34"/>
  <c r="J97" i="34"/>
  <c r="L89" i="38"/>
  <c r="K96" i="34"/>
  <c r="G94" i="17" s="1"/>
  <c r="V98" i="32"/>
  <c r="W98" i="32" s="1"/>
  <c r="W96" i="17" s="1"/>
  <c r="U98" i="32"/>
  <c r="J97" i="33"/>
  <c r="K97" i="33" s="1"/>
  <c r="H95" i="17" s="1"/>
  <c r="I97" i="33"/>
  <c r="J97" i="37"/>
  <c r="K97" i="37" s="1"/>
  <c r="J95" i="17" s="1"/>
  <c r="I97" i="37"/>
  <c r="J97" i="35"/>
  <c r="K97" i="35" s="1"/>
  <c r="E95" i="17" s="1"/>
  <c r="I97" i="35"/>
  <c r="U97" i="31"/>
  <c r="V97" i="31"/>
  <c r="W97" i="31" s="1"/>
  <c r="U95" i="17" s="1"/>
  <c r="E87" i="28"/>
  <c r="O92" i="17"/>
  <c r="J98" i="18" l="1"/>
  <c r="K98" i="18" s="1"/>
  <c r="C96" i="17" s="1"/>
  <c r="I98" i="18"/>
  <c r="AC95" i="17"/>
  <c r="AF95" i="17" s="1"/>
  <c r="V98" i="37"/>
  <c r="W98" i="37" s="1"/>
  <c r="AA96" i="17" s="1"/>
  <c r="U98" i="37"/>
  <c r="L94" i="17"/>
  <c r="E89" i="28" s="1"/>
  <c r="I99" i="32"/>
  <c r="J99" i="32"/>
  <c r="K98" i="32"/>
  <c r="F96" i="17" s="1"/>
  <c r="J91" i="38"/>
  <c r="J98" i="34"/>
  <c r="I98" i="34"/>
  <c r="E88" i="28"/>
  <c r="O93" i="17"/>
  <c r="U98" i="31"/>
  <c r="V98" i="31"/>
  <c r="W98" i="31" s="1"/>
  <c r="U96" i="17" s="1"/>
  <c r="J98" i="33"/>
  <c r="K98" i="33" s="1"/>
  <c r="H96" i="17" s="1"/>
  <c r="I98" i="33"/>
  <c r="I98" i="31"/>
  <c r="J98" i="31"/>
  <c r="U98" i="18"/>
  <c r="V98" i="18"/>
  <c r="W98" i="18" s="1"/>
  <c r="T96" i="17" s="1"/>
  <c r="M87" i="38"/>
  <c r="O87" i="38"/>
  <c r="N87" i="38"/>
  <c r="K97" i="34"/>
  <c r="G95" i="17" s="1"/>
  <c r="L90" i="38"/>
  <c r="K90" i="38"/>
  <c r="K97" i="31"/>
  <c r="D95" i="17" s="1"/>
  <c r="V99" i="32"/>
  <c r="W99" i="32" s="1"/>
  <c r="W97" i="17" s="1"/>
  <c r="U99" i="32"/>
  <c r="V98" i="33"/>
  <c r="W98" i="33" s="1"/>
  <c r="Y96" i="17" s="1"/>
  <c r="U98" i="33"/>
  <c r="I98" i="35"/>
  <c r="J98" i="35"/>
  <c r="K98" i="35" s="1"/>
  <c r="E96" i="17" s="1"/>
  <c r="J98" i="37"/>
  <c r="K98" i="37" s="1"/>
  <c r="J96" i="17" s="1"/>
  <c r="I98" i="37"/>
  <c r="J99" i="18" l="1"/>
  <c r="K99" i="18" s="1"/>
  <c r="C97" i="17" s="1"/>
  <c r="I99" i="18"/>
  <c r="O94" i="17"/>
  <c r="M89" i="38"/>
  <c r="O89" i="38"/>
  <c r="AC96" i="17"/>
  <c r="AF96" i="17" s="1"/>
  <c r="L95" i="17"/>
  <c r="E90" i="28" s="1"/>
  <c r="M90" i="38" s="1"/>
  <c r="K99" i="32"/>
  <c r="F97" i="17" s="1"/>
  <c r="J92" i="38"/>
  <c r="U99" i="37"/>
  <c r="V99" i="37"/>
  <c r="W99" i="37" s="1"/>
  <c r="AA97" i="17" s="1"/>
  <c r="N89" i="38"/>
  <c r="I99" i="37"/>
  <c r="J99" i="37"/>
  <c r="K99" i="37" s="1"/>
  <c r="J97" i="17" s="1"/>
  <c r="K91" i="38"/>
  <c r="K98" i="31"/>
  <c r="D96" i="17" s="1"/>
  <c r="M88" i="38"/>
  <c r="O88" i="38"/>
  <c r="N88" i="38"/>
  <c r="V99" i="18"/>
  <c r="W99" i="18" s="1"/>
  <c r="T97" i="17" s="1"/>
  <c r="U99" i="18"/>
  <c r="V99" i="33"/>
  <c r="W99" i="33" s="1"/>
  <c r="Y97" i="17" s="1"/>
  <c r="U99" i="33"/>
  <c r="J99" i="34"/>
  <c r="I99" i="34"/>
  <c r="V99" i="31"/>
  <c r="W99" i="31" s="1"/>
  <c r="U97" i="17" s="1"/>
  <c r="U99" i="31"/>
  <c r="I99" i="35"/>
  <c r="J99" i="35"/>
  <c r="K99" i="35" s="1"/>
  <c r="E97" i="17" s="1"/>
  <c r="J99" i="31"/>
  <c r="I99" i="31"/>
  <c r="J99" i="33"/>
  <c r="K99" i="33" s="1"/>
  <c r="H97" i="17" s="1"/>
  <c r="I99" i="33"/>
  <c r="L91" i="38"/>
  <c r="K98" i="34"/>
  <c r="G96" i="17" s="1"/>
  <c r="O95" i="17" l="1"/>
  <c r="L96" i="17"/>
  <c r="E91" i="28" s="1"/>
  <c r="K92" i="38"/>
  <c r="K99" i="31"/>
  <c r="D97" i="17" s="1"/>
  <c r="L92" i="38"/>
  <c r="K99" i="34"/>
  <c r="G97" i="17" s="1"/>
  <c r="O90" i="38"/>
  <c r="AC97" i="17"/>
  <c r="AF97" i="17" s="1"/>
  <c r="N90" i="38"/>
  <c r="M91" i="38" l="1"/>
  <c r="O91" i="38"/>
  <c r="N91" i="38"/>
  <c r="O96" i="17"/>
  <c r="L97" i="17"/>
  <c r="E92" i="28" l="1"/>
  <c r="O97" i="17"/>
  <c r="M92" i="38" l="1"/>
  <c r="N92" i="38"/>
  <c r="O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<sst xmlns="http://schemas.openxmlformats.org/spreadsheetml/2006/main" count="1460" uniqueCount="339">
  <si>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</si>
  <si>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</si>
  <si>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</si>
  <si>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</si>
  <si>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</si>
  <si>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</si>
  <si>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</si>
  <si>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</si>
  <si>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</si>
  <si>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</si>
  <si>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</si>
  <si>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</si>
  <si>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</si>
  <si>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</si>
  <si>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</si>
  <si>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</si>
  <si>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</si>
  <si>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</si>
  <si>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</si>
  <si>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</si>
  <si>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</si>
  <si>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</si>
  <si>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</si>
  <si>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</si>
  <si>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</si>
  <si>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</si>
  <si>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</si>
  <si>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</si>
  <si>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</si>
  <si>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</si>
  <si>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</si>
  <si>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</si>
  <si>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</si>
  <si>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</si>
  <si>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</si>
  <si>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</si>
  <si>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</si>
  <si>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</si>
  <si>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</si>
  <si>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</si>
  <si>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</si>
  <si>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</si>
  <si>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</si>
  <si>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</si>
  <si>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</si>
  <si>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</si>
  <si>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</si>
  <si>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</si>
  <si>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</si>
  <si>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</si>
  <si>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</si>
  <si>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</si>
  <si>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</si>
  <si>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</si>
  <si>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</si>
  <si>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</si>
  <si>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</si>
  <si>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</si>
  <si>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</si>
  <si>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</si>
  <si>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</si>
  <si>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</si>
  <si>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</si>
  <si>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</si>
  <si>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</si>
  <si>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</si>
  <si>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</si>
  <si>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</si>
  <si>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</si>
  <si>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</si>
  <si>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</si>
  <si>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</si>
  <si>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</si>
  <si>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</si>
  <si>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</si>
  <si>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</si>
  <si>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</si>
  <si>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</si>
  <si>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</si>
  <si>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</si>
  <si>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</si>
  <si>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</si>
  <si>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</si>
  <si>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</si>
  <si>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</si>
  <si>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</si>
  <si>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</si>
  <si>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</si>
  <si>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</si>
  <si>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</si>
  <si>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</si>
  <si>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</si>
  <si>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</si>
  <si>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</si>
  <si>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</si>
  <si>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</si>
  <si>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</si>
  <si>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</si>
  <si>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</si>
  <si>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</si>
  <si>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</si>
  <si>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</si>
  <si>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</si>
  <si>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</si>
  <si>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</si>
  <si>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</si>
  <si>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</si>
  <si>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</si>
  <si>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</si>
  <si>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</si>
  <si>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</si>
  <si>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</si>
  <si>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</si>
  <si>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</si>
  <si>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</si>
  <si>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</si>
  <si>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</si>
  <si>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</si>
  <si>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</si>
  <si>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</si>
  <si>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</si>
  <si>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</si>
  <si>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</si>
  <si>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</si>
  <si>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</si>
  <si>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</si>
  <si>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</si>
  <si>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</si>
  <si>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</si>
  <si>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</si>
  <si>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</si>
  <si>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</si>
  <si>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</si>
  <si>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</si>
  <si>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</si>
  <si>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</si>
  <si>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</si>
  <si>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</si>
  <si>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</si>
  <si>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</si>
  <si>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</si>
  <si>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</si>
  <si>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</si>
  <si>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</si>
  <si>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</si>
  <si>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</si>
  <si>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</si>
  <si>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</si>
  <si>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</si>
  <si>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</si>
  <si>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</si>
  <si>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</si>
  <si>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</si>
  <si>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</si>
  <si>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</si>
  <si>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</si>
  <si>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</si>
  <si>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</si>
  <si>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</si>
  <si>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</si>
  <si>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</si>
  <si>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</si>
  <si>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</si>
  <si>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</si>
  <si>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</si>
  <si>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</si>
  <si>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</si>
  <si>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</si>
  <si>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</si>
  <si>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</si>
  <si>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</si>
  <si>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</si>
  <si>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</si>
  <si>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</si>
  <si>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</si>
  <si>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</si>
  <si>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</si>
  <si>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</si>
  <si>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</si>
  <si>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</si>
  <si>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</si>
  <si>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</si>
  <si>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</si>
  <si>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</si>
  <si>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</si>
  <si>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</si>
  <si>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</si>
  <si>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</si>
  <si>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</si>
  <si>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</si>
  <si>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</si>
  <si>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</si>
  <si>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</si>
  <si>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</si>
  <si>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</si>
  <si>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</si>
  <si>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</si>
  <si>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</si>
  <si>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</si>
  <si>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</si>
  <si>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</si>
  <si>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</si>
  <si>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</si>
  <si>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</si>
  <si>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</si>
  <si>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</si>
  <si>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</si>
  <si>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</si>
  <si>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</si>
  <si>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</si>
  <si>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</si>
  <si>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</si>
  <si>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</si>
  <si>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</si>
  <si>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</si>
  <si>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</si>
  <si>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</si>
  <si>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</si>
  <si>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</si>
  <si>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</si>
  <si>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</si>
  <si>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</si>
  <si>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</si>
  <si>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</si>
  <si>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</si>
  <si>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</si>
  <si>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</si>
  <si>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</si>
  <si>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</si>
  <si>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</si>
  <si>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</si>
  <si>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</si>
  <si>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</si>
  <si>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</si>
  <si>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</si>
  <si>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</si>
  <si>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</si>
  <si>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</si>
  <si>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</si>
  <si>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</si>
  <si>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</si>
  <si>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</si>
  <si>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</si>
  <si>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</si>
  <si>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</si>
  <si>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</si>
  <si>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</si>
  <si>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</si>
  <si>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</si>
  <si>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</si>
  <si>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</si>
  <si>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</si>
  <si>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</si>
  <si>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</si>
  <si>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</si>
  <si>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</si>
  <si>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</si>
  <si>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</si>
  <si>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</si>
  <si>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</si>
  <si>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</si>
  <si>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</si>
  <si>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</si>
  <si>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</si>
  <si>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</si>
  <si>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</si>
  <si>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</si>
  <si>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</si>
  <si>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</si>
  <si>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</si>
  <si>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</si>
  <si>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</si>
  <si>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</si>
  <si>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</si>
  <si>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</si>
  <si>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</si>
  <si>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</si>
  <si>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</si>
  <si>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</si>
  <si>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</si>
  <si>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</si>
  <si>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</si>
  <si>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</si>
  <si>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</si>
  <si>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</si>
  <si>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</si>
  <si>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</si>
  <si>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</si>
  <si>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</si>
  <si>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</si>
  <si>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</si>
  <si>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</si>
  <si>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</si>
  <si>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</si>
  <si>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</si>
  <si>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</si>
  <si>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</si>
  <si>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</si>
  <si>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</si>
  <si>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</si>
  <si>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</si>
  <si>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</si>
  <si>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</si>
  <si>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</si>
  <si>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</si>
  <si>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</si>
  <si>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</si>
  <si>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</si>
  <si>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</si>
  <si>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</si>
  <si>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</si>
  <si>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</si>
  <si>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</si>
  <si>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</si>
  <si>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</si>
  <si>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</si>
  <si>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</si>
  <si>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</si>
  <si>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</si>
  <si>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</si>
  <si>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</si>
  <si>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</si>
  <si>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</si>
  <si>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</si>
  <si>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</si>
  <si>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</si>
  <si>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</si>
  <si>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</si>
  <si>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</si>
  <si>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</si>
  <si>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</si>
  <si>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</si>
  <si>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</si>
  <si>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</si>
  <si>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</si>
  <si>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</si>
  <si>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</si>
  <si>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</si>
  <si>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Methane capture (asumsi 0,5% dr jumlah sampah)</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</si>
</sst>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 #,##0.00_-;_-* &quot;-&quot;??_-;_-@_-"/>
    <numFmt numFmtId="164" formatCode="_ * #,##0.00_ ;_ * \-#,##0.00_ ;_ * &quot;-&quot;??_ ;_ @_ "/>
    <numFmt numFmtId="165" formatCode="#,##0.0"/>
    <numFmt numFmtId="166" formatCode="#,##0.000"/>
    <numFmt numFmtId="167" formatCode="0.000"/>
    <numFmt numFmtId="168" formatCode="0.0"/>
    <numFmt numFmtId="169" formatCode="0.0%"/>
    <numFmt numFmtId="170" formatCode="#,##0.0000"/>
    <numFmt numFmtId="171" formatCode="0.0000"/>
  </numFmts>
  <fonts count="36">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Calibri"/>
      <family val="2"/>
    </font>
    <font>
      <sz val="10"/>
      <name val="Arial"/>
      <family val="2"/>
    </font>
  </fonts>
  <fills count="25">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
      <patternFill patternType="solid">
        <fgColor rgb="FFFF0000"/>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5">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xf numFmtId="43" fontId="35" fillId="0" borderId="0" applyFont="0" applyFill="0" applyBorder="0" applyAlignment="0" applyProtection="0"/>
  </cellStyleXfs>
  <cellXfs count="987">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0" borderId="7" xfId="0" applyBorder="1"/>
    <xf numFmtId="0" fontId="0" fillId="0" borderId="8" xfId="0" applyBorder="1"/>
    <xf numFmtId="0" fontId="0" fillId="3" borderId="9" xfId="0" applyFill="1" applyBorder="1"/>
    <xf numFmtId="0" fontId="0" fillId="0" borderId="10" xfId="0" applyBorder="1"/>
    <xf numFmtId="0" fontId="0" fillId="0" borderId="0" xfId="0" applyFill="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168" fontId="8" fillId="0" borderId="0" xfId="0" applyNumberFormat="1" applyFont="1"/>
    <xf numFmtId="169" fontId="8" fillId="0" borderId="0" xfId="2" applyNumberFormat="1" applyFont="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2" fontId="8" fillId="0" borderId="66" xfId="0" applyNumberFormat="1" applyFont="1" applyBorder="1"/>
    <xf numFmtId="2" fontId="8" fillId="0" borderId="26" xfId="0" applyNumberFormat="1" applyFont="1" applyBorder="1"/>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4" fillId="2" borderId="32" xfId="0" applyFont="1" applyFill="1" applyBorder="1" applyAlignment="1" applyProtection="1">
      <alignment horizontal="center" wrapText="1"/>
    </xf>
    <xf numFmtId="0" fontId="25" fillId="13" borderId="0" xfId="0" applyFont="1" applyFill="1"/>
    <xf numFmtId="0" fontId="0" fillId="13" borderId="0" xfId="0" applyFill="1"/>
    <xf numFmtId="0" fontId="0" fillId="13" borderId="30" xfId="0" applyFill="1" applyBorder="1"/>
    <xf numFmtId="0" fontId="0" fillId="13" borderId="0" xfId="0" applyFill="1" applyBorder="1"/>
    <xf numFmtId="0" fontId="24" fillId="13" borderId="0" xfId="0" applyFont="1" applyFill="1" applyBorder="1" applyAlignment="1">
      <alignment horizontal="center"/>
    </xf>
    <xf numFmtId="0" fontId="0" fillId="13" borderId="0" xfId="0" applyFill="1" applyBorder="1" applyAlignment="1">
      <alignment horizontal="center"/>
    </xf>
    <xf numFmtId="0" fontId="24"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4" fillId="0" borderId="0" xfId="0" applyFont="1"/>
    <xf numFmtId="0" fontId="0" fillId="14" borderId="0" xfId="0" applyFill="1" applyBorder="1"/>
    <xf numFmtId="3" fontId="0" fillId="14" borderId="0" xfId="0" applyNumberFormat="1" applyFill="1" applyBorder="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7" fillId="14" borderId="51" xfId="2" applyNumberFormat="1" applyFont="1" applyFill="1" applyBorder="1"/>
    <xf numFmtId="0" fontId="8" fillId="18" borderId="20" xfId="0" applyFont="1" applyFill="1" applyBorder="1" applyAlignment="1">
      <alignment horizontal="center" vertical="center" wrapText="1"/>
    </xf>
    <xf numFmtId="0" fontId="24"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4" fillId="18" borderId="52" xfId="0" applyFont="1" applyFill="1" applyBorder="1" applyAlignment="1">
      <alignment horizontal="center" vertical="center" wrapText="1"/>
    </xf>
    <xf numFmtId="0" fontId="24" fillId="18" borderId="70" xfId="0" applyFont="1" applyFill="1" applyBorder="1" applyAlignment="1">
      <alignment horizontal="center"/>
    </xf>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8"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29"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29"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2"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0" fillId="0" borderId="0" xfId="0" applyFill="1" applyBorder="1" applyAlignment="1">
      <alignment horizontal="center"/>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70" fontId="2" fillId="8" borderId="26" xfId="0" applyNumberFormat="1" applyFont="1" applyFill="1" applyBorder="1" applyAlignment="1">
      <alignment horizontal="center" vertical="center" wrapText="1"/>
    </xf>
    <xf numFmtId="0" fontId="1" fillId="0" borderId="0" xfId="0" applyFont="1" applyAlignment="1">
      <alignment vertical="center"/>
    </xf>
    <xf numFmtId="0" fontId="2" fillId="0" borderId="0" xfId="0" applyFont="1" applyBorder="1" applyAlignment="1">
      <alignment vertical="center"/>
    </xf>
    <xf numFmtId="0" fontId="1" fillId="0" borderId="0" xfId="0" applyFont="1" applyBorder="1" applyAlignment="1">
      <alignment vertical="center"/>
    </xf>
    <xf numFmtId="0" fontId="2" fillId="0" borderId="0" xfId="0" applyFont="1" applyFill="1" applyBorder="1" applyAlignment="1">
      <alignment horizontal="left" vertical="center"/>
    </xf>
    <xf numFmtId="10" fontId="34" fillId="14" borderId="30" xfId="0" applyNumberFormat="1" applyFont="1" applyFill="1" applyBorder="1" applyAlignment="1">
      <alignment horizontal="center" vertical="center" wrapText="1"/>
    </xf>
    <xf numFmtId="10" fontId="1" fillId="14" borderId="27" xfId="2" applyNumberFormat="1" applyFont="1" applyFill="1" applyBorder="1" applyAlignment="1">
      <alignment vertical="center"/>
    </xf>
    <xf numFmtId="10" fontId="1" fillId="14" borderId="28" xfId="2" applyNumberFormat="1" applyFont="1" applyFill="1" applyBorder="1" applyAlignment="1">
      <alignment vertical="center"/>
    </xf>
    <xf numFmtId="9" fontId="1" fillId="0" borderId="26" xfId="2" applyFont="1" applyBorder="1" applyAlignment="1">
      <alignment vertical="center"/>
    </xf>
    <xf numFmtId="0" fontId="1" fillId="0" borderId="74" xfId="0" applyFont="1" applyBorder="1" applyAlignment="1">
      <alignment vertical="center"/>
    </xf>
    <xf numFmtId="0" fontId="1" fillId="0" borderId="74" xfId="0" applyFont="1" applyFill="1" applyBorder="1" applyAlignment="1">
      <alignment vertical="center"/>
    </xf>
    <xf numFmtId="0" fontId="1" fillId="17" borderId="26" xfId="0" applyFont="1" applyFill="1" applyBorder="1" applyAlignment="1">
      <alignment vertical="center"/>
    </xf>
    <xf numFmtId="0" fontId="1" fillId="6" borderId="34" xfId="0" applyFont="1" applyFill="1" applyBorder="1" applyAlignment="1">
      <alignment vertical="center"/>
    </xf>
    <xf numFmtId="0" fontId="2" fillId="2" borderId="26" xfId="0" applyFont="1" applyFill="1" applyBorder="1" applyAlignment="1">
      <alignment horizontal="center" vertical="center" wrapText="1"/>
    </xf>
    <xf numFmtId="0" fontId="2" fillId="0" borderId="0" xfId="0" applyFont="1" applyAlignment="1">
      <alignment horizontal="center" vertical="center" wrapText="1"/>
    </xf>
    <xf numFmtId="0" fontId="1" fillId="2" borderId="40"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1" fillId="2" borderId="72" xfId="0" applyFont="1" applyFill="1" applyBorder="1" applyAlignment="1">
      <alignment horizontal="center" vertical="center" wrapText="1"/>
    </xf>
    <xf numFmtId="0" fontId="1" fillId="2" borderId="73" xfId="0" applyFont="1" applyFill="1" applyBorder="1" applyAlignment="1">
      <alignment horizontal="center" vertical="center" wrapText="1"/>
    </xf>
    <xf numFmtId="0" fontId="1" fillId="2" borderId="75" xfId="0" applyFont="1" applyFill="1" applyBorder="1" applyAlignment="1">
      <alignment horizontal="center" vertical="center" wrapText="1"/>
    </xf>
    <xf numFmtId="0" fontId="1" fillId="2" borderId="70" xfId="0" applyFont="1" applyFill="1" applyBorder="1" applyAlignment="1">
      <alignment horizontal="center" vertical="center" wrapText="1"/>
    </xf>
    <xf numFmtId="0" fontId="1" fillId="0" borderId="0" xfId="0" applyFont="1" applyAlignment="1">
      <alignment horizontal="center" vertical="center" wrapText="1"/>
    </xf>
    <xf numFmtId="0" fontId="1" fillId="2" borderId="8"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57" xfId="0" applyFont="1" applyFill="1" applyBorder="1" applyAlignment="1">
      <alignment horizontal="center" vertical="center" wrapText="1"/>
    </xf>
    <xf numFmtId="0" fontId="1" fillId="0" borderId="11" xfId="0" applyFont="1" applyFill="1" applyBorder="1" applyAlignment="1">
      <alignment vertical="center"/>
    </xf>
    <xf numFmtId="2" fontId="1" fillId="14" borderId="30" xfId="0" applyNumberFormat="1" applyFont="1" applyFill="1" applyBorder="1" applyAlignment="1">
      <alignment vertical="center"/>
    </xf>
    <xf numFmtId="9" fontId="1" fillId="16" borderId="61" xfId="2" applyFont="1" applyFill="1" applyBorder="1" applyAlignment="1" applyProtection="1">
      <alignment vertical="center"/>
      <protection locked="0"/>
    </xf>
    <xf numFmtId="9" fontId="1" fillId="5" borderId="11" xfId="2" applyFont="1" applyFill="1" applyBorder="1" applyAlignment="1" applyProtection="1">
      <alignment vertical="center"/>
      <protection locked="0"/>
    </xf>
    <xf numFmtId="9" fontId="1" fillId="0" borderId="25" xfId="2" applyFont="1" applyBorder="1" applyAlignment="1">
      <alignment vertical="center"/>
    </xf>
    <xf numFmtId="0" fontId="1" fillId="5" borderId="25" xfId="0" applyFont="1" applyFill="1" applyBorder="1" applyAlignment="1" applyProtection="1">
      <alignment vertical="center"/>
      <protection locked="0"/>
    </xf>
    <xf numFmtId="0" fontId="1" fillId="0" borderId="39" xfId="0" applyFont="1" applyFill="1" applyBorder="1" applyAlignment="1">
      <alignment vertical="center"/>
    </xf>
    <xf numFmtId="9" fontId="1" fillId="5" borderId="39" xfId="0" applyNumberFormat="1" applyFont="1" applyFill="1" applyBorder="1" applyAlignment="1" applyProtection="1">
      <alignment vertical="center"/>
      <protection locked="0"/>
    </xf>
    <xf numFmtId="0" fontId="1" fillId="0" borderId="25" xfId="0" applyFont="1" applyBorder="1" applyAlignment="1">
      <alignment vertical="center"/>
    </xf>
    <xf numFmtId="0" fontId="1" fillId="0" borderId="2" xfId="0" applyFont="1" applyBorder="1" applyAlignment="1">
      <alignment vertical="center"/>
    </xf>
    <xf numFmtId="9" fontId="1" fillId="0" borderId="1" xfId="2" applyFont="1" applyBorder="1" applyAlignment="1">
      <alignment vertical="center"/>
    </xf>
    <xf numFmtId="0" fontId="1" fillId="5" borderId="3" xfId="0" applyFont="1" applyFill="1" applyBorder="1" applyAlignment="1" applyProtection="1">
      <alignment vertical="center"/>
      <protection locked="0"/>
    </xf>
    <xf numFmtId="0" fontId="1" fillId="0" borderId="2" xfId="0" applyFont="1" applyFill="1" applyBorder="1" applyAlignment="1">
      <alignment vertical="center"/>
    </xf>
    <xf numFmtId="9" fontId="1" fillId="5" borderId="2" xfId="0" applyNumberFormat="1" applyFont="1" applyFill="1" applyBorder="1" applyAlignment="1" applyProtection="1">
      <alignment vertical="center"/>
      <protection locked="0"/>
    </xf>
    <xf numFmtId="0" fontId="1" fillId="0" borderId="1" xfId="0" applyFont="1" applyBorder="1" applyAlignment="1">
      <alignment vertical="center"/>
    </xf>
    <xf numFmtId="0" fontId="1" fillId="14" borderId="1" xfId="0" applyFont="1" applyFill="1" applyBorder="1" applyAlignment="1">
      <alignment vertical="center"/>
    </xf>
    <xf numFmtId="0" fontId="1" fillId="0" borderId="8" xfId="0" applyFont="1" applyBorder="1" applyAlignment="1">
      <alignment vertical="center"/>
    </xf>
    <xf numFmtId="0" fontId="1" fillId="14" borderId="20" xfId="0" applyFont="1" applyFill="1" applyBorder="1" applyAlignment="1">
      <alignment vertical="center"/>
    </xf>
    <xf numFmtId="9" fontId="1" fillId="5" borderId="8" xfId="2" applyFont="1" applyFill="1" applyBorder="1" applyAlignment="1" applyProtection="1">
      <alignment vertical="center"/>
      <protection locked="0"/>
    </xf>
    <xf numFmtId="9" fontId="1" fillId="5" borderId="20" xfId="2" applyFont="1" applyFill="1" applyBorder="1" applyAlignment="1" applyProtection="1">
      <alignment vertical="center"/>
      <protection locked="0"/>
    </xf>
    <xf numFmtId="9" fontId="1" fillId="0" borderId="20" xfId="2" applyFont="1" applyBorder="1" applyAlignment="1">
      <alignment vertical="center"/>
    </xf>
    <xf numFmtId="0" fontId="1" fillId="5" borderId="20" xfId="0" applyFont="1" applyFill="1" applyBorder="1" applyAlignment="1" applyProtection="1">
      <alignment vertical="center"/>
      <protection locked="0"/>
    </xf>
    <xf numFmtId="0" fontId="1" fillId="5" borderId="70" xfId="0" applyFont="1" applyFill="1" applyBorder="1" applyAlignment="1" applyProtection="1">
      <alignment vertical="center"/>
      <protection locked="0"/>
    </xf>
    <xf numFmtId="0" fontId="1" fillId="0" borderId="8" xfId="0" applyFont="1" applyFill="1" applyBorder="1" applyAlignment="1">
      <alignment vertical="center"/>
    </xf>
    <xf numFmtId="9" fontId="1" fillId="5" borderId="8" xfId="0" applyNumberFormat="1" applyFont="1" applyFill="1" applyBorder="1" applyAlignment="1" applyProtection="1">
      <alignment vertical="center"/>
      <protection locked="0"/>
    </xf>
    <xf numFmtId="0" fontId="1" fillId="0" borderId="20" xfId="0" applyFont="1" applyBorder="1" applyAlignment="1">
      <alignment vertical="center"/>
    </xf>
    <xf numFmtId="0" fontId="0" fillId="7" borderId="0" xfId="0" applyFill="1" applyBorder="1" applyAlignment="1">
      <alignment vertical="center"/>
    </xf>
    <xf numFmtId="3" fontId="0" fillId="7" borderId="0" xfId="0" applyNumberFormat="1" applyFill="1" applyAlignment="1">
      <alignment vertical="center"/>
    </xf>
    <xf numFmtId="170" fontId="0" fillId="7" borderId="0" xfId="0" applyNumberFormat="1" applyFill="1" applyAlignment="1">
      <alignment vertical="center"/>
    </xf>
    <xf numFmtId="3" fontId="0" fillId="7" borderId="0" xfId="0" applyNumberFormat="1" applyFill="1" applyBorder="1" applyAlignment="1">
      <alignment vertical="center"/>
    </xf>
    <xf numFmtId="3" fontId="0" fillId="14" borderId="0" xfId="0" applyNumberFormat="1" applyFill="1" applyAlignment="1">
      <alignment vertical="center"/>
    </xf>
    <xf numFmtId="0" fontId="0" fillId="7" borderId="0" xfId="0" applyFill="1" applyAlignment="1">
      <alignment vertical="center"/>
    </xf>
    <xf numFmtId="3" fontId="4" fillId="7" borderId="0" xfId="0" applyNumberFormat="1" applyFont="1" applyFill="1" applyAlignment="1">
      <alignment vertical="center"/>
    </xf>
    <xf numFmtId="3" fontId="2" fillId="7" borderId="0" xfId="0" applyNumberFormat="1" applyFont="1" applyFill="1" applyAlignment="1">
      <alignment vertical="center"/>
    </xf>
    <xf numFmtId="3" fontId="2" fillId="7" borderId="0" xfId="0" applyNumberFormat="1" applyFont="1" applyFill="1" applyBorder="1" applyAlignment="1">
      <alignment horizontal="left" vertical="center"/>
    </xf>
    <xf numFmtId="170" fontId="2" fillId="7" borderId="0" xfId="0" applyNumberFormat="1" applyFont="1" applyFill="1" applyBorder="1" applyAlignment="1">
      <alignment horizontal="left" vertical="center"/>
    </xf>
    <xf numFmtId="3" fontId="2" fillId="7" borderId="45" xfId="0" applyNumberFormat="1" applyFont="1" applyFill="1" applyBorder="1" applyAlignment="1">
      <alignment vertical="center"/>
    </xf>
    <xf numFmtId="3" fontId="2" fillId="7" borderId="46" xfId="0" applyNumberFormat="1" applyFont="1" applyFill="1" applyBorder="1" applyAlignment="1">
      <alignment vertical="center"/>
    </xf>
    <xf numFmtId="3" fontId="2" fillId="7" borderId="34" xfId="0" applyNumberFormat="1" applyFont="1" applyFill="1" applyBorder="1" applyAlignment="1">
      <alignment vertical="center"/>
    </xf>
    <xf numFmtId="3" fontId="15" fillId="7" borderId="0" xfId="0" applyNumberFormat="1" applyFont="1" applyFill="1" applyAlignment="1">
      <alignment vertical="center"/>
    </xf>
    <xf numFmtId="3" fontId="0" fillId="11" borderId="0" xfId="0" applyNumberFormat="1" applyFill="1" applyBorder="1" applyAlignment="1">
      <alignment vertical="center"/>
    </xf>
    <xf numFmtId="0" fontId="2" fillId="7" borderId="0" xfId="0" applyFont="1" applyFill="1" applyAlignment="1">
      <alignment vertical="center" wrapText="1"/>
    </xf>
    <xf numFmtId="0" fontId="0" fillId="14" borderId="0" xfId="0" applyFill="1" applyAlignment="1">
      <alignment vertical="center"/>
    </xf>
    <xf numFmtId="0" fontId="13" fillId="7" borderId="0" xfId="0" applyFont="1" applyFill="1" applyAlignment="1">
      <alignment vertical="center" wrapText="1"/>
    </xf>
    <xf numFmtId="3" fontId="0" fillId="0" borderId="0" xfId="0" applyNumberFormat="1" applyAlignment="1">
      <alignment vertical="center"/>
    </xf>
    <xf numFmtId="3" fontId="2" fillId="11" borderId="0" xfId="0" applyNumberFormat="1" applyFont="1" applyFill="1" applyBorder="1" applyAlignment="1">
      <alignment vertical="center"/>
    </xf>
    <xf numFmtId="170" fontId="0" fillId="11" borderId="0" xfId="0" applyNumberFormat="1" applyFill="1" applyBorder="1" applyAlignment="1">
      <alignment horizontal="center" vertical="center"/>
    </xf>
    <xf numFmtId="3" fontId="0" fillId="11" borderId="0" xfId="0" applyNumberFormat="1" applyFill="1" applyBorder="1" applyAlignment="1">
      <alignment horizontal="center" vertical="center"/>
    </xf>
    <xf numFmtId="0" fontId="0" fillId="7" borderId="0" xfId="0" applyFill="1" applyAlignment="1">
      <alignment vertical="center" wrapText="1"/>
    </xf>
    <xf numFmtId="3" fontId="13" fillId="2" borderId="49" xfId="0" applyNumberFormat="1" applyFont="1" applyFill="1" applyBorder="1" applyAlignment="1">
      <alignment horizontal="center" vertical="center" wrapText="1"/>
    </xf>
    <xf numFmtId="3" fontId="13" fillId="2" borderId="7" xfId="0" applyNumberFormat="1" applyFont="1" applyFill="1" applyBorder="1" applyAlignment="1">
      <alignment horizontal="center" vertical="center" wrapText="1"/>
    </xf>
    <xf numFmtId="3" fontId="13" fillId="2" borderId="12" xfId="0" applyNumberFormat="1" applyFont="1" applyFill="1" applyBorder="1" applyAlignment="1">
      <alignment horizontal="center" vertical="center" wrapText="1"/>
    </xf>
    <xf numFmtId="3" fontId="13" fillId="2" borderId="1" xfId="0" applyNumberFormat="1" applyFont="1" applyFill="1" applyBorder="1" applyAlignment="1">
      <alignment horizontal="center" vertical="center" wrapText="1"/>
    </xf>
    <xf numFmtId="3" fontId="13" fillId="2" borderId="22" xfId="0" applyNumberFormat="1" applyFont="1" applyFill="1" applyBorder="1" applyAlignment="1">
      <alignment horizontal="center" vertical="center" wrapText="1"/>
    </xf>
    <xf numFmtId="3" fontId="13" fillId="2" borderId="0" xfId="0" applyNumberFormat="1" applyFont="1" applyFill="1" applyBorder="1" applyAlignment="1">
      <alignment horizontal="center" vertical="center" wrapText="1"/>
    </xf>
    <xf numFmtId="3" fontId="13" fillId="11" borderId="0" xfId="0" applyNumberFormat="1" applyFont="1" applyFill="1" applyBorder="1" applyAlignment="1">
      <alignment horizontal="center" vertical="center" wrapText="1"/>
    </xf>
    <xf numFmtId="170" fontId="13" fillId="8" borderId="26" xfId="0" applyNumberFormat="1" applyFont="1" applyFill="1" applyBorder="1" applyAlignment="1">
      <alignment horizontal="center" vertical="center" wrapText="1"/>
    </xf>
    <xf numFmtId="3" fontId="13" fillId="8" borderId="26" xfId="0" applyNumberFormat="1" applyFont="1" applyFill="1" applyBorder="1" applyAlignment="1">
      <alignment horizontal="center" vertical="center" wrapText="1"/>
    </xf>
    <xf numFmtId="3" fontId="0" fillId="2" borderId="8" xfId="0" applyNumberFormat="1" applyFill="1" applyBorder="1" applyAlignment="1">
      <alignment horizontal="center" vertical="center" wrapText="1"/>
    </xf>
    <xf numFmtId="3" fontId="0" fillId="2" borderId="5" xfId="0" applyNumberFormat="1" applyFill="1" applyBorder="1" applyAlignment="1">
      <alignment horizontal="center" vertical="center" wrapText="1"/>
    </xf>
    <xf numFmtId="3" fontId="0" fillId="2" borderId="6" xfId="0" applyNumberFormat="1" applyFill="1" applyBorder="1" applyAlignment="1">
      <alignment horizontal="center" vertical="center" wrapText="1"/>
    </xf>
    <xf numFmtId="3" fontId="0" fillId="2" borderId="20" xfId="0" applyNumberFormat="1" applyFill="1" applyBorder="1" applyAlignment="1">
      <alignment horizontal="center" vertical="center" wrapText="1"/>
    </xf>
    <xf numFmtId="3" fontId="0" fillId="2" borderId="62" xfId="0" applyNumberFormat="1" applyFill="1" applyBorder="1" applyAlignment="1">
      <alignment horizontal="center" vertical="center" wrapText="1"/>
    </xf>
    <xf numFmtId="3" fontId="0" fillId="11" borderId="0" xfId="0" applyNumberFormat="1" applyFill="1" applyBorder="1" applyAlignment="1">
      <alignment horizontal="center" vertical="center" wrapText="1"/>
    </xf>
    <xf numFmtId="170" fontId="0" fillId="8" borderId="26" xfId="0" applyNumberFormat="1" applyFill="1" applyBorder="1" applyAlignment="1">
      <alignment horizontal="center" vertical="center" wrapText="1"/>
    </xf>
    <xf numFmtId="3" fontId="0" fillId="8" borderId="26" xfId="0" applyNumberFormat="1" applyFill="1" applyBorder="1" applyAlignment="1">
      <alignment horizontal="center" vertical="center" wrapText="1"/>
    </xf>
    <xf numFmtId="3" fontId="0" fillId="0" borderId="35" xfId="0" applyNumberFormat="1" applyBorder="1" applyAlignment="1">
      <alignment vertical="center" wrapText="1"/>
    </xf>
    <xf numFmtId="3" fontId="0" fillId="0" borderId="27" xfId="0" applyNumberFormat="1" applyBorder="1" applyAlignment="1">
      <alignment vertical="center" wrapText="1"/>
    </xf>
    <xf numFmtId="3" fontId="0" fillId="0" borderId="28" xfId="0" applyNumberFormat="1" applyBorder="1" applyAlignment="1">
      <alignment vertical="center" wrapText="1"/>
    </xf>
    <xf numFmtId="3" fontId="0" fillId="0" borderId="26" xfId="0" applyNumberFormat="1" applyBorder="1" applyAlignment="1">
      <alignment vertical="center" wrapText="1"/>
    </xf>
    <xf numFmtId="3" fontId="0" fillId="0" borderId="52" xfId="0" applyNumberFormat="1" applyBorder="1" applyAlignment="1">
      <alignment vertical="center" wrapText="1"/>
    </xf>
    <xf numFmtId="3" fontId="0" fillId="0" borderId="36" xfId="0" applyNumberFormat="1" applyBorder="1" applyAlignment="1">
      <alignment vertical="center" wrapText="1"/>
    </xf>
    <xf numFmtId="3" fontId="0" fillId="11" borderId="0" xfId="0" applyNumberFormat="1" applyFill="1" applyBorder="1" applyAlignment="1">
      <alignment vertical="center" wrapText="1"/>
    </xf>
    <xf numFmtId="170" fontId="0" fillId="0" borderId="22" xfId="0" applyNumberFormat="1" applyFill="1" applyBorder="1" applyAlignment="1">
      <alignment vertical="center" wrapText="1"/>
    </xf>
    <xf numFmtId="3" fontId="0" fillId="0" borderId="22" xfId="0" applyNumberFormat="1" applyFill="1" applyBorder="1" applyAlignment="1">
      <alignment vertical="center" wrapText="1"/>
    </xf>
    <xf numFmtId="1" fontId="0" fillId="0" borderId="25" xfId="0" applyNumberFormat="1" applyFill="1" applyBorder="1" applyAlignment="1" applyProtection="1">
      <alignment vertical="center"/>
      <protection locked="0"/>
    </xf>
    <xf numFmtId="3" fontId="0" fillId="0" borderId="56" xfId="0" applyNumberFormat="1" applyFill="1" applyBorder="1" applyAlignment="1">
      <alignment vertical="center"/>
    </xf>
    <xf numFmtId="3" fontId="0" fillId="0" borderId="51" xfId="0" applyNumberFormat="1" applyFill="1" applyBorder="1" applyAlignment="1">
      <alignment vertical="center"/>
    </xf>
    <xf numFmtId="3" fontId="0" fillId="0" borderId="25" xfId="0" applyNumberFormat="1" applyFill="1" applyBorder="1" applyAlignment="1">
      <alignment vertical="center"/>
    </xf>
    <xf numFmtId="3" fontId="0" fillId="0" borderId="3" xfId="0" applyNumberFormat="1" applyFill="1" applyBorder="1" applyAlignment="1">
      <alignment vertical="center"/>
    </xf>
    <xf numFmtId="3" fontId="0" fillId="0" borderId="47" xfId="0" applyNumberFormat="1" applyFill="1" applyBorder="1" applyAlignment="1">
      <alignment vertical="center"/>
    </xf>
    <xf numFmtId="3" fontId="0" fillId="0" borderId="25" xfId="0" applyNumberFormat="1" applyFill="1" applyBorder="1" applyAlignment="1" applyProtection="1">
      <alignment vertical="center"/>
    </xf>
    <xf numFmtId="170" fontId="0" fillId="8" borderId="25" xfId="0" applyNumberFormat="1" applyFill="1" applyBorder="1" applyAlignment="1">
      <alignment vertical="center"/>
    </xf>
    <xf numFmtId="171" fontId="0" fillId="7" borderId="0" xfId="0" applyNumberFormat="1" applyFill="1" applyAlignment="1">
      <alignment vertical="center"/>
    </xf>
    <xf numFmtId="3" fontId="0" fillId="8" borderId="25" xfId="0" applyNumberFormat="1" applyFill="1" applyBorder="1" applyAlignment="1">
      <alignment vertical="center"/>
    </xf>
    <xf numFmtId="1" fontId="0" fillId="0" borderId="1" xfId="0" applyNumberFormat="1" applyBorder="1" applyAlignment="1">
      <alignment vertical="center"/>
    </xf>
    <xf numFmtId="3" fontId="0" fillId="0" borderId="43" xfId="0" applyNumberFormat="1" applyFill="1" applyBorder="1" applyAlignment="1">
      <alignment vertical="center"/>
    </xf>
    <xf numFmtId="3" fontId="0" fillId="0" borderId="30" xfId="0" applyNumberFormat="1" applyFill="1" applyBorder="1" applyAlignment="1">
      <alignment vertical="center"/>
    </xf>
    <xf numFmtId="3" fontId="0" fillId="0" borderId="1" xfId="0" applyNumberFormat="1" applyFill="1" applyBorder="1" applyAlignment="1">
      <alignment vertical="center"/>
    </xf>
    <xf numFmtId="3" fontId="0" fillId="0" borderId="48" xfId="0" applyNumberFormat="1" applyFill="1" applyBorder="1" applyAlignment="1">
      <alignment vertical="center"/>
    </xf>
    <xf numFmtId="3" fontId="0" fillId="0" borderId="1" xfId="0" applyNumberFormat="1" applyFill="1" applyBorder="1" applyAlignment="1" applyProtection="1">
      <alignment vertical="center"/>
    </xf>
    <xf numFmtId="170" fontId="0" fillId="8" borderId="1" xfId="0" applyNumberFormat="1" applyFill="1" applyBorder="1" applyAlignment="1">
      <alignment vertical="center"/>
    </xf>
    <xf numFmtId="3" fontId="0" fillId="8" borderId="1" xfId="0" applyNumberFormat="1" applyFill="1" applyBorder="1" applyAlignment="1">
      <alignment vertical="center"/>
    </xf>
    <xf numFmtId="1" fontId="0" fillId="0" borderId="20" xfId="0" applyNumberFormat="1" applyBorder="1" applyAlignment="1">
      <alignment vertical="center"/>
    </xf>
    <xf numFmtId="3" fontId="0" fillId="0" borderId="63" xfId="0" applyNumberFormat="1" applyFill="1" applyBorder="1" applyAlignment="1">
      <alignment vertical="center"/>
    </xf>
    <xf numFmtId="3" fontId="0" fillId="0" borderId="6" xfId="0" applyNumberFormat="1" applyFill="1" applyBorder="1" applyAlignment="1">
      <alignment vertical="center"/>
    </xf>
    <xf numFmtId="3" fontId="0" fillId="0" borderId="20" xfId="0" applyNumberFormat="1" applyFill="1" applyBorder="1" applyAlignment="1">
      <alignment vertical="center"/>
    </xf>
    <xf numFmtId="3" fontId="0" fillId="0" borderId="20" xfId="0" applyNumberFormat="1" applyFill="1" applyBorder="1" applyAlignment="1" applyProtection="1">
      <alignment vertical="center"/>
    </xf>
    <xf numFmtId="170" fontId="0" fillId="8" borderId="20" xfId="0" applyNumberFormat="1" applyFill="1" applyBorder="1" applyAlignment="1">
      <alignment vertical="center"/>
    </xf>
    <xf numFmtId="3" fontId="0" fillId="0" borderId="64" xfId="0" applyNumberFormat="1" applyFill="1" applyBorder="1" applyAlignment="1">
      <alignment vertical="center"/>
    </xf>
    <xf numFmtId="3" fontId="0" fillId="8" borderId="20" xfId="0" applyNumberFormat="1" applyFill="1" applyBorder="1" applyAlignment="1">
      <alignment vertical="center"/>
    </xf>
    <xf numFmtId="0" fontId="2" fillId="2" borderId="25" xfId="0" applyFont="1" applyFill="1" applyBorder="1" applyAlignment="1">
      <alignment horizontal="center" vertical="center" wrapText="1"/>
    </xf>
    <xf numFmtId="0" fontId="2" fillId="2" borderId="34" xfId="0" applyFont="1" applyFill="1" applyBorder="1" applyAlignment="1">
      <alignment horizontal="center" vertical="center"/>
    </xf>
    <xf numFmtId="0" fontId="0" fillId="0" borderId="0" xfId="0" applyAlignment="1">
      <alignment vertical="center"/>
    </xf>
    <xf numFmtId="0" fontId="4" fillId="0" borderId="0" xfId="0" applyFont="1" applyAlignment="1">
      <alignment vertical="center"/>
    </xf>
    <xf numFmtId="0" fontId="2" fillId="2" borderId="26" xfId="0" applyFont="1" applyFill="1" applyBorder="1" applyAlignment="1">
      <alignment horizontal="center" vertical="center"/>
    </xf>
    <xf numFmtId="0" fontId="2" fillId="2" borderId="17"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19" borderId="17" xfId="0" applyFont="1" applyFill="1" applyBorder="1" applyAlignment="1">
      <alignment horizontal="center" vertical="center" wrapText="1"/>
    </xf>
    <xf numFmtId="0" fontId="2" fillId="19" borderId="13" xfId="0" applyFont="1" applyFill="1" applyBorder="1" applyAlignment="1">
      <alignment horizontal="center" vertical="center" wrapText="1"/>
    </xf>
    <xf numFmtId="0" fontId="2" fillId="19" borderId="4" xfId="0" applyFont="1" applyFill="1" applyBorder="1" applyAlignment="1">
      <alignment horizontal="center" vertical="center" wrapText="1"/>
    </xf>
    <xf numFmtId="0" fontId="2" fillId="0" borderId="0" xfId="0" applyFont="1" applyAlignment="1">
      <alignment vertical="center" wrapText="1"/>
    </xf>
    <xf numFmtId="0" fontId="0" fillId="2" borderId="14"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6" xfId="0" applyFill="1" applyBorder="1" applyAlignment="1">
      <alignment horizontal="center" vertical="center" wrapText="1"/>
    </xf>
    <xf numFmtId="0" fontId="0" fillId="2" borderId="20" xfId="0" applyFill="1" applyBorder="1" applyAlignment="1">
      <alignment vertical="center" wrapText="1"/>
    </xf>
    <xf numFmtId="0" fontId="0" fillId="0" borderId="0" xfId="0" applyAlignment="1">
      <alignment vertical="center" wrapText="1"/>
    </xf>
    <xf numFmtId="0" fontId="0" fillId="2" borderId="26" xfId="0" applyFill="1" applyBorder="1" applyAlignment="1">
      <alignment horizontal="center" vertical="center" wrapText="1"/>
    </xf>
    <xf numFmtId="0" fontId="0" fillId="3" borderId="17" xfId="0" applyFill="1" applyBorder="1" applyAlignment="1">
      <alignment horizontal="center" vertical="center" wrapText="1"/>
    </xf>
    <xf numFmtId="0" fontId="0" fillId="3" borderId="1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26" xfId="0" applyFill="1" applyBorder="1" applyAlignment="1">
      <alignment vertical="center" wrapText="1"/>
    </xf>
    <xf numFmtId="0" fontId="0" fillId="5" borderId="27" xfId="0" applyFill="1" applyBorder="1" applyAlignment="1" applyProtection="1">
      <alignment horizontal="center" vertical="center" wrapText="1"/>
      <protection locked="0"/>
    </xf>
    <xf numFmtId="0" fontId="0" fillId="5" borderId="28" xfId="0" applyFill="1" applyBorder="1" applyAlignment="1" applyProtection="1">
      <alignment horizontal="center" vertical="center" wrapText="1"/>
      <protection locked="0"/>
    </xf>
    <xf numFmtId="0" fontId="0" fillId="5" borderId="21" xfId="0" applyFill="1" applyBorder="1" applyAlignment="1" applyProtection="1">
      <alignment vertical="center" wrapText="1"/>
      <protection locked="0"/>
    </xf>
    <xf numFmtId="0" fontId="0" fillId="5" borderId="26" xfId="0" applyFill="1" applyBorder="1" applyAlignment="1" applyProtection="1">
      <alignment vertical="center" wrapText="1"/>
      <protection locked="0"/>
    </xf>
    <xf numFmtId="0" fontId="0" fillId="2" borderId="7"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52" xfId="0" applyFill="1" applyBorder="1" applyAlignment="1">
      <alignment vertical="center" wrapText="1"/>
    </xf>
    <xf numFmtId="0" fontId="0" fillId="2" borderId="31" xfId="0" applyFill="1" applyBorder="1" applyAlignment="1">
      <alignment horizontal="center" vertical="center" wrapText="1"/>
    </xf>
    <xf numFmtId="0" fontId="0" fillId="2" borderId="25" xfId="0" applyFill="1" applyBorder="1" applyAlignment="1">
      <alignment vertical="center" wrapText="1"/>
    </xf>
    <xf numFmtId="9" fontId="0" fillId="5" borderId="29" xfId="3" applyFont="1" applyFill="1" applyBorder="1" applyAlignment="1" applyProtection="1">
      <alignment horizontal="center" vertical="center" wrapText="1"/>
      <protection locked="0"/>
    </xf>
    <xf numFmtId="9" fontId="0" fillId="5" borderId="30" xfId="3" applyFont="1" applyFill="1" applyBorder="1" applyAlignment="1" applyProtection="1">
      <alignment horizontal="center" vertical="center" wrapText="1"/>
      <protection locked="0"/>
    </xf>
    <xf numFmtId="0" fontId="0" fillId="5" borderId="1" xfId="0" applyFill="1" applyBorder="1" applyAlignment="1" applyProtection="1">
      <alignment vertical="center" wrapText="1"/>
      <protection locked="0"/>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21" xfId="0" applyFill="1" applyBorder="1" applyAlignment="1">
      <alignment horizontal="center" vertical="center" wrapText="1"/>
    </xf>
    <xf numFmtId="0" fontId="0" fillId="0" borderId="11" xfId="0" applyFill="1" applyBorder="1" applyAlignment="1">
      <alignment horizontal="center" vertical="center"/>
    </xf>
    <xf numFmtId="9" fontId="0" fillId="5" borderId="38" xfId="0" applyNumberFormat="1" applyFill="1" applyBorder="1" applyAlignment="1" applyProtection="1">
      <alignment vertical="center"/>
      <protection locked="0"/>
    </xf>
    <xf numFmtId="9" fontId="0" fillId="5" borderId="51" xfId="0" applyNumberFormat="1" applyFill="1" applyBorder="1" applyAlignment="1" applyProtection="1">
      <alignment vertical="center"/>
      <protection locked="0"/>
    </xf>
    <xf numFmtId="9" fontId="0" fillId="0" borderId="19" xfId="0" applyNumberFormat="1" applyFill="1" applyBorder="1" applyAlignment="1">
      <alignment vertical="center"/>
    </xf>
    <xf numFmtId="0" fontId="0" fillId="5" borderId="3" xfId="0" applyFill="1" applyBorder="1" applyAlignment="1" applyProtection="1">
      <alignment vertical="center"/>
      <protection locked="0"/>
    </xf>
    <xf numFmtId="2" fontId="0" fillId="0" borderId="3" xfId="0" applyNumberFormat="1" applyFill="1" applyBorder="1" applyAlignment="1">
      <alignment vertical="center"/>
    </xf>
    <xf numFmtId="2" fontId="0" fillId="0" borderId="55" xfId="0" applyNumberFormat="1" applyFill="1" applyBorder="1" applyAlignment="1">
      <alignment vertical="center"/>
    </xf>
    <xf numFmtId="0" fontId="0" fillId="0" borderId="2" xfId="0" applyBorder="1" applyAlignment="1">
      <alignment horizontal="center" vertical="center"/>
    </xf>
    <xf numFmtId="9" fontId="0" fillId="5" borderId="29" xfId="0" applyNumberFormat="1" applyFill="1" applyBorder="1" applyAlignment="1" applyProtection="1">
      <alignment vertical="center"/>
      <protection locked="0"/>
    </xf>
    <xf numFmtId="9" fontId="0" fillId="5" borderId="30" xfId="0" applyNumberFormat="1" applyFill="1" applyBorder="1" applyAlignment="1" applyProtection="1">
      <alignment vertical="center"/>
      <protection locked="0"/>
    </xf>
    <xf numFmtId="9" fontId="0" fillId="0" borderId="9" xfId="0" applyNumberFormat="1" applyFill="1" applyBorder="1" applyAlignment="1">
      <alignment vertical="center"/>
    </xf>
    <xf numFmtId="0" fontId="0" fillId="5" borderId="1" xfId="0" applyFill="1" applyBorder="1" applyAlignment="1" applyProtection="1">
      <alignment vertical="center"/>
      <protection locked="0"/>
    </xf>
    <xf numFmtId="0" fontId="0" fillId="0" borderId="8" xfId="0" applyBorder="1" applyAlignment="1">
      <alignment horizontal="center" vertical="center"/>
    </xf>
    <xf numFmtId="9" fontId="0" fillId="5" borderId="5" xfId="0" applyNumberFormat="1" applyFill="1" applyBorder="1" applyAlignment="1" applyProtection="1">
      <alignment vertical="center"/>
      <protection locked="0"/>
    </xf>
    <xf numFmtId="9" fontId="0" fillId="5" borderId="6" xfId="0" applyNumberFormat="1" applyFill="1" applyBorder="1" applyAlignment="1" applyProtection="1">
      <alignment vertical="center"/>
      <protection locked="0"/>
    </xf>
    <xf numFmtId="9" fontId="0" fillId="0" borderId="18" xfId="0" applyNumberFormat="1" applyFill="1" applyBorder="1" applyAlignment="1">
      <alignment vertical="center"/>
    </xf>
    <xf numFmtId="0" fontId="0" fillId="5" borderId="20" xfId="0" applyFill="1" applyBorder="1" applyAlignment="1" applyProtection="1">
      <alignment vertical="center"/>
      <protection locked="0"/>
    </xf>
    <xf numFmtId="2" fontId="0" fillId="0" borderId="20" xfId="0" applyNumberFormat="1" applyFill="1" applyBorder="1" applyAlignment="1">
      <alignment vertical="center"/>
    </xf>
    <xf numFmtId="0" fontId="0" fillId="0" borderId="0" xfId="0" applyFill="1" applyAlignment="1">
      <alignment vertical="center"/>
    </xf>
    <xf numFmtId="43" fontId="0" fillId="0" borderId="31" xfId="4" applyFont="1" applyFill="1" applyBorder="1" applyProtection="1">
      <protection locked="0"/>
    </xf>
    <xf numFmtId="43" fontId="0" fillId="0" borderId="29" xfId="4" applyFont="1" applyFill="1" applyBorder="1" applyProtection="1">
      <protection locked="0"/>
    </xf>
    <xf numFmtId="4" fontId="0" fillId="0" borderId="29" xfId="0" applyNumberFormat="1" applyFill="1" applyBorder="1" applyProtection="1">
      <protection locked="0"/>
    </xf>
    <xf numFmtId="10" fontId="1" fillId="14" borderId="0" xfId="2" applyNumberFormat="1" applyFont="1" applyFill="1" applyAlignment="1">
      <alignment vertical="center"/>
    </xf>
    <xf numFmtId="4" fontId="0" fillId="0" borderId="29" xfId="0" applyNumberFormat="1" applyBorder="1" applyAlignment="1" applyProtection="1">
      <alignment horizontal="right" vertical="center" wrapText="1"/>
    </xf>
    <xf numFmtId="0" fontId="0" fillId="0" borderId="0" xfId="0" applyBorder="1" applyAlignment="1" applyProtection="1">
      <alignment vertical="center"/>
    </xf>
    <xf numFmtId="0" fontId="9" fillId="0" borderId="0" xfId="0" applyFont="1" applyBorder="1" applyAlignment="1" applyProtection="1">
      <alignment vertical="center"/>
    </xf>
    <xf numFmtId="0" fontId="5" fillId="0" borderId="0" xfId="0" applyFont="1" applyBorder="1" applyAlignment="1" applyProtection="1">
      <alignment vertical="center"/>
    </xf>
    <xf numFmtId="2" fontId="5" fillId="0" borderId="0" xfId="0" applyNumberFormat="1" applyFont="1" applyBorder="1" applyAlignment="1" applyProtection="1">
      <alignment vertical="center"/>
    </xf>
    <xf numFmtId="3" fontId="5" fillId="0" borderId="0" xfId="0" applyNumberFormat="1" applyFont="1" applyBorder="1" applyAlignment="1" applyProtection="1">
      <alignment vertical="center"/>
    </xf>
    <xf numFmtId="0" fontId="0" fillId="0" borderId="0" xfId="0" applyBorder="1" applyAlignment="1">
      <alignment vertical="center"/>
    </xf>
    <xf numFmtId="0" fontId="0" fillId="14" borderId="0" xfId="0" applyFill="1" applyBorder="1" applyAlignment="1">
      <alignment vertical="center"/>
    </xf>
    <xf numFmtId="0" fontId="15" fillId="0" borderId="0" xfId="0" applyFont="1" applyFill="1" applyAlignment="1">
      <alignment vertical="center"/>
    </xf>
    <xf numFmtId="0" fontId="4" fillId="0" borderId="0" xfId="0" applyFont="1" applyBorder="1" applyAlignment="1" applyProtection="1">
      <alignment vertical="center"/>
    </xf>
    <xf numFmtId="0" fontId="2" fillId="0" borderId="0" xfId="0" applyFont="1" applyBorder="1" applyAlignment="1" applyProtection="1">
      <alignment vertical="center"/>
    </xf>
    <xf numFmtId="2" fontId="2" fillId="0" borderId="0" xfId="0" applyNumberFormat="1" applyFont="1" applyBorder="1" applyAlignment="1" applyProtection="1">
      <alignment vertical="center"/>
      <protection locked="0"/>
    </xf>
    <xf numFmtId="3" fontId="2" fillId="0" borderId="0" xfId="0" applyNumberFormat="1" applyFont="1" applyBorder="1" applyAlignment="1" applyProtection="1">
      <alignment vertical="center"/>
    </xf>
    <xf numFmtId="0" fontId="2" fillId="0" borderId="0" xfId="0" applyFont="1" applyBorder="1" applyAlignment="1" applyProtection="1">
      <alignment vertical="center" wrapText="1"/>
    </xf>
    <xf numFmtId="0" fontId="0" fillId="0" borderId="0" xfId="0" applyBorder="1" applyAlignment="1" applyProtection="1">
      <alignment vertical="center" wrapText="1"/>
    </xf>
    <xf numFmtId="2" fontId="0" fillId="0" borderId="0" xfId="0" applyNumberFormat="1" applyBorder="1" applyAlignment="1" applyProtection="1">
      <alignment vertical="center"/>
    </xf>
    <xf numFmtId="2" fontId="0" fillId="0" borderId="0" xfId="0" applyNumberFormat="1" applyBorder="1" applyAlignment="1" applyProtection="1">
      <alignment vertical="center" wrapText="1"/>
    </xf>
    <xf numFmtId="3" fontId="0" fillId="0" borderId="0" xfId="0" applyNumberFormat="1" applyBorder="1" applyAlignment="1" applyProtection="1">
      <alignment vertical="center" wrapText="1"/>
    </xf>
    <xf numFmtId="3" fontId="0" fillId="2" borderId="26" xfId="0" applyNumberFormat="1" applyFill="1" applyBorder="1" applyAlignment="1" applyProtection="1">
      <alignment horizontal="center" vertical="center" wrapText="1"/>
    </xf>
    <xf numFmtId="0" fontId="0" fillId="2" borderId="39" xfId="0" applyFill="1" applyBorder="1" applyAlignment="1" applyProtection="1">
      <alignment horizontal="left" vertical="center"/>
    </xf>
    <xf numFmtId="0" fontId="0" fillId="2" borderId="41" xfId="0" applyFill="1" applyBorder="1" applyAlignment="1" applyProtection="1">
      <alignment horizontal="left" vertical="center"/>
    </xf>
    <xf numFmtId="0" fontId="0" fillId="2" borderId="44" xfId="0" applyFill="1" applyBorder="1" applyAlignment="1" applyProtection="1">
      <alignment horizontal="left" vertical="center"/>
    </xf>
    <xf numFmtId="0" fontId="13" fillId="2" borderId="47" xfId="0" applyFont="1" applyFill="1" applyBorder="1" applyAlignment="1" applyProtection="1">
      <alignment horizontal="left" vertical="center"/>
    </xf>
    <xf numFmtId="0" fontId="1" fillId="0" borderId="52" xfId="0" applyFont="1" applyFill="1" applyBorder="1" applyAlignment="1">
      <alignment horizontal="center" vertical="center"/>
    </xf>
    <xf numFmtId="0" fontId="0" fillId="2" borderId="8" xfId="0" applyFill="1" applyBorder="1" applyAlignment="1" applyProtection="1">
      <alignment horizontal="left" vertical="center"/>
    </xf>
    <xf numFmtId="0" fontId="0" fillId="2" borderId="62" xfId="0" applyFill="1" applyBorder="1" applyAlignment="1" applyProtection="1">
      <alignment horizontal="left" vertical="center"/>
    </xf>
    <xf numFmtId="0" fontId="0" fillId="2" borderId="63" xfId="0" applyFill="1" applyBorder="1" applyAlignment="1" applyProtection="1">
      <alignment horizontal="left" vertical="center"/>
    </xf>
    <xf numFmtId="0" fontId="13" fillId="2" borderId="64" xfId="0" applyFont="1" applyFill="1" applyBorder="1" applyAlignment="1" applyProtection="1">
      <alignment horizontal="left" vertical="center"/>
    </xf>
    <xf numFmtId="166" fontId="0" fillId="0" borderId="20" xfId="0" applyNumberFormat="1" applyBorder="1" applyAlignment="1" applyProtection="1">
      <alignment horizontal="center" vertical="center"/>
    </xf>
    <xf numFmtId="166" fontId="0" fillId="0" borderId="3" xfId="0" applyNumberFormat="1" applyBorder="1" applyAlignment="1" applyProtection="1">
      <alignment horizontal="center" vertical="center"/>
    </xf>
    <xf numFmtId="0" fontId="0" fillId="2" borderId="11" xfId="0" applyFill="1" applyBorder="1" applyAlignment="1" applyProtection="1">
      <alignment horizontal="left" vertical="center"/>
    </xf>
    <xf numFmtId="0" fontId="0" fillId="2" borderId="61" xfId="0" applyFill="1" applyBorder="1" applyAlignment="1" applyProtection="1">
      <alignment horizontal="left" vertical="center"/>
    </xf>
    <xf numFmtId="0" fontId="0" fillId="2" borderId="56" xfId="0" applyFill="1" applyBorder="1" applyAlignment="1" applyProtection="1">
      <alignment horizontal="left" vertical="center"/>
    </xf>
    <xf numFmtId="0" fontId="13" fillId="2" borderId="55" xfId="0" applyFont="1" applyFill="1" applyBorder="1" applyAlignment="1" applyProtection="1">
      <alignment horizontal="left" vertical="center"/>
    </xf>
    <xf numFmtId="165" fontId="0" fillId="0" borderId="1" xfId="0" applyNumberFormat="1" applyBorder="1" applyAlignment="1" applyProtection="1">
      <alignment horizontal="center" vertical="center"/>
    </xf>
    <xf numFmtId="0" fontId="0" fillId="2" borderId="2" xfId="0" applyFill="1" applyBorder="1" applyAlignment="1" applyProtection="1">
      <alignment horizontal="left" vertical="center"/>
    </xf>
    <xf numFmtId="0" fontId="0" fillId="2" borderId="42" xfId="0" applyFill="1" applyBorder="1" applyAlignment="1" applyProtection="1">
      <alignment horizontal="left" vertical="center"/>
    </xf>
    <xf numFmtId="0" fontId="0" fillId="2" borderId="43" xfId="0" applyFill="1" applyBorder="1" applyAlignment="1" applyProtection="1">
      <alignment horizontal="left" vertical="center"/>
    </xf>
    <xf numFmtId="0" fontId="13" fillId="2" borderId="48" xfId="0" applyFont="1" applyFill="1" applyBorder="1" applyAlignment="1" applyProtection="1">
      <alignment horizontal="left" vertical="center"/>
    </xf>
    <xf numFmtId="2" fontId="0" fillId="0" borderId="1" xfId="0" applyNumberFormat="1" applyBorder="1" applyAlignment="1" applyProtection="1">
      <alignment horizontal="center" vertical="center"/>
    </xf>
    <xf numFmtId="0" fontId="0" fillId="2" borderId="57" xfId="0" applyFill="1" applyBorder="1" applyAlignment="1" applyProtection="1">
      <alignment horizontal="left" vertical="center"/>
    </xf>
    <xf numFmtId="0" fontId="0" fillId="2" borderId="58" xfId="0" applyFill="1" applyBorder="1" applyAlignment="1" applyProtection="1">
      <alignment horizontal="left" vertical="center"/>
    </xf>
    <xf numFmtId="0" fontId="0" fillId="2" borderId="59" xfId="0" applyFill="1" applyBorder="1" applyAlignment="1" applyProtection="1">
      <alignment horizontal="left" vertical="center"/>
    </xf>
    <xf numFmtId="0" fontId="13" fillId="2" borderId="60" xfId="0" applyFont="1" applyFill="1" applyBorder="1" applyAlignment="1" applyProtection="1">
      <alignment horizontal="left" vertical="center"/>
    </xf>
    <xf numFmtId="2" fontId="0" fillId="0" borderId="53" xfId="0" applyNumberFormat="1" applyBorder="1" applyAlignment="1" applyProtection="1">
      <alignment horizontal="center" vertical="center"/>
    </xf>
    <xf numFmtId="0" fontId="0" fillId="0" borderId="0" xfId="0" applyBorder="1" applyAlignment="1" applyProtection="1">
      <alignment horizontal="left" vertical="center"/>
    </xf>
    <xf numFmtId="0" fontId="0" fillId="2" borderId="45" xfId="0" applyFill="1" applyBorder="1" applyAlignment="1" applyProtection="1">
      <alignment horizontal="left" vertical="center"/>
    </xf>
    <xf numFmtId="0" fontId="0" fillId="2" borderId="46" xfId="0" applyFill="1" applyBorder="1" applyAlignment="1" applyProtection="1">
      <alignment horizontal="left" vertical="center"/>
    </xf>
    <xf numFmtId="0" fontId="0" fillId="2" borderId="24" xfId="0" applyFill="1" applyBorder="1" applyAlignment="1" applyProtection="1">
      <alignment horizontal="left" vertical="center"/>
    </xf>
    <xf numFmtId="0" fontId="13" fillId="2" borderId="34" xfId="0" applyFont="1" applyFill="1" applyBorder="1" applyAlignment="1" applyProtection="1">
      <alignment horizontal="left" vertical="center"/>
    </xf>
    <xf numFmtId="166" fontId="0" fillId="0" borderId="26" xfId="0" applyNumberFormat="1" applyBorder="1" applyAlignment="1" applyProtection="1">
      <alignment horizontal="center" vertical="center"/>
    </xf>
    <xf numFmtId="3" fontId="0" fillId="0" borderId="0" xfId="0" applyNumberFormat="1" applyBorder="1" applyAlignment="1" applyProtection="1">
      <alignment vertical="center"/>
    </xf>
    <xf numFmtId="0" fontId="0" fillId="2" borderId="31" xfId="0" applyFill="1" applyBorder="1" applyAlignment="1" applyProtection="1">
      <alignment horizontal="center" vertical="center" wrapText="1"/>
    </xf>
    <xf numFmtId="0" fontId="0" fillId="2" borderId="32" xfId="0" applyFill="1" applyBorder="1" applyAlignment="1" applyProtection="1">
      <alignment horizontal="center" vertical="center" wrapText="1"/>
    </xf>
    <xf numFmtId="0" fontId="24" fillId="2" borderId="32" xfId="0" applyFont="1" applyFill="1" applyBorder="1" applyAlignment="1" applyProtection="1">
      <alignment horizontal="center" vertical="center" wrapText="1"/>
    </xf>
    <xf numFmtId="2" fontId="0" fillId="2" borderId="32" xfId="0" applyNumberFormat="1" applyFill="1" applyBorder="1" applyAlignment="1" applyProtection="1">
      <alignment horizontal="center" vertical="center" wrapText="1"/>
    </xf>
    <xf numFmtId="3" fontId="0" fillId="2" borderId="32" xfId="0" applyNumberFormat="1" applyFill="1" applyBorder="1" applyAlignment="1" applyProtection="1">
      <alignment horizontal="center" vertical="center" wrapText="1"/>
    </xf>
    <xf numFmtId="3" fontId="17" fillId="2" borderId="33" xfId="0" applyNumberFormat="1" applyFont="1" applyFill="1" applyBorder="1" applyAlignment="1" applyProtection="1">
      <alignment horizontal="center" vertical="center" wrapText="1"/>
    </xf>
    <xf numFmtId="0" fontId="13" fillId="0" borderId="0" xfId="0" applyFont="1" applyBorder="1" applyAlignment="1" applyProtection="1">
      <alignment vertical="center"/>
    </xf>
    <xf numFmtId="0" fontId="13" fillId="2" borderId="7" xfId="0" applyFont="1" applyFill="1" applyBorder="1" applyAlignment="1" applyProtection="1">
      <alignment horizontal="center" vertical="center" wrapText="1"/>
    </xf>
    <xf numFmtId="0" fontId="13" fillId="2" borderId="12" xfId="0" applyFont="1" applyFill="1" applyBorder="1" applyAlignment="1" applyProtection="1">
      <alignment horizontal="center" vertical="center" wrapText="1"/>
    </xf>
    <xf numFmtId="2" fontId="13" fillId="2" borderId="12" xfId="0" applyNumberFormat="1" applyFont="1" applyFill="1" applyBorder="1" applyAlignment="1" applyProtection="1">
      <alignment horizontal="center" vertical="center" wrapText="1"/>
    </xf>
    <xf numFmtId="3" fontId="13" fillId="2" borderId="12" xfId="0" applyNumberFormat="1" applyFont="1" applyFill="1" applyBorder="1" applyAlignment="1" applyProtection="1">
      <alignment horizontal="center" vertical="center" wrapText="1"/>
    </xf>
    <xf numFmtId="3" fontId="13" fillId="2" borderId="23" xfId="0" applyNumberFormat="1" applyFont="1" applyFill="1" applyBorder="1" applyAlignment="1" applyProtection="1">
      <alignment horizontal="center" vertical="center" wrapText="1"/>
    </xf>
    <xf numFmtId="0" fontId="0" fillId="2" borderId="5" xfId="0" applyFill="1" applyBorder="1" applyAlignment="1" applyProtection="1">
      <alignment horizontal="center" vertical="center" wrapText="1"/>
    </xf>
    <xf numFmtId="0" fontId="0" fillId="2" borderId="6" xfId="0" applyFill="1" applyBorder="1" applyAlignment="1" applyProtection="1">
      <alignment horizontal="center" vertical="center" wrapText="1"/>
    </xf>
    <xf numFmtId="2" fontId="0" fillId="2" borderId="6" xfId="0" applyNumberFormat="1" applyFill="1" applyBorder="1" applyAlignment="1" applyProtection="1">
      <alignment horizontal="center" vertical="center" wrapText="1"/>
    </xf>
    <xf numFmtId="3" fontId="0" fillId="2" borderId="6" xfId="0" applyNumberFormat="1" applyFill="1" applyBorder="1" applyAlignment="1" applyProtection="1">
      <alignment horizontal="center" vertical="center" wrapText="1"/>
    </xf>
    <xf numFmtId="3" fontId="0" fillId="2" borderId="18" xfId="0" applyNumberFormat="1" applyFill="1" applyBorder="1" applyAlignment="1" applyProtection="1">
      <alignment horizontal="center" vertical="center" wrapText="1"/>
    </xf>
    <xf numFmtId="0" fontId="0" fillId="0" borderId="7" xfId="0" applyBorder="1" applyAlignment="1" applyProtection="1">
      <alignment vertical="center"/>
    </xf>
    <xf numFmtId="0" fontId="0" fillId="0" borderId="12" xfId="0" applyBorder="1" applyAlignment="1" applyProtection="1">
      <alignment vertical="center"/>
    </xf>
    <xf numFmtId="2" fontId="0" fillId="0" borderId="12" xfId="0" applyNumberFormat="1" applyBorder="1" applyAlignment="1" applyProtection="1">
      <alignment vertical="center"/>
    </xf>
    <xf numFmtId="3" fontId="0" fillId="0" borderId="28" xfId="0" applyNumberFormat="1" applyBorder="1" applyAlignment="1" applyProtection="1">
      <alignment vertical="center"/>
    </xf>
    <xf numFmtId="3" fontId="0" fillId="0" borderId="12" xfId="0" applyNumberFormat="1" applyBorder="1" applyAlignment="1" applyProtection="1">
      <alignment vertical="center"/>
    </xf>
    <xf numFmtId="3" fontId="0" fillId="0" borderId="23" xfId="0" applyNumberFormat="1" applyBorder="1" applyAlignment="1" applyProtection="1">
      <alignment vertical="center"/>
    </xf>
    <xf numFmtId="0" fontId="0" fillId="4" borderId="39" xfId="0" applyFill="1" applyBorder="1" applyAlignment="1" applyProtection="1">
      <alignment vertical="center"/>
    </xf>
    <xf numFmtId="43" fontId="0" fillId="0" borderId="31" xfId="4" applyFont="1" applyBorder="1" applyAlignment="1" applyProtection="1">
      <alignment vertical="center"/>
    </xf>
    <xf numFmtId="4" fontId="0" fillId="0" borderId="54" xfId="0" applyNumberFormat="1" applyBorder="1" applyAlignment="1" applyProtection="1">
      <alignment vertical="center"/>
    </xf>
    <xf numFmtId="2" fontId="0" fillId="9" borderId="32" xfId="0" applyNumberFormat="1" applyFill="1" applyBorder="1" applyAlignment="1" applyProtection="1">
      <alignment vertical="center"/>
      <protection locked="0"/>
    </xf>
    <xf numFmtId="3" fontId="0" fillId="0" borderId="51" xfId="0" applyNumberFormat="1" applyBorder="1" applyAlignment="1" applyProtection="1">
      <alignment vertical="center"/>
    </xf>
    <xf numFmtId="3" fontId="0" fillId="0" borderId="32" xfId="0" applyNumberFormat="1" applyBorder="1" applyAlignment="1" applyProtection="1">
      <alignment vertical="center"/>
    </xf>
    <xf numFmtId="3" fontId="0" fillId="0" borderId="33" xfId="0" applyNumberFormat="1" applyBorder="1" applyAlignment="1" applyProtection="1">
      <alignment vertical="center"/>
    </xf>
    <xf numFmtId="3" fontId="0" fillId="0" borderId="31" xfId="0" applyNumberFormat="1" applyBorder="1" applyAlignment="1" applyProtection="1">
      <alignment vertical="center"/>
    </xf>
    <xf numFmtId="0" fontId="0" fillId="4" borderId="11" xfId="0" applyFill="1" applyBorder="1" applyAlignment="1" applyProtection="1">
      <alignment vertical="center"/>
    </xf>
    <xf numFmtId="43" fontId="0" fillId="0" borderId="29" xfId="4" applyFont="1" applyBorder="1" applyAlignment="1" applyProtection="1">
      <alignment vertical="center"/>
    </xf>
    <xf numFmtId="4" fontId="0" fillId="0" borderId="30" xfId="0" applyNumberFormat="1" applyBorder="1" applyAlignment="1" applyProtection="1">
      <alignment vertical="center"/>
    </xf>
    <xf numFmtId="2" fontId="0" fillId="9" borderId="30" xfId="0" applyNumberFormat="1" applyFill="1" applyBorder="1" applyAlignment="1" applyProtection="1">
      <alignment vertical="center"/>
      <protection locked="0"/>
    </xf>
    <xf numFmtId="3" fontId="0" fillId="0" borderId="30" xfId="0" applyNumberFormat="1" applyBorder="1" applyAlignment="1" applyProtection="1">
      <alignment vertical="center"/>
    </xf>
    <xf numFmtId="3" fontId="0" fillId="0" borderId="9" xfId="0" applyNumberFormat="1" applyBorder="1" applyAlignment="1" applyProtection="1">
      <alignment vertical="center"/>
    </xf>
    <xf numFmtId="3" fontId="0" fillId="14" borderId="0" xfId="0" applyNumberFormat="1" applyFill="1" applyBorder="1" applyAlignment="1">
      <alignment vertical="center"/>
    </xf>
    <xf numFmtId="3" fontId="0" fillId="0" borderId="29" xfId="0" applyNumberFormat="1" applyBorder="1" applyAlignment="1" applyProtection="1">
      <alignment vertical="center"/>
    </xf>
    <xf numFmtId="0" fontId="0" fillId="0" borderId="0" xfId="0" applyFill="1" applyBorder="1" applyAlignment="1">
      <alignment vertical="center"/>
    </xf>
    <xf numFmtId="0" fontId="0" fillId="4" borderId="40" xfId="0" applyFill="1" applyBorder="1" applyAlignment="1" applyProtection="1">
      <alignment vertical="center"/>
    </xf>
    <xf numFmtId="3" fontId="0" fillId="0" borderId="5" xfId="0" applyNumberFormat="1" applyBorder="1" applyAlignment="1" applyProtection="1">
      <alignment vertical="center"/>
    </xf>
    <xf numFmtId="4" fontId="0" fillId="0" borderId="6" xfId="0" applyNumberFormat="1" applyBorder="1" applyAlignment="1" applyProtection="1">
      <alignment vertical="center"/>
    </xf>
    <xf numFmtId="2" fontId="0" fillId="9" borderId="6" xfId="0" applyNumberFormat="1" applyFill="1" applyBorder="1" applyAlignment="1" applyProtection="1">
      <alignment vertical="center"/>
      <protection locked="0"/>
    </xf>
    <xf numFmtId="3" fontId="0" fillId="0" borderId="6" xfId="0" applyNumberFormat="1" applyBorder="1" applyAlignment="1" applyProtection="1">
      <alignment vertical="center"/>
    </xf>
    <xf numFmtId="3" fontId="0" fillId="0" borderId="18" xfId="0" applyNumberFormat="1" applyBorder="1" applyAlignment="1" applyProtection="1">
      <alignment vertical="center"/>
    </xf>
    <xf numFmtId="4" fontId="0" fillId="0" borderId="1" xfId="0" applyNumberFormat="1" applyFill="1" applyBorder="1" applyAlignment="1" applyProtection="1">
      <alignment vertical="center"/>
    </xf>
    <xf numFmtId="165" fontId="0" fillId="0" borderId="43" xfId="0" applyNumberFormat="1" applyFill="1" applyBorder="1" applyAlignment="1">
      <alignment vertical="center"/>
    </xf>
    <xf numFmtId="4" fontId="0" fillId="0" borderId="48" xfId="0" applyNumberFormat="1" applyFill="1" applyBorder="1" applyAlignment="1">
      <alignment vertical="center"/>
    </xf>
    <xf numFmtId="43" fontId="0" fillId="0" borderId="56" xfId="4" applyFont="1" applyFill="1" applyBorder="1" applyAlignment="1">
      <alignment vertical="center"/>
    </xf>
    <xf numFmtId="43" fontId="0" fillId="0" borderId="51" xfId="4" applyFont="1" applyFill="1" applyBorder="1" applyAlignment="1">
      <alignment vertical="center"/>
    </xf>
    <xf numFmtId="43" fontId="0" fillId="0" borderId="25" xfId="4" applyFont="1" applyFill="1" applyBorder="1" applyAlignment="1">
      <alignment vertical="center"/>
    </xf>
    <xf numFmtId="43" fontId="0" fillId="0" borderId="3" xfId="4" applyFont="1" applyFill="1" applyBorder="1" applyAlignment="1">
      <alignment vertical="center"/>
    </xf>
    <xf numFmtId="43" fontId="0" fillId="0" borderId="47" xfId="4" applyFont="1" applyFill="1" applyBorder="1" applyAlignment="1">
      <alignment vertical="center"/>
    </xf>
    <xf numFmtId="43" fontId="0" fillId="0" borderId="25" xfId="4" applyFont="1" applyFill="1" applyBorder="1" applyAlignment="1" applyProtection="1">
      <alignment vertical="center"/>
    </xf>
    <xf numFmtId="43" fontId="0" fillId="0" borderId="43" xfId="4" applyFont="1" applyFill="1" applyBorder="1" applyAlignment="1">
      <alignment vertical="center"/>
    </xf>
    <xf numFmtId="43" fontId="0" fillId="0" borderId="30" xfId="4" applyFont="1" applyFill="1" applyBorder="1" applyAlignment="1">
      <alignment vertical="center"/>
    </xf>
    <xf numFmtId="43" fontId="0" fillId="0" borderId="1" xfId="4" applyFont="1" applyFill="1" applyBorder="1" applyAlignment="1">
      <alignment vertical="center"/>
    </xf>
    <xf numFmtId="43" fontId="0" fillId="0" borderId="48" xfId="4" applyFont="1" applyFill="1" applyBorder="1" applyAlignment="1">
      <alignment vertical="center"/>
    </xf>
    <xf numFmtId="43" fontId="0" fillId="0" borderId="1" xfId="4" applyFont="1" applyFill="1" applyBorder="1" applyAlignment="1" applyProtection="1">
      <alignment vertical="center"/>
    </xf>
    <xf numFmtId="43" fontId="0" fillId="0" borderId="32" xfId="4" applyFont="1" applyBorder="1" applyAlignment="1" applyProtection="1">
      <alignment vertical="center"/>
    </xf>
    <xf numFmtId="43" fontId="0" fillId="0" borderId="33" xfId="4" applyFont="1" applyBorder="1" applyAlignment="1" applyProtection="1">
      <alignment vertical="center"/>
    </xf>
    <xf numFmtId="43" fontId="0" fillId="0" borderId="30" xfId="4" applyFont="1" applyBorder="1" applyAlignment="1" applyProtection="1">
      <alignment vertical="center"/>
    </xf>
    <xf numFmtId="43" fontId="0" fillId="0" borderId="9" xfId="4" applyFont="1" applyBorder="1" applyAlignment="1" applyProtection="1">
      <alignment vertical="center"/>
    </xf>
    <xf numFmtId="9" fontId="0" fillId="24" borderId="29" xfId="2" applyNumberFormat="1" applyFont="1" applyFill="1" applyBorder="1" applyAlignment="1" applyProtection="1">
      <alignment horizontal="center" vertical="center" wrapText="1"/>
      <protection locked="0"/>
    </xf>
    <xf numFmtId="9" fontId="0" fillId="24" borderId="30" xfId="2" applyNumberFormat="1" applyFont="1" applyFill="1" applyBorder="1" applyAlignment="1" applyProtection="1">
      <alignment horizontal="center" vertical="center" wrapText="1"/>
      <protection locked="0"/>
    </xf>
    <xf numFmtId="0" fontId="21" fillId="2" borderId="0" xfId="0" applyFont="1" applyFill="1" applyAlignment="1">
      <alignment horizontal="center"/>
    </xf>
    <xf numFmtId="0" fontId="22" fillId="2" borderId="0" xfId="0" applyFont="1" applyFill="1" applyAlignment="1">
      <alignment horizontal="center" vertical="top" wrapText="1"/>
    </xf>
    <xf numFmtId="0" fontId="30" fillId="0" borderId="66" xfId="0" applyFont="1" applyFill="1" applyBorder="1" applyAlignment="1">
      <alignment horizontal="center"/>
    </xf>
    <xf numFmtId="0" fontId="30" fillId="0" borderId="46" xfId="0" applyFont="1" applyFill="1" applyBorder="1" applyAlignment="1">
      <alignment horizontal="center"/>
    </xf>
    <xf numFmtId="0" fontId="30" fillId="0" borderId="34" xfId="0" applyFont="1" applyFill="1" applyBorder="1" applyAlignment="1">
      <alignment horizontal="center"/>
    </xf>
    <xf numFmtId="0" fontId="31" fillId="0" borderId="45" xfId="0" applyFont="1" applyBorder="1" applyAlignment="1" applyProtection="1">
      <alignment horizontal="center"/>
      <protection locked="0"/>
    </xf>
    <xf numFmtId="0" fontId="31"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33"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2" borderId="39"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2" fillId="2" borderId="47" xfId="0" applyFont="1" applyFill="1" applyBorder="1" applyAlignment="1">
      <alignment horizontal="center" vertical="center" wrapText="1"/>
    </xf>
    <xf numFmtId="0" fontId="4" fillId="0" borderId="0" xfId="0" applyFont="1" applyAlignment="1">
      <alignment horizontal="center" vertical="center"/>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77" xfId="0" applyFont="1" applyFill="1" applyBorder="1" applyAlignment="1">
      <alignment horizontal="center" vertical="center" wrapText="1"/>
    </xf>
    <xf numFmtId="0" fontId="2" fillId="19" borderId="45" xfId="0" applyFont="1" applyFill="1" applyBorder="1" applyAlignment="1">
      <alignment horizontal="center" vertical="center"/>
    </xf>
    <xf numFmtId="0" fontId="2" fillId="19" borderId="46" xfId="0" applyFont="1" applyFill="1" applyBorder="1" applyAlignment="1">
      <alignment horizontal="center" vertical="center"/>
    </xf>
    <xf numFmtId="0" fontId="2" fillId="19" borderId="34" xfId="0" applyFont="1" applyFill="1" applyBorder="1" applyAlignment="1">
      <alignment horizontal="center" vertical="center"/>
    </xf>
    <xf numFmtId="0" fontId="2" fillId="6" borderId="45" xfId="0" applyFont="1" applyFill="1" applyBorder="1" applyAlignment="1">
      <alignment horizontal="center" vertical="center"/>
    </xf>
    <xf numFmtId="0" fontId="2" fillId="6" borderId="46" xfId="0" applyFont="1" applyFill="1" applyBorder="1" applyAlignment="1">
      <alignment horizontal="center" vertical="center"/>
    </xf>
    <xf numFmtId="0" fontId="2" fillId="2" borderId="2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3" fontId="2" fillId="2" borderId="45" xfId="0" applyNumberFormat="1" applyFont="1" applyFill="1" applyBorder="1" applyAlignment="1">
      <alignment horizontal="center" vertical="center"/>
    </xf>
    <xf numFmtId="3" fontId="2" fillId="2" borderId="46" xfId="0" applyNumberFormat="1" applyFont="1" applyFill="1" applyBorder="1" applyAlignment="1">
      <alignment horizontal="center" vertical="center"/>
    </xf>
    <xf numFmtId="3" fontId="2" fillId="2" borderId="34" xfId="0" applyNumberFormat="1" applyFont="1" applyFill="1" applyBorder="1" applyAlignment="1">
      <alignment horizontal="center" vertic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0" fontId="2" fillId="6" borderId="4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xf numFmtId="0" fontId="2" fillId="0" borderId="0" xfId="0" applyFont="1" applyAlignment="1">
      <alignment horizontal="left" wrapText="1" shrinkToFit="1"/>
    </xf>
    <xf numFmtId="0" fontId="2" fillId="6" borderId="53" xfId="0" applyFont="1" applyFill="1" applyBorder="1" applyAlignment="1">
      <alignment horizontal="center" vertical="top" wrapTex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45" xfId="0" applyFont="1" applyFill="1" applyBorder="1" applyAlignment="1">
      <alignment horizontal="center"/>
    </xf>
    <xf numFmtId="0" fontId="2" fillId="6" borderId="34" xfId="0" applyFont="1" applyFill="1" applyBorder="1" applyAlignment="1">
      <alignment horizontal="center"/>
    </xf>
    <xf numFmtId="0" fontId="8" fillId="6" borderId="46" xfId="0" applyFont="1" applyFill="1" applyBorder="1" applyAlignment="1">
      <alignment horizontal="center"/>
    </xf>
  </cellXfs>
  <cellStyles count="5">
    <cellStyle name="Comma" xfId="4" builtinId="3"/>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calcChain" Target="calcChain.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 xmlns:a16="http://schemas.microsoft.com/office/drawing/2014/main"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 xmlns:a16="http://schemas.microsoft.com/office/drawing/2014/main"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 xmlns:a16="http://schemas.microsoft.com/office/drawing/2014/main"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 xmlns:a16="http://schemas.microsoft.com/office/drawing/2014/main"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 xmlns:a16="http://schemas.microsoft.com/office/drawing/2014/main"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 xmlns:a16="http://schemas.microsoft.com/office/drawing/2014/main"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 xmlns:a16="http://schemas.microsoft.com/office/drawing/2014/main"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 xmlns:a16="http://schemas.microsoft.com/office/drawing/2014/main"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 xmlns:a16="http://schemas.microsoft.com/office/drawing/2014/main"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KALTIM_Hitungan%20BaU-skenario-Rekap%20Emisi_2011-20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Rekapitulasi BaU Emisi GRK"/>
      <sheetName val="Rekap BAU Emisi Industri Sawitt"/>
      <sheetName val="Frksi pengelolaan smph Mitigasi"/>
      <sheetName val="Rekaptlasi Mitigasi Emisi GRK"/>
    </sheetNames>
    <sheetDataSet>
      <sheetData sheetId="0"/>
      <sheetData sheetId="1">
        <row r="29">
          <cell r="B29">
            <v>210.42193163299999</v>
          </cell>
        </row>
        <row r="30">
          <cell r="B30">
            <v>214.934521496</v>
          </cell>
        </row>
        <row r="31">
          <cell r="B31">
            <v>220.03132421799998</v>
          </cell>
        </row>
        <row r="32">
          <cell r="B32">
            <v>225.087944308</v>
          </cell>
        </row>
        <row r="33">
          <cell r="B33">
            <v>230.11672230999997</v>
          </cell>
        </row>
        <row r="34">
          <cell r="B34">
            <v>235.106092125</v>
          </cell>
        </row>
        <row r="35">
          <cell r="B35">
            <v>247.77931214080493</v>
          </cell>
        </row>
        <row r="36">
          <cell r="B36">
            <v>260.58709757834117</v>
          </cell>
        </row>
        <row r="37">
          <cell r="B37">
            <v>273.88696157547224</v>
          </cell>
        </row>
        <row r="38">
          <cell r="B38">
            <v>287.69567187625665</v>
          </cell>
        </row>
        <row r="39">
          <cell r="B39">
            <v>302.03053140561661</v>
          </cell>
        </row>
        <row r="40">
          <cell r="B40">
            <v>316.90939466033643</v>
          </cell>
        </row>
        <row r="41">
          <cell r="B41">
            <v>332.35068458800038</v>
          </cell>
        </row>
        <row r="42">
          <cell r="B42">
            <v>348.37340996809735</v>
          </cell>
        </row>
        <row r="43">
          <cell r="B43">
            <v>364.9971833099259</v>
          </cell>
        </row>
        <row r="44">
          <cell r="B44">
            <v>382.24223928235591</v>
          </cell>
        </row>
        <row r="45">
          <cell r="B45">
            <v>400.12945369093268</v>
          </cell>
        </row>
        <row r="46">
          <cell r="B46">
            <v>418.6803630182535</v>
          </cell>
        </row>
        <row r="47">
          <cell r="B47">
            <v>437.91718454400518</v>
          </cell>
        </row>
        <row r="48">
          <cell r="B48">
            <v>458.16731819999995</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889" t="s">
        <v>212</v>
      </c>
      <c r="C7" s="889"/>
      <c r="D7" s="889"/>
      <c r="E7" s="889"/>
      <c r="F7" s="889"/>
      <c r="G7" s="889"/>
      <c r="H7" s="889"/>
      <c r="I7" s="889"/>
      <c r="J7" s="359"/>
      <c r="K7" s="359"/>
    </row>
    <row r="8" spans="2:11" s="9" customFormat="1">
      <c r="B8" s="10"/>
      <c r="C8" s="10"/>
      <c r="D8" s="10"/>
      <c r="E8" s="10"/>
      <c r="F8" s="10"/>
      <c r="G8" s="10"/>
      <c r="H8" s="10"/>
      <c r="I8" s="10"/>
      <c r="J8" s="10"/>
      <c r="K8" s="10"/>
    </row>
    <row r="9" spans="2:11" ht="44.1" customHeight="1">
      <c r="B9" s="890" t="s">
        <v>227</v>
      </c>
      <c r="C9" s="890"/>
      <c r="D9" s="890"/>
      <c r="E9" s="890"/>
      <c r="F9" s="890"/>
      <c r="G9" s="890"/>
      <c r="H9" s="890"/>
      <c r="I9" s="890"/>
      <c r="J9" s="360"/>
      <c r="K9" s="360"/>
    </row>
    <row r="10" spans="2:11" ht="14.45" customHeight="1">
      <c r="I10" s="361" t="s">
        <v>213</v>
      </c>
    </row>
    <row r="11" spans="2:11" ht="6.75" customHeight="1"/>
    <row r="135" spans="9:9">
      <c r="I135" s="361"/>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selection activeCell="Q21" sqref="Q21"/>
    </sheetView>
  </sheetViews>
  <sheetFormatPr defaultColWidth="11.42578125" defaultRowHeight="12.75"/>
  <cols>
    <col min="1" max="1" width="4" style="6" customWidth="1"/>
    <col min="2" max="2" width="7.42578125" style="487" customWidth="1"/>
    <col min="3" max="3" width="8.85546875" style="432" customWidth="1"/>
    <col min="4" max="4" width="8.28515625" style="432" customWidth="1"/>
    <col min="5" max="5" width="9.85546875" style="432" customWidth="1"/>
    <col min="6" max="6" width="9.140625" style="432" customWidth="1"/>
    <col min="7" max="9" width="8.42578125" style="432" customWidth="1"/>
    <col min="10" max="10" width="8.140625" style="432" customWidth="1"/>
    <col min="11" max="11" width="9.140625" style="432" customWidth="1"/>
    <col min="12" max="13" width="8.85546875" style="6" customWidth="1"/>
    <col min="14" max="14" width="12.28515625" style="432" customWidth="1"/>
    <col min="15" max="15" width="13.85546875" style="6" customWidth="1"/>
    <col min="16" max="16384" width="11.42578125" style="6"/>
  </cols>
  <sheetData>
    <row r="1" spans="2:15" ht="13.5" thickBot="1"/>
    <row r="2" spans="2:15" ht="13.5" thickBot="1">
      <c r="C2" s="489" t="s">
        <v>265</v>
      </c>
      <c r="D2" s="953" t="str">
        <f>city</f>
        <v>Kalimantan Timur</v>
      </c>
      <c r="E2" s="954"/>
      <c r="F2" s="955"/>
    </row>
    <row r="3" spans="2:15" ht="13.5" thickBot="1">
      <c r="C3" s="489" t="s">
        <v>276</v>
      </c>
      <c r="D3" s="953" t="str">
        <f>province</f>
        <v>Kalimantan Timur</v>
      </c>
      <c r="E3" s="954"/>
      <c r="F3" s="955"/>
    </row>
    <row r="4" spans="2:15" ht="13.5" thickBot="1">
      <c r="B4" s="488"/>
      <c r="C4" s="489" t="s">
        <v>30</v>
      </c>
      <c r="D4" s="953">
        <v>0</v>
      </c>
      <c r="E4" s="954"/>
      <c r="F4" s="955"/>
      <c r="H4" s="956"/>
      <c r="I4" s="956"/>
      <c r="J4" s="956"/>
      <c r="K4" s="956"/>
    </row>
    <row r="5" spans="2:15">
      <c r="B5" s="488"/>
      <c r="H5" s="957"/>
      <c r="I5" s="957"/>
      <c r="J5" s="957"/>
      <c r="K5" s="957"/>
    </row>
    <row r="6" spans="2:15" s="39" customFormat="1" ht="15.75">
      <c r="C6" s="490" t="s">
        <v>291</v>
      </c>
      <c r="D6" s="490"/>
      <c r="E6" s="490"/>
      <c r="F6" s="491"/>
      <c r="G6" s="491"/>
      <c r="H6" s="491"/>
      <c r="I6" s="491"/>
      <c r="J6" s="491"/>
      <c r="K6" s="491"/>
      <c r="N6" s="491"/>
    </row>
    <row r="7" spans="2:15">
      <c r="C7" s="492" t="s">
        <v>292</v>
      </c>
      <c r="D7" s="492"/>
      <c r="E7" s="492"/>
    </row>
    <row r="8" spans="2:15" ht="13.5" thickBot="1">
      <c r="B8" s="492"/>
    </row>
    <row r="9" spans="2:15" ht="13.5" thickBot="1">
      <c r="B9" s="492"/>
      <c r="C9" s="493" t="s">
        <v>293</v>
      </c>
      <c r="D9" s="492"/>
    </row>
    <row r="10" spans="2:15">
      <c r="B10" s="492"/>
      <c r="C10" s="494" t="s">
        <v>95</v>
      </c>
      <c r="D10" s="495">
        <f>Parameters!R26</f>
        <v>0</v>
      </c>
      <c r="E10" s="496" t="s">
        <v>6</v>
      </c>
      <c r="F10" s="495">
        <f>Parameters!R15</f>
        <v>0.15</v>
      </c>
      <c r="G10" s="497" t="s">
        <v>267</v>
      </c>
      <c r="H10" s="498">
        <f>Parameters!R21</f>
        <v>0.24</v>
      </c>
      <c r="I10" s="499"/>
      <c r="J10" s="499"/>
      <c r="K10" s="499"/>
      <c r="L10" s="500"/>
    </row>
    <row r="11" spans="2:15">
      <c r="B11" s="492"/>
      <c r="C11" s="501" t="s">
        <v>262</v>
      </c>
      <c r="D11" s="502">
        <f>Parameters!R16</f>
        <v>0.4</v>
      </c>
      <c r="E11" s="503" t="s">
        <v>261</v>
      </c>
      <c r="F11" s="502">
        <f>Parameters!R17</f>
        <v>0.2</v>
      </c>
      <c r="G11" s="504" t="s">
        <v>146</v>
      </c>
      <c r="H11" s="505">
        <f>Parameters!R27</f>
        <v>0.05</v>
      </c>
      <c r="I11" s="499"/>
      <c r="J11" s="499"/>
      <c r="K11" s="499"/>
      <c r="L11" s="500"/>
    </row>
    <row r="12" spans="2:15" ht="13.5" thickBot="1">
      <c r="B12" s="492"/>
      <c r="C12" s="506" t="s">
        <v>2</v>
      </c>
      <c r="D12" s="507">
        <f>Parameters!R20</f>
        <v>0.43</v>
      </c>
      <c r="E12" s="508" t="s">
        <v>16</v>
      </c>
      <c r="F12" s="507">
        <f>Parameters!R18</f>
        <v>0.24</v>
      </c>
      <c r="G12" s="508" t="s">
        <v>294</v>
      </c>
      <c r="H12" s="509">
        <f>Parameters!R28</f>
        <v>0.15</v>
      </c>
      <c r="I12" s="499"/>
      <c r="J12" s="499"/>
      <c r="K12" s="499"/>
      <c r="L12" s="257"/>
    </row>
    <row r="13" spans="2:15">
      <c r="B13" s="492"/>
    </row>
    <row r="14" spans="2:15" ht="13.5" thickBot="1">
      <c r="B14" s="510"/>
    </row>
    <row r="15" spans="2:15" s="517" customFormat="1" ht="39" thickBot="1">
      <c r="B15" s="511" t="s">
        <v>1</v>
      </c>
      <c r="C15" s="511" t="s">
        <v>95</v>
      </c>
      <c r="D15" s="438" t="s">
        <v>295</v>
      </c>
      <c r="E15" s="439" t="s">
        <v>261</v>
      </c>
      <c r="F15" s="439" t="s">
        <v>262</v>
      </c>
      <c r="G15" s="439" t="s">
        <v>2</v>
      </c>
      <c r="H15" s="439" t="s">
        <v>16</v>
      </c>
      <c r="I15" s="512" t="s">
        <v>267</v>
      </c>
      <c r="J15" s="513" t="s">
        <v>146</v>
      </c>
      <c r="K15" s="514" t="s">
        <v>296</v>
      </c>
      <c r="L15" s="439" t="s">
        <v>297</v>
      </c>
      <c r="M15" s="440" t="s">
        <v>298</v>
      </c>
      <c r="N15" s="515" t="s">
        <v>284</v>
      </c>
      <c r="O15" s="516" t="s">
        <v>299</v>
      </c>
    </row>
    <row r="16" spans="2:15" s="517" customFormat="1" ht="13.5" thickBot="1">
      <c r="B16" s="518"/>
      <c r="C16" s="33" t="s">
        <v>15</v>
      </c>
      <c r="D16" s="447" t="s">
        <v>15</v>
      </c>
      <c r="E16" s="445" t="s">
        <v>15</v>
      </c>
      <c r="F16" s="445" t="s">
        <v>15</v>
      </c>
      <c r="G16" s="445" t="s">
        <v>15</v>
      </c>
      <c r="H16" s="445" t="s">
        <v>15</v>
      </c>
      <c r="I16" s="519" t="s">
        <v>15</v>
      </c>
      <c r="J16" s="520" t="s">
        <v>15</v>
      </c>
      <c r="K16" s="521" t="s">
        <v>15</v>
      </c>
      <c r="L16" s="445" t="s">
        <v>15</v>
      </c>
      <c r="M16" s="446" t="s">
        <v>15</v>
      </c>
      <c r="N16" s="522" t="s">
        <v>15</v>
      </c>
      <c r="O16" s="446" t="s">
        <v>15</v>
      </c>
    </row>
    <row r="17" spans="2:15">
      <c r="B17" s="460"/>
      <c r="C17" s="523"/>
      <c r="D17" s="524"/>
      <c r="E17" s="525"/>
      <c r="F17" s="525"/>
      <c r="G17" s="525"/>
      <c r="H17" s="525"/>
      <c r="I17" s="526"/>
      <c r="J17" s="527"/>
      <c r="K17" s="528"/>
      <c r="L17" s="529"/>
      <c r="M17" s="530"/>
      <c r="N17" s="524"/>
      <c r="O17" s="531"/>
    </row>
    <row r="18" spans="2:15">
      <c r="B18" s="469">
        <v>1950</v>
      </c>
      <c r="C18" s="532">
        <v>0</v>
      </c>
      <c r="D18" s="533">
        <v>0.72457530273426374</v>
      </c>
      <c r="E18" s="534">
        <v>0</v>
      </c>
      <c r="F18" s="534">
        <v>0.57299748078295798</v>
      </c>
      <c r="G18" s="534">
        <v>0.47272292164594037</v>
      </c>
      <c r="H18" s="534">
        <v>7.1957823168092391E-2</v>
      </c>
      <c r="I18" s="535">
        <v>0</v>
      </c>
      <c r="J18" s="536">
        <v>0</v>
      </c>
      <c r="K18" s="537">
        <v>0</v>
      </c>
      <c r="L18" s="534">
        <v>0</v>
      </c>
      <c r="M18" s="535">
        <v>0</v>
      </c>
      <c r="N18" s="470">
        <v>1.8422535283312544</v>
      </c>
      <c r="O18" s="472">
        <f t="shared" ref="O18:O81" si="0">O17+N18</f>
        <v>1.8422535283312544</v>
      </c>
    </row>
    <row r="19" spans="2:15">
      <c r="B19" s="469">
        <f>B18+1</f>
        <v>1951</v>
      </c>
      <c r="C19" s="532">
        <v>0</v>
      </c>
      <c r="D19" s="533">
        <v>0.73385794813876859</v>
      </c>
      <c r="E19" s="534">
        <v>0</v>
      </c>
      <c r="F19" s="534">
        <v>0.58033823944766993</v>
      </c>
      <c r="G19" s="534">
        <v>0.47877904754432771</v>
      </c>
      <c r="H19" s="534">
        <v>7.287968588412598E-2</v>
      </c>
      <c r="I19" s="535">
        <v>0</v>
      </c>
      <c r="J19" s="536">
        <v>0</v>
      </c>
      <c r="K19" s="537">
        <v>0</v>
      </c>
      <c r="L19" s="534">
        <v>0</v>
      </c>
      <c r="M19" s="535">
        <v>0</v>
      </c>
      <c r="N19" s="470">
        <v>1.8658549210148923</v>
      </c>
      <c r="O19" s="472">
        <f t="shared" si="0"/>
        <v>3.7081084493461467</v>
      </c>
    </row>
    <row r="20" spans="2:15">
      <c r="B20" s="469">
        <f t="shared" ref="B20:B83" si="1">B19+1</f>
        <v>1952</v>
      </c>
      <c r="C20" s="532">
        <v>0</v>
      </c>
      <c r="D20" s="533">
        <v>0.75039466390638743</v>
      </c>
      <c r="E20" s="534">
        <v>0</v>
      </c>
      <c r="F20" s="534">
        <v>0.59341555030758009</v>
      </c>
      <c r="G20" s="534">
        <v>0.48956782900375351</v>
      </c>
      <c r="H20" s="534">
        <v>7.4521952829324001E-2</v>
      </c>
      <c r="I20" s="535">
        <v>0</v>
      </c>
      <c r="J20" s="536">
        <v>0</v>
      </c>
      <c r="K20" s="537">
        <v>0</v>
      </c>
      <c r="L20" s="534">
        <v>0</v>
      </c>
      <c r="M20" s="535">
        <v>0</v>
      </c>
      <c r="N20" s="470">
        <v>1.9078999960470449</v>
      </c>
      <c r="O20" s="472">
        <f t="shared" si="0"/>
        <v>5.6160084453931916</v>
      </c>
    </row>
    <row r="21" spans="2:15">
      <c r="B21" s="469">
        <f t="shared" si="1"/>
        <v>1953</v>
      </c>
      <c r="C21" s="532">
        <v>0</v>
      </c>
      <c r="D21" s="533">
        <v>0.76373267837959136</v>
      </c>
      <c r="E21" s="534">
        <v>0</v>
      </c>
      <c r="F21" s="534">
        <v>0.60396331347719401</v>
      </c>
      <c r="G21" s="534">
        <v>0.4982697336186851</v>
      </c>
      <c r="H21" s="534">
        <v>7.5846555645973202E-2</v>
      </c>
      <c r="I21" s="535">
        <v>0</v>
      </c>
      <c r="J21" s="536">
        <v>0</v>
      </c>
      <c r="K21" s="537">
        <v>0</v>
      </c>
      <c r="L21" s="534">
        <v>0</v>
      </c>
      <c r="M21" s="535">
        <v>0</v>
      </c>
      <c r="N21" s="470">
        <v>1.9418122811214436</v>
      </c>
      <c r="O21" s="472">
        <f t="shared" si="0"/>
        <v>7.5578207265146347</v>
      </c>
    </row>
    <row r="22" spans="2:15">
      <c r="B22" s="469">
        <f t="shared" si="1"/>
        <v>1954</v>
      </c>
      <c r="C22" s="532">
        <v>0</v>
      </c>
      <c r="D22" s="533">
        <v>0.76781832468771372</v>
      </c>
      <c r="E22" s="534">
        <v>0</v>
      </c>
      <c r="F22" s="534">
        <v>0.60719426136223797</v>
      </c>
      <c r="G22" s="534">
        <v>0.50093526562384638</v>
      </c>
      <c r="H22" s="534">
        <v>7.6252302589676413E-2</v>
      </c>
      <c r="I22" s="535">
        <v>0</v>
      </c>
      <c r="J22" s="536">
        <v>0</v>
      </c>
      <c r="K22" s="537">
        <v>0</v>
      </c>
      <c r="L22" s="534">
        <v>0</v>
      </c>
      <c r="M22" s="535">
        <v>0</v>
      </c>
      <c r="N22" s="470">
        <v>1.9522001542634744</v>
      </c>
      <c r="O22" s="472">
        <f t="shared" si="0"/>
        <v>9.510020880778109</v>
      </c>
    </row>
    <row r="23" spans="2:15">
      <c r="B23" s="469">
        <f t="shared" si="1"/>
        <v>1955</v>
      </c>
      <c r="C23" s="532">
        <v>0</v>
      </c>
      <c r="D23" s="533">
        <v>0.85048765541313742</v>
      </c>
      <c r="E23" s="534">
        <v>0</v>
      </c>
      <c r="F23" s="534">
        <v>0.67256954818878012</v>
      </c>
      <c r="G23" s="534">
        <v>0.55486987725574355</v>
      </c>
      <c r="H23" s="534">
        <v>8.4462222330683998E-2</v>
      </c>
      <c r="I23" s="535">
        <v>0</v>
      </c>
      <c r="J23" s="536">
        <v>0</v>
      </c>
      <c r="K23" s="537">
        <v>0</v>
      </c>
      <c r="L23" s="534">
        <v>0</v>
      </c>
      <c r="M23" s="535">
        <v>0</v>
      </c>
      <c r="N23" s="470">
        <v>2.1623893031883452</v>
      </c>
      <c r="O23" s="472">
        <f t="shared" si="0"/>
        <v>11.672410183966454</v>
      </c>
    </row>
    <row r="24" spans="2:15">
      <c r="B24" s="469">
        <f t="shared" si="1"/>
        <v>1956</v>
      </c>
      <c r="C24" s="532">
        <v>0</v>
      </c>
      <c r="D24" s="533">
        <v>0.86798255675781388</v>
      </c>
      <c r="E24" s="534">
        <v>0</v>
      </c>
      <c r="F24" s="534">
        <v>0.68640459660847819</v>
      </c>
      <c r="G24" s="534">
        <v>0.56628379220199443</v>
      </c>
      <c r="H24" s="534">
        <v>8.61996470159484E-2</v>
      </c>
      <c r="I24" s="535">
        <v>0</v>
      </c>
      <c r="J24" s="536">
        <v>0</v>
      </c>
      <c r="K24" s="537">
        <v>0</v>
      </c>
      <c r="L24" s="534">
        <v>0</v>
      </c>
      <c r="M24" s="535">
        <v>0</v>
      </c>
      <c r="N24" s="470">
        <v>2.2068705925842349</v>
      </c>
      <c r="O24" s="472">
        <f t="shared" si="0"/>
        <v>13.879280776550688</v>
      </c>
    </row>
    <row r="25" spans="2:15">
      <c r="B25" s="469">
        <f t="shared" si="1"/>
        <v>1957</v>
      </c>
      <c r="C25" s="532">
        <v>0</v>
      </c>
      <c r="D25" s="533">
        <v>0.88546320998982009</v>
      </c>
      <c r="E25" s="534">
        <v>0</v>
      </c>
      <c r="F25" s="534">
        <v>0.70022837755516809</v>
      </c>
      <c r="G25" s="534">
        <v>0.57768841148301364</v>
      </c>
      <c r="H25" s="534">
        <v>8.7935656716230409E-2</v>
      </c>
      <c r="I25" s="535">
        <v>0</v>
      </c>
      <c r="J25" s="536">
        <v>0</v>
      </c>
      <c r="K25" s="537">
        <v>0</v>
      </c>
      <c r="L25" s="534">
        <v>0</v>
      </c>
      <c r="M25" s="535">
        <v>0</v>
      </c>
      <c r="N25" s="470">
        <v>2.2513156557442322</v>
      </c>
      <c r="O25" s="472">
        <f t="shared" si="0"/>
        <v>16.130596432294922</v>
      </c>
    </row>
    <row r="26" spans="2:15">
      <c r="B26" s="469">
        <f t="shared" si="1"/>
        <v>1958</v>
      </c>
      <c r="C26" s="532">
        <v>0</v>
      </c>
      <c r="D26" s="533">
        <v>0.90282275426413117</v>
      </c>
      <c r="E26" s="534">
        <v>0</v>
      </c>
      <c r="F26" s="534">
        <v>0.7139563849812901</v>
      </c>
      <c r="G26" s="534">
        <v>0.58901401760956429</v>
      </c>
      <c r="H26" s="534">
        <v>8.9659639044162007E-2</v>
      </c>
      <c r="I26" s="535">
        <v>0</v>
      </c>
      <c r="J26" s="536">
        <v>0</v>
      </c>
      <c r="K26" s="537">
        <v>0</v>
      </c>
      <c r="L26" s="534">
        <v>0</v>
      </c>
      <c r="M26" s="535">
        <v>0</v>
      </c>
      <c r="N26" s="470">
        <v>2.2954527958991475</v>
      </c>
      <c r="O26" s="472">
        <f t="shared" si="0"/>
        <v>18.426049228194071</v>
      </c>
    </row>
    <row r="27" spans="2:15">
      <c r="B27" s="469">
        <f t="shared" si="1"/>
        <v>1959</v>
      </c>
      <c r="C27" s="532">
        <v>0</v>
      </c>
      <c r="D27" s="533">
        <v>0.91993295656671747</v>
      </c>
      <c r="E27" s="534">
        <v>0</v>
      </c>
      <c r="F27" s="534">
        <v>0.72748721162977215</v>
      </c>
      <c r="G27" s="534">
        <v>0.60017694959456191</v>
      </c>
      <c r="H27" s="534">
        <v>9.1358859134901604E-2</v>
      </c>
      <c r="I27" s="535">
        <v>0</v>
      </c>
      <c r="J27" s="536">
        <v>0</v>
      </c>
      <c r="K27" s="537">
        <v>0</v>
      </c>
      <c r="L27" s="534">
        <v>0</v>
      </c>
      <c r="M27" s="535">
        <v>0</v>
      </c>
      <c r="N27" s="470">
        <v>2.3389559769259529</v>
      </c>
      <c r="O27" s="472">
        <f t="shared" si="0"/>
        <v>20.765005205120023</v>
      </c>
    </row>
    <row r="28" spans="2:15">
      <c r="B28" s="469">
        <f t="shared" si="1"/>
        <v>1960</v>
      </c>
      <c r="C28" s="532">
        <v>0</v>
      </c>
      <c r="D28" s="533">
        <v>0.9930560518032413</v>
      </c>
      <c r="E28" s="534">
        <v>0</v>
      </c>
      <c r="F28" s="534">
        <v>0.78531329154095419</v>
      </c>
      <c r="G28" s="534">
        <v>0.64788346552128717</v>
      </c>
      <c r="H28" s="534">
        <v>9.8620738937701194E-2</v>
      </c>
      <c r="I28" s="535">
        <v>0</v>
      </c>
      <c r="J28" s="536">
        <v>0</v>
      </c>
      <c r="K28" s="537">
        <v>0</v>
      </c>
      <c r="L28" s="534">
        <v>0</v>
      </c>
      <c r="M28" s="535">
        <v>0</v>
      </c>
      <c r="N28" s="470">
        <v>2.5248735478031836</v>
      </c>
      <c r="O28" s="472">
        <f t="shared" si="0"/>
        <v>23.289878752923208</v>
      </c>
    </row>
    <row r="29" spans="2:15">
      <c r="B29" s="469">
        <f t="shared" si="1"/>
        <v>1961</v>
      </c>
      <c r="C29" s="532">
        <v>0</v>
      </c>
      <c r="D29" s="533">
        <v>1.01906776249641</v>
      </c>
      <c r="E29" s="534">
        <v>0</v>
      </c>
      <c r="F29" s="534">
        <v>0.80588347195118415</v>
      </c>
      <c r="G29" s="534">
        <v>0.66485386435972671</v>
      </c>
      <c r="H29" s="534">
        <v>0.10120397089619518</v>
      </c>
      <c r="I29" s="535">
        <v>0</v>
      </c>
      <c r="J29" s="536">
        <v>0</v>
      </c>
      <c r="K29" s="537">
        <v>0</v>
      </c>
      <c r="L29" s="534">
        <v>0</v>
      </c>
      <c r="M29" s="535">
        <v>0</v>
      </c>
      <c r="N29" s="470">
        <v>2.5910090697035164</v>
      </c>
      <c r="O29" s="472">
        <f t="shared" si="0"/>
        <v>25.880887822626725</v>
      </c>
    </row>
    <row r="30" spans="2:15">
      <c r="B30" s="469">
        <f t="shared" si="1"/>
        <v>1962</v>
      </c>
      <c r="C30" s="532">
        <v>0</v>
      </c>
      <c r="D30" s="533">
        <v>1.03881564665703</v>
      </c>
      <c r="E30" s="534">
        <v>0</v>
      </c>
      <c r="F30" s="534">
        <v>0.82150018954027204</v>
      </c>
      <c r="G30" s="534">
        <v>0.67773765637072447</v>
      </c>
      <c r="H30" s="534">
        <v>0.10316514008180158</v>
      </c>
      <c r="I30" s="535">
        <v>0</v>
      </c>
      <c r="J30" s="536">
        <v>0</v>
      </c>
      <c r="K30" s="537">
        <v>0</v>
      </c>
      <c r="L30" s="534">
        <v>0</v>
      </c>
      <c r="M30" s="535">
        <v>0</v>
      </c>
      <c r="N30" s="470">
        <v>2.6412186326498279</v>
      </c>
      <c r="O30" s="472">
        <f t="shared" si="0"/>
        <v>28.522106455276553</v>
      </c>
    </row>
    <row r="31" spans="2:15">
      <c r="B31" s="469">
        <f t="shared" si="1"/>
        <v>1963</v>
      </c>
      <c r="C31" s="532">
        <v>0</v>
      </c>
      <c r="D31" s="533">
        <v>1.0584958522824672</v>
      </c>
      <c r="E31" s="534">
        <v>0</v>
      </c>
      <c r="F31" s="534">
        <v>0.83706338663257196</v>
      </c>
      <c r="G31" s="534">
        <v>0.69057729397187184</v>
      </c>
      <c r="H31" s="534">
        <v>0.10511958808874157</v>
      </c>
      <c r="I31" s="535">
        <v>0</v>
      </c>
      <c r="J31" s="536">
        <v>0</v>
      </c>
      <c r="K31" s="537">
        <v>0</v>
      </c>
      <c r="L31" s="534">
        <v>0</v>
      </c>
      <c r="M31" s="535">
        <v>0</v>
      </c>
      <c r="N31" s="470">
        <v>2.6912561209756527</v>
      </c>
      <c r="O31" s="472">
        <f t="shared" si="0"/>
        <v>31.213362576252205</v>
      </c>
    </row>
    <row r="32" spans="2:15">
      <c r="B32" s="469">
        <f t="shared" si="1"/>
        <v>1964</v>
      </c>
      <c r="C32" s="532">
        <v>0</v>
      </c>
      <c r="D32" s="533">
        <v>1.0776844980207898</v>
      </c>
      <c r="E32" s="534">
        <v>0</v>
      </c>
      <c r="F32" s="534">
        <v>0.85223785590609602</v>
      </c>
      <c r="G32" s="534">
        <v>0.70309623112252917</v>
      </c>
      <c r="H32" s="534">
        <v>0.10702521911378877</v>
      </c>
      <c r="I32" s="535">
        <v>0</v>
      </c>
      <c r="J32" s="536">
        <v>0</v>
      </c>
      <c r="K32" s="537">
        <v>0</v>
      </c>
      <c r="L32" s="534">
        <v>0</v>
      </c>
      <c r="M32" s="535">
        <v>0</v>
      </c>
      <c r="N32" s="470">
        <v>2.7400438041632036</v>
      </c>
      <c r="O32" s="472">
        <f t="shared" si="0"/>
        <v>33.953406380415409</v>
      </c>
    </row>
    <row r="33" spans="2:15">
      <c r="B33" s="469">
        <f t="shared" si="1"/>
        <v>1965</v>
      </c>
      <c r="C33" s="532">
        <v>0</v>
      </c>
      <c r="D33" s="533">
        <v>1.0963459635903223</v>
      </c>
      <c r="E33" s="534">
        <v>0</v>
      </c>
      <c r="F33" s="534">
        <v>0.86699542867832402</v>
      </c>
      <c r="G33" s="534">
        <v>0.71527122865961723</v>
      </c>
      <c r="H33" s="534">
        <v>0.10887849569448718</v>
      </c>
      <c r="I33" s="535">
        <v>0</v>
      </c>
      <c r="J33" s="536">
        <v>0</v>
      </c>
      <c r="K33" s="537">
        <v>0</v>
      </c>
      <c r="L33" s="534">
        <v>0</v>
      </c>
      <c r="M33" s="535">
        <v>0</v>
      </c>
      <c r="N33" s="470">
        <v>2.7874911166227507</v>
      </c>
      <c r="O33" s="472">
        <f t="shared" si="0"/>
        <v>36.740897497038162</v>
      </c>
    </row>
    <row r="34" spans="2:15">
      <c r="B34" s="469">
        <f t="shared" si="1"/>
        <v>1966</v>
      </c>
      <c r="C34" s="532">
        <v>0</v>
      </c>
      <c r="D34" s="533">
        <v>1.1148578239768199</v>
      </c>
      <c r="E34" s="534">
        <v>0</v>
      </c>
      <c r="F34" s="534">
        <v>0.88163469298396802</v>
      </c>
      <c r="G34" s="534">
        <v>0.72734862171177361</v>
      </c>
      <c r="H34" s="534">
        <v>0.11071691493287038</v>
      </c>
      <c r="I34" s="535">
        <v>0</v>
      </c>
      <c r="J34" s="536">
        <v>0</v>
      </c>
      <c r="K34" s="537">
        <v>0</v>
      </c>
      <c r="L34" s="534">
        <v>0</v>
      </c>
      <c r="M34" s="535">
        <v>0</v>
      </c>
      <c r="N34" s="470">
        <v>2.834558053605432</v>
      </c>
      <c r="O34" s="472">
        <f t="shared" si="0"/>
        <v>39.575455550643596</v>
      </c>
    </row>
    <row r="35" spans="2:15">
      <c r="B35" s="469">
        <f t="shared" si="1"/>
        <v>1967</v>
      </c>
      <c r="C35" s="532">
        <v>0</v>
      </c>
      <c r="D35" s="533">
        <v>1.1871593721462845</v>
      </c>
      <c r="E35" s="534">
        <v>0</v>
      </c>
      <c r="F35" s="534">
        <v>0.93881108969729166</v>
      </c>
      <c r="G35" s="534">
        <v>0.77451914900026564</v>
      </c>
      <c r="H35" s="534">
        <v>0.11789720661314824</v>
      </c>
      <c r="I35" s="535">
        <v>0</v>
      </c>
      <c r="J35" s="536">
        <v>0</v>
      </c>
      <c r="K35" s="537">
        <v>0</v>
      </c>
      <c r="L35" s="534">
        <v>0</v>
      </c>
      <c r="M35" s="535">
        <v>0</v>
      </c>
      <c r="N35" s="470">
        <v>3.0183868174569901</v>
      </c>
      <c r="O35" s="472">
        <f t="shared" si="0"/>
        <v>42.593842368100589</v>
      </c>
    </row>
    <row r="36" spans="2:15">
      <c r="B36" s="469">
        <f t="shared" si="1"/>
        <v>1968</v>
      </c>
      <c r="C36" s="532">
        <v>0</v>
      </c>
      <c r="D36" s="533">
        <v>1.2457124221191895</v>
      </c>
      <c r="E36" s="534">
        <v>0</v>
      </c>
      <c r="F36" s="534">
        <v>0.98511511082529024</v>
      </c>
      <c r="G36" s="534">
        <v>0.81271996643086442</v>
      </c>
      <c r="H36" s="534">
        <v>0.12371213019666433</v>
      </c>
      <c r="I36" s="535">
        <v>0</v>
      </c>
      <c r="J36" s="536">
        <v>0</v>
      </c>
      <c r="K36" s="537">
        <v>0</v>
      </c>
      <c r="L36" s="534">
        <v>0</v>
      </c>
      <c r="M36" s="535">
        <v>0</v>
      </c>
      <c r="N36" s="470">
        <v>3.1672596295720084</v>
      </c>
      <c r="O36" s="472">
        <f t="shared" si="0"/>
        <v>45.761101997672597</v>
      </c>
    </row>
    <row r="37" spans="2:15">
      <c r="B37" s="469">
        <f t="shared" si="1"/>
        <v>1969</v>
      </c>
      <c r="C37" s="532">
        <v>0</v>
      </c>
      <c r="D37" s="533">
        <v>1.3064797272589743</v>
      </c>
      <c r="E37" s="534">
        <v>0</v>
      </c>
      <c r="F37" s="534">
        <v>1.0331701751197409</v>
      </c>
      <c r="G37" s="534">
        <v>0.85236539447378601</v>
      </c>
      <c r="H37" s="534">
        <v>0.12974695222433952</v>
      </c>
      <c r="I37" s="535">
        <v>0</v>
      </c>
      <c r="J37" s="536">
        <v>0</v>
      </c>
      <c r="K37" s="537">
        <v>0</v>
      </c>
      <c r="L37" s="534">
        <v>0</v>
      </c>
      <c r="M37" s="535">
        <v>0</v>
      </c>
      <c r="N37" s="470">
        <v>3.3217622490768406</v>
      </c>
      <c r="O37" s="472">
        <f t="shared" si="0"/>
        <v>49.082864246749438</v>
      </c>
    </row>
    <row r="38" spans="2:15">
      <c r="B38" s="469">
        <f t="shared" si="1"/>
        <v>1970</v>
      </c>
      <c r="C38" s="532">
        <v>0</v>
      </c>
      <c r="D38" s="533">
        <v>1.3695361404584059</v>
      </c>
      <c r="E38" s="534">
        <v>0</v>
      </c>
      <c r="F38" s="534">
        <v>1.0830354765923946</v>
      </c>
      <c r="G38" s="534">
        <v>0.89350426818872553</v>
      </c>
      <c r="H38" s="534">
        <v>0.13600910636276581</v>
      </c>
      <c r="I38" s="535">
        <v>0</v>
      </c>
      <c r="J38" s="536">
        <v>0</v>
      </c>
      <c r="K38" s="537">
        <v>0</v>
      </c>
      <c r="L38" s="534">
        <v>0</v>
      </c>
      <c r="M38" s="535">
        <v>0</v>
      </c>
      <c r="N38" s="470">
        <v>3.4820849916022918</v>
      </c>
      <c r="O38" s="472">
        <f t="shared" si="0"/>
        <v>52.56494923835173</v>
      </c>
    </row>
    <row r="39" spans="2:15">
      <c r="B39" s="469">
        <f t="shared" si="1"/>
        <v>1971</v>
      </c>
      <c r="C39" s="532">
        <v>0</v>
      </c>
      <c r="D39" s="533">
        <v>1.4349588922883576</v>
      </c>
      <c r="E39" s="534">
        <v>0</v>
      </c>
      <c r="F39" s="534">
        <v>1.1347720895337818</v>
      </c>
      <c r="G39" s="534">
        <v>0.93618697386536998</v>
      </c>
      <c r="H39" s="534">
        <v>0.14250626240656794</v>
      </c>
      <c r="I39" s="535">
        <v>0</v>
      </c>
      <c r="J39" s="536">
        <v>0</v>
      </c>
      <c r="K39" s="537">
        <v>0</v>
      </c>
      <c r="L39" s="534">
        <v>0</v>
      </c>
      <c r="M39" s="535">
        <v>0</v>
      </c>
      <c r="N39" s="470">
        <v>3.6484242180940774</v>
      </c>
      <c r="O39" s="472">
        <f t="shared" si="0"/>
        <v>56.213373456445808</v>
      </c>
    </row>
    <row r="40" spans="2:15">
      <c r="B40" s="469">
        <f t="shared" si="1"/>
        <v>1972</v>
      </c>
      <c r="C40" s="532">
        <v>0</v>
      </c>
      <c r="D40" s="533">
        <v>1.5028276635863038</v>
      </c>
      <c r="E40" s="534">
        <v>0</v>
      </c>
      <c r="F40" s="534">
        <v>1.1884430259165253</v>
      </c>
      <c r="G40" s="534">
        <v>0.98046549638113356</v>
      </c>
      <c r="H40" s="534">
        <v>0.14924633348719155</v>
      </c>
      <c r="I40" s="535">
        <v>0</v>
      </c>
      <c r="J40" s="536">
        <v>0</v>
      </c>
      <c r="K40" s="537">
        <v>0</v>
      </c>
      <c r="L40" s="534">
        <v>0</v>
      </c>
      <c r="M40" s="535">
        <v>0</v>
      </c>
      <c r="N40" s="470">
        <v>3.8209825193711544</v>
      </c>
      <c r="O40" s="472">
        <f t="shared" si="0"/>
        <v>60.034355975816965</v>
      </c>
    </row>
    <row r="41" spans="2:15">
      <c r="B41" s="469">
        <f t="shared" si="1"/>
        <v>1973</v>
      </c>
      <c r="C41" s="532">
        <v>0</v>
      </c>
      <c r="D41" s="533">
        <v>1.5732246602007351</v>
      </c>
      <c r="E41" s="534">
        <v>0</v>
      </c>
      <c r="F41" s="534">
        <v>1.24411329450357</v>
      </c>
      <c r="G41" s="534">
        <v>1.0263934679654452</v>
      </c>
      <c r="H41" s="534">
        <v>0.15623748349579711</v>
      </c>
      <c r="I41" s="535">
        <v>0</v>
      </c>
      <c r="J41" s="536">
        <v>0</v>
      </c>
      <c r="K41" s="537">
        <v>0</v>
      </c>
      <c r="L41" s="534">
        <v>0</v>
      </c>
      <c r="M41" s="535">
        <v>0</v>
      </c>
      <c r="N41" s="470">
        <v>3.9999689061655475</v>
      </c>
      <c r="O41" s="472">
        <f t="shared" si="0"/>
        <v>64.034324881982513</v>
      </c>
    </row>
    <row r="42" spans="2:15">
      <c r="B42" s="469">
        <f t="shared" si="1"/>
        <v>1974</v>
      </c>
      <c r="C42" s="532">
        <v>0</v>
      </c>
      <c r="D42" s="533">
        <v>1.646234689954255</v>
      </c>
      <c r="E42" s="534">
        <v>0</v>
      </c>
      <c r="F42" s="534">
        <v>1.3018499617109514</v>
      </c>
      <c r="G42" s="534">
        <v>1.0740262184115348</v>
      </c>
      <c r="H42" s="534">
        <v>0.16348813472649151</v>
      </c>
      <c r="I42" s="535">
        <v>0</v>
      </c>
      <c r="J42" s="536">
        <v>0</v>
      </c>
      <c r="K42" s="537">
        <v>0</v>
      </c>
      <c r="L42" s="534">
        <v>0</v>
      </c>
      <c r="M42" s="535">
        <v>0</v>
      </c>
      <c r="N42" s="470">
        <v>4.1855990048032323</v>
      </c>
      <c r="O42" s="472">
        <f t="shared" si="0"/>
        <v>68.21992388678575</v>
      </c>
    </row>
    <row r="43" spans="2:15">
      <c r="B43" s="469">
        <f t="shared" si="1"/>
        <v>1975</v>
      </c>
      <c r="C43" s="532">
        <v>0</v>
      </c>
      <c r="D43" s="533">
        <v>1.7219452418899088</v>
      </c>
      <c r="E43" s="534">
        <v>0</v>
      </c>
      <c r="F43" s="534">
        <v>1.361722214276158</v>
      </c>
      <c r="G43" s="534">
        <v>1.1234208267778303</v>
      </c>
      <c r="H43" s="534">
        <v>0.17100697574630819</v>
      </c>
      <c r="I43" s="535">
        <v>0</v>
      </c>
      <c r="J43" s="536">
        <v>0</v>
      </c>
      <c r="K43" s="537">
        <v>0</v>
      </c>
      <c r="L43" s="534">
        <v>0</v>
      </c>
      <c r="M43" s="535">
        <v>0</v>
      </c>
      <c r="N43" s="470">
        <v>4.3780952586902053</v>
      </c>
      <c r="O43" s="472">
        <f t="shared" si="0"/>
        <v>72.598019145475959</v>
      </c>
    </row>
    <row r="44" spans="2:15">
      <c r="B44" s="469">
        <f t="shared" si="1"/>
        <v>1976</v>
      </c>
      <c r="C44" s="532">
        <v>0</v>
      </c>
      <c r="D44" s="533">
        <v>1.8004465678671384</v>
      </c>
      <c r="E44" s="534">
        <v>0</v>
      </c>
      <c r="F44" s="534">
        <v>1.4238014237845877</v>
      </c>
      <c r="G44" s="534">
        <v>1.1746361746222849</v>
      </c>
      <c r="H44" s="534">
        <v>0.17880296949852958</v>
      </c>
      <c r="I44" s="535">
        <v>0</v>
      </c>
      <c r="J44" s="536">
        <v>0</v>
      </c>
      <c r="K44" s="537">
        <v>0</v>
      </c>
      <c r="L44" s="534">
        <v>0</v>
      </c>
      <c r="M44" s="535">
        <v>0</v>
      </c>
      <c r="N44" s="470">
        <v>4.5776871357725408</v>
      </c>
      <c r="O44" s="472">
        <f t="shared" si="0"/>
        <v>77.175706281248495</v>
      </c>
    </row>
    <row r="45" spans="2:15">
      <c r="B45" s="469">
        <f t="shared" si="1"/>
        <v>1977</v>
      </c>
      <c r="C45" s="532">
        <v>0</v>
      </c>
      <c r="D45" s="533">
        <v>1.8818317665756683</v>
      </c>
      <c r="E45" s="534">
        <v>0</v>
      </c>
      <c r="F45" s="534">
        <v>1.488161213108115</v>
      </c>
      <c r="G45" s="534">
        <v>1.2277330008141947</v>
      </c>
      <c r="H45" s="534">
        <v>0.18688536164613534</v>
      </c>
      <c r="I45" s="535">
        <v>0</v>
      </c>
      <c r="J45" s="536">
        <v>0</v>
      </c>
      <c r="K45" s="537">
        <v>0</v>
      </c>
      <c r="L45" s="534">
        <v>0</v>
      </c>
      <c r="M45" s="535">
        <v>0</v>
      </c>
      <c r="N45" s="470">
        <v>4.7846113421441139</v>
      </c>
      <c r="O45" s="472">
        <f t="shared" si="0"/>
        <v>81.960317623392612</v>
      </c>
    </row>
    <row r="46" spans="2:15">
      <c r="B46" s="469">
        <f t="shared" si="1"/>
        <v>1978</v>
      </c>
      <c r="C46" s="532">
        <v>0</v>
      </c>
      <c r="D46" s="533">
        <v>1.9661968700375774</v>
      </c>
      <c r="E46" s="534">
        <v>0</v>
      </c>
      <c r="F46" s="534">
        <v>1.5548775248113256</v>
      </c>
      <c r="G46" s="534">
        <v>1.2827739579693438</v>
      </c>
      <c r="H46" s="534">
        <v>0.19526368916235254</v>
      </c>
      <c r="I46" s="535">
        <v>0</v>
      </c>
      <c r="J46" s="536">
        <v>0</v>
      </c>
      <c r="K46" s="537">
        <v>0</v>
      </c>
      <c r="L46" s="534">
        <v>0</v>
      </c>
      <c r="M46" s="535">
        <v>0</v>
      </c>
      <c r="N46" s="470">
        <v>4.9991120419805997</v>
      </c>
      <c r="O46" s="472">
        <f t="shared" si="0"/>
        <v>86.959429665373207</v>
      </c>
    </row>
    <row r="47" spans="2:15">
      <c r="B47" s="469">
        <f t="shared" si="1"/>
        <v>1979</v>
      </c>
      <c r="C47" s="532">
        <v>0</v>
      </c>
      <c r="D47" s="533">
        <v>2.0536409326698277</v>
      </c>
      <c r="E47" s="534">
        <v>0</v>
      </c>
      <c r="F47" s="534">
        <v>1.6240286915825766</v>
      </c>
      <c r="G47" s="534">
        <v>1.3398236705556255</v>
      </c>
      <c r="H47" s="534">
        <v>0.20394778917548637</v>
      </c>
      <c r="I47" s="535">
        <v>0</v>
      </c>
      <c r="J47" s="536">
        <v>0</v>
      </c>
      <c r="K47" s="537">
        <v>0</v>
      </c>
      <c r="L47" s="534">
        <v>0</v>
      </c>
      <c r="M47" s="535">
        <v>0</v>
      </c>
      <c r="N47" s="470">
        <v>5.2214410839835157</v>
      </c>
      <c r="O47" s="472">
        <f t="shared" si="0"/>
        <v>92.180870749356728</v>
      </c>
    </row>
    <row r="48" spans="2:15">
      <c r="B48" s="469">
        <f t="shared" si="1"/>
        <v>1980</v>
      </c>
      <c r="C48" s="532">
        <v>0</v>
      </c>
      <c r="D48" s="533">
        <v>2.1456920709675003</v>
      </c>
      <c r="E48" s="534">
        <v>0</v>
      </c>
      <c r="F48" s="534">
        <v>1.6968231549720005</v>
      </c>
      <c r="G48" s="534">
        <v>1.3998791028519002</v>
      </c>
      <c r="H48" s="534">
        <v>0.21308941946160001</v>
      </c>
      <c r="I48" s="535">
        <v>0</v>
      </c>
      <c r="J48" s="536">
        <v>0</v>
      </c>
      <c r="K48" s="537">
        <v>0</v>
      </c>
      <c r="L48" s="534">
        <v>0</v>
      </c>
      <c r="M48" s="535">
        <v>0</v>
      </c>
      <c r="N48" s="470">
        <v>5.4554837482530001</v>
      </c>
      <c r="O48" s="472">
        <f t="shared" si="0"/>
        <v>97.63635449760973</v>
      </c>
    </row>
    <row r="49" spans="2:15">
      <c r="B49" s="469">
        <f t="shared" si="1"/>
        <v>1981</v>
      </c>
      <c r="C49" s="532">
        <v>0</v>
      </c>
      <c r="D49" s="533">
        <v>0</v>
      </c>
      <c r="E49" s="534">
        <v>0</v>
      </c>
      <c r="F49" s="534">
        <v>0</v>
      </c>
      <c r="G49" s="534">
        <v>0</v>
      </c>
      <c r="H49" s="534">
        <v>0</v>
      </c>
      <c r="I49" s="535">
        <v>0</v>
      </c>
      <c r="J49" s="536">
        <v>0</v>
      </c>
      <c r="K49" s="537">
        <v>0</v>
      </c>
      <c r="L49" s="534">
        <v>0</v>
      </c>
      <c r="M49" s="535">
        <v>0</v>
      </c>
      <c r="N49" s="470">
        <v>0</v>
      </c>
      <c r="O49" s="472">
        <f t="shared" si="0"/>
        <v>97.63635449760973</v>
      </c>
    </row>
    <row r="50" spans="2:15">
      <c r="B50" s="469">
        <f t="shared" si="1"/>
        <v>1982</v>
      </c>
      <c r="C50" s="532">
        <v>0</v>
      </c>
      <c r="D50" s="533">
        <v>0</v>
      </c>
      <c r="E50" s="534">
        <v>0</v>
      </c>
      <c r="F50" s="534">
        <v>0</v>
      </c>
      <c r="G50" s="534">
        <v>0</v>
      </c>
      <c r="H50" s="534">
        <v>0</v>
      </c>
      <c r="I50" s="535">
        <v>0</v>
      </c>
      <c r="J50" s="536">
        <v>0</v>
      </c>
      <c r="K50" s="537">
        <v>0</v>
      </c>
      <c r="L50" s="534">
        <v>0</v>
      </c>
      <c r="M50" s="535">
        <v>0</v>
      </c>
      <c r="N50" s="470">
        <v>0</v>
      </c>
      <c r="O50" s="472">
        <f t="shared" si="0"/>
        <v>97.63635449760973</v>
      </c>
    </row>
    <row r="51" spans="2:15">
      <c r="B51" s="469">
        <f t="shared" si="1"/>
        <v>1983</v>
      </c>
      <c r="C51" s="532">
        <v>0</v>
      </c>
      <c r="D51" s="533">
        <v>0</v>
      </c>
      <c r="E51" s="534">
        <v>0</v>
      </c>
      <c r="F51" s="534">
        <v>0</v>
      </c>
      <c r="G51" s="534">
        <v>0</v>
      </c>
      <c r="H51" s="534">
        <v>0</v>
      </c>
      <c r="I51" s="535">
        <v>0</v>
      </c>
      <c r="J51" s="536">
        <v>0</v>
      </c>
      <c r="K51" s="537">
        <v>0</v>
      </c>
      <c r="L51" s="534">
        <v>0</v>
      </c>
      <c r="M51" s="535">
        <v>0</v>
      </c>
      <c r="N51" s="470">
        <v>0</v>
      </c>
      <c r="O51" s="472">
        <f t="shared" si="0"/>
        <v>97.63635449760973</v>
      </c>
    </row>
    <row r="52" spans="2:15">
      <c r="B52" s="469">
        <f t="shared" si="1"/>
        <v>1984</v>
      </c>
      <c r="C52" s="532">
        <v>0</v>
      </c>
      <c r="D52" s="533">
        <v>0</v>
      </c>
      <c r="E52" s="534">
        <v>0</v>
      </c>
      <c r="F52" s="534">
        <v>0</v>
      </c>
      <c r="G52" s="534">
        <v>0</v>
      </c>
      <c r="H52" s="534">
        <v>0</v>
      </c>
      <c r="I52" s="535">
        <v>0</v>
      </c>
      <c r="J52" s="536">
        <v>0</v>
      </c>
      <c r="K52" s="537">
        <v>0</v>
      </c>
      <c r="L52" s="534">
        <v>0</v>
      </c>
      <c r="M52" s="535">
        <v>0</v>
      </c>
      <c r="N52" s="470">
        <v>0</v>
      </c>
      <c r="O52" s="472">
        <f t="shared" si="0"/>
        <v>97.63635449760973</v>
      </c>
    </row>
    <row r="53" spans="2:15">
      <c r="B53" s="469">
        <f t="shared" si="1"/>
        <v>1985</v>
      </c>
      <c r="C53" s="532">
        <v>0</v>
      </c>
      <c r="D53" s="533">
        <v>0</v>
      </c>
      <c r="E53" s="534">
        <v>0</v>
      </c>
      <c r="F53" s="534">
        <v>0</v>
      </c>
      <c r="G53" s="534">
        <v>0</v>
      </c>
      <c r="H53" s="534">
        <v>0</v>
      </c>
      <c r="I53" s="535">
        <v>0</v>
      </c>
      <c r="J53" s="536">
        <v>0</v>
      </c>
      <c r="K53" s="537">
        <v>0</v>
      </c>
      <c r="L53" s="534">
        <v>0</v>
      </c>
      <c r="M53" s="535">
        <v>0</v>
      </c>
      <c r="N53" s="470">
        <v>0</v>
      </c>
      <c r="O53" s="472">
        <f t="shared" si="0"/>
        <v>97.63635449760973</v>
      </c>
    </row>
    <row r="54" spans="2:15">
      <c r="B54" s="469">
        <f t="shared" si="1"/>
        <v>1986</v>
      </c>
      <c r="C54" s="532">
        <v>0</v>
      </c>
      <c r="D54" s="533">
        <v>0</v>
      </c>
      <c r="E54" s="534">
        <v>0</v>
      </c>
      <c r="F54" s="534">
        <v>0</v>
      </c>
      <c r="G54" s="534">
        <v>0</v>
      </c>
      <c r="H54" s="534">
        <v>0</v>
      </c>
      <c r="I54" s="535">
        <v>0</v>
      </c>
      <c r="J54" s="536">
        <v>0</v>
      </c>
      <c r="K54" s="537">
        <v>0</v>
      </c>
      <c r="L54" s="534">
        <v>0</v>
      </c>
      <c r="M54" s="535">
        <v>0</v>
      </c>
      <c r="N54" s="470">
        <v>0</v>
      </c>
      <c r="O54" s="472">
        <f t="shared" si="0"/>
        <v>97.63635449760973</v>
      </c>
    </row>
    <row r="55" spans="2:15">
      <c r="B55" s="469">
        <f t="shared" si="1"/>
        <v>1987</v>
      </c>
      <c r="C55" s="532">
        <v>0</v>
      </c>
      <c r="D55" s="533">
        <v>0</v>
      </c>
      <c r="E55" s="534">
        <v>0</v>
      </c>
      <c r="F55" s="534">
        <v>0</v>
      </c>
      <c r="G55" s="534">
        <v>0</v>
      </c>
      <c r="H55" s="534">
        <v>0</v>
      </c>
      <c r="I55" s="535">
        <v>0</v>
      </c>
      <c r="J55" s="536">
        <v>0</v>
      </c>
      <c r="K55" s="537">
        <v>0</v>
      </c>
      <c r="L55" s="534">
        <v>0</v>
      </c>
      <c r="M55" s="535">
        <v>0</v>
      </c>
      <c r="N55" s="470">
        <v>0</v>
      </c>
      <c r="O55" s="472">
        <f t="shared" si="0"/>
        <v>97.63635449760973</v>
      </c>
    </row>
    <row r="56" spans="2:15">
      <c r="B56" s="469">
        <f t="shared" si="1"/>
        <v>1988</v>
      </c>
      <c r="C56" s="532">
        <v>0</v>
      </c>
      <c r="D56" s="533">
        <v>0</v>
      </c>
      <c r="E56" s="534">
        <v>0</v>
      </c>
      <c r="F56" s="534">
        <v>0</v>
      </c>
      <c r="G56" s="534">
        <v>0</v>
      </c>
      <c r="H56" s="534">
        <v>0</v>
      </c>
      <c r="I56" s="535">
        <v>0</v>
      </c>
      <c r="J56" s="536">
        <v>0</v>
      </c>
      <c r="K56" s="537">
        <v>0</v>
      </c>
      <c r="L56" s="534">
        <v>0</v>
      </c>
      <c r="M56" s="535">
        <v>0</v>
      </c>
      <c r="N56" s="470">
        <v>0</v>
      </c>
      <c r="O56" s="472">
        <f t="shared" si="0"/>
        <v>97.63635449760973</v>
      </c>
    </row>
    <row r="57" spans="2:15">
      <c r="B57" s="469">
        <f t="shared" si="1"/>
        <v>1989</v>
      </c>
      <c r="C57" s="532">
        <v>0</v>
      </c>
      <c r="D57" s="533">
        <v>0</v>
      </c>
      <c r="E57" s="534">
        <v>0</v>
      </c>
      <c r="F57" s="534">
        <v>0</v>
      </c>
      <c r="G57" s="534">
        <v>0</v>
      </c>
      <c r="H57" s="534">
        <v>0</v>
      </c>
      <c r="I57" s="535">
        <v>0</v>
      </c>
      <c r="J57" s="536">
        <v>0</v>
      </c>
      <c r="K57" s="537">
        <v>0</v>
      </c>
      <c r="L57" s="534">
        <v>0</v>
      </c>
      <c r="M57" s="535">
        <v>0</v>
      </c>
      <c r="N57" s="470">
        <v>0</v>
      </c>
      <c r="O57" s="472">
        <f t="shared" si="0"/>
        <v>97.63635449760973</v>
      </c>
    </row>
    <row r="58" spans="2:15">
      <c r="B58" s="469">
        <f t="shared" si="1"/>
        <v>1990</v>
      </c>
      <c r="C58" s="532">
        <v>0</v>
      </c>
      <c r="D58" s="533">
        <v>0</v>
      </c>
      <c r="E58" s="534">
        <v>0</v>
      </c>
      <c r="F58" s="534">
        <v>0</v>
      </c>
      <c r="G58" s="534">
        <v>0</v>
      </c>
      <c r="H58" s="534">
        <v>0</v>
      </c>
      <c r="I58" s="535">
        <v>0</v>
      </c>
      <c r="J58" s="536">
        <v>0</v>
      </c>
      <c r="K58" s="537">
        <v>0</v>
      </c>
      <c r="L58" s="534">
        <v>0</v>
      </c>
      <c r="M58" s="535">
        <v>0</v>
      </c>
      <c r="N58" s="470">
        <v>0</v>
      </c>
      <c r="O58" s="472">
        <f t="shared" si="0"/>
        <v>97.63635449760973</v>
      </c>
    </row>
    <row r="59" spans="2:15">
      <c r="B59" s="469">
        <f t="shared" si="1"/>
        <v>1991</v>
      </c>
      <c r="C59" s="532">
        <v>0</v>
      </c>
      <c r="D59" s="533">
        <v>0</v>
      </c>
      <c r="E59" s="534">
        <v>0</v>
      </c>
      <c r="F59" s="534">
        <v>0</v>
      </c>
      <c r="G59" s="534">
        <v>0</v>
      </c>
      <c r="H59" s="534">
        <v>0</v>
      </c>
      <c r="I59" s="535">
        <v>0</v>
      </c>
      <c r="J59" s="536">
        <v>0</v>
      </c>
      <c r="K59" s="537">
        <v>0</v>
      </c>
      <c r="L59" s="534">
        <v>0</v>
      </c>
      <c r="M59" s="535">
        <v>0</v>
      </c>
      <c r="N59" s="470">
        <v>0</v>
      </c>
      <c r="O59" s="472">
        <f t="shared" si="0"/>
        <v>97.63635449760973</v>
      </c>
    </row>
    <row r="60" spans="2:15">
      <c r="B60" s="469">
        <f t="shared" si="1"/>
        <v>1992</v>
      </c>
      <c r="C60" s="532">
        <v>0</v>
      </c>
      <c r="D60" s="533">
        <v>0</v>
      </c>
      <c r="E60" s="534">
        <v>0</v>
      </c>
      <c r="F60" s="534">
        <v>0</v>
      </c>
      <c r="G60" s="534">
        <v>0</v>
      </c>
      <c r="H60" s="534">
        <v>0</v>
      </c>
      <c r="I60" s="535">
        <v>0</v>
      </c>
      <c r="J60" s="536">
        <v>0</v>
      </c>
      <c r="K60" s="537">
        <v>0</v>
      </c>
      <c r="L60" s="534">
        <v>0</v>
      </c>
      <c r="M60" s="535">
        <v>0</v>
      </c>
      <c r="N60" s="470">
        <v>0</v>
      </c>
      <c r="O60" s="472">
        <f t="shared" si="0"/>
        <v>97.63635449760973</v>
      </c>
    </row>
    <row r="61" spans="2:15">
      <c r="B61" s="469">
        <f t="shared" si="1"/>
        <v>1993</v>
      </c>
      <c r="C61" s="532">
        <v>0</v>
      </c>
      <c r="D61" s="533">
        <v>0</v>
      </c>
      <c r="E61" s="534">
        <v>0</v>
      </c>
      <c r="F61" s="534">
        <v>0</v>
      </c>
      <c r="G61" s="534">
        <v>0</v>
      </c>
      <c r="H61" s="534">
        <v>0</v>
      </c>
      <c r="I61" s="535">
        <v>0</v>
      </c>
      <c r="J61" s="536">
        <v>0</v>
      </c>
      <c r="K61" s="537">
        <v>0</v>
      </c>
      <c r="L61" s="534">
        <v>0</v>
      </c>
      <c r="M61" s="535">
        <v>0</v>
      </c>
      <c r="N61" s="470">
        <v>0</v>
      </c>
      <c r="O61" s="472">
        <f t="shared" si="0"/>
        <v>97.63635449760973</v>
      </c>
    </row>
    <row r="62" spans="2:15">
      <c r="B62" s="469">
        <f t="shared" si="1"/>
        <v>1994</v>
      </c>
      <c r="C62" s="532">
        <v>0</v>
      </c>
      <c r="D62" s="533">
        <v>0</v>
      </c>
      <c r="E62" s="534">
        <v>0</v>
      </c>
      <c r="F62" s="534">
        <v>0</v>
      </c>
      <c r="G62" s="534">
        <v>0</v>
      </c>
      <c r="H62" s="534">
        <v>0</v>
      </c>
      <c r="I62" s="535">
        <v>0</v>
      </c>
      <c r="J62" s="536">
        <v>0</v>
      </c>
      <c r="K62" s="537">
        <v>0</v>
      </c>
      <c r="L62" s="534">
        <v>0</v>
      </c>
      <c r="M62" s="535">
        <v>0</v>
      </c>
      <c r="N62" s="470">
        <v>0</v>
      </c>
      <c r="O62" s="472">
        <f t="shared" si="0"/>
        <v>97.63635449760973</v>
      </c>
    </row>
    <row r="63" spans="2:15">
      <c r="B63" s="469">
        <f t="shared" si="1"/>
        <v>1995</v>
      </c>
      <c r="C63" s="532">
        <v>0</v>
      </c>
      <c r="D63" s="533">
        <v>0</v>
      </c>
      <c r="E63" s="534">
        <v>0</v>
      </c>
      <c r="F63" s="534">
        <v>0</v>
      </c>
      <c r="G63" s="534">
        <v>0</v>
      </c>
      <c r="H63" s="534">
        <v>0</v>
      </c>
      <c r="I63" s="535">
        <v>0</v>
      </c>
      <c r="J63" s="536">
        <v>0</v>
      </c>
      <c r="K63" s="537">
        <v>0</v>
      </c>
      <c r="L63" s="534">
        <v>0</v>
      </c>
      <c r="M63" s="535">
        <v>0</v>
      </c>
      <c r="N63" s="470">
        <v>0</v>
      </c>
      <c r="O63" s="472">
        <f t="shared" si="0"/>
        <v>97.63635449760973</v>
      </c>
    </row>
    <row r="64" spans="2:15">
      <c r="B64" s="469">
        <f t="shared" si="1"/>
        <v>1996</v>
      </c>
      <c r="C64" s="532">
        <v>0</v>
      </c>
      <c r="D64" s="533">
        <v>0</v>
      </c>
      <c r="E64" s="534">
        <v>0</v>
      </c>
      <c r="F64" s="534">
        <v>0</v>
      </c>
      <c r="G64" s="534">
        <v>0</v>
      </c>
      <c r="H64" s="534">
        <v>0</v>
      </c>
      <c r="I64" s="535">
        <v>0</v>
      </c>
      <c r="J64" s="536">
        <v>0</v>
      </c>
      <c r="K64" s="537">
        <v>0</v>
      </c>
      <c r="L64" s="534">
        <v>0</v>
      </c>
      <c r="M64" s="535">
        <v>0</v>
      </c>
      <c r="N64" s="470">
        <v>0</v>
      </c>
      <c r="O64" s="472">
        <f t="shared" si="0"/>
        <v>97.63635449760973</v>
      </c>
    </row>
    <row r="65" spans="2:15">
      <c r="B65" s="469">
        <f t="shared" si="1"/>
        <v>1997</v>
      </c>
      <c r="C65" s="532">
        <v>0</v>
      </c>
      <c r="D65" s="533">
        <v>0</v>
      </c>
      <c r="E65" s="534">
        <v>0</v>
      </c>
      <c r="F65" s="534">
        <v>0</v>
      </c>
      <c r="G65" s="534">
        <v>0</v>
      </c>
      <c r="H65" s="534">
        <v>0</v>
      </c>
      <c r="I65" s="535">
        <v>0</v>
      </c>
      <c r="J65" s="536">
        <v>0</v>
      </c>
      <c r="K65" s="537">
        <v>0</v>
      </c>
      <c r="L65" s="534">
        <v>0</v>
      </c>
      <c r="M65" s="535">
        <v>0</v>
      </c>
      <c r="N65" s="470">
        <v>0</v>
      </c>
      <c r="O65" s="472">
        <f t="shared" si="0"/>
        <v>97.63635449760973</v>
      </c>
    </row>
    <row r="66" spans="2:15">
      <c r="B66" s="469">
        <f t="shared" si="1"/>
        <v>1998</v>
      </c>
      <c r="C66" s="532">
        <v>0</v>
      </c>
      <c r="D66" s="533">
        <v>0</v>
      </c>
      <c r="E66" s="534">
        <v>0</v>
      </c>
      <c r="F66" s="534">
        <v>0</v>
      </c>
      <c r="G66" s="534">
        <v>0</v>
      </c>
      <c r="H66" s="534">
        <v>0</v>
      </c>
      <c r="I66" s="535">
        <v>0</v>
      </c>
      <c r="J66" s="536">
        <v>0</v>
      </c>
      <c r="K66" s="537">
        <v>0</v>
      </c>
      <c r="L66" s="534">
        <v>0</v>
      </c>
      <c r="M66" s="535">
        <v>0</v>
      </c>
      <c r="N66" s="470">
        <v>0</v>
      </c>
      <c r="O66" s="472">
        <f t="shared" si="0"/>
        <v>97.63635449760973</v>
      </c>
    </row>
    <row r="67" spans="2:15">
      <c r="B67" s="469">
        <f t="shared" si="1"/>
        <v>1999</v>
      </c>
      <c r="C67" s="532">
        <v>0</v>
      </c>
      <c r="D67" s="533">
        <v>0</v>
      </c>
      <c r="E67" s="534">
        <v>0</v>
      </c>
      <c r="F67" s="534">
        <v>0</v>
      </c>
      <c r="G67" s="534">
        <v>0</v>
      </c>
      <c r="H67" s="534">
        <v>0</v>
      </c>
      <c r="I67" s="535">
        <v>0</v>
      </c>
      <c r="J67" s="536">
        <v>0</v>
      </c>
      <c r="K67" s="537">
        <v>0</v>
      </c>
      <c r="L67" s="534">
        <v>0</v>
      </c>
      <c r="M67" s="535">
        <v>0</v>
      </c>
      <c r="N67" s="470">
        <v>0</v>
      </c>
      <c r="O67" s="472">
        <f t="shared" si="0"/>
        <v>97.63635449760973</v>
      </c>
    </row>
    <row r="68" spans="2:15">
      <c r="B68" s="469">
        <f t="shared" si="1"/>
        <v>2000</v>
      </c>
      <c r="C68" s="532">
        <v>0</v>
      </c>
      <c r="D68" s="533">
        <v>0</v>
      </c>
      <c r="E68" s="534">
        <v>0</v>
      </c>
      <c r="F68" s="534">
        <v>0</v>
      </c>
      <c r="G68" s="534">
        <v>0</v>
      </c>
      <c r="H68" s="534">
        <v>0</v>
      </c>
      <c r="I68" s="535">
        <v>0</v>
      </c>
      <c r="J68" s="536">
        <v>0</v>
      </c>
      <c r="K68" s="537">
        <v>0</v>
      </c>
      <c r="L68" s="534">
        <v>0</v>
      </c>
      <c r="M68" s="535">
        <v>0</v>
      </c>
      <c r="N68" s="470">
        <v>0</v>
      </c>
      <c r="O68" s="472">
        <f t="shared" si="0"/>
        <v>97.63635449760973</v>
      </c>
    </row>
    <row r="69" spans="2:15">
      <c r="B69" s="469">
        <f t="shared" si="1"/>
        <v>2001</v>
      </c>
      <c r="C69" s="532">
        <v>0</v>
      </c>
      <c r="D69" s="533">
        <v>0</v>
      </c>
      <c r="E69" s="534">
        <v>0</v>
      </c>
      <c r="F69" s="534">
        <v>0</v>
      </c>
      <c r="G69" s="534">
        <v>0</v>
      </c>
      <c r="H69" s="534">
        <v>0</v>
      </c>
      <c r="I69" s="535">
        <v>0</v>
      </c>
      <c r="J69" s="536">
        <v>0</v>
      </c>
      <c r="K69" s="537">
        <v>0</v>
      </c>
      <c r="L69" s="534">
        <v>0</v>
      </c>
      <c r="M69" s="535">
        <v>0</v>
      </c>
      <c r="N69" s="470">
        <v>0</v>
      </c>
      <c r="O69" s="472">
        <f t="shared" si="0"/>
        <v>97.63635449760973</v>
      </c>
    </row>
    <row r="70" spans="2:15">
      <c r="B70" s="469">
        <f t="shared" si="1"/>
        <v>2002</v>
      </c>
      <c r="C70" s="532">
        <v>0</v>
      </c>
      <c r="D70" s="533">
        <v>0</v>
      </c>
      <c r="E70" s="534">
        <v>0</v>
      </c>
      <c r="F70" s="534">
        <v>0</v>
      </c>
      <c r="G70" s="534">
        <v>0</v>
      </c>
      <c r="H70" s="534">
        <v>0</v>
      </c>
      <c r="I70" s="535">
        <v>0</v>
      </c>
      <c r="J70" s="536">
        <v>0</v>
      </c>
      <c r="K70" s="537">
        <v>0</v>
      </c>
      <c r="L70" s="534">
        <v>0</v>
      </c>
      <c r="M70" s="535">
        <v>0</v>
      </c>
      <c r="N70" s="470">
        <v>0</v>
      </c>
      <c r="O70" s="472">
        <f t="shared" si="0"/>
        <v>97.63635449760973</v>
      </c>
    </row>
    <row r="71" spans="2:15">
      <c r="B71" s="469">
        <f t="shared" si="1"/>
        <v>2003</v>
      </c>
      <c r="C71" s="532">
        <v>0</v>
      </c>
      <c r="D71" s="533">
        <v>0</v>
      </c>
      <c r="E71" s="534">
        <v>0</v>
      </c>
      <c r="F71" s="534">
        <v>0</v>
      </c>
      <c r="G71" s="534">
        <v>0</v>
      </c>
      <c r="H71" s="534">
        <v>0</v>
      </c>
      <c r="I71" s="535">
        <v>0</v>
      </c>
      <c r="J71" s="536">
        <v>0</v>
      </c>
      <c r="K71" s="537">
        <v>0</v>
      </c>
      <c r="L71" s="534">
        <v>0</v>
      </c>
      <c r="M71" s="535">
        <v>0</v>
      </c>
      <c r="N71" s="470">
        <v>0</v>
      </c>
      <c r="O71" s="472">
        <f t="shared" si="0"/>
        <v>97.63635449760973</v>
      </c>
    </row>
    <row r="72" spans="2:15">
      <c r="B72" s="469">
        <f t="shared" si="1"/>
        <v>2004</v>
      </c>
      <c r="C72" s="532">
        <v>0</v>
      </c>
      <c r="D72" s="533">
        <v>0</v>
      </c>
      <c r="E72" s="534">
        <v>0</v>
      </c>
      <c r="F72" s="534">
        <v>0</v>
      </c>
      <c r="G72" s="534">
        <v>0</v>
      </c>
      <c r="H72" s="534">
        <v>0</v>
      </c>
      <c r="I72" s="535">
        <v>0</v>
      </c>
      <c r="J72" s="536">
        <v>0</v>
      </c>
      <c r="K72" s="537">
        <v>0</v>
      </c>
      <c r="L72" s="534">
        <v>0</v>
      </c>
      <c r="M72" s="535">
        <v>0</v>
      </c>
      <c r="N72" s="470">
        <v>0</v>
      </c>
      <c r="O72" s="472">
        <f t="shared" si="0"/>
        <v>97.63635449760973</v>
      </c>
    </row>
    <row r="73" spans="2:15">
      <c r="B73" s="469">
        <f t="shared" si="1"/>
        <v>2005</v>
      </c>
      <c r="C73" s="532">
        <v>0</v>
      </c>
      <c r="D73" s="533">
        <v>0</v>
      </c>
      <c r="E73" s="534">
        <v>0</v>
      </c>
      <c r="F73" s="534">
        <v>0</v>
      </c>
      <c r="G73" s="534">
        <v>0</v>
      </c>
      <c r="H73" s="534">
        <v>0</v>
      </c>
      <c r="I73" s="535">
        <v>0</v>
      </c>
      <c r="J73" s="536">
        <v>0</v>
      </c>
      <c r="K73" s="537">
        <v>0</v>
      </c>
      <c r="L73" s="534">
        <v>0</v>
      </c>
      <c r="M73" s="535">
        <v>0</v>
      </c>
      <c r="N73" s="470">
        <v>0</v>
      </c>
      <c r="O73" s="472">
        <f t="shared" si="0"/>
        <v>97.63635449760973</v>
      </c>
    </row>
    <row r="74" spans="2:15">
      <c r="B74" s="469">
        <f t="shared" si="1"/>
        <v>2006</v>
      </c>
      <c r="C74" s="532">
        <v>0</v>
      </c>
      <c r="D74" s="533">
        <v>0</v>
      </c>
      <c r="E74" s="534">
        <v>0</v>
      </c>
      <c r="F74" s="534">
        <v>0</v>
      </c>
      <c r="G74" s="534">
        <v>0</v>
      </c>
      <c r="H74" s="534">
        <v>0</v>
      </c>
      <c r="I74" s="535">
        <v>0</v>
      </c>
      <c r="J74" s="536">
        <v>0</v>
      </c>
      <c r="K74" s="537">
        <v>0</v>
      </c>
      <c r="L74" s="534">
        <v>0</v>
      </c>
      <c r="M74" s="535">
        <v>0</v>
      </c>
      <c r="N74" s="470">
        <v>0</v>
      </c>
      <c r="O74" s="472">
        <f t="shared" si="0"/>
        <v>97.63635449760973</v>
      </c>
    </row>
    <row r="75" spans="2:15">
      <c r="B75" s="469">
        <f t="shared" si="1"/>
        <v>2007</v>
      </c>
      <c r="C75" s="532">
        <v>0</v>
      </c>
      <c r="D75" s="533">
        <v>0</v>
      </c>
      <c r="E75" s="534">
        <v>0</v>
      </c>
      <c r="F75" s="534">
        <v>0</v>
      </c>
      <c r="G75" s="534">
        <v>0</v>
      </c>
      <c r="H75" s="534">
        <v>0</v>
      </c>
      <c r="I75" s="535">
        <v>0</v>
      </c>
      <c r="J75" s="536">
        <v>0</v>
      </c>
      <c r="K75" s="537">
        <v>0</v>
      </c>
      <c r="L75" s="534">
        <v>0</v>
      </c>
      <c r="M75" s="535">
        <v>0</v>
      </c>
      <c r="N75" s="470">
        <v>0</v>
      </c>
      <c r="O75" s="472">
        <f t="shared" si="0"/>
        <v>97.63635449760973</v>
      </c>
    </row>
    <row r="76" spans="2:15">
      <c r="B76" s="469">
        <f t="shared" si="1"/>
        <v>2008</v>
      </c>
      <c r="C76" s="532">
        <v>0</v>
      </c>
      <c r="D76" s="533">
        <v>0</v>
      </c>
      <c r="E76" s="534">
        <v>0</v>
      </c>
      <c r="F76" s="534">
        <v>0</v>
      </c>
      <c r="G76" s="534">
        <v>0</v>
      </c>
      <c r="H76" s="534">
        <v>0</v>
      </c>
      <c r="I76" s="535">
        <v>0</v>
      </c>
      <c r="J76" s="536">
        <v>0</v>
      </c>
      <c r="K76" s="537">
        <v>0</v>
      </c>
      <c r="L76" s="534">
        <v>0</v>
      </c>
      <c r="M76" s="535">
        <v>0</v>
      </c>
      <c r="N76" s="470">
        <v>0</v>
      </c>
      <c r="O76" s="472">
        <f t="shared" si="0"/>
        <v>97.63635449760973</v>
      </c>
    </row>
    <row r="77" spans="2:15">
      <c r="B77" s="469">
        <f t="shared" si="1"/>
        <v>2009</v>
      </c>
      <c r="C77" s="532">
        <v>0</v>
      </c>
      <c r="D77" s="533">
        <v>0</v>
      </c>
      <c r="E77" s="534">
        <v>0</v>
      </c>
      <c r="F77" s="534">
        <v>0</v>
      </c>
      <c r="G77" s="534">
        <v>0</v>
      </c>
      <c r="H77" s="534">
        <v>0</v>
      </c>
      <c r="I77" s="535">
        <v>0</v>
      </c>
      <c r="J77" s="536">
        <v>0</v>
      </c>
      <c r="K77" s="537">
        <v>0</v>
      </c>
      <c r="L77" s="534">
        <v>0</v>
      </c>
      <c r="M77" s="535">
        <v>0</v>
      </c>
      <c r="N77" s="470">
        <v>0</v>
      </c>
      <c r="O77" s="472">
        <f t="shared" si="0"/>
        <v>97.63635449760973</v>
      </c>
    </row>
    <row r="78" spans="2:15">
      <c r="B78" s="469">
        <f t="shared" si="1"/>
        <v>2010</v>
      </c>
      <c r="C78" s="532">
        <v>0</v>
      </c>
      <c r="D78" s="533">
        <v>0</v>
      </c>
      <c r="E78" s="534">
        <v>0</v>
      </c>
      <c r="F78" s="534">
        <v>0</v>
      </c>
      <c r="G78" s="534">
        <v>0</v>
      </c>
      <c r="H78" s="534">
        <v>0</v>
      </c>
      <c r="I78" s="535">
        <v>0</v>
      </c>
      <c r="J78" s="536">
        <v>0</v>
      </c>
      <c r="K78" s="537">
        <v>0</v>
      </c>
      <c r="L78" s="534">
        <v>0</v>
      </c>
      <c r="M78" s="535">
        <v>0</v>
      </c>
      <c r="N78" s="470">
        <v>0</v>
      </c>
      <c r="O78" s="472">
        <f t="shared" si="0"/>
        <v>97.63635449760973</v>
      </c>
    </row>
    <row r="79" spans="2:15">
      <c r="B79" s="469">
        <f t="shared" si="1"/>
        <v>2011</v>
      </c>
      <c r="C79" s="532">
        <v>0</v>
      </c>
      <c r="D79" s="533">
        <v>0</v>
      </c>
      <c r="E79" s="534">
        <v>0</v>
      </c>
      <c r="F79" s="534">
        <v>0</v>
      </c>
      <c r="G79" s="534">
        <v>0</v>
      </c>
      <c r="H79" s="534">
        <v>0</v>
      </c>
      <c r="I79" s="535">
        <v>0</v>
      </c>
      <c r="J79" s="536">
        <v>0</v>
      </c>
      <c r="K79" s="537">
        <v>0</v>
      </c>
      <c r="L79" s="534">
        <v>0</v>
      </c>
      <c r="M79" s="535">
        <v>0</v>
      </c>
      <c r="N79" s="470">
        <v>0</v>
      </c>
      <c r="O79" s="472">
        <f t="shared" si="0"/>
        <v>97.63635449760973</v>
      </c>
    </row>
    <row r="80" spans="2:15">
      <c r="B80" s="469">
        <f t="shared" si="1"/>
        <v>2012</v>
      </c>
      <c r="C80" s="532">
        <v>0</v>
      </c>
      <c r="D80" s="533">
        <v>0</v>
      </c>
      <c r="E80" s="534">
        <v>0</v>
      </c>
      <c r="F80" s="534">
        <v>0</v>
      </c>
      <c r="G80" s="534">
        <v>0</v>
      </c>
      <c r="H80" s="534">
        <v>0</v>
      </c>
      <c r="I80" s="535">
        <v>0</v>
      </c>
      <c r="J80" s="536">
        <v>0</v>
      </c>
      <c r="K80" s="537">
        <v>0</v>
      </c>
      <c r="L80" s="534">
        <v>0</v>
      </c>
      <c r="M80" s="535">
        <v>0</v>
      </c>
      <c r="N80" s="470">
        <v>0</v>
      </c>
      <c r="O80" s="472">
        <f t="shared" si="0"/>
        <v>97.63635449760973</v>
      </c>
    </row>
    <row r="81" spans="2:15">
      <c r="B81" s="469">
        <f t="shared" si="1"/>
        <v>2013</v>
      </c>
      <c r="C81" s="532">
        <v>0</v>
      </c>
      <c r="D81" s="533">
        <v>0</v>
      </c>
      <c r="E81" s="534">
        <v>0</v>
      </c>
      <c r="F81" s="534">
        <v>0</v>
      </c>
      <c r="G81" s="534">
        <v>0</v>
      </c>
      <c r="H81" s="534">
        <v>0</v>
      </c>
      <c r="I81" s="535">
        <v>0</v>
      </c>
      <c r="J81" s="536">
        <v>0</v>
      </c>
      <c r="K81" s="537">
        <v>0</v>
      </c>
      <c r="L81" s="534">
        <v>0</v>
      </c>
      <c r="M81" s="535">
        <v>0</v>
      </c>
      <c r="N81" s="470">
        <v>0</v>
      </c>
      <c r="O81" s="472">
        <f t="shared" si="0"/>
        <v>97.63635449760973</v>
      </c>
    </row>
    <row r="82" spans="2:15">
      <c r="B82" s="469">
        <f t="shared" si="1"/>
        <v>2014</v>
      </c>
      <c r="C82" s="532">
        <v>0</v>
      </c>
      <c r="D82" s="533">
        <v>0</v>
      </c>
      <c r="E82" s="534">
        <v>0</v>
      </c>
      <c r="F82" s="534">
        <v>0</v>
      </c>
      <c r="G82" s="534">
        <v>0</v>
      </c>
      <c r="H82" s="534">
        <v>0</v>
      </c>
      <c r="I82" s="535">
        <v>0</v>
      </c>
      <c r="J82" s="536">
        <v>0</v>
      </c>
      <c r="K82" s="537">
        <v>0</v>
      </c>
      <c r="L82" s="534">
        <v>0</v>
      </c>
      <c r="M82" s="535">
        <v>0</v>
      </c>
      <c r="N82" s="470">
        <v>0</v>
      </c>
      <c r="O82" s="472">
        <f t="shared" ref="O82:O98" si="2">O81+N82</f>
        <v>97.63635449760973</v>
      </c>
    </row>
    <row r="83" spans="2:15">
      <c r="B83" s="469">
        <f t="shared" si="1"/>
        <v>2015</v>
      </c>
      <c r="C83" s="532">
        <v>0</v>
      </c>
      <c r="D83" s="533">
        <v>0</v>
      </c>
      <c r="E83" s="534">
        <v>0</v>
      </c>
      <c r="F83" s="534">
        <v>0</v>
      </c>
      <c r="G83" s="534">
        <v>0</v>
      </c>
      <c r="H83" s="534">
        <v>0</v>
      </c>
      <c r="I83" s="535">
        <v>0</v>
      </c>
      <c r="J83" s="536">
        <v>0</v>
      </c>
      <c r="K83" s="537">
        <v>0</v>
      </c>
      <c r="L83" s="534">
        <v>0</v>
      </c>
      <c r="M83" s="535">
        <v>0</v>
      </c>
      <c r="N83" s="470">
        <v>0</v>
      </c>
      <c r="O83" s="472">
        <f t="shared" si="2"/>
        <v>97.63635449760973</v>
      </c>
    </row>
    <row r="84" spans="2:15">
      <c r="B84" s="469">
        <f t="shared" ref="B84:B98" si="3">B83+1</f>
        <v>2016</v>
      </c>
      <c r="C84" s="532">
        <v>0</v>
      </c>
      <c r="D84" s="533">
        <v>0</v>
      </c>
      <c r="E84" s="534">
        <v>0</v>
      </c>
      <c r="F84" s="534">
        <v>0</v>
      </c>
      <c r="G84" s="534">
        <v>0</v>
      </c>
      <c r="H84" s="534">
        <v>0</v>
      </c>
      <c r="I84" s="535">
        <v>0</v>
      </c>
      <c r="J84" s="536">
        <v>0</v>
      </c>
      <c r="K84" s="537">
        <v>0</v>
      </c>
      <c r="L84" s="534">
        <v>0</v>
      </c>
      <c r="M84" s="535">
        <v>0</v>
      </c>
      <c r="N84" s="470">
        <v>0</v>
      </c>
      <c r="O84" s="472">
        <f t="shared" si="2"/>
        <v>97.63635449760973</v>
      </c>
    </row>
    <row r="85" spans="2:15">
      <c r="B85" s="469">
        <f t="shared" si="3"/>
        <v>2017</v>
      </c>
      <c r="C85" s="532">
        <v>0</v>
      </c>
      <c r="D85" s="533">
        <v>0</v>
      </c>
      <c r="E85" s="534">
        <v>0</v>
      </c>
      <c r="F85" s="534">
        <v>0</v>
      </c>
      <c r="G85" s="534">
        <v>0</v>
      </c>
      <c r="H85" s="534">
        <v>0</v>
      </c>
      <c r="I85" s="535">
        <v>0</v>
      </c>
      <c r="J85" s="536">
        <v>0</v>
      </c>
      <c r="K85" s="537">
        <v>0</v>
      </c>
      <c r="L85" s="534">
        <v>0</v>
      </c>
      <c r="M85" s="535">
        <v>0</v>
      </c>
      <c r="N85" s="470">
        <v>0</v>
      </c>
      <c r="O85" s="472">
        <f t="shared" si="2"/>
        <v>97.63635449760973</v>
      </c>
    </row>
    <row r="86" spans="2:15">
      <c r="B86" s="469">
        <f t="shared" si="3"/>
        <v>2018</v>
      </c>
      <c r="C86" s="532">
        <v>0</v>
      </c>
      <c r="D86" s="533">
        <v>0</v>
      </c>
      <c r="E86" s="534">
        <v>0</v>
      </c>
      <c r="F86" s="534">
        <v>0</v>
      </c>
      <c r="G86" s="534">
        <v>0</v>
      </c>
      <c r="H86" s="534">
        <v>0</v>
      </c>
      <c r="I86" s="535">
        <v>0</v>
      </c>
      <c r="J86" s="536">
        <v>0</v>
      </c>
      <c r="K86" s="537">
        <v>0</v>
      </c>
      <c r="L86" s="534">
        <v>0</v>
      </c>
      <c r="M86" s="535">
        <v>0</v>
      </c>
      <c r="N86" s="470">
        <v>0</v>
      </c>
      <c r="O86" s="472">
        <f t="shared" si="2"/>
        <v>97.63635449760973</v>
      </c>
    </row>
    <row r="87" spans="2:15">
      <c r="B87" s="469">
        <f t="shared" si="3"/>
        <v>2019</v>
      </c>
      <c r="C87" s="532">
        <v>0</v>
      </c>
      <c r="D87" s="533">
        <v>0</v>
      </c>
      <c r="E87" s="534">
        <v>0</v>
      </c>
      <c r="F87" s="534">
        <v>0</v>
      </c>
      <c r="G87" s="534">
        <v>0</v>
      </c>
      <c r="H87" s="534">
        <v>0</v>
      </c>
      <c r="I87" s="535">
        <v>0</v>
      </c>
      <c r="J87" s="536">
        <v>0</v>
      </c>
      <c r="K87" s="537">
        <v>0</v>
      </c>
      <c r="L87" s="534">
        <v>0</v>
      </c>
      <c r="M87" s="535">
        <v>0</v>
      </c>
      <c r="N87" s="470">
        <v>0</v>
      </c>
      <c r="O87" s="472">
        <f t="shared" si="2"/>
        <v>97.63635449760973</v>
      </c>
    </row>
    <row r="88" spans="2:15">
      <c r="B88" s="469">
        <f t="shared" si="3"/>
        <v>2020</v>
      </c>
      <c r="C88" s="532">
        <v>0</v>
      </c>
      <c r="D88" s="533">
        <v>0</v>
      </c>
      <c r="E88" s="534">
        <v>0</v>
      </c>
      <c r="F88" s="534">
        <v>0</v>
      </c>
      <c r="G88" s="534">
        <v>0</v>
      </c>
      <c r="H88" s="534">
        <v>0</v>
      </c>
      <c r="I88" s="535">
        <v>0</v>
      </c>
      <c r="J88" s="536">
        <v>0</v>
      </c>
      <c r="K88" s="537">
        <v>0</v>
      </c>
      <c r="L88" s="534">
        <v>0</v>
      </c>
      <c r="M88" s="535">
        <v>0</v>
      </c>
      <c r="N88" s="470">
        <v>0</v>
      </c>
      <c r="O88" s="472">
        <f t="shared" si="2"/>
        <v>97.63635449760973</v>
      </c>
    </row>
    <row r="89" spans="2:15">
      <c r="B89" s="469">
        <f t="shared" si="3"/>
        <v>2021</v>
      </c>
      <c r="C89" s="532">
        <v>0</v>
      </c>
      <c r="D89" s="533">
        <v>0</v>
      </c>
      <c r="E89" s="534">
        <v>0</v>
      </c>
      <c r="F89" s="534">
        <v>0</v>
      </c>
      <c r="G89" s="534">
        <v>0</v>
      </c>
      <c r="H89" s="534">
        <v>0</v>
      </c>
      <c r="I89" s="535">
        <v>0</v>
      </c>
      <c r="J89" s="536">
        <v>0</v>
      </c>
      <c r="K89" s="537">
        <v>0</v>
      </c>
      <c r="L89" s="534">
        <v>0</v>
      </c>
      <c r="M89" s="535">
        <v>0</v>
      </c>
      <c r="N89" s="470">
        <v>0</v>
      </c>
      <c r="O89" s="472">
        <f t="shared" si="2"/>
        <v>97.63635449760973</v>
      </c>
    </row>
    <row r="90" spans="2:15">
      <c r="B90" s="469">
        <f t="shared" si="3"/>
        <v>2022</v>
      </c>
      <c r="C90" s="532">
        <v>0</v>
      </c>
      <c r="D90" s="533">
        <v>0</v>
      </c>
      <c r="E90" s="534">
        <v>0</v>
      </c>
      <c r="F90" s="534">
        <v>0</v>
      </c>
      <c r="G90" s="534">
        <v>0</v>
      </c>
      <c r="H90" s="534">
        <v>0</v>
      </c>
      <c r="I90" s="535">
        <v>0</v>
      </c>
      <c r="J90" s="536">
        <v>0</v>
      </c>
      <c r="K90" s="537">
        <v>0</v>
      </c>
      <c r="L90" s="534">
        <v>0</v>
      </c>
      <c r="M90" s="535">
        <v>0</v>
      </c>
      <c r="N90" s="470">
        <v>0</v>
      </c>
      <c r="O90" s="472">
        <f t="shared" si="2"/>
        <v>97.63635449760973</v>
      </c>
    </row>
    <row r="91" spans="2:15">
      <c r="B91" s="469">
        <f t="shared" si="3"/>
        <v>2023</v>
      </c>
      <c r="C91" s="532">
        <v>0</v>
      </c>
      <c r="D91" s="533">
        <v>0</v>
      </c>
      <c r="E91" s="534">
        <v>0</v>
      </c>
      <c r="F91" s="534">
        <v>0</v>
      </c>
      <c r="G91" s="534">
        <v>0</v>
      </c>
      <c r="H91" s="534">
        <v>0</v>
      </c>
      <c r="I91" s="535">
        <v>0</v>
      </c>
      <c r="J91" s="536">
        <v>0</v>
      </c>
      <c r="K91" s="537">
        <v>0</v>
      </c>
      <c r="L91" s="534">
        <v>0</v>
      </c>
      <c r="M91" s="535">
        <v>0</v>
      </c>
      <c r="N91" s="470">
        <v>0</v>
      </c>
      <c r="O91" s="472">
        <f t="shared" si="2"/>
        <v>97.63635449760973</v>
      </c>
    </row>
    <row r="92" spans="2:15">
      <c r="B92" s="469">
        <f t="shared" si="3"/>
        <v>2024</v>
      </c>
      <c r="C92" s="532">
        <v>0</v>
      </c>
      <c r="D92" s="533">
        <v>0</v>
      </c>
      <c r="E92" s="534">
        <v>0</v>
      </c>
      <c r="F92" s="534">
        <v>0</v>
      </c>
      <c r="G92" s="534">
        <v>0</v>
      </c>
      <c r="H92" s="534">
        <v>0</v>
      </c>
      <c r="I92" s="535">
        <v>0</v>
      </c>
      <c r="J92" s="536">
        <v>0</v>
      </c>
      <c r="K92" s="537">
        <v>0</v>
      </c>
      <c r="L92" s="534">
        <v>0</v>
      </c>
      <c r="M92" s="535">
        <v>0</v>
      </c>
      <c r="N92" s="470">
        <v>0</v>
      </c>
      <c r="O92" s="472">
        <f t="shared" si="2"/>
        <v>97.63635449760973</v>
      </c>
    </row>
    <row r="93" spans="2:15">
      <c r="B93" s="469">
        <f t="shared" si="3"/>
        <v>2025</v>
      </c>
      <c r="C93" s="532">
        <v>0</v>
      </c>
      <c r="D93" s="533">
        <v>0</v>
      </c>
      <c r="E93" s="534">
        <v>0</v>
      </c>
      <c r="F93" s="534">
        <v>0</v>
      </c>
      <c r="G93" s="534">
        <v>0</v>
      </c>
      <c r="H93" s="534">
        <v>0</v>
      </c>
      <c r="I93" s="535">
        <v>0</v>
      </c>
      <c r="J93" s="536">
        <v>0</v>
      </c>
      <c r="K93" s="537">
        <v>0</v>
      </c>
      <c r="L93" s="534">
        <v>0</v>
      </c>
      <c r="M93" s="535">
        <v>0</v>
      </c>
      <c r="N93" s="470">
        <v>0</v>
      </c>
      <c r="O93" s="472">
        <f t="shared" si="2"/>
        <v>97.63635449760973</v>
      </c>
    </row>
    <row r="94" spans="2:15">
      <c r="B94" s="469">
        <f t="shared" si="3"/>
        <v>2026</v>
      </c>
      <c r="C94" s="532">
        <v>0</v>
      </c>
      <c r="D94" s="533">
        <v>0</v>
      </c>
      <c r="E94" s="534">
        <v>0</v>
      </c>
      <c r="F94" s="534">
        <v>0</v>
      </c>
      <c r="G94" s="534">
        <v>0</v>
      </c>
      <c r="H94" s="534">
        <v>0</v>
      </c>
      <c r="I94" s="535">
        <v>0</v>
      </c>
      <c r="J94" s="536">
        <v>0</v>
      </c>
      <c r="K94" s="537">
        <v>0</v>
      </c>
      <c r="L94" s="534">
        <v>0</v>
      </c>
      <c r="M94" s="535">
        <v>0</v>
      </c>
      <c r="N94" s="470">
        <v>0</v>
      </c>
      <c r="O94" s="472">
        <f t="shared" si="2"/>
        <v>97.63635449760973</v>
      </c>
    </row>
    <row r="95" spans="2:15">
      <c r="B95" s="469">
        <f t="shared" si="3"/>
        <v>2027</v>
      </c>
      <c r="C95" s="532">
        <v>0</v>
      </c>
      <c r="D95" s="533">
        <v>0</v>
      </c>
      <c r="E95" s="534">
        <v>0</v>
      </c>
      <c r="F95" s="534">
        <v>0</v>
      </c>
      <c r="G95" s="534">
        <v>0</v>
      </c>
      <c r="H95" s="534">
        <v>0</v>
      </c>
      <c r="I95" s="535">
        <v>0</v>
      </c>
      <c r="J95" s="536">
        <v>0</v>
      </c>
      <c r="K95" s="537">
        <v>0</v>
      </c>
      <c r="L95" s="534">
        <v>0</v>
      </c>
      <c r="M95" s="535">
        <v>0</v>
      </c>
      <c r="N95" s="470">
        <v>0</v>
      </c>
      <c r="O95" s="472">
        <f t="shared" si="2"/>
        <v>97.63635449760973</v>
      </c>
    </row>
    <row r="96" spans="2:15">
      <c r="B96" s="469">
        <f t="shared" si="3"/>
        <v>2028</v>
      </c>
      <c r="C96" s="532">
        <v>0</v>
      </c>
      <c r="D96" s="533">
        <v>0</v>
      </c>
      <c r="E96" s="534">
        <v>0</v>
      </c>
      <c r="F96" s="534">
        <v>0</v>
      </c>
      <c r="G96" s="534">
        <v>0</v>
      </c>
      <c r="H96" s="534">
        <v>0</v>
      </c>
      <c r="I96" s="535">
        <v>0</v>
      </c>
      <c r="J96" s="536">
        <v>0</v>
      </c>
      <c r="K96" s="537">
        <v>0</v>
      </c>
      <c r="L96" s="534">
        <v>0</v>
      </c>
      <c r="M96" s="535">
        <v>0</v>
      </c>
      <c r="N96" s="470">
        <v>0</v>
      </c>
      <c r="O96" s="472">
        <f t="shared" si="2"/>
        <v>97.63635449760973</v>
      </c>
    </row>
    <row r="97" spans="2:15">
      <c r="B97" s="469">
        <f t="shared" si="3"/>
        <v>2029</v>
      </c>
      <c r="C97" s="532">
        <v>0</v>
      </c>
      <c r="D97" s="533">
        <v>0</v>
      </c>
      <c r="E97" s="534">
        <v>0</v>
      </c>
      <c r="F97" s="534">
        <v>0</v>
      </c>
      <c r="G97" s="534">
        <v>0</v>
      </c>
      <c r="H97" s="534">
        <v>0</v>
      </c>
      <c r="I97" s="535">
        <v>0</v>
      </c>
      <c r="J97" s="536">
        <v>0</v>
      </c>
      <c r="K97" s="537">
        <v>0</v>
      </c>
      <c r="L97" s="534">
        <v>0</v>
      </c>
      <c r="M97" s="535">
        <v>0</v>
      </c>
      <c r="N97" s="470">
        <v>0</v>
      </c>
      <c r="O97" s="472">
        <f t="shared" si="2"/>
        <v>97.63635449760973</v>
      </c>
    </row>
    <row r="98" spans="2:15" ht="13.5" thickBot="1">
      <c r="B98" s="478">
        <f t="shared" si="3"/>
        <v>2030</v>
      </c>
      <c r="C98" s="532">
        <v>0</v>
      </c>
      <c r="D98" s="533">
        <v>0</v>
      </c>
      <c r="E98" s="534">
        <v>0</v>
      </c>
      <c r="F98" s="534">
        <v>0</v>
      </c>
      <c r="G98" s="534">
        <v>0</v>
      </c>
      <c r="H98" s="534">
        <v>0</v>
      </c>
      <c r="I98" s="535">
        <v>0</v>
      </c>
      <c r="J98" s="536">
        <v>0</v>
      </c>
      <c r="K98" s="537">
        <v>0</v>
      </c>
      <c r="L98" s="534">
        <v>0</v>
      </c>
      <c r="M98" s="535">
        <v>0</v>
      </c>
      <c r="N98" s="479">
        <v>0</v>
      </c>
      <c r="O98" s="481">
        <f t="shared" si="2"/>
        <v>97.63635449760973</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topLeftCell="A76"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40" t="s">
        <v>17</v>
      </c>
    </row>
    <row r="3" spans="2:5" ht="9" customHeight="1"/>
    <row r="4" spans="2:5" ht="15.75">
      <c r="B4" s="11" t="s">
        <v>202</v>
      </c>
      <c r="D4" s="137"/>
      <c r="E4" s="137"/>
    </row>
    <row r="5" spans="2:5" ht="5.25" customHeight="1">
      <c r="B5" s="137"/>
      <c r="C5" s="137"/>
      <c r="D5" s="137"/>
      <c r="E5" s="137"/>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workbookViewId="0">
      <pane ySplit="3" topLeftCell="A13" activePane="bottomLeft" state="frozen"/>
      <selection activeCell="E19" sqref="E19"/>
      <selection pane="bottomLeft" activeCell="W10" sqref="W10"/>
    </sheetView>
  </sheetViews>
  <sheetFormatPr defaultColWidth="8.85546875" defaultRowHeight="12.75"/>
  <cols>
    <col min="1" max="1" width="2.85546875" style="69" customWidth="1"/>
    <col min="2" max="2" width="16.42578125" style="69" customWidth="1"/>
    <col min="3" max="3" width="16" style="69" customWidth="1"/>
    <col min="4" max="4" width="12.140625" style="69" customWidth="1"/>
    <col min="5" max="5" width="11.7109375" style="69" customWidth="1"/>
    <col min="6" max="6" width="9.7109375" style="69" customWidth="1"/>
    <col min="7" max="7" width="11" style="69" customWidth="1"/>
    <col min="8" max="8" width="9.7109375" style="69" customWidth="1"/>
    <col min="9" max="9" width="11.42578125" style="69" customWidth="1"/>
    <col min="10" max="10" width="9.7109375" style="69" customWidth="1"/>
    <col min="11" max="11" width="12.140625" style="69" customWidth="1"/>
    <col min="12" max="12" width="9.7109375" style="69" customWidth="1"/>
    <col min="13" max="14" width="10.7109375" style="69" customWidth="1"/>
    <col min="15" max="15" width="16.140625" style="69" customWidth="1"/>
    <col min="16" max="21" width="8.85546875" style="69"/>
    <col min="22" max="22" width="19.42578125" style="149" customWidth="1"/>
    <col min="23" max="23" width="11" style="69" customWidth="1"/>
    <col min="24" max="24" width="10.140625" style="69" customWidth="1"/>
    <col min="25" max="31" width="9.7109375" style="69" customWidth="1"/>
    <col min="32" max="32" width="12.140625" style="69" customWidth="1"/>
    <col min="33" max="34" width="9.7109375" style="69" customWidth="1"/>
    <col min="35" max="16384" width="8.85546875" style="69"/>
  </cols>
  <sheetData>
    <row r="1" spans="1:35" ht="15">
      <c r="B1" s="71" t="s">
        <v>205</v>
      </c>
      <c r="O1" s="71" t="s">
        <v>112</v>
      </c>
      <c r="V1" s="71" t="s">
        <v>128</v>
      </c>
    </row>
    <row r="2" spans="1:35" ht="12.75" customHeight="1">
      <c r="B2" s="975" t="s">
        <v>52</v>
      </c>
      <c r="C2" s="975"/>
      <c r="D2" s="975"/>
      <c r="E2" s="975"/>
      <c r="F2" s="975"/>
      <c r="G2" s="975"/>
      <c r="H2" s="975"/>
    </row>
    <row r="3" spans="1:35" ht="13.5" thickBot="1">
      <c r="B3" s="975"/>
      <c r="C3" s="975"/>
      <c r="D3" s="975"/>
      <c r="E3" s="975"/>
      <c r="F3" s="975"/>
      <c r="G3" s="975"/>
      <c r="H3" s="975"/>
    </row>
    <row r="4" spans="1:35" ht="13.5" thickBot="1">
      <c r="P4" s="958" t="s">
        <v>242</v>
      </c>
      <c r="Q4" s="959"/>
      <c r="R4" s="960" t="s">
        <v>243</v>
      </c>
      <c r="S4" s="961"/>
      <c r="V4" s="172" t="s">
        <v>155</v>
      </c>
      <c r="W4" s="139">
        <f>P7</f>
        <v>0.44</v>
      </c>
      <c r="X4" s="233">
        <f>P9</f>
        <v>0.3</v>
      </c>
      <c r="Y4" s="233">
        <f>P6</f>
        <v>0.38</v>
      </c>
      <c r="Z4" s="233">
        <f>P11</f>
        <v>0.5</v>
      </c>
      <c r="AA4" s="233">
        <f>P8</f>
        <v>0.49</v>
      </c>
      <c r="AB4" s="233">
        <f>P12</f>
        <v>0.6</v>
      </c>
      <c r="AC4" s="233">
        <f>R18</f>
        <v>0.05</v>
      </c>
      <c r="AD4" s="233">
        <f>P10</f>
        <v>0.47</v>
      </c>
      <c r="AE4" s="234">
        <v>0</v>
      </c>
    </row>
    <row r="5" spans="1:35" ht="13.5" customHeight="1" thickBot="1">
      <c r="B5" s="72"/>
      <c r="C5" s="141"/>
      <c r="D5" s="977" t="s">
        <v>47</v>
      </c>
      <c r="E5" s="978"/>
      <c r="F5" s="978"/>
      <c r="G5" s="967"/>
      <c r="H5" s="978" t="s">
        <v>57</v>
      </c>
      <c r="I5" s="978"/>
      <c r="J5" s="978"/>
      <c r="K5" s="967"/>
      <c r="L5" s="135"/>
      <c r="M5" s="135"/>
      <c r="N5" s="135"/>
      <c r="O5" s="163"/>
      <c r="P5" s="207" t="s">
        <v>116</v>
      </c>
      <c r="Q5" s="208" t="s">
        <v>113</v>
      </c>
      <c r="R5" s="207" t="s">
        <v>116</v>
      </c>
      <c r="S5" s="208" t="s">
        <v>113</v>
      </c>
      <c r="V5" s="304" t="s">
        <v>118</v>
      </c>
      <c r="W5" s="305">
        <v>3</v>
      </c>
      <c r="AF5" s="979" t="s">
        <v>126</v>
      </c>
      <c r="AG5" s="979" t="s">
        <v>129</v>
      </c>
      <c r="AH5" s="979" t="s">
        <v>154</v>
      </c>
      <c r="AI5"/>
    </row>
    <row r="6" spans="1:35" ht="13.5" thickBot="1">
      <c r="B6" s="166"/>
      <c r="C6" s="152"/>
      <c r="D6" s="976" t="s">
        <v>45</v>
      </c>
      <c r="E6" s="976"/>
      <c r="F6" s="976" t="s">
        <v>46</v>
      </c>
      <c r="G6" s="976"/>
      <c r="H6" s="976" t="s">
        <v>45</v>
      </c>
      <c r="I6" s="976"/>
      <c r="J6" s="976" t="s">
        <v>99</v>
      </c>
      <c r="K6" s="976"/>
      <c r="L6" s="135"/>
      <c r="M6" s="135"/>
      <c r="N6" s="135"/>
      <c r="O6" s="203" t="s">
        <v>6</v>
      </c>
      <c r="P6" s="162">
        <v>0.38</v>
      </c>
      <c r="Q6" s="164" t="s">
        <v>234</v>
      </c>
      <c r="R6" s="162">
        <v>0.15</v>
      </c>
      <c r="S6" s="164" t="s">
        <v>244</v>
      </c>
      <c r="W6" s="984" t="s">
        <v>125</v>
      </c>
      <c r="X6" s="986"/>
      <c r="Y6" s="986"/>
      <c r="Z6" s="986"/>
      <c r="AA6" s="986"/>
      <c r="AB6" s="986"/>
      <c r="AC6" s="986"/>
      <c r="AD6" s="986"/>
      <c r="AE6" s="986"/>
      <c r="AF6" s="980"/>
      <c r="AG6" s="980"/>
      <c r="AH6" s="980"/>
      <c r="AI6"/>
    </row>
    <row r="7" spans="1:35" ht="26.25" thickBot="1">
      <c r="B7" s="984" t="s">
        <v>133</v>
      </c>
      <c r="C7" s="985"/>
      <c r="D7" s="207" t="s">
        <v>116</v>
      </c>
      <c r="E7" s="208" t="s">
        <v>113</v>
      </c>
      <c r="F7" s="209" t="s">
        <v>116</v>
      </c>
      <c r="G7" s="208" t="s">
        <v>113</v>
      </c>
      <c r="H7" s="209" t="s">
        <v>116</v>
      </c>
      <c r="I7" s="208" t="s">
        <v>113</v>
      </c>
      <c r="J7" s="209" t="s">
        <v>116</v>
      </c>
      <c r="K7" s="208" t="s">
        <v>113</v>
      </c>
      <c r="M7" s="134"/>
      <c r="N7" s="134"/>
      <c r="O7" s="204" t="s">
        <v>256</v>
      </c>
      <c r="P7" s="161">
        <v>0.44</v>
      </c>
      <c r="Q7" s="165" t="s">
        <v>235</v>
      </c>
      <c r="R7" s="161">
        <v>0.4</v>
      </c>
      <c r="S7" s="165" t="s">
        <v>245</v>
      </c>
      <c r="T7" s="171"/>
      <c r="V7" s="172"/>
      <c r="W7" s="192" t="s">
        <v>127</v>
      </c>
      <c r="X7" s="181" t="s">
        <v>16</v>
      </c>
      <c r="Y7" s="181" t="s">
        <v>6</v>
      </c>
      <c r="Z7" s="181" t="s">
        <v>2</v>
      </c>
      <c r="AA7" s="181" t="s">
        <v>139</v>
      </c>
      <c r="AB7" s="181" t="s">
        <v>140</v>
      </c>
      <c r="AC7" s="181" t="s">
        <v>135</v>
      </c>
      <c r="AD7" s="181" t="s">
        <v>141</v>
      </c>
      <c r="AE7" s="181" t="s">
        <v>142</v>
      </c>
      <c r="AF7" s="981"/>
      <c r="AG7" s="981"/>
      <c r="AH7" s="981"/>
      <c r="AI7"/>
    </row>
    <row r="8" spans="1:35" ht="25.5" customHeight="1">
      <c r="B8" s="982" t="s">
        <v>48</v>
      </c>
      <c r="C8" s="144" t="s">
        <v>56</v>
      </c>
      <c r="D8" s="90">
        <v>0.04</v>
      </c>
      <c r="E8" s="153" t="s">
        <v>169</v>
      </c>
      <c r="F8" s="167">
        <v>0.06</v>
      </c>
      <c r="G8" s="170" t="s">
        <v>170</v>
      </c>
      <c r="H8" s="90">
        <v>4.4999999999999998E-2</v>
      </c>
      <c r="I8" s="153" t="s">
        <v>167</v>
      </c>
      <c r="J8" s="167">
        <v>7.0000000000000007E-2</v>
      </c>
      <c r="K8" s="153" t="s">
        <v>176</v>
      </c>
      <c r="M8" s="136"/>
      <c r="N8" s="136"/>
      <c r="O8" s="204" t="s">
        <v>255</v>
      </c>
      <c r="P8" s="161">
        <v>0.49</v>
      </c>
      <c r="Q8" s="165" t="s">
        <v>236</v>
      </c>
      <c r="R8" s="161">
        <v>0.2</v>
      </c>
      <c r="S8" s="165" t="s">
        <v>246</v>
      </c>
      <c r="T8" s="171"/>
      <c r="U8" s="171">
        <v>1</v>
      </c>
      <c r="V8" s="174" t="s">
        <v>119</v>
      </c>
      <c r="W8" s="190">
        <v>18.8</v>
      </c>
      <c r="X8" s="191">
        <v>3.5</v>
      </c>
      <c r="Y8" s="191">
        <v>26.2</v>
      </c>
      <c r="Z8" s="191">
        <v>3.5</v>
      </c>
      <c r="AA8" s="191"/>
      <c r="AB8" s="191"/>
      <c r="AC8" s="191"/>
      <c r="AD8" s="191">
        <v>1</v>
      </c>
      <c r="AE8" s="191">
        <f>100-SUM(W8:AD8)</f>
        <v>47</v>
      </c>
      <c r="AF8" s="182">
        <v>0.55000000000000004</v>
      </c>
      <c r="AG8" s="185">
        <v>0.55000000000000004</v>
      </c>
      <c r="AH8" s="235">
        <f>ROUND((W8*W$4+X8*X$4+Y8*Y$4+Z8*Z$4+AA8*AA$4+AB8*AB$4+AC8*AC$4+AD8*AD$4)/100,2)</f>
        <v>0.21</v>
      </c>
      <c r="AI8"/>
    </row>
    <row r="9" spans="1:35" ht="25.5">
      <c r="B9" s="983"/>
      <c r="C9" s="195" t="s">
        <v>134</v>
      </c>
      <c r="D9" s="197">
        <v>0.02</v>
      </c>
      <c r="E9" s="198" t="s">
        <v>168</v>
      </c>
      <c r="F9" s="199">
        <v>0.03</v>
      </c>
      <c r="G9" s="200" t="s">
        <v>171</v>
      </c>
      <c r="H9" s="197">
        <v>2.5000000000000001E-2</v>
      </c>
      <c r="I9" s="198" t="s">
        <v>171</v>
      </c>
      <c r="J9" s="199">
        <v>3.5000000000000003E-2</v>
      </c>
      <c r="K9" s="198" t="s">
        <v>169</v>
      </c>
      <c r="M9" s="136"/>
      <c r="N9" s="136"/>
      <c r="O9" s="204" t="s">
        <v>16</v>
      </c>
      <c r="P9" s="161">
        <v>0.3</v>
      </c>
      <c r="Q9" s="165" t="s">
        <v>237</v>
      </c>
      <c r="R9" s="161">
        <v>0.24</v>
      </c>
      <c r="S9" s="165" t="s">
        <v>247</v>
      </c>
      <c r="T9" s="171"/>
      <c r="U9" s="171">
        <v>2</v>
      </c>
      <c r="V9" s="175" t="s">
        <v>214</v>
      </c>
      <c r="W9" s="176">
        <v>11.3</v>
      </c>
      <c r="X9" s="177">
        <v>2.5</v>
      </c>
      <c r="Y9" s="177">
        <v>40.299999999999997</v>
      </c>
      <c r="Z9" s="177">
        <v>7.9</v>
      </c>
      <c r="AA9" s="177"/>
      <c r="AB9" s="177"/>
      <c r="AC9" s="177"/>
      <c r="AD9" s="177">
        <v>0.8</v>
      </c>
      <c r="AE9" s="177">
        <f t="shared" ref="AE9:AE26" si="0">100-SUM(W9:AD9)</f>
        <v>37.20000000000001</v>
      </c>
      <c r="AF9" s="183">
        <v>0.21</v>
      </c>
      <c r="AG9" s="186">
        <v>0.74</v>
      </c>
      <c r="AH9" s="236">
        <f t="shared" ref="AH9:AH26" si="1">ROUND((W9*W$4+X9*X$4+Y9*Y$4+Z9*Z$4+AA9*AA$4+AB9*AB$4+AC9*AC$4+AD9*AD$4)/100,2)</f>
        <v>0.25</v>
      </c>
      <c r="AI9"/>
    </row>
    <row r="10" spans="1:35" ht="25.5" customHeight="1">
      <c r="B10" s="194" t="s">
        <v>49</v>
      </c>
      <c r="C10" s="195" t="s">
        <v>50</v>
      </c>
      <c r="D10" s="91">
        <v>0.05</v>
      </c>
      <c r="E10" s="154" t="s">
        <v>167</v>
      </c>
      <c r="F10" s="168">
        <v>0.1</v>
      </c>
      <c r="G10" s="155" t="s">
        <v>172</v>
      </c>
      <c r="H10" s="91">
        <v>6.5000000000000002E-2</v>
      </c>
      <c r="I10" s="154" t="s">
        <v>166</v>
      </c>
      <c r="J10" s="168">
        <v>0.17</v>
      </c>
      <c r="K10" s="154" t="s">
        <v>177</v>
      </c>
      <c r="M10" s="136"/>
      <c r="N10" s="136"/>
      <c r="O10" s="205" t="s">
        <v>229</v>
      </c>
      <c r="P10" s="201">
        <v>0.47</v>
      </c>
      <c r="Q10" s="202" t="s">
        <v>238</v>
      </c>
      <c r="R10" s="201">
        <v>0.39</v>
      </c>
      <c r="S10" s="202" t="s">
        <v>248</v>
      </c>
      <c r="T10" s="171"/>
      <c r="U10" s="171">
        <v>3</v>
      </c>
      <c r="V10" s="175" t="s">
        <v>120</v>
      </c>
      <c r="W10" s="176">
        <v>12.9</v>
      </c>
      <c r="X10" s="177">
        <v>2.7</v>
      </c>
      <c r="Y10" s="177">
        <v>43.5</v>
      </c>
      <c r="Z10" s="177">
        <v>9.9</v>
      </c>
      <c r="AA10" s="177"/>
      <c r="AB10" s="177"/>
      <c r="AC10" s="177"/>
      <c r="AD10" s="177">
        <v>0.9</v>
      </c>
      <c r="AE10" s="177">
        <f t="shared" si="0"/>
        <v>30.099999999999994</v>
      </c>
      <c r="AF10" s="183">
        <v>0.27</v>
      </c>
      <c r="AG10" s="186">
        <v>0.59</v>
      </c>
      <c r="AH10" s="236">
        <f t="shared" si="1"/>
        <v>0.28000000000000003</v>
      </c>
      <c r="AI10"/>
    </row>
    <row r="11" spans="1:35" ht="25.5" customHeight="1" thickBot="1">
      <c r="B11" s="196" t="s">
        <v>51</v>
      </c>
      <c r="C11" s="145" t="s">
        <v>79</v>
      </c>
      <c r="D11" s="91">
        <v>0.06</v>
      </c>
      <c r="E11" s="154" t="s">
        <v>166</v>
      </c>
      <c r="F11" s="168">
        <v>0.185</v>
      </c>
      <c r="G11" s="155" t="s">
        <v>173</v>
      </c>
      <c r="H11" s="92">
        <v>8.5000000000000006E-2</v>
      </c>
      <c r="I11" s="156" t="s">
        <v>175</v>
      </c>
      <c r="J11" s="169">
        <v>0.4</v>
      </c>
      <c r="K11" s="156" t="s">
        <v>165</v>
      </c>
      <c r="M11" s="136"/>
      <c r="N11" s="136"/>
      <c r="O11" s="205" t="s">
        <v>263</v>
      </c>
      <c r="P11" s="201">
        <v>0.5</v>
      </c>
      <c r="Q11" s="202" t="s">
        <v>259</v>
      </c>
      <c r="R11" s="201">
        <v>0.43</v>
      </c>
      <c r="S11" s="202" t="s">
        <v>257</v>
      </c>
      <c r="T11" s="171"/>
      <c r="U11" s="171">
        <v>4</v>
      </c>
      <c r="V11" s="175" t="s">
        <v>121</v>
      </c>
      <c r="W11" s="176">
        <v>18</v>
      </c>
      <c r="X11" s="177">
        <v>2.9</v>
      </c>
      <c r="Y11" s="177">
        <v>41.1</v>
      </c>
      <c r="Z11" s="177">
        <v>9.8000000000000007</v>
      </c>
      <c r="AA11" s="177"/>
      <c r="AB11" s="177"/>
      <c r="AC11" s="177"/>
      <c r="AD11" s="177">
        <v>0.6</v>
      </c>
      <c r="AE11" s="177">
        <f t="shared" si="0"/>
        <v>27.600000000000009</v>
      </c>
      <c r="AF11" s="183">
        <f>AF$32</f>
        <v>0.42055555555555557</v>
      </c>
      <c r="AG11" s="243">
        <f>AG$32</f>
        <v>0.676111111111111</v>
      </c>
      <c r="AH11" s="236">
        <f t="shared" si="1"/>
        <v>0.3</v>
      </c>
      <c r="AI11"/>
    </row>
    <row r="12" spans="1:35" ht="26.25" thickBot="1">
      <c r="B12" s="210" t="s">
        <v>136</v>
      </c>
      <c r="C12" s="211" t="s">
        <v>78</v>
      </c>
      <c r="D12" s="212">
        <v>0.05</v>
      </c>
      <c r="E12" s="213" t="s">
        <v>167</v>
      </c>
      <c r="F12" s="214">
        <v>0.09</v>
      </c>
      <c r="G12" s="215" t="s">
        <v>174</v>
      </c>
      <c r="H12" s="212">
        <v>6.5000000000000002E-2</v>
      </c>
      <c r="I12" s="213" t="s">
        <v>166</v>
      </c>
      <c r="J12" s="214">
        <v>0.17</v>
      </c>
      <c r="K12" s="213" t="s">
        <v>177</v>
      </c>
      <c r="M12" s="136"/>
      <c r="N12" s="136"/>
      <c r="O12" s="205" t="s">
        <v>267</v>
      </c>
      <c r="P12" s="201">
        <v>0.6</v>
      </c>
      <c r="Q12" s="202" t="s">
        <v>260</v>
      </c>
      <c r="R12" s="201">
        <v>0.24</v>
      </c>
      <c r="S12" s="202" t="s">
        <v>258</v>
      </c>
      <c r="U12" s="171">
        <v>5</v>
      </c>
      <c r="V12" s="175" t="s">
        <v>215</v>
      </c>
      <c r="W12" s="176">
        <v>7.7</v>
      </c>
      <c r="X12" s="177">
        <v>1.7</v>
      </c>
      <c r="Y12" s="177">
        <v>53.9</v>
      </c>
      <c r="Z12" s="177">
        <v>7</v>
      </c>
      <c r="AA12" s="177"/>
      <c r="AB12" s="177"/>
      <c r="AC12" s="177"/>
      <c r="AD12" s="177">
        <v>1.1000000000000001</v>
      </c>
      <c r="AE12" s="177">
        <f t="shared" si="0"/>
        <v>28.600000000000009</v>
      </c>
      <c r="AF12" s="183">
        <v>0.28999999999999998</v>
      </c>
      <c r="AG12" s="243">
        <v>0.69</v>
      </c>
      <c r="AH12" s="236">
        <f t="shared" si="1"/>
        <v>0.28000000000000003</v>
      </c>
      <c r="AI12"/>
    </row>
    <row r="13" spans="1:35" ht="12.75" customHeight="1">
      <c r="I13" s="73"/>
      <c r="M13" s="136"/>
      <c r="N13" s="136"/>
      <c r="O13" s="972" t="s">
        <v>264</v>
      </c>
      <c r="P13" s="973"/>
      <c r="Q13" s="973"/>
      <c r="R13" s="973"/>
      <c r="S13" s="974"/>
      <c r="U13" s="171">
        <v>6</v>
      </c>
      <c r="V13" s="175" t="s">
        <v>216</v>
      </c>
      <c r="W13" s="176">
        <v>16.8</v>
      </c>
      <c r="X13" s="177">
        <v>2.5</v>
      </c>
      <c r="Y13" s="177">
        <v>43.4</v>
      </c>
      <c r="Z13" s="177">
        <v>6.5</v>
      </c>
      <c r="AA13" s="178"/>
      <c r="AB13" s="177"/>
      <c r="AC13" s="177"/>
      <c r="AD13" s="178"/>
      <c r="AE13" s="177">
        <f t="shared" si="0"/>
        <v>30.799999999999997</v>
      </c>
      <c r="AF13" s="183">
        <v>0.28999999999999998</v>
      </c>
      <c r="AG13" s="243">
        <v>0.69</v>
      </c>
      <c r="AH13" s="236">
        <f t="shared" si="1"/>
        <v>0.28000000000000003</v>
      </c>
      <c r="AI13"/>
    </row>
    <row r="14" spans="1:35">
      <c r="A14" s="73"/>
      <c r="B14" s="74" t="s">
        <v>58</v>
      </c>
      <c r="C14" s="73"/>
      <c r="D14" s="73"/>
      <c r="E14" s="73"/>
      <c r="F14" s="73"/>
      <c r="G14" s="73"/>
      <c r="H14" s="73"/>
      <c r="I14" s="73"/>
      <c r="J14" s="73"/>
      <c r="K14" s="73"/>
      <c r="L14" s="73"/>
      <c r="M14" s="136"/>
      <c r="N14" s="136"/>
      <c r="O14" s="396" t="s">
        <v>230</v>
      </c>
      <c r="P14" s="201"/>
      <c r="Q14" s="202"/>
      <c r="R14" s="201"/>
      <c r="S14" s="202"/>
      <c r="U14" s="171">
        <v>7</v>
      </c>
      <c r="V14" s="175" t="s">
        <v>217</v>
      </c>
      <c r="W14" s="176">
        <v>16.5</v>
      </c>
      <c r="X14" s="177">
        <v>2.5</v>
      </c>
      <c r="Y14" s="177">
        <v>51.1</v>
      </c>
      <c r="Z14" s="177">
        <v>2</v>
      </c>
      <c r="AA14" s="178"/>
      <c r="AB14" s="177"/>
      <c r="AC14" s="177"/>
      <c r="AD14" s="178"/>
      <c r="AE14" s="177">
        <f t="shared" si="0"/>
        <v>27.900000000000006</v>
      </c>
      <c r="AF14" s="183">
        <v>0.28999999999999998</v>
      </c>
      <c r="AG14" s="243">
        <v>0.69</v>
      </c>
      <c r="AH14" s="236">
        <f t="shared" si="1"/>
        <v>0.28000000000000003</v>
      </c>
      <c r="AI14"/>
    </row>
    <row r="15" spans="1:35" ht="13.5" thickBot="1">
      <c r="M15" s="136"/>
      <c r="N15" s="136"/>
      <c r="O15" s="397" t="s">
        <v>231</v>
      </c>
      <c r="P15" s="201"/>
      <c r="Q15" s="202"/>
      <c r="R15" s="201"/>
      <c r="S15" s="202"/>
      <c r="U15" s="171">
        <v>8</v>
      </c>
      <c r="V15" s="175" t="s">
        <v>122</v>
      </c>
      <c r="W15" s="176">
        <v>25</v>
      </c>
      <c r="X15" s="177"/>
      <c r="Y15" s="177">
        <v>23</v>
      </c>
      <c r="Z15" s="177">
        <v>15</v>
      </c>
      <c r="AA15" s="177"/>
      <c r="AB15" s="177"/>
      <c r="AC15" s="177"/>
      <c r="AD15" s="177"/>
      <c r="AE15" s="177">
        <f t="shared" si="0"/>
        <v>37</v>
      </c>
      <c r="AF15" s="183">
        <v>0.28999999999999998</v>
      </c>
      <c r="AG15" s="243">
        <v>0.69</v>
      </c>
      <c r="AH15" s="236">
        <f t="shared" si="1"/>
        <v>0.27</v>
      </c>
      <c r="AI15"/>
    </row>
    <row r="16" spans="1:35" ht="13.5" thickBot="1">
      <c r="C16" s="75" t="s">
        <v>59</v>
      </c>
      <c r="D16" s="76" t="s">
        <v>60</v>
      </c>
      <c r="E16" s="77" t="s">
        <v>61</v>
      </c>
      <c r="G16" s="301" t="s">
        <v>62</v>
      </c>
      <c r="N16" s="136"/>
      <c r="O16" s="397" t="s">
        <v>232</v>
      </c>
      <c r="P16" s="201"/>
      <c r="Q16" s="202"/>
      <c r="R16" s="201"/>
      <c r="S16" s="202"/>
      <c r="U16" s="171">
        <v>9</v>
      </c>
      <c r="V16" s="175" t="s">
        <v>218</v>
      </c>
      <c r="W16" s="176">
        <v>9.8000000000000007</v>
      </c>
      <c r="X16" s="177">
        <v>1</v>
      </c>
      <c r="Y16" s="177">
        <v>40.4</v>
      </c>
      <c r="Z16" s="177">
        <v>4.4000000000000004</v>
      </c>
      <c r="AA16" s="177"/>
      <c r="AB16" s="177"/>
      <c r="AC16" s="177"/>
      <c r="AD16" s="177"/>
      <c r="AE16" s="177">
        <f t="shared" si="0"/>
        <v>44.4</v>
      </c>
      <c r="AF16" s="183">
        <v>0.28999999999999998</v>
      </c>
      <c r="AG16" s="243">
        <v>0.69</v>
      </c>
      <c r="AH16" s="236">
        <f t="shared" si="1"/>
        <v>0.22</v>
      </c>
      <c r="AI16"/>
    </row>
    <row r="17" spans="1:35" ht="13.5" thickBot="1">
      <c r="A17" s="69">
        <v>1</v>
      </c>
      <c r="B17" s="362" t="s">
        <v>44</v>
      </c>
      <c r="C17" s="78" t="s">
        <v>63</v>
      </c>
      <c r="D17" s="79"/>
      <c r="E17" s="80" t="s">
        <v>64</v>
      </c>
      <c r="G17" s="302">
        <v>4</v>
      </c>
      <c r="M17" s="73"/>
      <c r="O17" s="397" t="s">
        <v>233</v>
      </c>
      <c r="P17" s="201"/>
      <c r="Q17" s="202"/>
      <c r="R17" s="201"/>
      <c r="S17" s="202"/>
      <c r="U17" s="171">
        <v>10</v>
      </c>
      <c r="V17" s="175" t="s">
        <v>219</v>
      </c>
      <c r="W17" s="176">
        <v>21.8</v>
      </c>
      <c r="X17" s="177">
        <v>4.7</v>
      </c>
      <c r="Y17" s="177">
        <v>30.1</v>
      </c>
      <c r="Z17" s="177">
        <v>7.5</v>
      </c>
      <c r="AA17" s="177"/>
      <c r="AB17" s="177"/>
      <c r="AC17" s="177"/>
      <c r="AD17" s="177">
        <v>1.4</v>
      </c>
      <c r="AE17" s="177">
        <f t="shared" si="0"/>
        <v>34.5</v>
      </c>
      <c r="AF17" s="183">
        <v>0.38</v>
      </c>
      <c r="AG17" s="186">
        <v>0.9</v>
      </c>
      <c r="AH17" s="236">
        <f t="shared" si="1"/>
        <v>0.27</v>
      </c>
      <c r="AI17"/>
    </row>
    <row r="18" spans="1:35" ht="13.5" thickBot="1">
      <c r="A18" s="69">
        <v>2</v>
      </c>
      <c r="B18" s="362" t="s">
        <v>65</v>
      </c>
      <c r="C18" s="81" t="s">
        <v>63</v>
      </c>
      <c r="D18" s="82"/>
      <c r="E18" s="83" t="s">
        <v>66</v>
      </c>
      <c r="O18" s="204" t="s">
        <v>135</v>
      </c>
      <c r="P18" s="405"/>
      <c r="Q18" s="406" t="s">
        <v>277</v>
      </c>
      <c r="R18" s="405">
        <v>0.05</v>
      </c>
      <c r="S18" s="406" t="s">
        <v>137</v>
      </c>
      <c r="U18" s="171">
        <v>11</v>
      </c>
      <c r="V18" s="175" t="s">
        <v>220</v>
      </c>
      <c r="W18" s="176">
        <v>30.6</v>
      </c>
      <c r="X18" s="177">
        <v>2</v>
      </c>
      <c r="Y18" s="177">
        <v>23.8</v>
      </c>
      <c r="Z18" s="177">
        <v>10</v>
      </c>
      <c r="AA18" s="177"/>
      <c r="AB18" s="177"/>
      <c r="AC18" s="177"/>
      <c r="AD18" s="177"/>
      <c r="AE18" s="177">
        <f t="shared" si="0"/>
        <v>33.599999999999994</v>
      </c>
      <c r="AF18" s="183">
        <v>0.64</v>
      </c>
      <c r="AG18" s="186">
        <v>0.47</v>
      </c>
      <c r="AH18" s="236">
        <f t="shared" si="1"/>
        <v>0.28000000000000003</v>
      </c>
      <c r="AI18"/>
    </row>
    <row r="19" spans="1:35" s="73" customFormat="1" ht="26.25" thickBot="1">
      <c r="A19" s="69">
        <v>3</v>
      </c>
      <c r="B19" s="362" t="s">
        <v>67</v>
      </c>
      <c r="C19" s="81" t="s">
        <v>68</v>
      </c>
      <c r="D19" s="82" t="s">
        <v>69</v>
      </c>
      <c r="E19" s="83"/>
      <c r="F19" s="69"/>
      <c r="G19" s="69"/>
      <c r="H19" s="69"/>
      <c r="I19" s="69"/>
      <c r="J19" s="69"/>
      <c r="K19" s="69"/>
      <c r="L19" s="69"/>
      <c r="M19" s="69"/>
      <c r="O19" s="402" t="s">
        <v>143</v>
      </c>
      <c r="P19" s="403"/>
      <c r="Q19" s="404" t="s">
        <v>277</v>
      </c>
      <c r="R19" s="403">
        <v>0.18</v>
      </c>
      <c r="S19" s="404" t="s">
        <v>156</v>
      </c>
      <c r="U19" s="171">
        <v>12</v>
      </c>
      <c r="V19" s="175" t="s">
        <v>123</v>
      </c>
      <c r="W19" s="176">
        <v>17</v>
      </c>
      <c r="X19" s="177"/>
      <c r="Y19" s="177">
        <v>36.9</v>
      </c>
      <c r="Z19" s="177">
        <v>10.6</v>
      </c>
      <c r="AA19" s="177"/>
      <c r="AB19" s="177"/>
      <c r="AC19" s="177"/>
      <c r="AD19" s="177"/>
      <c r="AE19" s="177">
        <f t="shared" si="0"/>
        <v>35.5</v>
      </c>
      <c r="AF19" s="183">
        <v>0.52</v>
      </c>
      <c r="AG19" s="186">
        <v>0.85</v>
      </c>
      <c r="AH19" s="236">
        <f t="shared" si="1"/>
        <v>0.27</v>
      </c>
      <c r="AI19"/>
    </row>
    <row r="20" spans="1:35" ht="26.25" thickBot="1">
      <c r="A20" s="84">
        <v>4</v>
      </c>
      <c r="B20" s="362" t="s">
        <v>98</v>
      </c>
      <c r="C20" s="85" t="s">
        <v>68</v>
      </c>
      <c r="D20" s="86" t="s">
        <v>97</v>
      </c>
      <c r="E20" s="87"/>
      <c r="O20" s="206" t="s">
        <v>23</v>
      </c>
      <c r="P20" s="376"/>
      <c r="Q20" s="377" t="s">
        <v>277</v>
      </c>
      <c r="R20" s="376">
        <v>0.15</v>
      </c>
      <c r="S20" s="377" t="s">
        <v>138</v>
      </c>
      <c r="U20" s="171">
        <v>13</v>
      </c>
      <c r="V20" s="175" t="s">
        <v>221</v>
      </c>
      <c r="W20" s="176">
        <v>27.5</v>
      </c>
      <c r="X20" s="177"/>
      <c r="Y20" s="177">
        <v>24.2</v>
      </c>
      <c r="Z20" s="177">
        <v>11</v>
      </c>
      <c r="AA20" s="177"/>
      <c r="AB20" s="177"/>
      <c r="AC20" s="177"/>
      <c r="AD20" s="177"/>
      <c r="AE20" s="177">
        <f t="shared" si="0"/>
        <v>37.299999999999997</v>
      </c>
      <c r="AF20" s="183">
        <v>0.56000000000000005</v>
      </c>
      <c r="AG20" s="186">
        <v>0.47</v>
      </c>
      <c r="AH20" s="236">
        <f t="shared" si="1"/>
        <v>0.27</v>
      </c>
      <c r="AI20"/>
    </row>
    <row r="21" spans="1:35" ht="26.25" thickBot="1">
      <c r="A21" s="84"/>
      <c r="B21" s="134"/>
      <c r="C21" s="84"/>
      <c r="D21" s="84"/>
      <c r="E21" s="84"/>
      <c r="O21" s="73"/>
      <c r="P21" s="73"/>
      <c r="Q21" s="73"/>
      <c r="R21" s="73"/>
      <c r="U21" s="171">
        <v>14</v>
      </c>
      <c r="V21" s="175" t="s">
        <v>222</v>
      </c>
      <c r="W21" s="176">
        <v>30</v>
      </c>
      <c r="X21" s="177"/>
      <c r="Y21" s="177">
        <v>36</v>
      </c>
      <c r="Z21" s="177">
        <v>24</v>
      </c>
      <c r="AA21" s="177"/>
      <c r="AB21" s="177"/>
      <c r="AC21" s="177"/>
      <c r="AD21" s="177"/>
      <c r="AE21" s="177">
        <f t="shared" si="0"/>
        <v>10</v>
      </c>
      <c r="AF21" s="183">
        <v>0.69</v>
      </c>
      <c r="AG21" s="186">
        <v>0.85</v>
      </c>
      <c r="AH21" s="236">
        <f t="shared" si="1"/>
        <v>0.39</v>
      </c>
      <c r="AI21"/>
    </row>
    <row r="22" spans="1:35" ht="26.25" thickBot="1">
      <c r="O22" s="303" t="s">
        <v>114</v>
      </c>
      <c r="P22" s="69">
        <v>1</v>
      </c>
      <c r="Q22" s="69" t="s">
        <v>145</v>
      </c>
      <c r="U22" s="171">
        <v>15</v>
      </c>
      <c r="V22" s="175" t="s">
        <v>223</v>
      </c>
      <c r="W22" s="176">
        <v>6</v>
      </c>
      <c r="X22" s="177"/>
      <c r="Y22" s="177">
        <v>67.5</v>
      </c>
      <c r="Z22" s="177">
        <v>2.5</v>
      </c>
      <c r="AA22" s="177"/>
      <c r="AB22" s="177"/>
      <c r="AC22" s="177"/>
      <c r="AD22" s="177"/>
      <c r="AE22" s="177">
        <f t="shared" si="0"/>
        <v>24</v>
      </c>
      <c r="AF22" s="183">
        <v>0.69</v>
      </c>
      <c r="AG22" s="186">
        <v>0.85</v>
      </c>
      <c r="AH22" s="236">
        <f t="shared" si="1"/>
        <v>0.3</v>
      </c>
      <c r="AI22"/>
    </row>
    <row r="23" spans="1:35" ht="13.5" thickBot="1">
      <c r="B23" s="69" t="s">
        <v>53</v>
      </c>
      <c r="O23" s="302">
        <v>1</v>
      </c>
      <c r="P23" s="69">
        <v>2</v>
      </c>
      <c r="Q23" s="69" t="s">
        <v>144</v>
      </c>
      <c r="U23" s="171">
        <v>16</v>
      </c>
      <c r="V23" s="175" t="s">
        <v>224</v>
      </c>
      <c r="W23" s="176">
        <v>23.2</v>
      </c>
      <c r="X23" s="177">
        <v>3.9</v>
      </c>
      <c r="Y23" s="177">
        <v>33.9</v>
      </c>
      <c r="Z23" s="177">
        <v>6.2</v>
      </c>
      <c r="AA23" s="177"/>
      <c r="AB23" s="177"/>
      <c r="AC23" s="177"/>
      <c r="AD23" s="177">
        <v>1.4</v>
      </c>
      <c r="AE23" s="177">
        <f t="shared" si="0"/>
        <v>31.399999999999991</v>
      </c>
      <c r="AF23" s="183">
        <v>0.65</v>
      </c>
      <c r="AG23" s="186">
        <v>0.57999999999999996</v>
      </c>
      <c r="AH23" s="236">
        <f t="shared" si="1"/>
        <v>0.28000000000000003</v>
      </c>
      <c r="AI23"/>
    </row>
    <row r="24" spans="1:35">
      <c r="B24" s="69" t="s">
        <v>54</v>
      </c>
      <c r="S24" s="73"/>
      <c r="U24" s="171">
        <v>17</v>
      </c>
      <c r="V24" s="175" t="s">
        <v>225</v>
      </c>
      <c r="W24" s="176">
        <v>13.7</v>
      </c>
      <c r="X24" s="177">
        <v>2.6</v>
      </c>
      <c r="Y24" s="177">
        <v>43.8</v>
      </c>
      <c r="Z24" s="177">
        <v>13.5</v>
      </c>
      <c r="AA24" s="177"/>
      <c r="AB24" s="177"/>
      <c r="AC24" s="177"/>
      <c r="AD24" s="177">
        <v>1.8</v>
      </c>
      <c r="AE24" s="177">
        <f t="shared" si="0"/>
        <v>24.600000000000009</v>
      </c>
      <c r="AF24" s="183">
        <v>0.21</v>
      </c>
      <c r="AG24" s="186">
        <v>0.5</v>
      </c>
      <c r="AH24" s="236">
        <f t="shared" si="1"/>
        <v>0.31</v>
      </c>
      <c r="AI24"/>
    </row>
    <row r="25" spans="1:35">
      <c r="B25" s="69" t="s">
        <v>55</v>
      </c>
      <c r="O25" s="84"/>
      <c r="P25" s="398"/>
      <c r="Q25" s="398"/>
      <c r="R25" s="399"/>
      <c r="S25" s="399"/>
      <c r="U25" s="171">
        <v>18</v>
      </c>
      <c r="V25" s="175" t="s">
        <v>226</v>
      </c>
      <c r="W25" s="176">
        <v>17.100000000000001</v>
      </c>
      <c r="X25" s="177">
        <v>2.6</v>
      </c>
      <c r="Y25" s="177">
        <v>44.9</v>
      </c>
      <c r="Z25" s="177">
        <v>4.7</v>
      </c>
      <c r="AA25" s="177"/>
      <c r="AB25" s="177"/>
      <c r="AC25" s="177"/>
      <c r="AD25" s="177">
        <v>0.7</v>
      </c>
      <c r="AE25" s="177">
        <f t="shared" si="0"/>
        <v>30</v>
      </c>
      <c r="AF25" s="183">
        <v>0.26</v>
      </c>
      <c r="AG25" s="186">
        <v>0.54</v>
      </c>
      <c r="AH25" s="236">
        <f t="shared" si="1"/>
        <v>0.28000000000000003</v>
      </c>
      <c r="AI25"/>
    </row>
    <row r="26" spans="1:35" ht="13.5" thickBot="1">
      <c r="B26" s="964" t="s">
        <v>70</v>
      </c>
      <c r="C26" s="964"/>
      <c r="D26" s="964"/>
      <c r="E26" s="964"/>
      <c r="F26" s="964"/>
      <c r="G26" s="964"/>
      <c r="H26" s="964"/>
      <c r="O26" s="84"/>
      <c r="P26" s="400"/>
      <c r="Q26" s="398"/>
      <c r="R26" s="400"/>
      <c r="S26" s="398"/>
      <c r="U26" s="171">
        <v>19</v>
      </c>
      <c r="V26" s="175" t="s">
        <v>124</v>
      </c>
      <c r="W26" s="179">
        <v>17</v>
      </c>
      <c r="X26" s="180">
        <v>5.0999999999999996</v>
      </c>
      <c r="Y26" s="180">
        <v>46.9</v>
      </c>
      <c r="Z26" s="180">
        <v>2.4</v>
      </c>
      <c r="AA26" s="180"/>
      <c r="AB26" s="180"/>
      <c r="AC26" s="180"/>
      <c r="AD26" s="180">
        <v>1.9</v>
      </c>
      <c r="AE26" s="180">
        <f t="shared" si="0"/>
        <v>26.699999999999989</v>
      </c>
      <c r="AF26" s="184">
        <v>0.49</v>
      </c>
      <c r="AG26" s="187">
        <v>0.83</v>
      </c>
      <c r="AH26" s="237">
        <f t="shared" si="1"/>
        <v>0.28999999999999998</v>
      </c>
      <c r="AI26"/>
    </row>
    <row r="27" spans="1:35">
      <c r="B27" s="965"/>
      <c r="C27" s="965"/>
      <c r="D27" s="965"/>
      <c r="E27" s="965"/>
      <c r="F27" s="965"/>
      <c r="G27" s="965"/>
      <c r="H27" s="965"/>
      <c r="O27" s="84"/>
      <c r="P27" s="401"/>
      <c r="Q27" s="84"/>
      <c r="R27" s="84"/>
      <c r="S27" s="84"/>
      <c r="U27" s="171"/>
      <c r="V27" s="173"/>
    </row>
    <row r="28" spans="1:35">
      <c r="B28" s="965"/>
      <c r="C28" s="965"/>
      <c r="D28" s="965"/>
      <c r="E28" s="965"/>
      <c r="F28" s="965"/>
      <c r="G28" s="965"/>
      <c r="H28" s="965"/>
      <c r="O28" s="84"/>
      <c r="P28" s="401"/>
      <c r="Q28" s="84"/>
      <c r="R28" s="84"/>
      <c r="S28" s="84"/>
      <c r="V28" s="173"/>
    </row>
    <row r="29" spans="1:35">
      <c r="B29" s="965"/>
      <c r="C29" s="965"/>
      <c r="D29" s="965"/>
      <c r="E29" s="965"/>
      <c r="F29" s="965"/>
      <c r="G29" s="965"/>
      <c r="H29" s="965"/>
      <c r="O29" s="393"/>
      <c r="P29" s="394"/>
      <c r="Q29" s="395"/>
      <c r="R29" s="84"/>
      <c r="W29" s="188">
        <f>AVERAGE(W8:W26)</f>
        <v>17.931578947368422</v>
      </c>
      <c r="X29" s="188">
        <f t="shared" ref="X29:AE29" si="2">AVERAGE(X8:X26)</f>
        <v>2.871428571428571</v>
      </c>
      <c r="Y29" s="188">
        <f t="shared" si="2"/>
        <v>39.521052631578939</v>
      </c>
      <c r="Z29" s="188">
        <f t="shared" si="2"/>
        <v>8.3368421052631572</v>
      </c>
      <c r="AA29" s="188"/>
      <c r="AB29" s="188"/>
      <c r="AC29" s="188"/>
      <c r="AD29" s="188">
        <f t="shared" si="2"/>
        <v>1.1600000000000001</v>
      </c>
      <c r="AE29" s="188">
        <f t="shared" si="2"/>
        <v>31.484210526315792</v>
      </c>
      <c r="AF29" s="188">
        <f>SUM(W29:AE29)</f>
        <v>101.30511278195488</v>
      </c>
    </row>
    <row r="30" spans="1:35">
      <c r="B30" s="965"/>
      <c r="C30" s="965"/>
      <c r="D30" s="965"/>
      <c r="E30" s="965"/>
      <c r="F30" s="965"/>
      <c r="G30" s="965"/>
      <c r="H30" s="965"/>
      <c r="O30" s="393"/>
      <c r="P30" s="394"/>
      <c r="Q30" s="395"/>
      <c r="R30" s="84"/>
      <c r="W30" s="189">
        <f t="shared" ref="W30:AE30" si="3">W29/$AF$29</f>
        <v>0.17700566590319725</v>
      </c>
      <c r="X30" s="189">
        <f t="shared" si="3"/>
        <v>2.8344359850908222E-2</v>
      </c>
      <c r="Y30" s="189">
        <f t="shared" si="3"/>
        <v>0.39011903295189543</v>
      </c>
      <c r="Z30" s="189">
        <f t="shared" si="3"/>
        <v>8.229438649564555E-2</v>
      </c>
      <c r="AA30" s="189">
        <f t="shared" si="3"/>
        <v>0</v>
      </c>
      <c r="AB30" s="189">
        <f t="shared" si="3"/>
        <v>0</v>
      </c>
      <c r="AC30" s="189">
        <f t="shared" si="3"/>
        <v>0</v>
      </c>
      <c r="AD30" s="189">
        <f t="shared" si="3"/>
        <v>1.145055731290422E-2</v>
      </c>
      <c r="AE30" s="189">
        <f t="shared" si="3"/>
        <v>0.31078599748544938</v>
      </c>
    </row>
    <row r="31" spans="1:35" ht="13.5" thickBot="1">
      <c r="O31" s="393"/>
      <c r="P31" s="394"/>
      <c r="Q31" s="395"/>
      <c r="R31" s="84"/>
    </row>
    <row r="32" spans="1:35" ht="13.5" thickBot="1">
      <c r="B32" s="88" t="s">
        <v>71</v>
      </c>
      <c r="O32" s="393"/>
      <c r="P32" s="394"/>
      <c r="Q32" s="395"/>
      <c r="R32" s="84"/>
      <c r="AE32" s="139" t="s">
        <v>178</v>
      </c>
      <c r="AF32" s="244">
        <f>AVERAGE(AF12:AF26,AF8:AF10)</f>
        <v>0.42055555555555557</v>
      </c>
      <c r="AG32" s="265">
        <f>AVERAGE(AG12:AG26,AG8:AG10)</f>
        <v>0.676111111111111</v>
      </c>
      <c r="AH32" s="266">
        <f>AVERAGE(AH8:AH26)</f>
        <v>0.27947368421052637</v>
      </c>
    </row>
    <row r="33" spans="2:18">
      <c r="O33" s="393"/>
      <c r="P33" s="394"/>
      <c r="Q33" s="395"/>
      <c r="R33" s="84"/>
    </row>
    <row r="34" spans="2:18">
      <c r="B34" s="69" t="s">
        <v>72</v>
      </c>
      <c r="O34" s="393"/>
      <c r="P34" s="394"/>
      <c r="Q34" s="395"/>
      <c r="R34" s="84"/>
    </row>
    <row r="35" spans="2:18">
      <c r="O35" s="393"/>
      <c r="P35" s="394"/>
      <c r="Q35" s="395"/>
      <c r="R35" s="84"/>
    </row>
    <row r="36" spans="2:18">
      <c r="B36" s="5" t="s">
        <v>73</v>
      </c>
      <c r="O36" s="393"/>
      <c r="P36" s="394"/>
      <c r="Q36" s="395"/>
      <c r="R36" s="84"/>
    </row>
    <row r="37" spans="2:18" ht="13.5" thickBot="1">
      <c r="O37" s="393"/>
      <c r="P37" s="394"/>
      <c r="Q37" s="395"/>
      <c r="R37" s="84"/>
    </row>
    <row r="38" spans="2:18" ht="14.25">
      <c r="B38" s="89" t="s">
        <v>74</v>
      </c>
      <c r="C38" s="966" t="s">
        <v>75</v>
      </c>
      <c r="D38" s="967"/>
      <c r="O38" s="393"/>
      <c r="P38" s="394"/>
      <c r="Q38" s="395"/>
      <c r="R38" s="84"/>
    </row>
    <row r="39" spans="2:18">
      <c r="B39" s="142">
        <v>35</v>
      </c>
      <c r="C39" s="970">
        <f>LN(2)/B39</f>
        <v>1.980420515885558E-2</v>
      </c>
      <c r="D39" s="971"/>
    </row>
    <row r="40" spans="2:18" ht="27">
      <c r="B40" s="363" t="s">
        <v>76</v>
      </c>
      <c r="C40" s="968" t="s">
        <v>77</v>
      </c>
      <c r="D40" s="969"/>
    </row>
    <row r="41" spans="2:18" ht="13.5" thickBot="1">
      <c r="B41" s="143">
        <v>0.05</v>
      </c>
      <c r="C41" s="962">
        <f>LN(2)/B41</f>
        <v>13.862943611198904</v>
      </c>
      <c r="D41" s="963"/>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AG5:AG7"/>
    <mergeCell ref="AH5:AH7"/>
    <mergeCell ref="B8:B9"/>
    <mergeCell ref="H6:I6"/>
    <mergeCell ref="J6:K6"/>
    <mergeCell ref="B7:C7"/>
    <mergeCell ref="W6:AE6"/>
    <mergeCell ref="AF5:AF7"/>
    <mergeCell ref="B2:H3"/>
    <mergeCell ref="D6:E6"/>
    <mergeCell ref="F6:G6"/>
    <mergeCell ref="D5:G5"/>
    <mergeCell ref="H5:K5"/>
    <mergeCell ref="P4:Q4"/>
    <mergeCell ref="R4:S4"/>
    <mergeCell ref="C41:D41"/>
    <mergeCell ref="B26:H30"/>
    <mergeCell ref="C38:D38"/>
    <mergeCell ref="C40:D40"/>
    <mergeCell ref="C39:D39"/>
    <mergeCell ref="O13:S13"/>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D1" workbookViewId="0">
      <selection activeCell="J30" sqref="J30"/>
    </sheetView>
  </sheetViews>
  <sheetFormatPr defaultColWidth="8.85546875" defaultRowHeight="12.75"/>
  <cols>
    <col min="1" max="1" width="3.42578125" style="772" customWidth="1"/>
    <col min="2" max="2" width="5.28515625" style="772" customWidth="1"/>
    <col min="3" max="4" width="9" style="772" customWidth="1"/>
    <col min="5" max="5" width="7.42578125" style="786" customWidth="1"/>
    <col min="6" max="6" width="10.85546875" style="772" customWidth="1"/>
    <col min="7" max="7" width="10.7109375" style="772" customWidth="1"/>
    <col min="8" max="8" width="10.140625" style="772" customWidth="1"/>
    <col min="9" max="9" width="14.42578125" style="772" customWidth="1"/>
    <col min="10" max="10" width="12" style="772" customWidth="1"/>
    <col min="11" max="11" width="10.28515625" style="772" customWidth="1"/>
    <col min="12" max="12" width="8.85546875" style="777"/>
    <col min="13" max="13" width="2.7109375" style="778" customWidth="1"/>
    <col min="14" max="16384" width="8.85546875" style="777"/>
  </cols>
  <sheetData>
    <row r="2" spans="1:23" ht="15.75">
      <c r="B2" s="773" t="s">
        <v>102</v>
      </c>
      <c r="C2" s="774"/>
      <c r="D2" s="774"/>
      <c r="E2" s="775"/>
      <c r="F2" s="776"/>
      <c r="G2" s="776"/>
      <c r="H2" s="776"/>
      <c r="I2" s="776"/>
      <c r="J2" s="776"/>
      <c r="K2" s="776"/>
    </row>
    <row r="3" spans="1:23" ht="15">
      <c r="B3" s="779" t="str">
        <f>IF(Select2=2,"This sheet applies only to the waste compositon option and can be deleted when the bulk waste option has been chosen","")</f>
        <v/>
      </c>
      <c r="C3" s="774"/>
      <c r="D3" s="774"/>
      <c r="E3" s="775"/>
      <c r="F3" s="776"/>
      <c r="G3" s="776"/>
      <c r="H3" s="776"/>
      <c r="I3" s="776"/>
      <c r="J3" s="776"/>
      <c r="K3" s="776"/>
    </row>
    <row r="4" spans="1:23" ht="16.5" thickBot="1">
      <c r="B4" s="780"/>
      <c r="C4" s="781"/>
      <c r="D4" s="781"/>
      <c r="E4" s="782"/>
      <c r="F4" s="783"/>
      <c r="G4" s="783"/>
      <c r="H4" s="783"/>
      <c r="I4" s="783"/>
      <c r="J4" s="783"/>
      <c r="K4" s="783"/>
    </row>
    <row r="5" spans="1:23" ht="26.25" thickBot="1">
      <c r="B5" s="784"/>
      <c r="C5" s="785"/>
      <c r="D5" s="785"/>
      <c r="F5" s="787"/>
      <c r="G5" s="788"/>
      <c r="H5" s="788"/>
      <c r="I5" s="788"/>
      <c r="J5" s="788"/>
      <c r="K5" s="789" t="s">
        <v>7</v>
      </c>
      <c r="O5" s="784"/>
      <c r="P5" s="785"/>
      <c r="Q5" s="786"/>
      <c r="R5" s="787"/>
      <c r="S5" s="788"/>
      <c r="T5" s="788"/>
      <c r="U5" s="788"/>
      <c r="V5" s="788"/>
      <c r="W5" s="789" t="s">
        <v>7</v>
      </c>
    </row>
    <row r="6" spans="1:23">
      <c r="B6" s="784"/>
      <c r="C6" s="785"/>
      <c r="D6" s="785"/>
      <c r="F6" s="790" t="s">
        <v>9</v>
      </c>
      <c r="G6" s="791"/>
      <c r="H6" s="791"/>
      <c r="I6" s="792"/>
      <c r="J6" s="793" t="s">
        <v>9</v>
      </c>
      <c r="K6" s="794">
        <f>Parameters!O15</f>
        <v>0.38</v>
      </c>
      <c r="O6" s="784"/>
      <c r="P6" s="785"/>
      <c r="Q6" s="786"/>
      <c r="R6" s="790" t="s">
        <v>9</v>
      </c>
      <c r="S6" s="791"/>
      <c r="T6" s="791"/>
      <c r="U6" s="792"/>
      <c r="V6" s="793" t="s">
        <v>9</v>
      </c>
      <c r="W6" s="794">
        <f>Parameters!R15</f>
        <v>0.15</v>
      </c>
    </row>
    <row r="7" spans="1:23" ht="13.5" thickBot="1">
      <c r="B7" s="784"/>
      <c r="C7" s="785"/>
      <c r="D7" s="785"/>
      <c r="F7" s="795" t="s">
        <v>12</v>
      </c>
      <c r="G7" s="796"/>
      <c r="H7" s="796"/>
      <c r="I7" s="797"/>
      <c r="J7" s="798" t="s">
        <v>12</v>
      </c>
      <c r="K7" s="799">
        <f>DOCF</f>
        <v>0.5</v>
      </c>
      <c r="O7" s="784"/>
      <c r="P7" s="785"/>
      <c r="Q7" s="786"/>
      <c r="R7" s="795" t="s">
        <v>12</v>
      </c>
      <c r="S7" s="796"/>
      <c r="T7" s="796"/>
      <c r="U7" s="797"/>
      <c r="V7" s="798" t="s">
        <v>12</v>
      </c>
      <c r="W7" s="799">
        <f>DOCF</f>
        <v>0.5</v>
      </c>
    </row>
    <row r="8" spans="1:23">
      <c r="F8" s="790" t="s">
        <v>192</v>
      </c>
      <c r="G8" s="791"/>
      <c r="H8" s="791"/>
      <c r="I8" s="792"/>
      <c r="J8" s="793" t="s">
        <v>188</v>
      </c>
      <c r="K8" s="800">
        <f>Parameters!O34</f>
        <v>0.4</v>
      </c>
      <c r="O8" s="772"/>
      <c r="P8" s="772"/>
      <c r="Q8" s="786"/>
      <c r="R8" s="790" t="s">
        <v>192</v>
      </c>
      <c r="S8" s="791"/>
      <c r="T8" s="791"/>
      <c r="U8" s="792"/>
      <c r="V8" s="793" t="s">
        <v>188</v>
      </c>
      <c r="W8" s="800">
        <f>Parameters!O34</f>
        <v>0.4</v>
      </c>
    </row>
    <row r="9" spans="1:23" ht="15.75">
      <c r="F9" s="801" t="s">
        <v>190</v>
      </c>
      <c r="G9" s="802"/>
      <c r="H9" s="802"/>
      <c r="I9" s="803"/>
      <c r="J9" s="804" t="s">
        <v>189</v>
      </c>
      <c r="K9" s="805">
        <f>LN(2)/$K$8</f>
        <v>1.732867951399863</v>
      </c>
      <c r="O9" s="772"/>
      <c r="P9" s="772"/>
      <c r="Q9" s="786"/>
      <c r="R9" s="801" t="s">
        <v>190</v>
      </c>
      <c r="S9" s="802"/>
      <c r="T9" s="802"/>
      <c r="U9" s="803"/>
      <c r="V9" s="804" t="s">
        <v>189</v>
      </c>
      <c r="W9" s="805">
        <f>LN(2)/$W$8</f>
        <v>1.732867951399863</v>
      </c>
    </row>
    <row r="10" spans="1:23">
      <c r="F10" s="806" t="s">
        <v>84</v>
      </c>
      <c r="G10" s="807"/>
      <c r="H10" s="807"/>
      <c r="I10" s="808"/>
      <c r="J10" s="809" t="s">
        <v>148</v>
      </c>
      <c r="K10" s="810">
        <f>EXP(-$K$8)</f>
        <v>0.67032004603563933</v>
      </c>
      <c r="O10" s="772"/>
      <c r="P10" s="772"/>
      <c r="Q10" s="786"/>
      <c r="R10" s="806" t="s">
        <v>84</v>
      </c>
      <c r="S10" s="807"/>
      <c r="T10" s="807"/>
      <c r="U10" s="808"/>
      <c r="V10" s="809" t="s">
        <v>148</v>
      </c>
      <c r="W10" s="810">
        <f>EXP(-$W$8)</f>
        <v>0.67032004603563933</v>
      </c>
    </row>
    <row r="11" spans="1:23">
      <c r="F11" s="806" t="s">
        <v>8</v>
      </c>
      <c r="G11" s="807"/>
      <c r="H11" s="807"/>
      <c r="I11" s="808"/>
      <c r="J11" s="809" t="s">
        <v>83</v>
      </c>
      <c r="K11" s="810">
        <v>13</v>
      </c>
      <c r="O11" s="772"/>
      <c r="P11" s="772"/>
      <c r="Q11" s="786"/>
      <c r="R11" s="806" t="s">
        <v>8</v>
      </c>
      <c r="S11" s="807"/>
      <c r="T11" s="807"/>
      <c r="U11" s="808"/>
      <c r="V11" s="809" t="s">
        <v>83</v>
      </c>
      <c r="W11" s="810">
        <v>13</v>
      </c>
    </row>
    <row r="12" spans="1:23" ht="13.5" thickBot="1">
      <c r="F12" s="811" t="s">
        <v>85</v>
      </c>
      <c r="G12" s="812"/>
      <c r="H12" s="812"/>
      <c r="I12" s="813"/>
      <c r="J12" s="814" t="s">
        <v>179</v>
      </c>
      <c r="K12" s="815">
        <f>EXP(-$K$8*((13-K11)/12))</f>
        <v>1</v>
      </c>
      <c r="O12" s="772"/>
      <c r="P12" s="772"/>
      <c r="Q12" s="786"/>
      <c r="R12" s="811" t="s">
        <v>85</v>
      </c>
      <c r="S12" s="812"/>
      <c r="T12" s="812"/>
      <c r="U12" s="813"/>
      <c r="V12" s="814" t="s">
        <v>179</v>
      </c>
      <c r="W12" s="815">
        <f>EXP(-$W$8*((13-W11)/12))</f>
        <v>1</v>
      </c>
    </row>
    <row r="13" spans="1:23" ht="13.5" thickBot="1">
      <c r="C13" s="816"/>
      <c r="D13" s="816"/>
      <c r="F13" s="817" t="s">
        <v>86</v>
      </c>
      <c r="G13" s="818"/>
      <c r="H13" s="818"/>
      <c r="I13" s="819"/>
      <c r="J13" s="820" t="s">
        <v>82</v>
      </c>
      <c r="K13" s="821">
        <f>CH4_fraction</f>
        <v>0.5</v>
      </c>
      <c r="O13" s="772"/>
      <c r="P13" s="816"/>
      <c r="Q13" s="786"/>
      <c r="R13" s="817" t="s">
        <v>86</v>
      </c>
      <c r="S13" s="818"/>
      <c r="T13" s="818"/>
      <c r="U13" s="819"/>
      <c r="V13" s="820" t="s">
        <v>82</v>
      </c>
      <c r="W13" s="821">
        <f>CH4_fraction</f>
        <v>0.5</v>
      </c>
    </row>
    <row r="14" spans="1:23" ht="13.5" thickBot="1">
      <c r="F14" s="822"/>
      <c r="G14" s="822"/>
      <c r="H14" s="822"/>
      <c r="I14" s="822"/>
      <c r="J14" s="822"/>
      <c r="K14" s="822"/>
      <c r="O14" s="772"/>
      <c r="P14" s="772"/>
      <c r="Q14" s="786"/>
      <c r="R14" s="822"/>
      <c r="S14" s="822"/>
      <c r="T14" s="822"/>
      <c r="U14" s="822"/>
      <c r="V14" s="822"/>
      <c r="W14" s="822"/>
    </row>
    <row r="15" spans="1:23" ht="89.25">
      <c r="B15" s="823" t="s">
        <v>1</v>
      </c>
      <c r="C15" s="824" t="s">
        <v>10</v>
      </c>
      <c r="D15" s="825" t="s">
        <v>239</v>
      </c>
      <c r="E15" s="826" t="s">
        <v>11</v>
      </c>
      <c r="F15" s="827" t="s">
        <v>180</v>
      </c>
      <c r="G15" s="827" t="s">
        <v>181</v>
      </c>
      <c r="H15" s="827" t="s">
        <v>182</v>
      </c>
      <c r="I15" s="827" t="s">
        <v>183</v>
      </c>
      <c r="J15" s="827" t="s">
        <v>184</v>
      </c>
      <c r="K15" s="828" t="s">
        <v>185</v>
      </c>
      <c r="O15" s="823" t="s">
        <v>1</v>
      </c>
      <c r="P15" s="824" t="s">
        <v>10</v>
      </c>
      <c r="Q15" s="826" t="s">
        <v>11</v>
      </c>
      <c r="R15" s="827" t="s">
        <v>180</v>
      </c>
      <c r="S15" s="827" t="s">
        <v>181</v>
      </c>
      <c r="T15" s="827" t="s">
        <v>182</v>
      </c>
      <c r="U15" s="827" t="s">
        <v>183</v>
      </c>
      <c r="V15" s="827" t="s">
        <v>184</v>
      </c>
      <c r="W15" s="828" t="s">
        <v>185</v>
      </c>
    </row>
    <row r="16" spans="1:23" ht="45">
      <c r="A16" s="829"/>
      <c r="B16" s="830"/>
      <c r="C16" s="831" t="s">
        <v>186</v>
      </c>
      <c r="D16" s="831" t="s">
        <v>240</v>
      </c>
      <c r="E16" s="832" t="s">
        <v>11</v>
      </c>
      <c r="F16" s="833" t="s">
        <v>254</v>
      </c>
      <c r="G16" s="833" t="s">
        <v>149</v>
      </c>
      <c r="H16" s="833" t="s">
        <v>150</v>
      </c>
      <c r="I16" s="833" t="s">
        <v>151</v>
      </c>
      <c r="J16" s="833" t="s">
        <v>191</v>
      </c>
      <c r="K16" s="834" t="s">
        <v>152</v>
      </c>
      <c r="O16" s="830"/>
      <c r="P16" s="831" t="s">
        <v>186</v>
      </c>
      <c r="Q16" s="832" t="s">
        <v>11</v>
      </c>
      <c r="R16" s="833" t="s">
        <v>187</v>
      </c>
      <c r="S16" s="833" t="s">
        <v>149</v>
      </c>
      <c r="T16" s="833" t="s">
        <v>150</v>
      </c>
      <c r="U16" s="833" t="s">
        <v>151</v>
      </c>
      <c r="V16" s="833" t="s">
        <v>191</v>
      </c>
      <c r="W16" s="834" t="s">
        <v>152</v>
      </c>
    </row>
    <row r="17" spans="2:23" ht="13.5" thickBot="1">
      <c r="B17" s="835"/>
      <c r="C17" s="836" t="s">
        <v>15</v>
      </c>
      <c r="D17" s="837" t="s">
        <v>20</v>
      </c>
      <c r="E17" s="837" t="s">
        <v>20</v>
      </c>
      <c r="F17" s="838" t="s">
        <v>15</v>
      </c>
      <c r="G17" s="838" t="s">
        <v>15</v>
      </c>
      <c r="H17" s="838" t="s">
        <v>15</v>
      </c>
      <c r="I17" s="838" t="s">
        <v>15</v>
      </c>
      <c r="J17" s="838" t="s">
        <v>15</v>
      </c>
      <c r="K17" s="839" t="s">
        <v>15</v>
      </c>
      <c r="O17" s="835"/>
      <c r="P17" s="836" t="s">
        <v>15</v>
      </c>
      <c r="Q17" s="837" t="s">
        <v>20</v>
      </c>
      <c r="R17" s="838" t="s">
        <v>15</v>
      </c>
      <c r="S17" s="838" t="s">
        <v>15</v>
      </c>
      <c r="T17" s="838" t="s">
        <v>15</v>
      </c>
      <c r="U17" s="838" t="s">
        <v>15</v>
      </c>
      <c r="V17" s="838" t="s">
        <v>15</v>
      </c>
      <c r="W17" s="839" t="s">
        <v>15</v>
      </c>
    </row>
    <row r="18" spans="2:23" ht="13.5" thickBot="1">
      <c r="B18" s="840"/>
      <c r="C18" s="841"/>
      <c r="D18" s="841"/>
      <c r="E18" s="842"/>
      <c r="F18" s="843"/>
      <c r="G18" s="844"/>
      <c r="H18" s="844"/>
      <c r="I18" s="844"/>
      <c r="J18" s="844"/>
      <c r="K18" s="845"/>
      <c r="O18" s="840"/>
      <c r="P18" s="841"/>
      <c r="Q18" s="842"/>
      <c r="R18" s="843"/>
      <c r="S18" s="844"/>
      <c r="T18" s="844"/>
      <c r="U18" s="844"/>
      <c r="V18" s="844"/>
      <c r="W18" s="845"/>
    </row>
    <row r="19" spans="2:23">
      <c r="B19" s="846">
        <f>Amnt_Deposited!B14</f>
        <v>2000</v>
      </c>
      <c r="C19" s="847">
        <f>Amnt_Deposited!C14</f>
        <v>0</v>
      </c>
      <c r="D19" s="848">
        <f>Dry_Matter_Content!C6</f>
        <v>0.59</v>
      </c>
      <c r="E19" s="849">
        <f>MCF!R18</f>
        <v>0.78500000000000003</v>
      </c>
      <c r="F19" s="850">
        <f>C19*D19*$K$6*DOCF*E19</f>
        <v>0</v>
      </c>
      <c r="G19" s="851">
        <f>F19*$K$12</f>
        <v>0</v>
      </c>
      <c r="H19" s="851">
        <f>F19*(1-$K$12)</f>
        <v>0</v>
      </c>
      <c r="I19" s="851">
        <f>G19+I18*$K$10</f>
        <v>0</v>
      </c>
      <c r="J19" s="883">
        <f>I18*(1-$K$10)+H19</f>
        <v>0</v>
      </c>
      <c r="K19" s="884">
        <f>J19*CH4_fraction*conv</f>
        <v>0</v>
      </c>
      <c r="O19" s="846">
        <f>Amnt_Deposited!B14</f>
        <v>2000</v>
      </c>
      <c r="P19" s="853">
        <f>Amnt_Deposited!C14</f>
        <v>0</v>
      </c>
      <c r="Q19" s="849">
        <f>MCF!R18</f>
        <v>0.78500000000000003</v>
      </c>
      <c r="R19" s="850">
        <f t="shared" ref="R19:R50" si="0">P19*$W$6*DOCF*Q19</f>
        <v>0</v>
      </c>
      <c r="S19" s="851">
        <f>R19*$W$12</f>
        <v>0</v>
      </c>
      <c r="T19" s="851">
        <f>R19*(1-$W$12)</f>
        <v>0</v>
      </c>
      <c r="U19" s="851">
        <f>S19+U18*$W$10</f>
        <v>0</v>
      </c>
      <c r="V19" s="851">
        <f>U18*(1-$W$10)+T19</f>
        <v>0</v>
      </c>
      <c r="W19" s="852">
        <f>V19*CH4_fraction*conv</f>
        <v>0</v>
      </c>
    </row>
    <row r="20" spans="2:23">
      <c r="B20" s="854">
        <f>Amnt_Deposited!B15</f>
        <v>2001</v>
      </c>
      <c r="C20" s="855">
        <f>Amnt_Deposited!C15</f>
        <v>0</v>
      </c>
      <c r="D20" s="856">
        <f>Dry_Matter_Content!C7</f>
        <v>0.59</v>
      </c>
      <c r="E20" s="857">
        <f>MCF!R19</f>
        <v>0.78500000000000003</v>
      </c>
      <c r="F20" s="858">
        <f t="shared" ref="F20:F50" si="1">C20*D20*$K$6*DOCF*E20</f>
        <v>0</v>
      </c>
      <c r="G20" s="858">
        <f t="shared" ref="G20:G50" si="2">F20*$K$12</f>
        <v>0</v>
      </c>
      <c r="H20" s="858">
        <f t="shared" ref="H20:H50" si="3">F20*(1-$K$12)</f>
        <v>0</v>
      </c>
      <c r="I20" s="858">
        <f t="shared" ref="I20:I50" si="4">G20+I19*$K$10</f>
        <v>0</v>
      </c>
      <c r="J20" s="885">
        <f>I19*(1-$K$10)+H20</f>
        <v>0</v>
      </c>
      <c r="K20" s="886">
        <f>J20*CH4_fraction*conv</f>
        <v>0</v>
      </c>
      <c r="M20" s="860"/>
      <c r="O20" s="854">
        <f>Amnt_Deposited!B15</f>
        <v>2001</v>
      </c>
      <c r="P20" s="861">
        <f>Amnt_Deposited!C15</f>
        <v>0</v>
      </c>
      <c r="Q20" s="857">
        <f>MCF!R19</f>
        <v>0.78500000000000003</v>
      </c>
      <c r="R20" s="858">
        <f t="shared" si="0"/>
        <v>0</v>
      </c>
      <c r="S20" s="858">
        <f>R20*$W$12</f>
        <v>0</v>
      </c>
      <c r="T20" s="858">
        <f>R20*(1-$W$12)</f>
        <v>0</v>
      </c>
      <c r="U20" s="858">
        <f>S20+U19*$W$10</f>
        <v>0</v>
      </c>
      <c r="V20" s="858">
        <f>U19*(1-$W$10)+T20</f>
        <v>0</v>
      </c>
      <c r="W20" s="859">
        <f>V20*CH4_fraction*conv</f>
        <v>0</v>
      </c>
    </row>
    <row r="21" spans="2:23">
      <c r="B21" s="854">
        <f>Amnt_Deposited!B16</f>
        <v>2002</v>
      </c>
      <c r="C21" s="855">
        <f>Amnt_Deposited!C16</f>
        <v>0</v>
      </c>
      <c r="D21" s="856">
        <f>Dry_Matter_Content!C8</f>
        <v>0.59</v>
      </c>
      <c r="E21" s="857">
        <f>MCF!R20</f>
        <v>0.78500000000000003</v>
      </c>
      <c r="F21" s="858">
        <f t="shared" si="1"/>
        <v>0</v>
      </c>
      <c r="G21" s="858">
        <f t="shared" si="2"/>
        <v>0</v>
      </c>
      <c r="H21" s="858">
        <f t="shared" si="3"/>
        <v>0</v>
      </c>
      <c r="I21" s="858">
        <f t="shared" si="4"/>
        <v>0</v>
      </c>
      <c r="J21" s="885">
        <f>I20*(1-$K$10)+H21</f>
        <v>0</v>
      </c>
      <c r="K21" s="886">
        <f>J21*CH4_fraction*conv</f>
        <v>0</v>
      </c>
      <c r="O21" s="854">
        <f>Amnt_Deposited!B16</f>
        <v>2002</v>
      </c>
      <c r="P21" s="861">
        <f>Amnt_Deposited!C16</f>
        <v>0</v>
      </c>
      <c r="Q21" s="857">
        <f>MCF!R20</f>
        <v>0.78500000000000003</v>
      </c>
      <c r="R21" s="858">
        <f t="shared" si="0"/>
        <v>0</v>
      </c>
      <c r="S21" s="858">
        <f t="shared" ref="S21:S84" si="5">R21*$W$12</f>
        <v>0</v>
      </c>
      <c r="T21" s="858">
        <f t="shared" ref="T21:T84" si="6">R21*(1-$W$12)</f>
        <v>0</v>
      </c>
      <c r="U21" s="858">
        <f t="shared" ref="U21:U84" si="7">S21+U20*$W$10</f>
        <v>0</v>
      </c>
      <c r="V21" s="858">
        <f t="shared" ref="V21:V84" si="8">U20*(1-$W$10)+T21</f>
        <v>0</v>
      </c>
      <c r="W21" s="859">
        <f t="shared" ref="W21:W84" si="9">V21*CH4_fraction*conv</f>
        <v>0</v>
      </c>
    </row>
    <row r="22" spans="2:23">
      <c r="B22" s="854">
        <f>Amnt_Deposited!B17</f>
        <v>2003</v>
      </c>
      <c r="C22" s="855">
        <f>Amnt_Deposited!C17</f>
        <v>0</v>
      </c>
      <c r="D22" s="856">
        <f>Dry_Matter_Content!C9</f>
        <v>0.59</v>
      </c>
      <c r="E22" s="857">
        <f>MCF!R21</f>
        <v>0.78500000000000003</v>
      </c>
      <c r="F22" s="858">
        <f t="shared" si="1"/>
        <v>0</v>
      </c>
      <c r="G22" s="858">
        <f t="shared" si="2"/>
        <v>0</v>
      </c>
      <c r="H22" s="858">
        <f t="shared" si="3"/>
        <v>0</v>
      </c>
      <c r="I22" s="858">
        <f t="shared" si="4"/>
        <v>0</v>
      </c>
      <c r="J22" s="885">
        <f t="shared" ref="J22:J50" si="10">I21*(1-$K$10)+H22</f>
        <v>0</v>
      </c>
      <c r="K22" s="886">
        <f t="shared" ref="K22:K84" si="11">J22*CH4_fraction*conv</f>
        <v>0</v>
      </c>
      <c r="N22" s="862"/>
      <c r="O22" s="854">
        <f>Amnt_Deposited!B17</f>
        <v>2003</v>
      </c>
      <c r="P22" s="861">
        <f>Amnt_Deposited!C17</f>
        <v>0</v>
      </c>
      <c r="Q22" s="857">
        <f>MCF!R21</f>
        <v>0.78500000000000003</v>
      </c>
      <c r="R22" s="858">
        <f t="shared" si="0"/>
        <v>0</v>
      </c>
      <c r="S22" s="858">
        <f t="shared" si="5"/>
        <v>0</v>
      </c>
      <c r="T22" s="858">
        <f t="shared" si="6"/>
        <v>0</v>
      </c>
      <c r="U22" s="858">
        <f t="shared" si="7"/>
        <v>0</v>
      </c>
      <c r="V22" s="858">
        <f t="shared" si="8"/>
        <v>0</v>
      </c>
      <c r="W22" s="859">
        <f t="shared" si="9"/>
        <v>0</v>
      </c>
    </row>
    <row r="23" spans="2:23">
      <c r="B23" s="854">
        <f>Amnt_Deposited!B18</f>
        <v>2004</v>
      </c>
      <c r="C23" s="855">
        <f>Amnt_Deposited!C18</f>
        <v>0</v>
      </c>
      <c r="D23" s="856">
        <f>Dry_Matter_Content!C10</f>
        <v>0.59</v>
      </c>
      <c r="E23" s="857">
        <f>MCF!R22</f>
        <v>0.78500000000000003</v>
      </c>
      <c r="F23" s="858">
        <f t="shared" si="1"/>
        <v>0</v>
      </c>
      <c r="G23" s="858">
        <f t="shared" si="2"/>
        <v>0</v>
      </c>
      <c r="H23" s="858">
        <f t="shared" si="3"/>
        <v>0</v>
      </c>
      <c r="I23" s="858">
        <f t="shared" si="4"/>
        <v>0</v>
      </c>
      <c r="J23" s="885">
        <f t="shared" si="10"/>
        <v>0</v>
      </c>
      <c r="K23" s="886">
        <f t="shared" si="11"/>
        <v>0</v>
      </c>
      <c r="N23" s="862"/>
      <c r="O23" s="854">
        <f>Amnt_Deposited!B18</f>
        <v>2004</v>
      </c>
      <c r="P23" s="861">
        <f>Amnt_Deposited!C18</f>
        <v>0</v>
      </c>
      <c r="Q23" s="857">
        <f>MCF!R22</f>
        <v>0.78500000000000003</v>
      </c>
      <c r="R23" s="858">
        <f t="shared" si="0"/>
        <v>0</v>
      </c>
      <c r="S23" s="858">
        <f t="shared" si="5"/>
        <v>0</v>
      </c>
      <c r="T23" s="858">
        <f t="shared" si="6"/>
        <v>0</v>
      </c>
      <c r="U23" s="858">
        <f t="shared" si="7"/>
        <v>0</v>
      </c>
      <c r="V23" s="858">
        <f t="shared" si="8"/>
        <v>0</v>
      </c>
      <c r="W23" s="859">
        <f t="shared" si="9"/>
        <v>0</v>
      </c>
    </row>
    <row r="24" spans="2:23">
      <c r="B24" s="854">
        <f>Amnt_Deposited!B19</f>
        <v>2005</v>
      </c>
      <c r="C24" s="855">
        <f>Amnt_Deposited!C19</f>
        <v>0</v>
      </c>
      <c r="D24" s="856">
        <f>Dry_Matter_Content!C11</f>
        <v>0.59</v>
      </c>
      <c r="E24" s="857">
        <f>MCF!R23</f>
        <v>0.78500000000000003</v>
      </c>
      <c r="F24" s="858">
        <f t="shared" si="1"/>
        <v>0</v>
      </c>
      <c r="G24" s="858">
        <f t="shared" si="2"/>
        <v>0</v>
      </c>
      <c r="H24" s="858">
        <f t="shared" si="3"/>
        <v>0</v>
      </c>
      <c r="I24" s="858">
        <f t="shared" si="4"/>
        <v>0</v>
      </c>
      <c r="J24" s="885">
        <f t="shared" si="10"/>
        <v>0</v>
      </c>
      <c r="K24" s="886">
        <f t="shared" si="11"/>
        <v>0</v>
      </c>
      <c r="N24" s="862"/>
      <c r="O24" s="854">
        <f>Amnt_Deposited!B19</f>
        <v>2005</v>
      </c>
      <c r="P24" s="861">
        <f>Amnt_Deposited!C19</f>
        <v>0</v>
      </c>
      <c r="Q24" s="857">
        <f>MCF!R23</f>
        <v>0.78500000000000003</v>
      </c>
      <c r="R24" s="858">
        <f t="shared" si="0"/>
        <v>0</v>
      </c>
      <c r="S24" s="858">
        <f t="shared" si="5"/>
        <v>0</v>
      </c>
      <c r="T24" s="858">
        <f t="shared" si="6"/>
        <v>0</v>
      </c>
      <c r="U24" s="858">
        <f t="shared" si="7"/>
        <v>0</v>
      </c>
      <c r="V24" s="858">
        <f t="shared" si="8"/>
        <v>0</v>
      </c>
      <c r="W24" s="859">
        <f t="shared" si="9"/>
        <v>0</v>
      </c>
    </row>
    <row r="25" spans="2:23">
      <c r="B25" s="854">
        <f>Amnt_Deposited!B20</f>
        <v>2006</v>
      </c>
      <c r="C25" s="855">
        <f>Amnt_Deposited!C20</f>
        <v>0</v>
      </c>
      <c r="D25" s="856">
        <f>Dry_Matter_Content!C12</f>
        <v>0.59</v>
      </c>
      <c r="E25" s="857">
        <f>MCF!R24</f>
        <v>0.78500000000000003</v>
      </c>
      <c r="F25" s="858">
        <f t="shared" si="1"/>
        <v>0</v>
      </c>
      <c r="G25" s="858">
        <f t="shared" si="2"/>
        <v>0</v>
      </c>
      <c r="H25" s="858">
        <f t="shared" si="3"/>
        <v>0</v>
      </c>
      <c r="I25" s="858">
        <f t="shared" si="4"/>
        <v>0</v>
      </c>
      <c r="J25" s="885">
        <f t="shared" si="10"/>
        <v>0</v>
      </c>
      <c r="K25" s="886">
        <f t="shared" si="11"/>
        <v>0</v>
      </c>
      <c r="N25" s="862"/>
      <c r="O25" s="854">
        <f>Amnt_Deposited!B20</f>
        <v>2006</v>
      </c>
      <c r="P25" s="861">
        <f>Amnt_Deposited!C20</f>
        <v>0</v>
      </c>
      <c r="Q25" s="857">
        <f>MCF!R24</f>
        <v>0.78500000000000003</v>
      </c>
      <c r="R25" s="858">
        <f t="shared" si="0"/>
        <v>0</v>
      </c>
      <c r="S25" s="858">
        <f t="shared" si="5"/>
        <v>0</v>
      </c>
      <c r="T25" s="858">
        <f t="shared" si="6"/>
        <v>0</v>
      </c>
      <c r="U25" s="858">
        <f t="shared" si="7"/>
        <v>0</v>
      </c>
      <c r="V25" s="858">
        <f t="shared" si="8"/>
        <v>0</v>
      </c>
      <c r="W25" s="859">
        <f t="shared" si="9"/>
        <v>0</v>
      </c>
    </row>
    <row r="26" spans="2:23">
      <c r="B26" s="854">
        <f>Amnt_Deposited!B21</f>
        <v>2007</v>
      </c>
      <c r="C26" s="855">
        <f>Amnt_Deposited!C21</f>
        <v>0</v>
      </c>
      <c r="D26" s="856">
        <f>Dry_Matter_Content!C13</f>
        <v>0.59</v>
      </c>
      <c r="E26" s="857">
        <f>MCF!R25</f>
        <v>0.78500000000000003</v>
      </c>
      <c r="F26" s="858">
        <f t="shared" si="1"/>
        <v>0</v>
      </c>
      <c r="G26" s="858">
        <f t="shared" si="2"/>
        <v>0</v>
      </c>
      <c r="H26" s="858">
        <f t="shared" si="3"/>
        <v>0</v>
      </c>
      <c r="I26" s="858">
        <f t="shared" si="4"/>
        <v>0</v>
      </c>
      <c r="J26" s="885">
        <f t="shared" si="10"/>
        <v>0</v>
      </c>
      <c r="K26" s="886">
        <f t="shared" si="11"/>
        <v>0</v>
      </c>
      <c r="N26" s="862"/>
      <c r="O26" s="854">
        <f>Amnt_Deposited!B21</f>
        <v>2007</v>
      </c>
      <c r="P26" s="861">
        <f>Amnt_Deposited!C21</f>
        <v>0</v>
      </c>
      <c r="Q26" s="857">
        <f>MCF!R25</f>
        <v>0.78500000000000003</v>
      </c>
      <c r="R26" s="858">
        <f t="shared" si="0"/>
        <v>0</v>
      </c>
      <c r="S26" s="858">
        <f t="shared" si="5"/>
        <v>0</v>
      </c>
      <c r="T26" s="858">
        <f t="shared" si="6"/>
        <v>0</v>
      </c>
      <c r="U26" s="858">
        <f t="shared" si="7"/>
        <v>0</v>
      </c>
      <c r="V26" s="858">
        <f t="shared" si="8"/>
        <v>0</v>
      </c>
      <c r="W26" s="859">
        <f t="shared" si="9"/>
        <v>0</v>
      </c>
    </row>
    <row r="27" spans="2:23">
      <c r="B27" s="854">
        <f>Amnt_Deposited!B22</f>
        <v>2008</v>
      </c>
      <c r="C27" s="855">
        <f>Amnt_Deposited!C22</f>
        <v>0</v>
      </c>
      <c r="D27" s="856">
        <f>Dry_Matter_Content!C14</f>
        <v>0.59</v>
      </c>
      <c r="E27" s="857">
        <f>MCF!R26</f>
        <v>0.78500000000000003</v>
      </c>
      <c r="F27" s="858">
        <f t="shared" si="1"/>
        <v>0</v>
      </c>
      <c r="G27" s="858">
        <f t="shared" si="2"/>
        <v>0</v>
      </c>
      <c r="H27" s="858">
        <f t="shared" si="3"/>
        <v>0</v>
      </c>
      <c r="I27" s="858">
        <f t="shared" si="4"/>
        <v>0</v>
      </c>
      <c r="J27" s="885">
        <f t="shared" si="10"/>
        <v>0</v>
      </c>
      <c r="K27" s="886">
        <f t="shared" si="11"/>
        <v>0</v>
      </c>
      <c r="N27" s="862"/>
      <c r="O27" s="854">
        <f>Amnt_Deposited!B22</f>
        <v>2008</v>
      </c>
      <c r="P27" s="861">
        <f>Amnt_Deposited!C22</f>
        <v>0</v>
      </c>
      <c r="Q27" s="857">
        <f>MCF!R26</f>
        <v>0.78500000000000003</v>
      </c>
      <c r="R27" s="858">
        <f t="shared" si="0"/>
        <v>0</v>
      </c>
      <c r="S27" s="858">
        <f t="shared" si="5"/>
        <v>0</v>
      </c>
      <c r="T27" s="858">
        <f t="shared" si="6"/>
        <v>0</v>
      </c>
      <c r="U27" s="858">
        <f t="shared" si="7"/>
        <v>0</v>
      </c>
      <c r="V27" s="858">
        <f t="shared" si="8"/>
        <v>0</v>
      </c>
      <c r="W27" s="859">
        <f t="shared" si="9"/>
        <v>0</v>
      </c>
    </row>
    <row r="28" spans="2:23">
      <c r="B28" s="854">
        <f>Amnt_Deposited!B23</f>
        <v>2009</v>
      </c>
      <c r="C28" s="855">
        <f>Amnt_Deposited!C23</f>
        <v>0</v>
      </c>
      <c r="D28" s="856">
        <f>Dry_Matter_Content!C15</f>
        <v>0.59</v>
      </c>
      <c r="E28" s="857">
        <f>MCF!R27</f>
        <v>0.78500000000000003</v>
      </c>
      <c r="F28" s="858">
        <f t="shared" si="1"/>
        <v>0</v>
      </c>
      <c r="G28" s="858">
        <f t="shared" si="2"/>
        <v>0</v>
      </c>
      <c r="H28" s="858">
        <f t="shared" si="3"/>
        <v>0</v>
      </c>
      <c r="I28" s="858">
        <f t="shared" si="4"/>
        <v>0</v>
      </c>
      <c r="J28" s="885">
        <f t="shared" si="10"/>
        <v>0</v>
      </c>
      <c r="K28" s="886">
        <f t="shared" si="11"/>
        <v>0</v>
      </c>
      <c r="N28" s="862"/>
      <c r="O28" s="854">
        <f>Amnt_Deposited!B23</f>
        <v>2009</v>
      </c>
      <c r="P28" s="861">
        <f>Amnt_Deposited!C23</f>
        <v>0</v>
      </c>
      <c r="Q28" s="857">
        <f>MCF!R27</f>
        <v>0.78500000000000003</v>
      </c>
      <c r="R28" s="858">
        <f t="shared" si="0"/>
        <v>0</v>
      </c>
      <c r="S28" s="858">
        <f t="shared" si="5"/>
        <v>0</v>
      </c>
      <c r="T28" s="858">
        <f t="shared" si="6"/>
        <v>0</v>
      </c>
      <c r="U28" s="858">
        <f t="shared" si="7"/>
        <v>0</v>
      </c>
      <c r="V28" s="858">
        <f t="shared" si="8"/>
        <v>0</v>
      </c>
      <c r="W28" s="859">
        <f t="shared" si="9"/>
        <v>0</v>
      </c>
    </row>
    <row r="29" spans="2:23">
      <c r="B29" s="854">
        <f>Amnt_Deposited!B24</f>
        <v>2010</v>
      </c>
      <c r="C29" s="855">
        <f>Amnt_Deposited!C24</f>
        <v>0</v>
      </c>
      <c r="D29" s="856">
        <f>Dry_Matter_Content!C16</f>
        <v>0.59</v>
      </c>
      <c r="E29" s="857">
        <f>MCF!R28</f>
        <v>0.78500000000000003</v>
      </c>
      <c r="F29" s="858">
        <f t="shared" si="1"/>
        <v>0</v>
      </c>
      <c r="G29" s="858">
        <f t="shared" si="2"/>
        <v>0</v>
      </c>
      <c r="H29" s="858">
        <f t="shared" si="3"/>
        <v>0</v>
      </c>
      <c r="I29" s="858">
        <f t="shared" si="4"/>
        <v>0</v>
      </c>
      <c r="J29" s="885">
        <f t="shared" si="10"/>
        <v>0</v>
      </c>
      <c r="K29" s="886">
        <f t="shared" si="11"/>
        <v>0</v>
      </c>
      <c r="O29" s="854">
        <f>Amnt_Deposited!B24</f>
        <v>2010</v>
      </c>
      <c r="P29" s="861">
        <f>Amnt_Deposited!C24</f>
        <v>0</v>
      </c>
      <c r="Q29" s="857">
        <f>MCF!R28</f>
        <v>0.78500000000000003</v>
      </c>
      <c r="R29" s="858">
        <f t="shared" si="0"/>
        <v>0</v>
      </c>
      <c r="S29" s="858">
        <f t="shared" si="5"/>
        <v>0</v>
      </c>
      <c r="T29" s="858">
        <f t="shared" si="6"/>
        <v>0</v>
      </c>
      <c r="U29" s="858">
        <f t="shared" si="7"/>
        <v>0</v>
      </c>
      <c r="V29" s="858">
        <f t="shared" si="8"/>
        <v>0</v>
      </c>
      <c r="W29" s="859">
        <f t="shared" si="9"/>
        <v>0</v>
      </c>
    </row>
    <row r="30" spans="2:23">
      <c r="B30" s="854">
        <f>Amnt_Deposited!B25</f>
        <v>2011</v>
      </c>
      <c r="C30" s="771">
        <f>Amnt_Deposited!C25</f>
        <v>91.533540260354997</v>
      </c>
      <c r="D30" s="856">
        <f>Dry_Matter_Content!C17</f>
        <v>0.59</v>
      </c>
      <c r="E30" s="857">
        <f>MCF!R29</f>
        <v>0.78500000000000003</v>
      </c>
      <c r="F30" s="858">
        <f t="shared" si="1"/>
        <v>8.05481424260085</v>
      </c>
      <c r="G30" s="858">
        <f t="shared" si="2"/>
        <v>8.05481424260085</v>
      </c>
      <c r="H30" s="858">
        <f t="shared" si="3"/>
        <v>0</v>
      </c>
      <c r="I30" s="858">
        <f t="shared" si="4"/>
        <v>8.05481424260085</v>
      </c>
      <c r="J30" s="885">
        <f t="shared" si="10"/>
        <v>0</v>
      </c>
      <c r="K30" s="886">
        <f t="shared" si="11"/>
        <v>0</v>
      </c>
      <c r="O30" s="854">
        <f>Amnt_Deposited!B25</f>
        <v>2011</v>
      </c>
      <c r="P30" s="861">
        <f>Amnt_Deposited!C25</f>
        <v>91.533540260354997</v>
      </c>
      <c r="Q30" s="857">
        <f>MCF!R29</f>
        <v>0.78500000000000003</v>
      </c>
      <c r="R30" s="858">
        <f t="shared" si="0"/>
        <v>5.3890371828284005</v>
      </c>
      <c r="S30" s="858">
        <f t="shared" si="5"/>
        <v>5.3890371828284005</v>
      </c>
      <c r="T30" s="858">
        <f t="shared" si="6"/>
        <v>0</v>
      </c>
      <c r="U30" s="858">
        <f t="shared" si="7"/>
        <v>5.3890371828284005</v>
      </c>
      <c r="V30" s="858">
        <f t="shared" si="8"/>
        <v>0</v>
      </c>
      <c r="W30" s="859">
        <f t="shared" si="9"/>
        <v>0</v>
      </c>
    </row>
    <row r="31" spans="2:23">
      <c r="B31" s="854">
        <f>Amnt_Deposited!B26</f>
        <v>2012</v>
      </c>
      <c r="C31" s="771">
        <f>Amnt_Deposited!C26</f>
        <v>93.496516850760003</v>
      </c>
      <c r="D31" s="856">
        <f>Dry_Matter_Content!C18</f>
        <v>0.59</v>
      </c>
      <c r="E31" s="857">
        <f>MCF!R30</f>
        <v>0.78500000000000003</v>
      </c>
      <c r="F31" s="858">
        <f t="shared" si="1"/>
        <v>8.2275532380916037</v>
      </c>
      <c r="G31" s="858">
        <f t="shared" si="2"/>
        <v>8.2275532380916037</v>
      </c>
      <c r="H31" s="858">
        <f t="shared" si="3"/>
        <v>0</v>
      </c>
      <c r="I31" s="858">
        <f t="shared" si="4"/>
        <v>13.626856692000329</v>
      </c>
      <c r="J31" s="885">
        <f t="shared" si="10"/>
        <v>2.655510788692125</v>
      </c>
      <c r="K31" s="886">
        <f t="shared" si="11"/>
        <v>1.77034052579475</v>
      </c>
      <c r="O31" s="854">
        <f>Amnt_Deposited!B26</f>
        <v>2012</v>
      </c>
      <c r="P31" s="861">
        <f>Amnt_Deposited!C26</f>
        <v>93.496516850760003</v>
      </c>
      <c r="Q31" s="857">
        <f>MCF!R30</f>
        <v>0.78500000000000003</v>
      </c>
      <c r="R31" s="858">
        <f t="shared" si="0"/>
        <v>5.5046074295884955</v>
      </c>
      <c r="S31" s="858">
        <f t="shared" si="5"/>
        <v>5.5046074295884955</v>
      </c>
      <c r="T31" s="858">
        <f t="shared" si="6"/>
        <v>0</v>
      </c>
      <c r="U31" s="858">
        <f t="shared" si="7"/>
        <v>9.1169870820698016</v>
      </c>
      <c r="V31" s="858">
        <f t="shared" si="8"/>
        <v>1.7766575303470951</v>
      </c>
      <c r="W31" s="859">
        <f t="shared" si="9"/>
        <v>1.18443835356473</v>
      </c>
    </row>
    <row r="32" spans="2:23">
      <c r="B32" s="854">
        <f>Amnt_Deposited!B27</f>
        <v>2013</v>
      </c>
      <c r="C32" s="771">
        <f>Amnt_Deposited!C27</f>
        <v>95.713626034829986</v>
      </c>
      <c r="D32" s="856">
        <f>Dry_Matter_Content!C19</f>
        <v>0.59</v>
      </c>
      <c r="E32" s="857">
        <f>MCF!R31</f>
        <v>0.78500000000000003</v>
      </c>
      <c r="F32" s="858">
        <f t="shared" si="1"/>
        <v>8.4226555206259874</v>
      </c>
      <c r="G32" s="858">
        <f t="shared" si="2"/>
        <v>8.4226555206259874</v>
      </c>
      <c r="H32" s="858">
        <f t="shared" si="3"/>
        <v>0</v>
      </c>
      <c r="I32" s="858">
        <f t="shared" si="4"/>
        <v>17.557010725728709</v>
      </c>
      <c r="J32" s="885">
        <f t="shared" si="10"/>
        <v>4.4925014868976083</v>
      </c>
      <c r="K32" s="886">
        <f t="shared" si="11"/>
        <v>2.9950009912650719</v>
      </c>
      <c r="O32" s="854">
        <f>Amnt_Deposited!B27</f>
        <v>2013</v>
      </c>
      <c r="P32" s="861">
        <f>Amnt_Deposited!C27</f>
        <v>95.713626034829986</v>
      </c>
      <c r="Q32" s="857">
        <f>MCF!R31</f>
        <v>0.78500000000000003</v>
      </c>
      <c r="R32" s="858">
        <f t="shared" si="0"/>
        <v>5.6351397328006154</v>
      </c>
      <c r="S32" s="858">
        <f t="shared" si="5"/>
        <v>5.6351397328006154</v>
      </c>
      <c r="T32" s="858">
        <f t="shared" si="6"/>
        <v>0</v>
      </c>
      <c r="U32" s="858">
        <f t="shared" si="7"/>
        <v>11.746438933359974</v>
      </c>
      <c r="V32" s="858">
        <f t="shared" si="8"/>
        <v>3.0056878815104433</v>
      </c>
      <c r="W32" s="859">
        <f t="shared" si="9"/>
        <v>2.0037919210069619</v>
      </c>
    </row>
    <row r="33" spans="2:23">
      <c r="B33" s="854">
        <f>Amnt_Deposited!B28</f>
        <v>2014</v>
      </c>
      <c r="C33" s="771">
        <f>Amnt_Deposited!C28</f>
        <v>97.913255773979998</v>
      </c>
      <c r="D33" s="856">
        <f>Dry_Matter_Content!C20</f>
        <v>0.59</v>
      </c>
      <c r="E33" s="857">
        <f>MCF!R32</f>
        <v>0.78500000000000003</v>
      </c>
      <c r="F33" s="858">
        <f t="shared" si="1"/>
        <v>8.6162196382265783</v>
      </c>
      <c r="G33" s="858">
        <f t="shared" si="2"/>
        <v>8.6162196382265783</v>
      </c>
      <c r="H33" s="858">
        <f t="shared" si="3"/>
        <v>0</v>
      </c>
      <c r="I33" s="858">
        <f t="shared" si="4"/>
        <v>20.38503587614526</v>
      </c>
      <c r="J33" s="885">
        <f t="shared" si="10"/>
        <v>5.7881944878100278</v>
      </c>
      <c r="K33" s="886">
        <f t="shared" si="11"/>
        <v>3.858796325206685</v>
      </c>
      <c r="O33" s="854">
        <f>Amnt_Deposited!B28</f>
        <v>2014</v>
      </c>
      <c r="P33" s="861">
        <f>Amnt_Deposited!C28</f>
        <v>97.913255773979998</v>
      </c>
      <c r="Q33" s="857">
        <f>MCF!R32</f>
        <v>0.78500000000000003</v>
      </c>
      <c r="R33" s="858">
        <f t="shared" si="0"/>
        <v>5.7646429336930725</v>
      </c>
      <c r="S33" s="858">
        <f t="shared" si="5"/>
        <v>5.7646429336930725</v>
      </c>
      <c r="T33" s="858">
        <f t="shared" si="6"/>
        <v>0</v>
      </c>
      <c r="U33" s="858">
        <f t="shared" si="7"/>
        <v>13.638516420257755</v>
      </c>
      <c r="V33" s="858">
        <f t="shared" si="8"/>
        <v>3.8725654467952899</v>
      </c>
      <c r="W33" s="859">
        <f t="shared" si="9"/>
        <v>2.5817102978635265</v>
      </c>
    </row>
    <row r="34" spans="2:23">
      <c r="B34" s="854">
        <f>Amnt_Deposited!B29</f>
        <v>2015</v>
      </c>
      <c r="C34" s="771">
        <f>Amnt_Deposited!C29</f>
        <v>100.10077420484998</v>
      </c>
      <c r="D34" s="856">
        <f>Dry_Matter_Content!C21</f>
        <v>0.59</v>
      </c>
      <c r="E34" s="857">
        <f>MCF!R33</f>
        <v>0.78500000000000003</v>
      </c>
      <c r="F34" s="858">
        <f t="shared" si="1"/>
        <v>8.8087179788654915</v>
      </c>
      <c r="G34" s="858">
        <f t="shared" si="2"/>
        <v>8.8087179788654915</v>
      </c>
      <c r="H34" s="858">
        <f t="shared" si="3"/>
        <v>0</v>
      </c>
      <c r="I34" s="858">
        <f t="shared" si="4"/>
        <v>22.47321616580134</v>
      </c>
      <c r="J34" s="885">
        <f t="shared" si="10"/>
        <v>6.7205376892094097</v>
      </c>
      <c r="K34" s="886">
        <f t="shared" si="11"/>
        <v>4.4803584594729395</v>
      </c>
      <c r="O34" s="854">
        <f>Amnt_Deposited!B29</f>
        <v>2015</v>
      </c>
      <c r="P34" s="861">
        <f>Amnt_Deposited!C29</f>
        <v>100.10077420484998</v>
      </c>
      <c r="Q34" s="857">
        <f>MCF!R33</f>
        <v>0.78500000000000003</v>
      </c>
      <c r="R34" s="858">
        <f t="shared" si="0"/>
        <v>5.8934330813105431</v>
      </c>
      <c r="S34" s="858">
        <f t="shared" si="5"/>
        <v>5.8934330813105431</v>
      </c>
      <c r="T34" s="858">
        <f t="shared" si="6"/>
        <v>0</v>
      </c>
      <c r="U34" s="858">
        <f t="shared" si="7"/>
        <v>15.035604035995544</v>
      </c>
      <c r="V34" s="858">
        <f t="shared" si="8"/>
        <v>4.4963454655727535</v>
      </c>
      <c r="W34" s="859">
        <f t="shared" si="9"/>
        <v>2.9975636437151687</v>
      </c>
    </row>
    <row r="35" spans="2:23">
      <c r="B35" s="854">
        <f>Amnt_Deposited!B30</f>
        <v>2016</v>
      </c>
      <c r="C35" s="771">
        <f>Amnt_Deposited!C30</f>
        <v>102.271150074375</v>
      </c>
      <c r="D35" s="856">
        <f>Dry_Matter_Content!C22</f>
        <v>0.59</v>
      </c>
      <c r="E35" s="857">
        <f>MCF!R34</f>
        <v>0.78500000000000003</v>
      </c>
      <c r="F35" s="858">
        <f t="shared" si="1"/>
        <v>8.9997077998198876</v>
      </c>
      <c r="G35" s="858">
        <f t="shared" si="2"/>
        <v>8.9997077998198876</v>
      </c>
      <c r="H35" s="858">
        <f t="shared" si="3"/>
        <v>0</v>
      </c>
      <c r="I35" s="858">
        <f t="shared" si="4"/>
        <v>24.063955094648716</v>
      </c>
      <c r="J35" s="885">
        <f t="shared" si="10"/>
        <v>7.4089688709725117</v>
      </c>
      <c r="K35" s="886">
        <f t="shared" si="11"/>
        <v>4.9393125806483411</v>
      </c>
      <c r="O35" s="854">
        <f>Amnt_Deposited!B30</f>
        <v>2016</v>
      </c>
      <c r="P35" s="861">
        <f>Amnt_Deposited!C30</f>
        <v>102.271150074375</v>
      </c>
      <c r="Q35" s="857">
        <f>MCF!R34</f>
        <v>0.78500000000000003</v>
      </c>
      <c r="R35" s="858">
        <f t="shared" si="0"/>
        <v>6.0212139606288284</v>
      </c>
      <c r="S35" s="858">
        <f t="shared" si="5"/>
        <v>6.0212139606288284</v>
      </c>
      <c r="T35" s="858">
        <f t="shared" si="6"/>
        <v>0</v>
      </c>
      <c r="U35" s="858">
        <f t="shared" si="7"/>
        <v>16.099880750211007</v>
      </c>
      <c r="V35" s="858">
        <f t="shared" si="8"/>
        <v>4.9569372464133661</v>
      </c>
      <c r="W35" s="859">
        <f t="shared" si="9"/>
        <v>3.3046248309422439</v>
      </c>
    </row>
    <row r="36" spans="2:23">
      <c r="B36" s="854">
        <f>Amnt_Deposited!B31</f>
        <v>2017</v>
      </c>
      <c r="C36" s="771">
        <f>Amnt_Deposited!C31</f>
        <v>107.78400078125014</v>
      </c>
      <c r="D36" s="856">
        <f>Dry_Matter_Content!C23</f>
        <v>0.59</v>
      </c>
      <c r="E36" s="857">
        <f>MCF!R35</f>
        <v>0.78500000000000003</v>
      </c>
      <c r="F36" s="858">
        <f t="shared" si="1"/>
        <v>9.4848303927488402</v>
      </c>
      <c r="G36" s="858">
        <f t="shared" si="2"/>
        <v>9.4848303927488402</v>
      </c>
      <c r="H36" s="858">
        <f t="shared" si="3"/>
        <v>0</v>
      </c>
      <c r="I36" s="858">
        <f t="shared" si="4"/>
        <v>25.615381879593325</v>
      </c>
      <c r="J36" s="885">
        <f t="shared" si="10"/>
        <v>7.9334036078042312</v>
      </c>
      <c r="K36" s="886">
        <f t="shared" si="11"/>
        <v>5.2889357385361535</v>
      </c>
      <c r="O36" s="854">
        <f>Amnt_Deposited!B31</f>
        <v>2017</v>
      </c>
      <c r="P36" s="861">
        <f>Amnt_Deposited!C31</f>
        <v>107.78400078125014</v>
      </c>
      <c r="Q36" s="857">
        <f>MCF!R35</f>
        <v>0.78500000000000003</v>
      </c>
      <c r="R36" s="858">
        <f t="shared" si="0"/>
        <v>6.3457830459961029</v>
      </c>
      <c r="S36" s="858">
        <f t="shared" si="5"/>
        <v>6.3457830459961029</v>
      </c>
      <c r="T36" s="858">
        <f t="shared" si="6"/>
        <v>0</v>
      </c>
      <c r="U36" s="858">
        <f t="shared" si="7"/>
        <v>17.137855851645849</v>
      </c>
      <c r="V36" s="858">
        <f t="shared" si="8"/>
        <v>5.3078079445612616</v>
      </c>
      <c r="W36" s="859">
        <f t="shared" si="9"/>
        <v>3.5385386297075074</v>
      </c>
    </row>
    <row r="37" spans="2:23">
      <c r="B37" s="854">
        <f>Amnt_Deposited!B32</f>
        <v>2018</v>
      </c>
      <c r="C37" s="771">
        <f>Amnt_Deposited!C32</f>
        <v>113.3553874465784</v>
      </c>
      <c r="D37" s="856">
        <f>Dry_Matter_Content!C24</f>
        <v>0.59</v>
      </c>
      <c r="E37" s="857">
        <f>MCF!R36</f>
        <v>0.78500000000000003</v>
      </c>
      <c r="F37" s="858">
        <f t="shared" si="1"/>
        <v>9.9751040622177314</v>
      </c>
      <c r="G37" s="858">
        <f t="shared" si="2"/>
        <v>9.9751040622177314</v>
      </c>
      <c r="H37" s="858">
        <f t="shared" si="3"/>
        <v>0</v>
      </c>
      <c r="I37" s="858">
        <f t="shared" si="4"/>
        <v>27.14560802296721</v>
      </c>
      <c r="J37" s="885">
        <f t="shared" si="10"/>
        <v>8.4448779188438454</v>
      </c>
      <c r="K37" s="886">
        <f t="shared" si="11"/>
        <v>5.6299186125625633</v>
      </c>
      <c r="O37" s="854">
        <f>Amnt_Deposited!B32</f>
        <v>2018</v>
      </c>
      <c r="P37" s="861">
        <f>Amnt_Deposited!C32</f>
        <v>113.3553874465784</v>
      </c>
      <c r="Q37" s="857">
        <f>MCF!R36</f>
        <v>0.78500000000000003</v>
      </c>
      <c r="R37" s="858">
        <f t="shared" si="0"/>
        <v>6.6737984359173028</v>
      </c>
      <c r="S37" s="858">
        <f t="shared" si="5"/>
        <v>6.6737984359173028</v>
      </c>
      <c r="T37" s="858">
        <f t="shared" si="6"/>
        <v>0</v>
      </c>
      <c r="U37" s="858">
        <f t="shared" si="7"/>
        <v>18.161646759344698</v>
      </c>
      <c r="V37" s="858">
        <f t="shared" si="8"/>
        <v>5.6500075282184525</v>
      </c>
      <c r="W37" s="859">
        <f t="shared" si="9"/>
        <v>3.7666716854789684</v>
      </c>
    </row>
    <row r="38" spans="2:23">
      <c r="B38" s="854">
        <f>Amnt_Deposited!B33</f>
        <v>2019</v>
      </c>
      <c r="C38" s="771">
        <f>Amnt_Deposited!C33</f>
        <v>119.14082828533043</v>
      </c>
      <c r="D38" s="856">
        <f>Dry_Matter_Content!C25</f>
        <v>0.59</v>
      </c>
      <c r="E38" s="857">
        <f>MCF!R37</f>
        <v>0.78500000000000003</v>
      </c>
      <c r="F38" s="858">
        <f t="shared" si="1"/>
        <v>10.484214177866649</v>
      </c>
      <c r="G38" s="858">
        <f t="shared" si="2"/>
        <v>10.484214177866649</v>
      </c>
      <c r="H38" s="858">
        <f t="shared" si="3"/>
        <v>0</v>
      </c>
      <c r="I38" s="858">
        <f t="shared" si="4"/>
        <v>28.680459397487446</v>
      </c>
      <c r="J38" s="885">
        <f t="shared" si="10"/>
        <v>8.9493628033464088</v>
      </c>
      <c r="K38" s="886">
        <f t="shared" si="11"/>
        <v>5.9662418688976055</v>
      </c>
      <c r="O38" s="854">
        <f>Amnt_Deposited!B33</f>
        <v>2019</v>
      </c>
      <c r="P38" s="861">
        <f>Amnt_Deposited!C33</f>
        <v>119.14082828533043</v>
      </c>
      <c r="Q38" s="857">
        <f>MCF!R37</f>
        <v>0.78500000000000003</v>
      </c>
      <c r="R38" s="858">
        <f t="shared" si="0"/>
        <v>7.0144162652988289</v>
      </c>
      <c r="S38" s="858">
        <f t="shared" si="5"/>
        <v>7.0144162652988289</v>
      </c>
      <c r="T38" s="858">
        <f t="shared" si="6"/>
        <v>0</v>
      </c>
      <c r="U38" s="858">
        <f t="shared" si="7"/>
        <v>19.188532157105787</v>
      </c>
      <c r="V38" s="858">
        <f t="shared" si="8"/>
        <v>5.9875308675377408</v>
      </c>
      <c r="W38" s="859">
        <f t="shared" si="9"/>
        <v>3.9916872450251604</v>
      </c>
    </row>
    <row r="39" spans="2:23">
      <c r="B39" s="854">
        <f>Amnt_Deposited!B34</f>
        <v>2020</v>
      </c>
      <c r="C39" s="771">
        <f>Amnt_Deposited!C34</f>
        <v>125.14761726617165</v>
      </c>
      <c r="D39" s="856">
        <f>Dry_Matter_Content!C26</f>
        <v>0.59</v>
      </c>
      <c r="E39" s="857">
        <f>MCF!R38</f>
        <v>0.78500000000000003</v>
      </c>
      <c r="F39" s="858">
        <f t="shared" si="1"/>
        <v>11.012802597997206</v>
      </c>
      <c r="G39" s="858">
        <f t="shared" si="2"/>
        <v>11.012802597997206</v>
      </c>
      <c r="H39" s="858">
        <f t="shared" si="3"/>
        <v>0</v>
      </c>
      <c r="I39" s="858">
        <f t="shared" si="4"/>
        <v>30.237889461644279</v>
      </c>
      <c r="J39" s="885">
        <f t="shared" si="10"/>
        <v>9.4553725338403769</v>
      </c>
      <c r="K39" s="886">
        <f t="shared" si="11"/>
        <v>6.3035816892269176</v>
      </c>
      <c r="O39" s="854">
        <f>Amnt_Deposited!B34</f>
        <v>2020</v>
      </c>
      <c r="P39" s="861">
        <f>Amnt_Deposited!C34</f>
        <v>125.14761726617165</v>
      </c>
      <c r="Q39" s="857">
        <f>MCF!R38</f>
        <v>0.78500000000000003</v>
      </c>
      <c r="R39" s="858">
        <f t="shared" si="0"/>
        <v>7.3680659665458554</v>
      </c>
      <c r="S39" s="858">
        <f t="shared" si="5"/>
        <v>7.3680659665458554</v>
      </c>
      <c r="T39" s="858">
        <f t="shared" si="6"/>
        <v>0</v>
      </c>
      <c r="U39" s="858">
        <f t="shared" si="7"/>
        <v>20.230523725453352</v>
      </c>
      <c r="V39" s="858">
        <f t="shared" si="8"/>
        <v>6.3260743981982896</v>
      </c>
      <c r="W39" s="859">
        <f t="shared" si="9"/>
        <v>4.2173829321321925</v>
      </c>
    </row>
    <row r="40" spans="2:23">
      <c r="B40" s="854">
        <f>Amnt_Deposited!B35</f>
        <v>2021</v>
      </c>
      <c r="C40" s="771">
        <f>Amnt_Deposited!C35</f>
        <v>131.38328116144322</v>
      </c>
      <c r="D40" s="856">
        <f>Dry_Matter_Content!C27</f>
        <v>0.59</v>
      </c>
      <c r="E40" s="857">
        <f>MCF!R39</f>
        <v>0.78500000000000003</v>
      </c>
      <c r="F40" s="858">
        <f t="shared" si="1"/>
        <v>11.561531667285262</v>
      </c>
      <c r="G40" s="858">
        <f t="shared" si="2"/>
        <v>11.561531667285262</v>
      </c>
      <c r="H40" s="858">
        <f t="shared" si="3"/>
        <v>0</v>
      </c>
      <c r="I40" s="858">
        <f t="shared" si="4"/>
        <v>31.830595123235227</v>
      </c>
      <c r="J40" s="885">
        <f t="shared" si="10"/>
        <v>9.9688260056943125</v>
      </c>
      <c r="K40" s="886">
        <f t="shared" si="11"/>
        <v>6.6458840037962084</v>
      </c>
      <c r="O40" s="854">
        <f>Amnt_Deposited!B35</f>
        <v>2021</v>
      </c>
      <c r="P40" s="861">
        <f>Amnt_Deposited!C35</f>
        <v>131.38328116144322</v>
      </c>
      <c r="Q40" s="857">
        <f>MCF!R39</f>
        <v>0.78500000000000003</v>
      </c>
      <c r="R40" s="858">
        <f t="shared" si="0"/>
        <v>7.7351906783799702</v>
      </c>
      <c r="S40" s="858">
        <f t="shared" si="5"/>
        <v>7.7351906783799702</v>
      </c>
      <c r="T40" s="858">
        <f t="shared" si="6"/>
        <v>0</v>
      </c>
      <c r="U40" s="858">
        <f t="shared" si="7"/>
        <v>21.296116273350954</v>
      </c>
      <c r="V40" s="858">
        <f t="shared" si="8"/>
        <v>6.6695981304823677</v>
      </c>
      <c r="W40" s="859">
        <f t="shared" si="9"/>
        <v>4.4463987536549112</v>
      </c>
    </row>
    <row r="41" spans="2:23">
      <c r="B41" s="854">
        <f>Amnt_Deposited!B36</f>
        <v>2022</v>
      </c>
      <c r="C41" s="771">
        <f>Amnt_Deposited!C36</f>
        <v>137.85558667724635</v>
      </c>
      <c r="D41" s="856">
        <f>Dry_Matter_Content!C28</f>
        <v>0.59</v>
      </c>
      <c r="E41" s="857">
        <f>MCF!R40</f>
        <v>0.78500000000000003</v>
      </c>
      <c r="F41" s="858">
        <f t="shared" si="1"/>
        <v>12.131084844217662</v>
      </c>
      <c r="G41" s="858">
        <f t="shared" si="2"/>
        <v>12.131084844217662</v>
      </c>
      <c r="H41" s="858">
        <f t="shared" si="3"/>
        <v>0</v>
      </c>
      <c r="I41" s="858">
        <f t="shared" si="4"/>
        <v>33.467770832566494</v>
      </c>
      <c r="J41" s="885">
        <f t="shared" si="10"/>
        <v>10.493909134886392</v>
      </c>
      <c r="K41" s="886">
        <f t="shared" si="11"/>
        <v>6.9959394232575942</v>
      </c>
      <c r="O41" s="854">
        <f>Amnt_Deposited!B36</f>
        <v>2022</v>
      </c>
      <c r="P41" s="861">
        <f>Amnt_Deposited!C36</f>
        <v>137.85558667724635</v>
      </c>
      <c r="Q41" s="857">
        <f>MCF!R40</f>
        <v>0.78500000000000003</v>
      </c>
      <c r="R41" s="858">
        <f t="shared" si="0"/>
        <v>8.116247665622879</v>
      </c>
      <c r="S41" s="858">
        <f t="shared" si="5"/>
        <v>8.116247665622879</v>
      </c>
      <c r="T41" s="858">
        <f t="shared" si="6"/>
        <v>0</v>
      </c>
      <c r="U41" s="858">
        <f t="shared" si="7"/>
        <v>22.391461306355819</v>
      </c>
      <c r="V41" s="858">
        <f t="shared" si="8"/>
        <v>7.0209026326180144</v>
      </c>
      <c r="W41" s="859">
        <f t="shared" si="9"/>
        <v>4.6806017550786763</v>
      </c>
    </row>
    <row r="42" spans="2:23">
      <c r="B42" s="854">
        <f>Amnt_Deposited!B37</f>
        <v>2023</v>
      </c>
      <c r="C42" s="771">
        <f>Amnt_Deposited!C37</f>
        <v>144.57254779578017</v>
      </c>
      <c r="D42" s="856">
        <f>Dry_Matter_Content!C29</f>
        <v>0.59</v>
      </c>
      <c r="E42" s="857">
        <f>MCF!R41</f>
        <v>0.78500000000000003</v>
      </c>
      <c r="F42" s="858">
        <f t="shared" si="1"/>
        <v>12.722167347206961</v>
      </c>
      <c r="G42" s="858">
        <f t="shared" si="2"/>
        <v>12.722167347206961</v>
      </c>
      <c r="H42" s="858">
        <f t="shared" si="3"/>
        <v>0</v>
      </c>
      <c r="I42" s="858">
        <f t="shared" si="4"/>
        <v>35.156285032403161</v>
      </c>
      <c r="J42" s="885">
        <f t="shared" si="10"/>
        <v>11.033653147370295</v>
      </c>
      <c r="K42" s="886">
        <f t="shared" si="11"/>
        <v>7.3557687649135293</v>
      </c>
      <c r="O42" s="854">
        <f>Amnt_Deposited!B37</f>
        <v>2023</v>
      </c>
      <c r="P42" s="861">
        <f>Amnt_Deposited!C37</f>
        <v>144.57254779578017</v>
      </c>
      <c r="Q42" s="857">
        <f>MCF!R41</f>
        <v>0.78500000000000003</v>
      </c>
      <c r="R42" s="858">
        <f t="shared" si="0"/>
        <v>8.5117087514765561</v>
      </c>
      <c r="S42" s="858">
        <f t="shared" si="5"/>
        <v>8.5117087514765561</v>
      </c>
      <c r="T42" s="858">
        <f t="shared" si="6"/>
        <v>0</v>
      </c>
      <c r="U42" s="858">
        <f t="shared" si="7"/>
        <v>23.521154125158226</v>
      </c>
      <c r="V42" s="858">
        <f t="shared" si="8"/>
        <v>7.3820159326741495</v>
      </c>
      <c r="W42" s="859">
        <f t="shared" si="9"/>
        <v>4.9213439551160993</v>
      </c>
    </row>
    <row r="43" spans="2:23">
      <c r="B43" s="854">
        <f>Amnt_Deposited!B38</f>
        <v>2024</v>
      </c>
      <c r="C43" s="771">
        <f>Amnt_Deposited!C38</f>
        <v>151.54243333612234</v>
      </c>
      <c r="D43" s="856">
        <f>Dry_Matter_Content!C30</f>
        <v>0.59</v>
      </c>
      <c r="E43" s="857">
        <f>MCF!R42</f>
        <v>0.78500000000000003</v>
      </c>
      <c r="F43" s="858">
        <f t="shared" si="1"/>
        <v>13.335506819928764</v>
      </c>
      <c r="G43" s="858">
        <f t="shared" si="2"/>
        <v>13.335506819928764</v>
      </c>
      <c r="H43" s="858">
        <f t="shared" si="3"/>
        <v>0</v>
      </c>
      <c r="I43" s="858">
        <f t="shared" si="4"/>
        <v>36.90146942129131</v>
      </c>
      <c r="J43" s="885">
        <f t="shared" si="10"/>
        <v>11.590322431040617</v>
      </c>
      <c r="K43" s="886">
        <f t="shared" si="11"/>
        <v>7.7268816206937441</v>
      </c>
      <c r="O43" s="854">
        <f>Amnt_Deposited!B38</f>
        <v>2024</v>
      </c>
      <c r="P43" s="861">
        <f>Amnt_Deposited!C38</f>
        <v>151.54243333612234</v>
      </c>
      <c r="Q43" s="857">
        <f>MCF!R42</f>
        <v>0.78500000000000003</v>
      </c>
      <c r="R43" s="858">
        <f t="shared" si="0"/>
        <v>8.9220607626642021</v>
      </c>
      <c r="S43" s="858">
        <f t="shared" si="5"/>
        <v>8.9220607626642021</v>
      </c>
      <c r="T43" s="858">
        <f t="shared" si="6"/>
        <v>0</v>
      </c>
      <c r="U43" s="858">
        <f t="shared" si="7"/>
        <v>24.688761878651633</v>
      </c>
      <c r="V43" s="858">
        <f t="shared" si="8"/>
        <v>7.7544530091707964</v>
      </c>
      <c r="W43" s="859">
        <f t="shared" si="9"/>
        <v>5.169635339447197</v>
      </c>
    </row>
    <row r="44" spans="2:23">
      <c r="B44" s="854">
        <f>Amnt_Deposited!B39</f>
        <v>2025</v>
      </c>
      <c r="C44" s="771">
        <f>Amnt_Deposited!C39</f>
        <v>158.77377473981775</v>
      </c>
      <c r="D44" s="856">
        <f>Dry_Matter_Content!C31</f>
        <v>0.59</v>
      </c>
      <c r="E44" s="857">
        <f>MCF!R43</f>
        <v>0.78500000000000003</v>
      </c>
      <c r="F44" s="858">
        <f t="shared" si="1"/>
        <v>13.971854016441853</v>
      </c>
      <c r="G44" s="858">
        <f t="shared" si="2"/>
        <v>13.971854016441853</v>
      </c>
      <c r="H44" s="858">
        <f t="shared" si="3"/>
        <v>0</v>
      </c>
      <c r="I44" s="858">
        <f t="shared" si="4"/>
        <v>38.707648697704585</v>
      </c>
      <c r="J44" s="885">
        <f t="shared" si="10"/>
        <v>12.165674740028582</v>
      </c>
      <c r="K44" s="886">
        <f t="shared" si="11"/>
        <v>8.1104498266857199</v>
      </c>
      <c r="O44" s="854">
        <f>Amnt_Deposited!B39</f>
        <v>2025</v>
      </c>
      <c r="P44" s="861">
        <f>Amnt_Deposited!C39</f>
        <v>158.77377473981775</v>
      </c>
      <c r="Q44" s="857">
        <f>MCF!R43</f>
        <v>0.78500000000000003</v>
      </c>
      <c r="R44" s="858">
        <f t="shared" si="0"/>
        <v>9.347805987806769</v>
      </c>
      <c r="S44" s="858">
        <f t="shared" si="5"/>
        <v>9.347805987806769</v>
      </c>
      <c r="T44" s="858">
        <f t="shared" si="6"/>
        <v>0</v>
      </c>
      <c r="U44" s="858">
        <f t="shared" si="7"/>
        <v>25.897177986867469</v>
      </c>
      <c r="V44" s="858">
        <f t="shared" si="8"/>
        <v>8.139389879590933</v>
      </c>
      <c r="W44" s="859">
        <f t="shared" si="9"/>
        <v>5.4262599197272881</v>
      </c>
    </row>
    <row r="45" spans="2:23">
      <c r="B45" s="854">
        <f>Amnt_Deposited!B40</f>
        <v>2026</v>
      </c>
      <c r="C45" s="771">
        <f>Amnt_Deposited!C40</f>
        <v>166.27537408782482</v>
      </c>
      <c r="D45" s="856">
        <f>Dry_Matter_Content!C32</f>
        <v>0.59</v>
      </c>
      <c r="E45" s="857">
        <f>MCF!R44</f>
        <v>0.78500000000000003</v>
      </c>
      <c r="F45" s="858">
        <f t="shared" si="1"/>
        <v>14.631983506667451</v>
      </c>
      <c r="G45" s="858">
        <f t="shared" si="2"/>
        <v>14.631983506667451</v>
      </c>
      <c r="H45" s="858">
        <f t="shared" si="3"/>
        <v>0</v>
      </c>
      <c r="I45" s="858">
        <f t="shared" si="4"/>
        <v>40.578496363644142</v>
      </c>
      <c r="J45" s="885">
        <f t="shared" si="10"/>
        <v>12.761135840727892</v>
      </c>
      <c r="K45" s="886">
        <f t="shared" si="11"/>
        <v>8.5074238938185935</v>
      </c>
      <c r="O45" s="854">
        <f>Amnt_Deposited!B40</f>
        <v>2026</v>
      </c>
      <c r="P45" s="861">
        <f>Amnt_Deposited!C40</f>
        <v>166.27537408782482</v>
      </c>
      <c r="Q45" s="857">
        <f>MCF!R44</f>
        <v>0.78500000000000003</v>
      </c>
      <c r="R45" s="858">
        <f t="shared" si="0"/>
        <v>9.7894626494206847</v>
      </c>
      <c r="S45" s="858">
        <f t="shared" si="5"/>
        <v>9.7894626494206847</v>
      </c>
      <c r="T45" s="858">
        <f t="shared" si="6"/>
        <v>0</v>
      </c>
      <c r="U45" s="858">
        <f t="shared" si="7"/>
        <v>27.148860189770833</v>
      </c>
      <c r="V45" s="858">
        <f t="shared" si="8"/>
        <v>8.5377804465173224</v>
      </c>
      <c r="W45" s="859">
        <f t="shared" si="9"/>
        <v>5.691853631011548</v>
      </c>
    </row>
    <row r="46" spans="2:23">
      <c r="B46" s="854">
        <f>Amnt_Deposited!B41</f>
        <v>2027</v>
      </c>
      <c r="C46" s="771">
        <f>Amnt_Deposited!C41</f>
        <v>174.05631235555572</v>
      </c>
      <c r="D46" s="856">
        <f>Dry_Matter_Content!C33</f>
        <v>0.59</v>
      </c>
      <c r="E46" s="857">
        <f>MCF!R45</f>
        <v>0.78500000000000003</v>
      </c>
      <c r="F46" s="858">
        <f t="shared" si="1"/>
        <v>15.316694402820371</v>
      </c>
      <c r="G46" s="858">
        <f t="shared" si="2"/>
        <v>15.316694402820371</v>
      </c>
      <c r="H46" s="858">
        <f t="shared" si="3"/>
        <v>0</v>
      </c>
      <c r="I46" s="858">
        <f t="shared" si="4"/>
        <v>42.517273953355335</v>
      </c>
      <c r="J46" s="885">
        <f t="shared" si="10"/>
        <v>13.377916813109177</v>
      </c>
      <c r="K46" s="886">
        <f t="shared" si="11"/>
        <v>8.9186112087394509</v>
      </c>
      <c r="O46" s="854">
        <f>Amnt_Deposited!B41</f>
        <v>2027</v>
      </c>
      <c r="P46" s="861">
        <f>Amnt_Deposited!C41</f>
        <v>174.05631235555572</v>
      </c>
      <c r="Q46" s="857">
        <f>MCF!R45</f>
        <v>0.78500000000000003</v>
      </c>
      <c r="R46" s="858">
        <f t="shared" si="0"/>
        <v>10.247565389933344</v>
      </c>
      <c r="S46" s="858">
        <f t="shared" si="5"/>
        <v>10.247565389933344</v>
      </c>
      <c r="T46" s="858">
        <f t="shared" si="6"/>
        <v>0</v>
      </c>
      <c r="U46" s="858">
        <f t="shared" si="7"/>
        <v>28.445990602155668</v>
      </c>
      <c r="V46" s="858">
        <f t="shared" si="8"/>
        <v>8.9504349775485128</v>
      </c>
      <c r="W46" s="859">
        <f t="shared" si="9"/>
        <v>5.9669566516990082</v>
      </c>
    </row>
    <row r="47" spans="2:23">
      <c r="B47" s="854">
        <f>Amnt_Deposited!B42</f>
        <v>2028</v>
      </c>
      <c r="C47" s="771">
        <f>Amnt_Deposited!C42</f>
        <v>182.12595791294027</v>
      </c>
      <c r="D47" s="856">
        <f>Dry_Matter_Content!C34</f>
        <v>0.59</v>
      </c>
      <c r="E47" s="857">
        <f>MCF!R46</f>
        <v>0.78500000000000003</v>
      </c>
      <c r="F47" s="858">
        <f t="shared" si="1"/>
        <v>16.026811107401876</v>
      </c>
      <c r="G47" s="858">
        <f t="shared" si="2"/>
        <v>16.026811107401876</v>
      </c>
      <c r="H47" s="858">
        <f t="shared" si="3"/>
        <v>0</v>
      </c>
      <c r="I47" s="858">
        <f t="shared" si="4"/>
        <v>44.526992141124914</v>
      </c>
      <c r="J47" s="885">
        <f t="shared" si="10"/>
        <v>14.017092919632297</v>
      </c>
      <c r="K47" s="886">
        <f t="shared" si="11"/>
        <v>9.344728613088197</v>
      </c>
      <c r="O47" s="854">
        <f>Amnt_Deposited!B42</f>
        <v>2028</v>
      </c>
      <c r="P47" s="861">
        <f>Amnt_Deposited!C42</f>
        <v>182.12595791294027</v>
      </c>
      <c r="Q47" s="857">
        <f>MCF!R46</f>
        <v>0.78500000000000003</v>
      </c>
      <c r="R47" s="858">
        <f t="shared" si="0"/>
        <v>10.722665772124358</v>
      </c>
      <c r="S47" s="858">
        <f t="shared" si="5"/>
        <v>10.722665772124358</v>
      </c>
      <c r="T47" s="858">
        <f t="shared" si="6"/>
        <v>0</v>
      </c>
      <c r="U47" s="858">
        <f t="shared" si="7"/>
        <v>29.790583502090708</v>
      </c>
      <c r="V47" s="858">
        <f t="shared" si="8"/>
        <v>9.3780728721893176</v>
      </c>
      <c r="W47" s="859">
        <f t="shared" si="9"/>
        <v>6.2520485814595448</v>
      </c>
    </row>
    <row r="48" spans="2:23">
      <c r="B48" s="854">
        <f>Amnt_Deposited!B43</f>
        <v>2029</v>
      </c>
      <c r="C48" s="771">
        <f>Amnt_Deposited!C43</f>
        <v>190.49397527664226</v>
      </c>
      <c r="D48" s="856">
        <f>Dry_Matter_Content!C35</f>
        <v>0.59</v>
      </c>
      <c r="E48" s="857">
        <f>MCF!R47</f>
        <v>0.78500000000000003</v>
      </c>
      <c r="F48" s="858">
        <f t="shared" si="1"/>
        <v>16.763184083381603</v>
      </c>
      <c r="G48" s="858">
        <f t="shared" si="2"/>
        <v>16.763184083381603</v>
      </c>
      <c r="H48" s="858">
        <f t="shared" si="3"/>
        <v>0</v>
      </c>
      <c r="I48" s="858">
        <f t="shared" si="4"/>
        <v>46.610519505249002</v>
      </c>
      <c r="J48" s="885">
        <f t="shared" si="10"/>
        <v>14.679656719257512</v>
      </c>
      <c r="K48" s="886">
        <f t="shared" si="11"/>
        <v>9.78643781283834</v>
      </c>
      <c r="O48" s="854">
        <f>Amnt_Deposited!B43</f>
        <v>2029</v>
      </c>
      <c r="P48" s="861">
        <f>Amnt_Deposited!C43</f>
        <v>190.49397527664226</v>
      </c>
      <c r="Q48" s="857">
        <f>MCF!R47</f>
        <v>0.78500000000000003</v>
      </c>
      <c r="R48" s="858">
        <f t="shared" si="0"/>
        <v>11.215332794412314</v>
      </c>
      <c r="S48" s="858">
        <f t="shared" si="5"/>
        <v>11.215332794412314</v>
      </c>
      <c r="T48" s="858">
        <f t="shared" si="6"/>
        <v>0</v>
      </c>
      <c r="U48" s="858">
        <f t="shared" si="7"/>
        <v>31.184558098962313</v>
      </c>
      <c r="V48" s="858">
        <f t="shared" si="8"/>
        <v>9.8213581975407074</v>
      </c>
      <c r="W48" s="859">
        <f t="shared" si="9"/>
        <v>6.5475721316938049</v>
      </c>
    </row>
    <row r="49" spans="2:23">
      <c r="B49" s="854">
        <f>Amnt_Deposited!B44</f>
        <v>2030</v>
      </c>
      <c r="C49" s="771">
        <f>Amnt_Deposited!C44</f>
        <v>199.30278341699997</v>
      </c>
      <c r="D49" s="856">
        <f>Dry_Matter_Content!C36</f>
        <v>0.59</v>
      </c>
      <c r="E49" s="857">
        <f>MCF!R48</f>
        <v>0.78500000000000003</v>
      </c>
      <c r="F49" s="858">
        <f t="shared" si="1"/>
        <v>17.538345986520874</v>
      </c>
      <c r="G49" s="858">
        <f t="shared" si="2"/>
        <v>17.538345986520874</v>
      </c>
      <c r="H49" s="858">
        <f t="shared" si="3"/>
        <v>0</v>
      </c>
      <c r="I49" s="858">
        <f t="shared" si="4"/>
        <v>48.78231156702445</v>
      </c>
      <c r="J49" s="885">
        <f t="shared" si="10"/>
        <v>15.366553924745427</v>
      </c>
      <c r="K49" s="886">
        <f t="shared" si="11"/>
        <v>10.244369283163618</v>
      </c>
      <c r="O49" s="854">
        <f>Amnt_Deposited!B44</f>
        <v>2030</v>
      </c>
      <c r="P49" s="861">
        <f>Amnt_Deposited!C44</f>
        <v>199.30278341699997</v>
      </c>
      <c r="Q49" s="857">
        <f>MCF!R48</f>
        <v>0.78500000000000003</v>
      </c>
      <c r="R49" s="858">
        <f t="shared" si="0"/>
        <v>11.733951373675874</v>
      </c>
      <c r="S49" s="858">
        <f t="shared" si="5"/>
        <v>11.733951373675874</v>
      </c>
      <c r="T49" s="858">
        <f t="shared" si="6"/>
        <v>0</v>
      </c>
      <c r="U49" s="858">
        <f t="shared" si="7"/>
        <v>32.637585794173361</v>
      </c>
      <c r="V49" s="858">
        <f t="shared" si="8"/>
        <v>10.280923678464825</v>
      </c>
      <c r="W49" s="859">
        <f t="shared" si="9"/>
        <v>6.8539491189765496</v>
      </c>
    </row>
    <row r="50" spans="2:23">
      <c r="B50" s="854">
        <f>Amnt_Deposited!B45</f>
        <v>2031</v>
      </c>
      <c r="C50" s="861">
        <f>Amnt_Deposited!C45</f>
        <v>0</v>
      </c>
      <c r="D50" s="856">
        <f>Dry_Matter_Content!C37</f>
        <v>0.59</v>
      </c>
      <c r="E50" s="857">
        <f>MCF!R49</f>
        <v>0.78500000000000003</v>
      </c>
      <c r="F50" s="858">
        <f t="shared" si="1"/>
        <v>0</v>
      </c>
      <c r="G50" s="858">
        <f t="shared" si="2"/>
        <v>0</v>
      </c>
      <c r="H50" s="858">
        <f t="shared" si="3"/>
        <v>0</v>
      </c>
      <c r="I50" s="858">
        <f t="shared" si="4"/>
        <v>32.699761335332731</v>
      </c>
      <c r="J50" s="858">
        <f t="shared" si="10"/>
        <v>16.082550231691719</v>
      </c>
      <c r="K50" s="859">
        <f t="shared" si="11"/>
        <v>10.721700154461146</v>
      </c>
      <c r="O50" s="854">
        <f>Amnt_Deposited!B45</f>
        <v>2031</v>
      </c>
      <c r="P50" s="861">
        <f>Amnt_Deposited!C45</f>
        <v>0</v>
      </c>
      <c r="Q50" s="857">
        <f>MCF!R49</f>
        <v>0.78500000000000003</v>
      </c>
      <c r="R50" s="858">
        <f t="shared" si="0"/>
        <v>0</v>
      </c>
      <c r="S50" s="858">
        <f t="shared" si="5"/>
        <v>0</v>
      </c>
      <c r="T50" s="858">
        <f t="shared" si="6"/>
        <v>0</v>
      </c>
      <c r="U50" s="858">
        <f t="shared" si="7"/>
        <v>21.877628012042415</v>
      </c>
      <c r="V50" s="858">
        <f t="shared" si="8"/>
        <v>10.759957782130945</v>
      </c>
      <c r="W50" s="859">
        <f t="shared" si="9"/>
        <v>7.173305188087296</v>
      </c>
    </row>
    <row r="51" spans="2:23">
      <c r="B51" s="854">
        <f>Amnt_Deposited!B46</f>
        <v>2032</v>
      </c>
      <c r="C51" s="861">
        <f>Amnt_Deposited!C46</f>
        <v>0</v>
      </c>
      <c r="D51" s="856">
        <f>Dry_Matter_Content!C38</f>
        <v>0.59</v>
      </c>
      <c r="E51" s="857">
        <f>MCF!R50</f>
        <v>0.78500000000000003</v>
      </c>
      <c r="F51" s="858">
        <f t="shared" ref="F51:F82" si="12">C51*D51*$K$6*DOCF*E51</f>
        <v>0</v>
      </c>
      <c r="G51" s="858">
        <f t="shared" ref="G51:G82" si="13">F51*$K$12</f>
        <v>0</v>
      </c>
      <c r="H51" s="858">
        <f t="shared" ref="H51:H82" si="14">F51*(1-$K$12)</f>
        <v>0</v>
      </c>
      <c r="I51" s="858">
        <f t="shared" ref="I51:I82" si="15">G51+I50*$K$10</f>
        <v>21.919305523654653</v>
      </c>
      <c r="J51" s="858">
        <f t="shared" ref="J51:J82" si="16">I50*(1-$K$10)+H51</f>
        <v>10.780455811678076</v>
      </c>
      <c r="K51" s="859">
        <f t="shared" si="11"/>
        <v>7.1869705411187166</v>
      </c>
      <c r="O51" s="854">
        <f>Amnt_Deposited!B46</f>
        <v>2032</v>
      </c>
      <c r="P51" s="861">
        <f>Amnt_Deposited!C46</f>
        <v>0</v>
      </c>
      <c r="Q51" s="857">
        <f>MCF!R50</f>
        <v>0.78500000000000003</v>
      </c>
      <c r="R51" s="858">
        <f t="shared" ref="R51:R82" si="17">P51*$W$6*DOCF*Q51</f>
        <v>0</v>
      </c>
      <c r="S51" s="858">
        <f t="shared" si="5"/>
        <v>0</v>
      </c>
      <c r="T51" s="858">
        <f t="shared" si="6"/>
        <v>0</v>
      </c>
      <c r="U51" s="858">
        <f t="shared" si="7"/>
        <v>14.665012616182864</v>
      </c>
      <c r="V51" s="858">
        <f t="shared" si="8"/>
        <v>7.2126153958595509</v>
      </c>
      <c r="W51" s="859">
        <f t="shared" si="9"/>
        <v>4.8084102639063673</v>
      </c>
    </row>
    <row r="52" spans="2:23">
      <c r="B52" s="854">
        <f>Amnt_Deposited!B47</f>
        <v>2033</v>
      </c>
      <c r="C52" s="861">
        <f>Amnt_Deposited!C47</f>
        <v>0</v>
      </c>
      <c r="D52" s="856">
        <f>Dry_Matter_Content!C39</f>
        <v>0.59</v>
      </c>
      <c r="E52" s="857">
        <f>MCF!R51</f>
        <v>0.78500000000000003</v>
      </c>
      <c r="F52" s="858">
        <f t="shared" si="12"/>
        <v>0</v>
      </c>
      <c r="G52" s="858">
        <f t="shared" si="13"/>
        <v>0</v>
      </c>
      <c r="H52" s="858">
        <f t="shared" si="14"/>
        <v>0</v>
      </c>
      <c r="I52" s="858">
        <f t="shared" si="15"/>
        <v>14.692949887685431</v>
      </c>
      <c r="J52" s="858">
        <f t="shared" si="16"/>
        <v>7.2263556359692229</v>
      </c>
      <c r="K52" s="859">
        <f t="shared" si="11"/>
        <v>4.8175704239794817</v>
      </c>
      <c r="O52" s="854">
        <f>Amnt_Deposited!B47</f>
        <v>2033</v>
      </c>
      <c r="P52" s="861">
        <f>Amnt_Deposited!C47</f>
        <v>0</v>
      </c>
      <c r="Q52" s="857">
        <f>MCF!R51</f>
        <v>0.78500000000000003</v>
      </c>
      <c r="R52" s="858">
        <f t="shared" si="17"/>
        <v>0</v>
      </c>
      <c r="S52" s="858">
        <f t="shared" si="5"/>
        <v>0</v>
      </c>
      <c r="T52" s="858">
        <f t="shared" si="6"/>
        <v>0</v>
      </c>
      <c r="U52" s="858">
        <f t="shared" si="7"/>
        <v>9.8302519319929296</v>
      </c>
      <c r="V52" s="858">
        <f t="shared" si="8"/>
        <v>4.8347606841899351</v>
      </c>
      <c r="W52" s="859">
        <f t="shared" si="9"/>
        <v>3.2231737894599566</v>
      </c>
    </row>
    <row r="53" spans="2:23">
      <c r="B53" s="854">
        <f>Amnt_Deposited!B48</f>
        <v>2034</v>
      </c>
      <c r="C53" s="861">
        <f>Amnt_Deposited!C48</f>
        <v>0</v>
      </c>
      <c r="D53" s="856">
        <f>Dry_Matter_Content!C40</f>
        <v>0.59</v>
      </c>
      <c r="E53" s="857">
        <f>MCF!R52</f>
        <v>0.78500000000000003</v>
      </c>
      <c r="F53" s="858">
        <f t="shared" si="12"/>
        <v>0</v>
      </c>
      <c r="G53" s="858">
        <f t="shared" si="13"/>
        <v>0</v>
      </c>
      <c r="H53" s="858">
        <f t="shared" si="14"/>
        <v>0</v>
      </c>
      <c r="I53" s="858">
        <f t="shared" si="15"/>
        <v>9.8489788451126401</v>
      </c>
      <c r="J53" s="858">
        <f t="shared" si="16"/>
        <v>4.8439710425727913</v>
      </c>
      <c r="K53" s="859">
        <f t="shared" si="11"/>
        <v>3.2293140283818609</v>
      </c>
      <c r="O53" s="854">
        <f>Amnt_Deposited!B48</f>
        <v>2034</v>
      </c>
      <c r="P53" s="861">
        <f>Amnt_Deposited!C48</f>
        <v>0</v>
      </c>
      <c r="Q53" s="857">
        <f>MCF!R52</f>
        <v>0.78500000000000003</v>
      </c>
      <c r="R53" s="858">
        <f t="shared" si="17"/>
        <v>0</v>
      </c>
      <c r="S53" s="858">
        <f t="shared" si="5"/>
        <v>0</v>
      </c>
      <c r="T53" s="858">
        <f t="shared" si="6"/>
        <v>0</v>
      </c>
      <c r="U53" s="858">
        <f t="shared" si="7"/>
        <v>6.589414927595433</v>
      </c>
      <c r="V53" s="858">
        <f t="shared" si="8"/>
        <v>3.2408370043974966</v>
      </c>
      <c r="W53" s="859">
        <f t="shared" si="9"/>
        <v>2.1605580029316642</v>
      </c>
    </row>
    <row r="54" spans="2:23">
      <c r="B54" s="854">
        <f>Amnt_Deposited!B49</f>
        <v>2035</v>
      </c>
      <c r="C54" s="861">
        <f>Amnt_Deposited!C49</f>
        <v>0</v>
      </c>
      <c r="D54" s="856">
        <f>Dry_Matter_Content!C41</f>
        <v>0.59</v>
      </c>
      <c r="E54" s="857">
        <f>MCF!R53</f>
        <v>0.78500000000000003</v>
      </c>
      <c r="F54" s="858">
        <f t="shared" si="12"/>
        <v>0</v>
      </c>
      <c r="G54" s="858">
        <f t="shared" si="13"/>
        <v>0</v>
      </c>
      <c r="H54" s="858">
        <f t="shared" si="14"/>
        <v>0</v>
      </c>
      <c r="I54" s="858">
        <f t="shared" si="15"/>
        <v>6.6019679528599431</v>
      </c>
      <c r="J54" s="858">
        <f t="shared" si="16"/>
        <v>3.2470108922526975</v>
      </c>
      <c r="K54" s="859">
        <f t="shared" si="11"/>
        <v>2.1646739281684648</v>
      </c>
      <c r="O54" s="854">
        <f>Amnt_Deposited!B49</f>
        <v>2035</v>
      </c>
      <c r="P54" s="861">
        <f>Amnt_Deposited!C49</f>
        <v>0</v>
      </c>
      <c r="Q54" s="857">
        <f>MCF!R53</f>
        <v>0.78500000000000003</v>
      </c>
      <c r="R54" s="858">
        <f t="shared" si="17"/>
        <v>0</v>
      </c>
      <c r="S54" s="858">
        <f t="shared" si="5"/>
        <v>0</v>
      </c>
      <c r="T54" s="858">
        <f t="shared" si="6"/>
        <v>0</v>
      </c>
      <c r="U54" s="858">
        <f t="shared" si="7"/>
        <v>4.4170169176137</v>
      </c>
      <c r="V54" s="858">
        <f t="shared" si="8"/>
        <v>2.1723980099817335</v>
      </c>
      <c r="W54" s="859">
        <f t="shared" si="9"/>
        <v>1.4482653399878223</v>
      </c>
    </row>
    <row r="55" spans="2:23">
      <c r="B55" s="854">
        <f>Amnt_Deposited!B50</f>
        <v>2036</v>
      </c>
      <c r="C55" s="861">
        <f>Amnt_Deposited!C50</f>
        <v>0</v>
      </c>
      <c r="D55" s="856">
        <f>Dry_Matter_Content!C42</f>
        <v>0.59</v>
      </c>
      <c r="E55" s="857">
        <f>MCF!R54</f>
        <v>0.78500000000000003</v>
      </c>
      <c r="F55" s="858">
        <f t="shared" si="12"/>
        <v>0</v>
      </c>
      <c r="G55" s="858">
        <f t="shared" si="13"/>
        <v>0</v>
      </c>
      <c r="H55" s="858">
        <f t="shared" si="14"/>
        <v>0</v>
      </c>
      <c r="I55" s="858">
        <f t="shared" si="15"/>
        <v>4.4254314620868929</v>
      </c>
      <c r="J55" s="858">
        <f t="shared" si="16"/>
        <v>2.1765364907730507</v>
      </c>
      <c r="K55" s="859">
        <f t="shared" si="11"/>
        <v>1.4510243271820338</v>
      </c>
      <c r="O55" s="854">
        <f>Amnt_Deposited!B50</f>
        <v>2036</v>
      </c>
      <c r="P55" s="861">
        <f>Amnt_Deposited!C50</f>
        <v>0</v>
      </c>
      <c r="Q55" s="857">
        <f>MCF!R54</f>
        <v>0.78500000000000003</v>
      </c>
      <c r="R55" s="858">
        <f t="shared" si="17"/>
        <v>0</v>
      </c>
      <c r="S55" s="858">
        <f t="shared" si="5"/>
        <v>0</v>
      </c>
      <c r="T55" s="858">
        <f t="shared" si="6"/>
        <v>0</v>
      </c>
      <c r="U55" s="858">
        <f t="shared" si="7"/>
        <v>2.960814983555013</v>
      </c>
      <c r="V55" s="858">
        <f t="shared" si="8"/>
        <v>1.4562019340586869</v>
      </c>
      <c r="W55" s="859">
        <f t="shared" si="9"/>
        <v>0.97080128937245791</v>
      </c>
    </row>
    <row r="56" spans="2:23">
      <c r="B56" s="854">
        <f>Amnt_Deposited!B51</f>
        <v>2037</v>
      </c>
      <c r="C56" s="861">
        <f>Amnt_Deposited!C51</f>
        <v>0</v>
      </c>
      <c r="D56" s="856">
        <f>Dry_Matter_Content!C43</f>
        <v>0.59</v>
      </c>
      <c r="E56" s="857">
        <f>MCF!R55</f>
        <v>0.78500000000000003</v>
      </c>
      <c r="F56" s="858">
        <f t="shared" si="12"/>
        <v>0</v>
      </c>
      <c r="G56" s="858">
        <f t="shared" si="13"/>
        <v>0</v>
      </c>
      <c r="H56" s="858">
        <f t="shared" si="14"/>
        <v>0</v>
      </c>
      <c r="I56" s="858">
        <f t="shared" si="15"/>
        <v>2.9664554213936527</v>
      </c>
      <c r="J56" s="858">
        <f t="shared" si="16"/>
        <v>1.4589760406932402</v>
      </c>
      <c r="K56" s="859">
        <f t="shared" si="11"/>
        <v>0.9726506937954934</v>
      </c>
      <c r="O56" s="854">
        <f>Amnt_Deposited!B51</f>
        <v>2037</v>
      </c>
      <c r="P56" s="861">
        <f>Amnt_Deposited!C51</f>
        <v>0</v>
      </c>
      <c r="Q56" s="857">
        <f>MCF!R55</f>
        <v>0.78500000000000003</v>
      </c>
      <c r="R56" s="858">
        <f t="shared" si="17"/>
        <v>0</v>
      </c>
      <c r="S56" s="858">
        <f t="shared" si="5"/>
        <v>0</v>
      </c>
      <c r="T56" s="858">
        <f t="shared" si="6"/>
        <v>0</v>
      </c>
      <c r="U56" s="858">
        <f t="shared" si="7"/>
        <v>1.984693636079607</v>
      </c>
      <c r="V56" s="858">
        <f t="shared" si="8"/>
        <v>0.97612134747540602</v>
      </c>
      <c r="W56" s="859">
        <f t="shared" si="9"/>
        <v>0.65074756498360398</v>
      </c>
    </row>
    <row r="57" spans="2:23">
      <c r="B57" s="854">
        <f>Amnt_Deposited!B52</f>
        <v>2038</v>
      </c>
      <c r="C57" s="861">
        <f>Amnt_Deposited!C52</f>
        <v>0</v>
      </c>
      <c r="D57" s="856">
        <f>Dry_Matter_Content!C44</f>
        <v>0.59</v>
      </c>
      <c r="E57" s="857">
        <f>MCF!R56</f>
        <v>0.78500000000000003</v>
      </c>
      <c r="F57" s="858">
        <f t="shared" si="12"/>
        <v>0</v>
      </c>
      <c r="G57" s="858">
        <f t="shared" si="13"/>
        <v>0</v>
      </c>
      <c r="H57" s="858">
        <f t="shared" si="14"/>
        <v>0</v>
      </c>
      <c r="I57" s="858">
        <f t="shared" si="15"/>
        <v>1.9884745346312651</v>
      </c>
      <c r="J57" s="858">
        <f t="shared" si="16"/>
        <v>0.97798088676238759</v>
      </c>
      <c r="K57" s="859">
        <f t="shared" si="11"/>
        <v>0.65198725784159173</v>
      </c>
      <c r="O57" s="854">
        <f>Amnt_Deposited!B52</f>
        <v>2038</v>
      </c>
      <c r="P57" s="861">
        <f>Amnt_Deposited!C52</f>
        <v>0</v>
      </c>
      <c r="Q57" s="857">
        <f>MCF!R56</f>
        <v>0.78500000000000003</v>
      </c>
      <c r="R57" s="858">
        <f t="shared" si="17"/>
        <v>0</v>
      </c>
      <c r="S57" s="858">
        <f t="shared" si="5"/>
        <v>0</v>
      </c>
      <c r="T57" s="858">
        <f t="shared" si="6"/>
        <v>0</v>
      </c>
      <c r="U57" s="858">
        <f t="shared" si="7"/>
        <v>1.3303799295035226</v>
      </c>
      <c r="V57" s="858">
        <f t="shared" si="8"/>
        <v>0.65431370657608445</v>
      </c>
      <c r="W57" s="859">
        <f t="shared" si="9"/>
        <v>0.43620913771738962</v>
      </c>
    </row>
    <row r="58" spans="2:23">
      <c r="B58" s="854">
        <f>Amnt_Deposited!B53</f>
        <v>2039</v>
      </c>
      <c r="C58" s="861">
        <f>Amnt_Deposited!C53</f>
        <v>0</v>
      </c>
      <c r="D58" s="856">
        <f>Dry_Matter_Content!C45</f>
        <v>0.59</v>
      </c>
      <c r="E58" s="857">
        <f>MCF!R57</f>
        <v>0.78500000000000003</v>
      </c>
      <c r="F58" s="858">
        <f t="shared" si="12"/>
        <v>0</v>
      </c>
      <c r="G58" s="858">
        <f t="shared" si="13"/>
        <v>0</v>
      </c>
      <c r="H58" s="858">
        <f t="shared" si="14"/>
        <v>0</v>
      </c>
      <c r="I58" s="858">
        <f t="shared" si="15"/>
        <v>1.3329143415947262</v>
      </c>
      <c r="J58" s="858">
        <f t="shared" si="16"/>
        <v>0.65556019303653901</v>
      </c>
      <c r="K58" s="859">
        <f t="shared" si="11"/>
        <v>0.43704012869102599</v>
      </c>
      <c r="O58" s="854">
        <f>Amnt_Deposited!B53</f>
        <v>2039</v>
      </c>
      <c r="P58" s="861">
        <f>Amnt_Deposited!C53</f>
        <v>0</v>
      </c>
      <c r="Q58" s="857">
        <f>MCF!R57</f>
        <v>0.78500000000000003</v>
      </c>
      <c r="R58" s="858">
        <f t="shared" si="17"/>
        <v>0</v>
      </c>
      <c r="S58" s="858">
        <f t="shared" si="5"/>
        <v>0</v>
      </c>
      <c r="T58" s="858">
        <f t="shared" si="6"/>
        <v>0</v>
      </c>
      <c r="U58" s="858">
        <f t="shared" si="7"/>
        <v>0.89178033558969183</v>
      </c>
      <c r="V58" s="858">
        <f t="shared" si="8"/>
        <v>0.43859959391383074</v>
      </c>
      <c r="W58" s="859">
        <f t="shared" si="9"/>
        <v>0.29239972927588714</v>
      </c>
    </row>
    <row r="59" spans="2:23">
      <c r="B59" s="854">
        <f>Amnt_Deposited!B54</f>
        <v>2040</v>
      </c>
      <c r="C59" s="861">
        <f>Amnt_Deposited!C54</f>
        <v>0</v>
      </c>
      <c r="D59" s="856">
        <f>Dry_Matter_Content!C46</f>
        <v>0.59</v>
      </c>
      <c r="E59" s="857">
        <f>MCF!R58</f>
        <v>0.78500000000000003</v>
      </c>
      <c r="F59" s="858">
        <f t="shared" si="12"/>
        <v>0</v>
      </c>
      <c r="G59" s="858">
        <f t="shared" si="13"/>
        <v>0</v>
      </c>
      <c r="H59" s="858">
        <f t="shared" si="14"/>
        <v>0</v>
      </c>
      <c r="I59" s="858">
        <f t="shared" si="15"/>
        <v>0.89347920281934079</v>
      </c>
      <c r="J59" s="858">
        <f t="shared" si="16"/>
        <v>0.43943513877538548</v>
      </c>
      <c r="K59" s="859">
        <f t="shared" si="11"/>
        <v>0.29295675918359032</v>
      </c>
      <c r="O59" s="854">
        <f>Amnt_Deposited!B54</f>
        <v>2040</v>
      </c>
      <c r="P59" s="861">
        <f>Amnt_Deposited!C54</f>
        <v>0</v>
      </c>
      <c r="Q59" s="857">
        <f>MCF!R58</f>
        <v>0.78500000000000003</v>
      </c>
      <c r="R59" s="858">
        <f t="shared" si="17"/>
        <v>0</v>
      </c>
      <c r="S59" s="858">
        <f t="shared" si="5"/>
        <v>0</v>
      </c>
      <c r="T59" s="858">
        <f t="shared" si="6"/>
        <v>0</v>
      </c>
      <c r="U59" s="858">
        <f t="shared" si="7"/>
        <v>0.59777823560616017</v>
      </c>
      <c r="V59" s="858">
        <f t="shared" si="8"/>
        <v>0.29400209998353172</v>
      </c>
      <c r="W59" s="859">
        <f t="shared" si="9"/>
        <v>0.19600139998902114</v>
      </c>
    </row>
    <row r="60" spans="2:23">
      <c r="B60" s="854">
        <f>Amnt_Deposited!B55</f>
        <v>2041</v>
      </c>
      <c r="C60" s="861">
        <f>Amnt_Deposited!C55</f>
        <v>0</v>
      </c>
      <c r="D60" s="856">
        <f>Dry_Matter_Content!C47</f>
        <v>0.59</v>
      </c>
      <c r="E60" s="857">
        <f>MCF!R59</f>
        <v>0.78500000000000003</v>
      </c>
      <c r="F60" s="858">
        <f t="shared" si="12"/>
        <v>0</v>
      </c>
      <c r="G60" s="858">
        <f t="shared" si="13"/>
        <v>0</v>
      </c>
      <c r="H60" s="858">
        <f t="shared" si="14"/>
        <v>0</v>
      </c>
      <c r="I60" s="858">
        <f t="shared" si="15"/>
        <v>0.5989170203657469</v>
      </c>
      <c r="J60" s="858">
        <f t="shared" si="16"/>
        <v>0.29456218245359395</v>
      </c>
      <c r="K60" s="859">
        <f t="shared" si="11"/>
        <v>0.19637478830239596</v>
      </c>
      <c r="O60" s="854">
        <f>Amnt_Deposited!B55</f>
        <v>2041</v>
      </c>
      <c r="P60" s="861">
        <f>Amnt_Deposited!C55</f>
        <v>0</v>
      </c>
      <c r="Q60" s="857">
        <f>MCF!R59</f>
        <v>0.78500000000000003</v>
      </c>
      <c r="R60" s="858">
        <f t="shared" si="17"/>
        <v>0</v>
      </c>
      <c r="S60" s="858">
        <f t="shared" si="5"/>
        <v>0</v>
      </c>
      <c r="T60" s="858">
        <f t="shared" si="6"/>
        <v>0</v>
      </c>
      <c r="U60" s="858">
        <f t="shared" si="7"/>
        <v>0.40070273441062454</v>
      </c>
      <c r="V60" s="858">
        <f t="shared" si="8"/>
        <v>0.19707550119553563</v>
      </c>
      <c r="W60" s="859">
        <f t="shared" si="9"/>
        <v>0.1313836674636904</v>
      </c>
    </row>
    <row r="61" spans="2:23">
      <c r="B61" s="854">
        <f>Amnt_Deposited!B56</f>
        <v>2042</v>
      </c>
      <c r="C61" s="861">
        <f>Amnt_Deposited!C56</f>
        <v>0</v>
      </c>
      <c r="D61" s="856">
        <f>Dry_Matter_Content!C48</f>
        <v>0.59</v>
      </c>
      <c r="E61" s="857">
        <f>MCF!R60</f>
        <v>0.78500000000000003</v>
      </c>
      <c r="F61" s="858">
        <f t="shared" si="12"/>
        <v>0</v>
      </c>
      <c r="G61" s="858">
        <f t="shared" si="13"/>
        <v>0</v>
      </c>
      <c r="H61" s="858">
        <f t="shared" si="14"/>
        <v>0</v>
      </c>
      <c r="I61" s="858">
        <f t="shared" si="15"/>
        <v>0.40146608466309541</v>
      </c>
      <c r="J61" s="858">
        <f t="shared" si="16"/>
        <v>0.19745093570265151</v>
      </c>
      <c r="K61" s="859">
        <f t="shared" si="11"/>
        <v>0.13163395713510101</v>
      </c>
      <c r="O61" s="854">
        <f>Amnt_Deposited!B56</f>
        <v>2042</v>
      </c>
      <c r="P61" s="861">
        <f>Amnt_Deposited!C56</f>
        <v>0</v>
      </c>
      <c r="Q61" s="857">
        <f>MCF!R60</f>
        <v>0.78500000000000003</v>
      </c>
      <c r="R61" s="858">
        <f t="shared" si="17"/>
        <v>0</v>
      </c>
      <c r="S61" s="858">
        <f t="shared" si="5"/>
        <v>0</v>
      </c>
      <c r="T61" s="858">
        <f t="shared" si="6"/>
        <v>0</v>
      </c>
      <c r="U61" s="858">
        <f t="shared" si="7"/>
        <v>0.26859907537673638</v>
      </c>
      <c r="V61" s="858">
        <f t="shared" si="8"/>
        <v>0.13210365903388813</v>
      </c>
      <c r="W61" s="859">
        <f t="shared" si="9"/>
        <v>8.8069106022592075E-2</v>
      </c>
    </row>
    <row r="62" spans="2:23">
      <c r="B62" s="854">
        <f>Amnt_Deposited!B57</f>
        <v>2043</v>
      </c>
      <c r="C62" s="861">
        <f>Amnt_Deposited!C57</f>
        <v>0</v>
      </c>
      <c r="D62" s="856">
        <f>Dry_Matter_Content!C49</f>
        <v>0.59</v>
      </c>
      <c r="E62" s="857">
        <f>MCF!R61</f>
        <v>0.78500000000000003</v>
      </c>
      <c r="F62" s="858">
        <f t="shared" si="12"/>
        <v>0</v>
      </c>
      <c r="G62" s="858">
        <f t="shared" si="13"/>
        <v>0</v>
      </c>
      <c r="H62" s="858">
        <f t="shared" si="14"/>
        <v>0</v>
      </c>
      <c r="I62" s="858">
        <f t="shared" si="15"/>
        <v>0.26911076435311398</v>
      </c>
      <c r="J62" s="858">
        <f t="shared" si="16"/>
        <v>0.13235532030998143</v>
      </c>
      <c r="K62" s="859">
        <f t="shared" si="11"/>
        <v>8.8236880206654281E-2</v>
      </c>
      <c r="O62" s="854">
        <f>Amnt_Deposited!B57</f>
        <v>2043</v>
      </c>
      <c r="P62" s="861">
        <f>Amnt_Deposited!C57</f>
        <v>0</v>
      </c>
      <c r="Q62" s="857">
        <f>MCF!R61</f>
        <v>0.78500000000000003</v>
      </c>
      <c r="R62" s="858">
        <f t="shared" si="17"/>
        <v>0</v>
      </c>
      <c r="S62" s="858">
        <f t="shared" si="5"/>
        <v>0</v>
      </c>
      <c r="T62" s="858">
        <f t="shared" si="6"/>
        <v>0</v>
      </c>
      <c r="U62" s="858">
        <f t="shared" si="7"/>
        <v>0.1800473445716641</v>
      </c>
      <c r="V62" s="858">
        <f t="shared" si="8"/>
        <v>8.8551730805072296E-2</v>
      </c>
      <c r="W62" s="859">
        <f t="shared" si="9"/>
        <v>5.903448720338153E-2</v>
      </c>
    </row>
    <row r="63" spans="2:23">
      <c r="B63" s="854">
        <f>Amnt_Deposited!B58</f>
        <v>2044</v>
      </c>
      <c r="C63" s="861">
        <f>Amnt_Deposited!C58</f>
        <v>0</v>
      </c>
      <c r="D63" s="856">
        <f>Dry_Matter_Content!C50</f>
        <v>0.59</v>
      </c>
      <c r="E63" s="857">
        <f>MCF!R62</f>
        <v>0.78500000000000003</v>
      </c>
      <c r="F63" s="858">
        <f t="shared" si="12"/>
        <v>0</v>
      </c>
      <c r="G63" s="858">
        <f t="shared" si="13"/>
        <v>0</v>
      </c>
      <c r="H63" s="858">
        <f t="shared" si="14"/>
        <v>0</v>
      </c>
      <c r="I63" s="858">
        <f t="shared" si="15"/>
        <v>0.18039033994986545</v>
      </c>
      <c r="J63" s="858">
        <f t="shared" si="16"/>
        <v>8.8720424403248538E-2</v>
      </c>
      <c r="K63" s="859">
        <f t="shared" si="11"/>
        <v>5.914694960216569E-2</v>
      </c>
      <c r="O63" s="854">
        <f>Amnt_Deposited!B58</f>
        <v>2044</v>
      </c>
      <c r="P63" s="861">
        <f>Amnt_Deposited!C58</f>
        <v>0</v>
      </c>
      <c r="Q63" s="857">
        <f>MCF!R62</f>
        <v>0.78500000000000003</v>
      </c>
      <c r="R63" s="858">
        <f t="shared" si="17"/>
        <v>0</v>
      </c>
      <c r="S63" s="858">
        <f t="shared" si="5"/>
        <v>0</v>
      </c>
      <c r="T63" s="858">
        <f t="shared" si="6"/>
        <v>0</v>
      </c>
      <c r="U63" s="858">
        <f t="shared" si="7"/>
        <v>0.1206893443018725</v>
      </c>
      <c r="V63" s="858">
        <f t="shared" si="8"/>
        <v>5.9358000269791607E-2</v>
      </c>
      <c r="W63" s="859">
        <f t="shared" si="9"/>
        <v>3.9572000179861067E-2</v>
      </c>
    </row>
    <row r="64" spans="2:23">
      <c r="B64" s="854">
        <f>Amnt_Deposited!B59</f>
        <v>2045</v>
      </c>
      <c r="C64" s="861">
        <f>Amnt_Deposited!C59</f>
        <v>0</v>
      </c>
      <c r="D64" s="856">
        <f>Dry_Matter_Content!C51</f>
        <v>0.59</v>
      </c>
      <c r="E64" s="857">
        <f>MCF!R63</f>
        <v>0.78500000000000003</v>
      </c>
      <c r="F64" s="858">
        <f t="shared" si="12"/>
        <v>0</v>
      </c>
      <c r="G64" s="858">
        <f t="shared" si="13"/>
        <v>0</v>
      </c>
      <c r="H64" s="858">
        <f t="shared" si="14"/>
        <v>0</v>
      </c>
      <c r="I64" s="858">
        <f t="shared" si="15"/>
        <v>0.12091926097957843</v>
      </c>
      <c r="J64" s="858">
        <f t="shared" si="16"/>
        <v>5.9471078970287014E-2</v>
      </c>
      <c r="K64" s="859">
        <f t="shared" si="11"/>
        <v>3.9647385980191338E-2</v>
      </c>
      <c r="O64" s="854">
        <f>Amnt_Deposited!B59</f>
        <v>2045</v>
      </c>
      <c r="P64" s="861">
        <f>Amnt_Deposited!C59</f>
        <v>0</v>
      </c>
      <c r="Q64" s="857">
        <f>MCF!R63</f>
        <v>0.78500000000000003</v>
      </c>
      <c r="R64" s="858">
        <f t="shared" si="17"/>
        <v>0</v>
      </c>
      <c r="S64" s="858">
        <f t="shared" si="5"/>
        <v>0</v>
      </c>
      <c r="T64" s="858">
        <f t="shared" si="6"/>
        <v>0</v>
      </c>
      <c r="U64" s="858">
        <f t="shared" si="7"/>
        <v>8.0900486828442295E-2</v>
      </c>
      <c r="V64" s="858">
        <f t="shared" si="8"/>
        <v>3.9788857473430202E-2</v>
      </c>
      <c r="W64" s="859">
        <f t="shared" si="9"/>
        <v>2.65259049822868E-2</v>
      </c>
    </row>
    <row r="65" spans="2:23">
      <c r="B65" s="854">
        <f>Amnt_Deposited!B60</f>
        <v>2046</v>
      </c>
      <c r="C65" s="861">
        <f>Amnt_Deposited!C60</f>
        <v>0</v>
      </c>
      <c r="D65" s="856">
        <f>Dry_Matter_Content!C52</f>
        <v>0.59</v>
      </c>
      <c r="E65" s="857">
        <f>MCF!R64</f>
        <v>0.78500000000000003</v>
      </c>
      <c r="F65" s="858">
        <f t="shared" si="12"/>
        <v>0</v>
      </c>
      <c r="G65" s="858">
        <f t="shared" si="13"/>
        <v>0</v>
      </c>
      <c r="H65" s="858">
        <f t="shared" si="14"/>
        <v>0</v>
      </c>
      <c r="I65" s="858">
        <f t="shared" si="15"/>
        <v>8.1054604586426507E-2</v>
      </c>
      <c r="J65" s="858">
        <f t="shared" si="16"/>
        <v>3.9864656393151933E-2</v>
      </c>
      <c r="K65" s="859">
        <f t="shared" si="11"/>
        <v>2.657643759543462E-2</v>
      </c>
      <c r="O65" s="854">
        <f>Amnt_Deposited!B60</f>
        <v>2046</v>
      </c>
      <c r="P65" s="861">
        <f>Amnt_Deposited!C60</f>
        <v>0</v>
      </c>
      <c r="Q65" s="857">
        <f>MCF!R64</f>
        <v>0.78500000000000003</v>
      </c>
      <c r="R65" s="858">
        <f t="shared" si="17"/>
        <v>0</v>
      </c>
      <c r="S65" s="858">
        <f t="shared" si="5"/>
        <v>0</v>
      </c>
      <c r="T65" s="858">
        <f t="shared" si="6"/>
        <v>0</v>
      </c>
      <c r="U65" s="858">
        <f t="shared" si="7"/>
        <v>5.422921805514707E-2</v>
      </c>
      <c r="V65" s="858">
        <f t="shared" si="8"/>
        <v>2.6671268773295221E-2</v>
      </c>
      <c r="W65" s="859">
        <f t="shared" si="9"/>
        <v>1.7780845848863479E-2</v>
      </c>
    </row>
    <row r="66" spans="2:23">
      <c r="B66" s="854">
        <f>Amnt_Deposited!B61</f>
        <v>2047</v>
      </c>
      <c r="C66" s="861">
        <f>Amnt_Deposited!C61</f>
        <v>0</v>
      </c>
      <c r="D66" s="856">
        <f>Dry_Matter_Content!C53</f>
        <v>0.59</v>
      </c>
      <c r="E66" s="857">
        <f>MCF!R65</f>
        <v>0.78500000000000003</v>
      </c>
      <c r="F66" s="858">
        <f t="shared" si="12"/>
        <v>0</v>
      </c>
      <c r="G66" s="858">
        <f t="shared" si="13"/>
        <v>0</v>
      </c>
      <c r="H66" s="858">
        <f t="shared" si="14"/>
        <v>0</v>
      </c>
      <c r="I66" s="858">
        <f t="shared" si="15"/>
        <v>5.4332526277773956E-2</v>
      </c>
      <c r="J66" s="858">
        <f t="shared" si="16"/>
        <v>2.6722078308652548E-2</v>
      </c>
      <c r="K66" s="859">
        <f t="shared" si="11"/>
        <v>1.7814718872435031E-2</v>
      </c>
      <c r="O66" s="854">
        <f>Amnt_Deposited!B61</f>
        <v>2047</v>
      </c>
      <c r="P66" s="861">
        <f>Amnt_Deposited!C61</f>
        <v>0</v>
      </c>
      <c r="Q66" s="857">
        <f>MCF!R65</f>
        <v>0.78500000000000003</v>
      </c>
      <c r="R66" s="858">
        <f t="shared" si="17"/>
        <v>0</v>
      </c>
      <c r="S66" s="858">
        <f t="shared" si="5"/>
        <v>0</v>
      </c>
      <c r="T66" s="858">
        <f t="shared" si="6"/>
        <v>0</v>
      </c>
      <c r="U66" s="858">
        <f t="shared" si="7"/>
        <v>3.6350931943202908E-2</v>
      </c>
      <c r="V66" s="858">
        <f t="shared" si="8"/>
        <v>1.7878286111944162E-2</v>
      </c>
      <c r="W66" s="859">
        <f t="shared" si="9"/>
        <v>1.1918857407962774E-2</v>
      </c>
    </row>
    <row r="67" spans="2:23">
      <c r="B67" s="854">
        <f>Amnt_Deposited!B62</f>
        <v>2048</v>
      </c>
      <c r="C67" s="861">
        <f>Amnt_Deposited!C62</f>
        <v>0</v>
      </c>
      <c r="D67" s="856">
        <f>Dry_Matter_Content!C54</f>
        <v>0.59</v>
      </c>
      <c r="E67" s="857">
        <f>MCF!R66</f>
        <v>0.78500000000000003</v>
      </c>
      <c r="F67" s="858">
        <f t="shared" si="12"/>
        <v>0</v>
      </c>
      <c r="G67" s="858">
        <f t="shared" si="13"/>
        <v>0</v>
      </c>
      <c r="H67" s="858">
        <f t="shared" si="14"/>
        <v>0</v>
      </c>
      <c r="I67" s="858">
        <f t="shared" si="15"/>
        <v>3.6420181515750022E-2</v>
      </c>
      <c r="J67" s="858">
        <f t="shared" si="16"/>
        <v>1.7912344762023934E-2</v>
      </c>
      <c r="K67" s="859">
        <f t="shared" si="11"/>
        <v>1.1941563174682621E-2</v>
      </c>
      <c r="O67" s="854">
        <f>Amnt_Deposited!B62</f>
        <v>2048</v>
      </c>
      <c r="P67" s="861">
        <f>Amnt_Deposited!C62</f>
        <v>0</v>
      </c>
      <c r="Q67" s="857">
        <f>MCF!R66</f>
        <v>0.78500000000000003</v>
      </c>
      <c r="R67" s="858">
        <f t="shared" si="17"/>
        <v>0</v>
      </c>
      <c r="S67" s="858">
        <f t="shared" si="5"/>
        <v>0</v>
      </c>
      <c r="T67" s="858">
        <f t="shared" si="6"/>
        <v>0</v>
      </c>
      <c r="U67" s="858">
        <f t="shared" si="7"/>
        <v>2.4366758373606166E-2</v>
      </c>
      <c r="V67" s="858">
        <f t="shared" si="8"/>
        <v>1.1984173569596742E-2</v>
      </c>
      <c r="W67" s="859">
        <f t="shared" si="9"/>
        <v>7.9894490463978275E-3</v>
      </c>
    </row>
    <row r="68" spans="2:23">
      <c r="B68" s="854">
        <f>Amnt_Deposited!B63</f>
        <v>2049</v>
      </c>
      <c r="C68" s="861">
        <f>Amnt_Deposited!C63</f>
        <v>0</v>
      </c>
      <c r="D68" s="856">
        <f>Dry_Matter_Content!C55</f>
        <v>0.59</v>
      </c>
      <c r="E68" s="857">
        <f>MCF!R67</f>
        <v>0.78500000000000003</v>
      </c>
      <c r="F68" s="858">
        <f t="shared" si="12"/>
        <v>0</v>
      </c>
      <c r="G68" s="858">
        <f t="shared" si="13"/>
        <v>0</v>
      </c>
      <c r="H68" s="858">
        <f t="shared" si="14"/>
        <v>0</v>
      </c>
      <c r="I68" s="858">
        <f t="shared" si="15"/>
        <v>2.4413177750263894E-2</v>
      </c>
      <c r="J68" s="858">
        <f t="shared" si="16"/>
        <v>1.2007003765486126E-2</v>
      </c>
      <c r="K68" s="859">
        <f t="shared" si="11"/>
        <v>8.0046691769907509E-3</v>
      </c>
      <c r="O68" s="854">
        <f>Amnt_Deposited!B63</f>
        <v>2049</v>
      </c>
      <c r="P68" s="861">
        <f>Amnt_Deposited!C63</f>
        <v>0</v>
      </c>
      <c r="Q68" s="857">
        <f>MCF!R67</f>
        <v>0.78500000000000003</v>
      </c>
      <c r="R68" s="858">
        <f t="shared" si="17"/>
        <v>0</v>
      </c>
      <c r="S68" s="858">
        <f t="shared" si="5"/>
        <v>0</v>
      </c>
      <c r="T68" s="858">
        <f t="shared" si="6"/>
        <v>0</v>
      </c>
      <c r="U68" s="858">
        <f t="shared" si="7"/>
        <v>1.6333526594734984E-2</v>
      </c>
      <c r="V68" s="858">
        <f t="shared" si="8"/>
        <v>8.0332317788711811E-3</v>
      </c>
      <c r="W68" s="859">
        <f t="shared" si="9"/>
        <v>5.3554878525807871E-3</v>
      </c>
    </row>
    <row r="69" spans="2:23">
      <c r="B69" s="854">
        <f>Amnt_Deposited!B64</f>
        <v>2050</v>
      </c>
      <c r="C69" s="861">
        <f>Amnt_Deposited!C64</f>
        <v>0</v>
      </c>
      <c r="D69" s="856">
        <f>Dry_Matter_Content!C56</f>
        <v>0.59</v>
      </c>
      <c r="E69" s="857">
        <f>MCF!R68</f>
        <v>0.78500000000000003</v>
      </c>
      <c r="F69" s="858">
        <f t="shared" si="12"/>
        <v>0</v>
      </c>
      <c r="G69" s="858">
        <f t="shared" si="13"/>
        <v>0</v>
      </c>
      <c r="H69" s="858">
        <f t="shared" si="14"/>
        <v>0</v>
      </c>
      <c r="I69" s="858">
        <f t="shared" si="15"/>
        <v>1.6364642433433139E-2</v>
      </c>
      <c r="J69" s="858">
        <f t="shared" si="16"/>
        <v>8.0485353168307551E-3</v>
      </c>
      <c r="K69" s="859">
        <f t="shared" si="11"/>
        <v>5.3656902112205031E-3</v>
      </c>
      <c r="O69" s="854">
        <f>Amnt_Deposited!B64</f>
        <v>2050</v>
      </c>
      <c r="P69" s="861">
        <f>Amnt_Deposited!C64</f>
        <v>0</v>
      </c>
      <c r="Q69" s="857">
        <f>MCF!R68</f>
        <v>0.78500000000000003</v>
      </c>
      <c r="R69" s="858">
        <f t="shared" si="17"/>
        <v>0</v>
      </c>
      <c r="S69" s="858">
        <f t="shared" si="5"/>
        <v>0</v>
      </c>
      <c r="T69" s="858">
        <f t="shared" si="6"/>
        <v>0</v>
      </c>
      <c r="U69" s="858">
        <f t="shared" si="7"/>
        <v>1.0948690298907094E-2</v>
      </c>
      <c r="V69" s="858">
        <f t="shared" si="8"/>
        <v>5.3848362958278904E-3</v>
      </c>
      <c r="W69" s="859">
        <f t="shared" si="9"/>
        <v>3.5898908638852603E-3</v>
      </c>
    </row>
    <row r="70" spans="2:23">
      <c r="B70" s="854">
        <f>Amnt_Deposited!B65</f>
        <v>2051</v>
      </c>
      <c r="C70" s="861">
        <f>Amnt_Deposited!C65</f>
        <v>0</v>
      </c>
      <c r="D70" s="856">
        <f>Dry_Matter_Content!C57</f>
        <v>0.59</v>
      </c>
      <c r="E70" s="857">
        <f>MCF!R69</f>
        <v>0.78500000000000003</v>
      </c>
      <c r="F70" s="858">
        <f t="shared" si="12"/>
        <v>0</v>
      </c>
      <c r="G70" s="858">
        <f t="shared" si="13"/>
        <v>0</v>
      </c>
      <c r="H70" s="858">
        <f t="shared" si="14"/>
        <v>0</v>
      </c>
      <c r="I70" s="858">
        <f t="shared" si="15"/>
        <v>1.0969547869335678E-2</v>
      </c>
      <c r="J70" s="858">
        <f t="shared" si="16"/>
        <v>5.3950945640974602E-3</v>
      </c>
      <c r="K70" s="859">
        <f t="shared" si="11"/>
        <v>3.5967297093983065E-3</v>
      </c>
      <c r="O70" s="854">
        <f>Amnt_Deposited!B65</f>
        <v>2051</v>
      </c>
      <c r="P70" s="861">
        <f>Amnt_Deposited!C65</f>
        <v>0</v>
      </c>
      <c r="Q70" s="857">
        <f>MCF!R69</f>
        <v>0.78500000000000003</v>
      </c>
      <c r="R70" s="858">
        <f t="shared" si="17"/>
        <v>0</v>
      </c>
      <c r="S70" s="858">
        <f t="shared" si="5"/>
        <v>0</v>
      </c>
      <c r="T70" s="858">
        <f t="shared" si="6"/>
        <v>0</v>
      </c>
      <c r="U70" s="858">
        <f t="shared" si="7"/>
        <v>7.3391265851933613E-3</v>
      </c>
      <c r="V70" s="858">
        <f t="shared" si="8"/>
        <v>3.6095637137137332E-3</v>
      </c>
      <c r="W70" s="859">
        <f t="shared" si="9"/>
        <v>2.4063758091424888E-3</v>
      </c>
    </row>
    <row r="71" spans="2:23">
      <c r="B71" s="854">
        <f>Amnt_Deposited!B66</f>
        <v>2052</v>
      </c>
      <c r="C71" s="861">
        <f>Amnt_Deposited!C66</f>
        <v>0</v>
      </c>
      <c r="D71" s="856">
        <f>Dry_Matter_Content!C58</f>
        <v>0.59</v>
      </c>
      <c r="E71" s="857">
        <f>MCF!R70</f>
        <v>0.78500000000000003</v>
      </c>
      <c r="F71" s="858">
        <f t="shared" si="12"/>
        <v>0</v>
      </c>
      <c r="G71" s="858">
        <f t="shared" si="13"/>
        <v>0</v>
      </c>
      <c r="H71" s="858">
        <f t="shared" si="14"/>
        <v>0</v>
      </c>
      <c r="I71" s="858">
        <f t="shared" si="15"/>
        <v>7.3531078327632405E-3</v>
      </c>
      <c r="J71" s="858">
        <f t="shared" si="16"/>
        <v>3.6164400365724368E-3</v>
      </c>
      <c r="K71" s="859">
        <f t="shared" si="11"/>
        <v>2.4109600243816245E-3</v>
      </c>
      <c r="O71" s="854">
        <f>Amnt_Deposited!B66</f>
        <v>2052</v>
      </c>
      <c r="P71" s="861">
        <f>Amnt_Deposited!C66</f>
        <v>0</v>
      </c>
      <c r="Q71" s="857">
        <f>MCF!R70</f>
        <v>0.78500000000000003</v>
      </c>
      <c r="R71" s="858">
        <f t="shared" si="17"/>
        <v>0</v>
      </c>
      <c r="S71" s="858">
        <f t="shared" si="5"/>
        <v>0</v>
      </c>
      <c r="T71" s="858">
        <f t="shared" si="6"/>
        <v>0</v>
      </c>
      <c r="U71" s="858">
        <f t="shared" si="7"/>
        <v>4.9195636704481988E-3</v>
      </c>
      <c r="V71" s="858">
        <f t="shared" si="8"/>
        <v>2.419562914745163E-3</v>
      </c>
      <c r="W71" s="859">
        <f t="shared" si="9"/>
        <v>1.6130419431634418E-3</v>
      </c>
    </row>
    <row r="72" spans="2:23">
      <c r="B72" s="854">
        <f>Amnt_Deposited!B67</f>
        <v>2053</v>
      </c>
      <c r="C72" s="861">
        <f>Amnt_Deposited!C67</f>
        <v>0</v>
      </c>
      <c r="D72" s="856">
        <f>Dry_Matter_Content!C59</f>
        <v>0.59</v>
      </c>
      <c r="E72" s="857">
        <f>MCF!R71</f>
        <v>0.78500000000000003</v>
      </c>
      <c r="F72" s="858">
        <f t="shared" si="12"/>
        <v>0</v>
      </c>
      <c r="G72" s="858">
        <f t="shared" si="13"/>
        <v>0</v>
      </c>
      <c r="H72" s="858">
        <f t="shared" si="14"/>
        <v>0</v>
      </c>
      <c r="I72" s="858">
        <f t="shared" si="15"/>
        <v>4.9289355809628756E-3</v>
      </c>
      <c r="J72" s="858">
        <f t="shared" si="16"/>
        <v>2.4241722518003649E-3</v>
      </c>
      <c r="K72" s="859">
        <f t="shared" si="11"/>
        <v>1.6161148345335765E-3</v>
      </c>
      <c r="O72" s="854">
        <f>Amnt_Deposited!B67</f>
        <v>2053</v>
      </c>
      <c r="P72" s="861">
        <f>Amnt_Deposited!C67</f>
        <v>0</v>
      </c>
      <c r="Q72" s="857">
        <f>MCF!R71</f>
        <v>0.78500000000000003</v>
      </c>
      <c r="R72" s="858">
        <f t="shared" si="17"/>
        <v>0</v>
      </c>
      <c r="S72" s="858">
        <f t="shared" si="5"/>
        <v>0</v>
      </c>
      <c r="T72" s="858">
        <f t="shared" si="6"/>
        <v>0</v>
      </c>
      <c r="U72" s="858">
        <f t="shared" si="7"/>
        <v>3.2976821460500953E-3</v>
      </c>
      <c r="V72" s="858">
        <f t="shared" si="8"/>
        <v>1.6218815243981034E-3</v>
      </c>
      <c r="W72" s="859">
        <f t="shared" si="9"/>
        <v>1.0812543495987356E-3</v>
      </c>
    </row>
    <row r="73" spans="2:23">
      <c r="B73" s="854">
        <f>Amnt_Deposited!B68</f>
        <v>2054</v>
      </c>
      <c r="C73" s="861">
        <f>Amnt_Deposited!C68</f>
        <v>0</v>
      </c>
      <c r="D73" s="856">
        <f>Dry_Matter_Content!C60</f>
        <v>0.59</v>
      </c>
      <c r="E73" s="857">
        <f>MCF!R72</f>
        <v>0.78500000000000003</v>
      </c>
      <c r="F73" s="858">
        <f t="shared" si="12"/>
        <v>0</v>
      </c>
      <c r="G73" s="858">
        <f t="shared" si="13"/>
        <v>0</v>
      </c>
      <c r="H73" s="858">
        <f t="shared" si="14"/>
        <v>0</v>
      </c>
      <c r="I73" s="858">
        <f t="shared" si="15"/>
        <v>3.3039643255377356E-3</v>
      </c>
      <c r="J73" s="858">
        <f t="shared" si="16"/>
        <v>1.6249712554251403E-3</v>
      </c>
      <c r="K73" s="859">
        <f t="shared" si="11"/>
        <v>1.0833141702834268E-3</v>
      </c>
      <c r="O73" s="854">
        <f>Amnt_Deposited!B68</f>
        <v>2054</v>
      </c>
      <c r="P73" s="861">
        <f>Amnt_Deposited!C68</f>
        <v>0</v>
      </c>
      <c r="Q73" s="857">
        <f>MCF!R72</f>
        <v>0.78500000000000003</v>
      </c>
      <c r="R73" s="858">
        <f t="shared" si="17"/>
        <v>0</v>
      </c>
      <c r="S73" s="858">
        <f t="shared" si="5"/>
        <v>0</v>
      </c>
      <c r="T73" s="858">
        <f t="shared" si="6"/>
        <v>0</v>
      </c>
      <c r="U73" s="858">
        <f t="shared" si="7"/>
        <v>2.2105024479512057E-3</v>
      </c>
      <c r="V73" s="858">
        <f t="shared" si="8"/>
        <v>1.0871796980988894E-3</v>
      </c>
      <c r="W73" s="859">
        <f t="shared" si="9"/>
        <v>7.2478646539925955E-4</v>
      </c>
    </row>
    <row r="74" spans="2:23">
      <c r="B74" s="854">
        <f>Amnt_Deposited!B69</f>
        <v>2055</v>
      </c>
      <c r="C74" s="861">
        <f>Amnt_Deposited!C69</f>
        <v>0</v>
      </c>
      <c r="D74" s="856">
        <f>Dry_Matter_Content!C61</f>
        <v>0.59</v>
      </c>
      <c r="E74" s="857">
        <f>MCF!R73</f>
        <v>0.78500000000000003</v>
      </c>
      <c r="F74" s="858">
        <f t="shared" si="12"/>
        <v>0</v>
      </c>
      <c r="G74" s="858">
        <f t="shared" si="13"/>
        <v>0</v>
      </c>
      <c r="H74" s="858">
        <f t="shared" si="14"/>
        <v>0</v>
      </c>
      <c r="I74" s="858">
        <f t="shared" si="15"/>
        <v>2.2147135187945651E-3</v>
      </c>
      <c r="J74" s="858">
        <f t="shared" si="16"/>
        <v>1.0892508067431707E-3</v>
      </c>
      <c r="K74" s="859">
        <f t="shared" si="11"/>
        <v>7.2616720449544705E-4</v>
      </c>
      <c r="O74" s="854">
        <f>Amnt_Deposited!B69</f>
        <v>2055</v>
      </c>
      <c r="P74" s="861">
        <f>Amnt_Deposited!C69</f>
        <v>0</v>
      </c>
      <c r="Q74" s="857">
        <f>MCF!R73</f>
        <v>0.78500000000000003</v>
      </c>
      <c r="R74" s="858">
        <f t="shared" si="17"/>
        <v>0</v>
      </c>
      <c r="S74" s="858">
        <f t="shared" si="5"/>
        <v>0</v>
      </c>
      <c r="T74" s="858">
        <f t="shared" si="6"/>
        <v>0</v>
      </c>
      <c r="U74" s="858">
        <f t="shared" si="7"/>
        <v>1.4817441026725457E-3</v>
      </c>
      <c r="V74" s="858">
        <f t="shared" si="8"/>
        <v>7.2875834527866008E-4</v>
      </c>
      <c r="W74" s="859">
        <f t="shared" si="9"/>
        <v>4.8583889685244002E-4</v>
      </c>
    </row>
    <row r="75" spans="2:23">
      <c r="B75" s="854">
        <f>Amnt_Deposited!B70</f>
        <v>2056</v>
      </c>
      <c r="C75" s="861">
        <f>Amnt_Deposited!C70</f>
        <v>0</v>
      </c>
      <c r="D75" s="856">
        <f>Dry_Matter_Content!C62</f>
        <v>0.59</v>
      </c>
      <c r="E75" s="857">
        <f>MCF!R74</f>
        <v>0.78500000000000003</v>
      </c>
      <c r="F75" s="858">
        <f t="shared" si="12"/>
        <v>0</v>
      </c>
      <c r="G75" s="858">
        <f t="shared" si="13"/>
        <v>0</v>
      </c>
      <c r="H75" s="858">
        <f t="shared" si="14"/>
        <v>0</v>
      </c>
      <c r="I75" s="858">
        <f t="shared" si="15"/>
        <v>1.4845668678741257E-3</v>
      </c>
      <c r="J75" s="858">
        <f t="shared" si="16"/>
        <v>7.301466509204395E-4</v>
      </c>
      <c r="K75" s="859">
        <f t="shared" si="11"/>
        <v>4.8676443394695963E-4</v>
      </c>
      <c r="O75" s="854">
        <f>Amnt_Deposited!B70</f>
        <v>2056</v>
      </c>
      <c r="P75" s="861">
        <f>Amnt_Deposited!C70</f>
        <v>0</v>
      </c>
      <c r="Q75" s="857">
        <f>MCF!R74</f>
        <v>0.78500000000000003</v>
      </c>
      <c r="R75" s="858">
        <f t="shared" si="17"/>
        <v>0</v>
      </c>
      <c r="S75" s="858">
        <f t="shared" si="5"/>
        <v>0</v>
      </c>
      <c r="T75" s="858">
        <f t="shared" si="6"/>
        <v>0</v>
      </c>
      <c r="U75" s="858">
        <f t="shared" si="7"/>
        <v>9.9324277511649798E-4</v>
      </c>
      <c r="V75" s="858">
        <f t="shared" si="8"/>
        <v>4.8850132755604773E-4</v>
      </c>
      <c r="W75" s="859">
        <f t="shared" si="9"/>
        <v>3.2566755170403182E-4</v>
      </c>
    </row>
    <row r="76" spans="2:23">
      <c r="B76" s="854">
        <f>Amnt_Deposited!B71</f>
        <v>2057</v>
      </c>
      <c r="C76" s="861">
        <f>Amnt_Deposited!C71</f>
        <v>0</v>
      </c>
      <c r="D76" s="856">
        <f>Dry_Matter_Content!C63</f>
        <v>0.59</v>
      </c>
      <c r="E76" s="857">
        <f>MCF!R75</f>
        <v>0.78500000000000003</v>
      </c>
      <c r="F76" s="858">
        <f t="shared" si="12"/>
        <v>0</v>
      </c>
      <c r="G76" s="858">
        <f t="shared" si="13"/>
        <v>0</v>
      </c>
      <c r="H76" s="858">
        <f t="shared" si="14"/>
        <v>0</v>
      </c>
      <c r="I76" s="858">
        <f t="shared" si="15"/>
        <v>9.9513493121636894E-4</v>
      </c>
      <c r="J76" s="858">
        <f t="shared" si="16"/>
        <v>4.8943193665775691E-4</v>
      </c>
      <c r="K76" s="859">
        <f t="shared" si="11"/>
        <v>3.2628795777183794E-4</v>
      </c>
      <c r="O76" s="854">
        <f>Amnt_Deposited!B71</f>
        <v>2057</v>
      </c>
      <c r="P76" s="861">
        <f>Amnt_Deposited!C71</f>
        <v>0</v>
      </c>
      <c r="Q76" s="857">
        <f>MCF!R75</f>
        <v>0.78500000000000003</v>
      </c>
      <c r="R76" s="858">
        <f t="shared" si="17"/>
        <v>0</v>
      </c>
      <c r="S76" s="858">
        <f t="shared" si="5"/>
        <v>0</v>
      </c>
      <c r="T76" s="858">
        <f t="shared" si="6"/>
        <v>0</v>
      </c>
      <c r="U76" s="858">
        <f t="shared" si="7"/>
        <v>6.6579054274065708E-4</v>
      </c>
      <c r="V76" s="858">
        <f t="shared" si="8"/>
        <v>3.274522323758409E-4</v>
      </c>
      <c r="W76" s="859">
        <f t="shared" si="9"/>
        <v>2.183014882505606E-4</v>
      </c>
    </row>
    <row r="77" spans="2:23">
      <c r="B77" s="854">
        <f>Amnt_Deposited!B72</f>
        <v>2058</v>
      </c>
      <c r="C77" s="861">
        <f>Amnt_Deposited!C72</f>
        <v>0</v>
      </c>
      <c r="D77" s="856">
        <f>Dry_Matter_Content!C64</f>
        <v>0.59</v>
      </c>
      <c r="E77" s="857">
        <f>MCF!R76</f>
        <v>0.78500000000000003</v>
      </c>
      <c r="F77" s="858">
        <f t="shared" si="12"/>
        <v>0</v>
      </c>
      <c r="G77" s="858">
        <f t="shared" si="13"/>
        <v>0</v>
      </c>
      <c r="H77" s="858">
        <f t="shared" si="14"/>
        <v>0</v>
      </c>
      <c r="I77" s="858">
        <f t="shared" si="15"/>
        <v>6.6705889290462925E-4</v>
      </c>
      <c r="J77" s="858">
        <f t="shared" si="16"/>
        <v>3.2807603831173975E-4</v>
      </c>
      <c r="K77" s="859">
        <f t="shared" si="11"/>
        <v>2.1871735887449317E-4</v>
      </c>
      <c r="O77" s="854">
        <f>Amnt_Deposited!B72</f>
        <v>2058</v>
      </c>
      <c r="P77" s="861">
        <f>Amnt_Deposited!C72</f>
        <v>0</v>
      </c>
      <c r="Q77" s="857">
        <f>MCF!R76</f>
        <v>0.78500000000000003</v>
      </c>
      <c r="R77" s="858">
        <f t="shared" si="17"/>
        <v>0</v>
      </c>
      <c r="S77" s="858">
        <f t="shared" si="5"/>
        <v>0</v>
      </c>
      <c r="T77" s="858">
        <f t="shared" si="6"/>
        <v>0</v>
      </c>
      <c r="U77" s="858">
        <f t="shared" si="7"/>
        <v>4.4629274726001053E-4</v>
      </c>
      <c r="V77" s="858">
        <f t="shared" si="8"/>
        <v>2.1949779548064653E-4</v>
      </c>
      <c r="W77" s="859">
        <f t="shared" si="9"/>
        <v>1.4633186365376434E-4</v>
      </c>
    </row>
    <row r="78" spans="2:23">
      <c r="B78" s="854">
        <f>Amnt_Deposited!B73</f>
        <v>2059</v>
      </c>
      <c r="C78" s="861">
        <f>Amnt_Deposited!C73</f>
        <v>0</v>
      </c>
      <c r="D78" s="856">
        <f>Dry_Matter_Content!C65</f>
        <v>0.59</v>
      </c>
      <c r="E78" s="857">
        <f>MCF!R77</f>
        <v>0.78500000000000003</v>
      </c>
      <c r="F78" s="858">
        <f t="shared" si="12"/>
        <v>0</v>
      </c>
      <c r="G78" s="858">
        <f t="shared" si="13"/>
        <v>0</v>
      </c>
      <c r="H78" s="858">
        <f t="shared" si="14"/>
        <v>0</v>
      </c>
      <c r="I78" s="858">
        <f t="shared" si="15"/>
        <v>4.4714294780031369E-4</v>
      </c>
      <c r="J78" s="858">
        <f t="shared" si="16"/>
        <v>2.1991594510431555E-4</v>
      </c>
      <c r="K78" s="859">
        <f t="shared" si="11"/>
        <v>1.4661063006954369E-4</v>
      </c>
      <c r="O78" s="854">
        <f>Amnt_Deposited!B73</f>
        <v>2059</v>
      </c>
      <c r="P78" s="861">
        <f>Amnt_Deposited!C73</f>
        <v>0</v>
      </c>
      <c r="Q78" s="857">
        <f>MCF!R77</f>
        <v>0.78500000000000003</v>
      </c>
      <c r="R78" s="858">
        <f t="shared" si="17"/>
        <v>0</v>
      </c>
      <c r="S78" s="858">
        <f t="shared" si="5"/>
        <v>0</v>
      </c>
      <c r="T78" s="858">
        <f t="shared" si="6"/>
        <v>0</v>
      </c>
      <c r="U78" s="858">
        <f t="shared" si="7"/>
        <v>2.9915897488870221E-4</v>
      </c>
      <c r="V78" s="858">
        <f t="shared" si="8"/>
        <v>1.4713377237130832E-4</v>
      </c>
      <c r="W78" s="859">
        <f t="shared" si="9"/>
        <v>9.8089181580872207E-5</v>
      </c>
    </row>
    <row r="79" spans="2:23">
      <c r="B79" s="854">
        <f>Amnt_Deposited!B74</f>
        <v>2060</v>
      </c>
      <c r="C79" s="861">
        <f>Amnt_Deposited!C74</f>
        <v>0</v>
      </c>
      <c r="D79" s="856">
        <f>Dry_Matter_Content!C66</f>
        <v>0.59</v>
      </c>
      <c r="E79" s="857">
        <f>MCF!R78</f>
        <v>0.78500000000000003</v>
      </c>
      <c r="F79" s="858">
        <f t="shared" si="12"/>
        <v>0</v>
      </c>
      <c r="G79" s="858">
        <f t="shared" si="13"/>
        <v>0</v>
      </c>
      <c r="H79" s="858">
        <f t="shared" si="14"/>
        <v>0</v>
      </c>
      <c r="I79" s="858">
        <f t="shared" si="15"/>
        <v>2.9972888135401774E-4</v>
      </c>
      <c r="J79" s="858">
        <f t="shared" si="16"/>
        <v>1.4741406644629596E-4</v>
      </c>
      <c r="K79" s="859">
        <f t="shared" si="11"/>
        <v>9.8276044297530629E-5</v>
      </c>
      <c r="O79" s="854">
        <f>Amnt_Deposited!B74</f>
        <v>2060</v>
      </c>
      <c r="P79" s="861">
        <f>Amnt_Deposited!C74</f>
        <v>0</v>
      </c>
      <c r="Q79" s="857">
        <f>MCF!R78</f>
        <v>0.78500000000000003</v>
      </c>
      <c r="R79" s="858">
        <f t="shared" si="17"/>
        <v>0</v>
      </c>
      <c r="S79" s="858">
        <f t="shared" si="5"/>
        <v>0</v>
      </c>
      <c r="T79" s="858">
        <f t="shared" si="6"/>
        <v>0</v>
      </c>
      <c r="U79" s="858">
        <f t="shared" si="7"/>
        <v>2.0053225781936954E-4</v>
      </c>
      <c r="V79" s="858">
        <f t="shared" si="8"/>
        <v>9.8626717069332678E-5</v>
      </c>
      <c r="W79" s="859">
        <f t="shared" si="9"/>
        <v>6.5751144712888443E-5</v>
      </c>
    </row>
    <row r="80" spans="2:23">
      <c r="B80" s="854">
        <f>Amnt_Deposited!B75</f>
        <v>2061</v>
      </c>
      <c r="C80" s="861">
        <f>Amnt_Deposited!C75</f>
        <v>0</v>
      </c>
      <c r="D80" s="856">
        <f>Dry_Matter_Content!C67</f>
        <v>0.59</v>
      </c>
      <c r="E80" s="857">
        <f>MCF!R79</f>
        <v>0.78500000000000003</v>
      </c>
      <c r="F80" s="858">
        <f t="shared" si="12"/>
        <v>0</v>
      </c>
      <c r="G80" s="858">
        <f t="shared" si="13"/>
        <v>0</v>
      </c>
      <c r="H80" s="858">
        <f t="shared" si="14"/>
        <v>0</v>
      </c>
      <c r="I80" s="858">
        <f t="shared" si="15"/>
        <v>2.0091427754743583E-4</v>
      </c>
      <c r="J80" s="858">
        <f t="shared" si="16"/>
        <v>9.8814603806581888E-5</v>
      </c>
      <c r="K80" s="859">
        <f t="shared" si="11"/>
        <v>6.5876402537721259E-5</v>
      </c>
      <c r="O80" s="854">
        <f>Amnt_Deposited!B75</f>
        <v>2061</v>
      </c>
      <c r="P80" s="861">
        <f>Amnt_Deposited!C75</f>
        <v>0</v>
      </c>
      <c r="Q80" s="857">
        <f>MCF!R79</f>
        <v>0.78500000000000003</v>
      </c>
      <c r="R80" s="858">
        <f t="shared" si="17"/>
        <v>0</v>
      </c>
      <c r="S80" s="858">
        <f t="shared" si="5"/>
        <v>0</v>
      </c>
      <c r="T80" s="858">
        <f t="shared" si="6"/>
        <v>0</v>
      </c>
      <c r="U80" s="858">
        <f t="shared" si="7"/>
        <v>1.3442079229311049E-4</v>
      </c>
      <c r="V80" s="858">
        <f t="shared" si="8"/>
        <v>6.6111465526259053E-5</v>
      </c>
      <c r="W80" s="859">
        <f t="shared" si="9"/>
        <v>4.4074310350839366E-5</v>
      </c>
    </row>
    <row r="81" spans="2:23">
      <c r="B81" s="854">
        <f>Amnt_Deposited!B76</f>
        <v>2062</v>
      </c>
      <c r="C81" s="861">
        <f>Amnt_Deposited!C76</f>
        <v>0</v>
      </c>
      <c r="D81" s="856">
        <f>Dry_Matter_Content!C68</f>
        <v>0.59</v>
      </c>
      <c r="E81" s="857">
        <f>MCF!R80</f>
        <v>0.78500000000000003</v>
      </c>
      <c r="F81" s="858">
        <f t="shared" si="12"/>
        <v>0</v>
      </c>
      <c r="G81" s="858">
        <f t="shared" si="13"/>
        <v>0</v>
      </c>
      <c r="H81" s="858">
        <f t="shared" si="14"/>
        <v>0</v>
      </c>
      <c r="I81" s="858">
        <f t="shared" si="15"/>
        <v>1.346768677748144E-4</v>
      </c>
      <c r="J81" s="858">
        <f t="shared" si="16"/>
        <v>6.623740977262143E-5</v>
      </c>
      <c r="K81" s="859">
        <f t="shared" si="11"/>
        <v>4.4158273181747615E-5</v>
      </c>
      <c r="O81" s="854">
        <f>Amnt_Deposited!B76</f>
        <v>2062</v>
      </c>
      <c r="P81" s="861">
        <f>Amnt_Deposited!C76</f>
        <v>0</v>
      </c>
      <c r="Q81" s="857">
        <f>MCF!R80</f>
        <v>0.78500000000000003</v>
      </c>
      <c r="R81" s="858">
        <f t="shared" si="17"/>
        <v>0</v>
      </c>
      <c r="S81" s="858">
        <f t="shared" si="5"/>
        <v>0</v>
      </c>
      <c r="T81" s="858">
        <f t="shared" si="6"/>
        <v>0</v>
      </c>
      <c r="U81" s="858">
        <f t="shared" si="7"/>
        <v>9.0104951678064929E-5</v>
      </c>
      <c r="V81" s="858">
        <f t="shared" si="8"/>
        <v>4.4315840615045554E-5</v>
      </c>
      <c r="W81" s="859">
        <f t="shared" si="9"/>
        <v>2.9543893743363702E-5</v>
      </c>
    </row>
    <row r="82" spans="2:23">
      <c r="B82" s="854">
        <f>Amnt_Deposited!B77</f>
        <v>2063</v>
      </c>
      <c r="C82" s="861">
        <f>Amnt_Deposited!C77</f>
        <v>0</v>
      </c>
      <c r="D82" s="856">
        <f>Dry_Matter_Content!C69</f>
        <v>0.59</v>
      </c>
      <c r="E82" s="857">
        <f>MCF!R81</f>
        <v>0.78500000000000003</v>
      </c>
      <c r="F82" s="858">
        <f t="shared" si="12"/>
        <v>0</v>
      </c>
      <c r="G82" s="858">
        <f t="shared" si="13"/>
        <v>0</v>
      </c>
      <c r="H82" s="858">
        <f t="shared" si="14"/>
        <v>0</v>
      </c>
      <c r="I82" s="858">
        <f t="shared" si="15"/>
        <v>9.0276604206749304E-5</v>
      </c>
      <c r="J82" s="858">
        <f t="shared" si="16"/>
        <v>4.44002635680651E-5</v>
      </c>
      <c r="K82" s="859">
        <f t="shared" si="11"/>
        <v>2.96001757120434E-5</v>
      </c>
      <c r="O82" s="854">
        <f>Amnt_Deposited!B77</f>
        <v>2063</v>
      </c>
      <c r="P82" s="861">
        <f>Amnt_Deposited!C77</f>
        <v>0</v>
      </c>
      <c r="Q82" s="857">
        <f>MCF!R81</f>
        <v>0.78500000000000003</v>
      </c>
      <c r="R82" s="858">
        <f t="shared" si="17"/>
        <v>0</v>
      </c>
      <c r="S82" s="858">
        <f t="shared" si="5"/>
        <v>0</v>
      </c>
      <c r="T82" s="858">
        <f t="shared" si="6"/>
        <v>0</v>
      </c>
      <c r="U82" s="858">
        <f t="shared" si="7"/>
        <v>6.0399155356879537E-5</v>
      </c>
      <c r="V82" s="858">
        <f t="shared" si="8"/>
        <v>2.9705796321185388E-5</v>
      </c>
      <c r="W82" s="859">
        <f t="shared" si="9"/>
        <v>1.980386421412359E-5</v>
      </c>
    </row>
    <row r="83" spans="2:23">
      <c r="B83" s="854">
        <f>Amnt_Deposited!B78</f>
        <v>2064</v>
      </c>
      <c r="C83" s="861">
        <f>Amnt_Deposited!C78</f>
        <v>0</v>
      </c>
      <c r="D83" s="856">
        <f>Dry_Matter_Content!C70</f>
        <v>0.59</v>
      </c>
      <c r="E83" s="857">
        <f>MCF!R82</f>
        <v>0.78500000000000003</v>
      </c>
      <c r="F83" s="858">
        <f t="shared" ref="F83:F99" si="18">C83*D83*$K$6*DOCF*E83</f>
        <v>0</v>
      </c>
      <c r="G83" s="858">
        <f t="shared" ref="G83:G99" si="19">F83*$K$12</f>
        <v>0</v>
      </c>
      <c r="H83" s="858">
        <f t="shared" ref="H83:H99" si="20">F83*(1-$K$12)</f>
        <v>0</v>
      </c>
      <c r="I83" s="858">
        <f t="shared" ref="I83:I99" si="21">G83+I82*$K$10</f>
        <v>6.0514217487809382E-5</v>
      </c>
      <c r="J83" s="858">
        <f t="shared" ref="J83:J99" si="22">I82*(1-$K$10)+H83</f>
        <v>2.9762386718939919E-5</v>
      </c>
      <c r="K83" s="859">
        <f t="shared" si="11"/>
        <v>1.9841591145959944E-5</v>
      </c>
      <c r="O83" s="854">
        <f>Amnt_Deposited!B78</f>
        <v>2064</v>
      </c>
      <c r="P83" s="861">
        <f>Amnt_Deposited!C78</f>
        <v>0</v>
      </c>
      <c r="Q83" s="857">
        <f>MCF!R82</f>
        <v>0.78500000000000003</v>
      </c>
      <c r="R83" s="858">
        <f t="shared" ref="R83:R99" si="23">P83*$W$6*DOCF*Q83</f>
        <v>0</v>
      </c>
      <c r="S83" s="858">
        <f t="shared" si="5"/>
        <v>0</v>
      </c>
      <c r="T83" s="858">
        <f t="shared" si="6"/>
        <v>0</v>
      </c>
      <c r="U83" s="858">
        <f t="shared" si="7"/>
        <v>4.0486764599337225E-5</v>
      </c>
      <c r="V83" s="858">
        <f t="shared" si="8"/>
        <v>1.9912390757542316E-5</v>
      </c>
      <c r="W83" s="859">
        <f t="shared" si="9"/>
        <v>1.3274927171694877E-5</v>
      </c>
    </row>
    <row r="84" spans="2:23">
      <c r="B84" s="854">
        <f>Amnt_Deposited!B79</f>
        <v>2065</v>
      </c>
      <c r="C84" s="861">
        <f>Amnt_Deposited!C79</f>
        <v>0</v>
      </c>
      <c r="D84" s="856">
        <f>Dry_Matter_Content!C71</f>
        <v>0.59</v>
      </c>
      <c r="E84" s="857">
        <f>MCF!R83</f>
        <v>0.78500000000000003</v>
      </c>
      <c r="F84" s="858">
        <f t="shared" si="18"/>
        <v>0</v>
      </c>
      <c r="G84" s="858">
        <f t="shared" si="19"/>
        <v>0</v>
      </c>
      <c r="H84" s="858">
        <f t="shared" si="20"/>
        <v>0</v>
      </c>
      <c r="I84" s="858">
        <f t="shared" si="21"/>
        <v>4.0563893052239077E-5</v>
      </c>
      <c r="J84" s="858">
        <f t="shared" si="22"/>
        <v>1.9950324435570308E-5</v>
      </c>
      <c r="K84" s="859">
        <f t="shared" si="11"/>
        <v>1.3300216290380205E-5</v>
      </c>
      <c r="O84" s="854">
        <f>Amnt_Deposited!B79</f>
        <v>2065</v>
      </c>
      <c r="P84" s="861">
        <f>Amnt_Deposited!C79</f>
        <v>0</v>
      </c>
      <c r="Q84" s="857">
        <f>MCF!R83</f>
        <v>0.78500000000000003</v>
      </c>
      <c r="R84" s="858">
        <f t="shared" si="23"/>
        <v>0</v>
      </c>
      <c r="S84" s="858">
        <f t="shared" si="5"/>
        <v>0</v>
      </c>
      <c r="T84" s="858">
        <f t="shared" si="6"/>
        <v>0</v>
      </c>
      <c r="U84" s="858">
        <f t="shared" si="7"/>
        <v>2.713908991006182E-5</v>
      </c>
      <c r="V84" s="858">
        <f t="shared" si="8"/>
        <v>1.3347674689275404E-5</v>
      </c>
      <c r="W84" s="859">
        <f t="shared" si="9"/>
        <v>8.898449792850269E-6</v>
      </c>
    </row>
    <row r="85" spans="2:23">
      <c r="B85" s="854">
        <f>Amnt_Deposited!B80</f>
        <v>2066</v>
      </c>
      <c r="C85" s="861">
        <f>Amnt_Deposited!C80</f>
        <v>0</v>
      </c>
      <c r="D85" s="856">
        <f>Dry_Matter_Content!C72</f>
        <v>0.59</v>
      </c>
      <c r="E85" s="857">
        <f>MCF!R84</f>
        <v>0.78500000000000003</v>
      </c>
      <c r="F85" s="858">
        <f t="shared" si="18"/>
        <v>0</v>
      </c>
      <c r="G85" s="858">
        <f t="shared" si="19"/>
        <v>0</v>
      </c>
      <c r="H85" s="858">
        <f t="shared" si="20"/>
        <v>0</v>
      </c>
      <c r="I85" s="858">
        <f t="shared" si="21"/>
        <v>2.7190790658161649E-5</v>
      </c>
      <c r="J85" s="858">
        <f t="shared" si="22"/>
        <v>1.3373102394077428E-5</v>
      </c>
      <c r="K85" s="859">
        <f t="shared" ref="K85:K99" si="24">J85*CH4_fraction*conv</f>
        <v>8.9154015960516187E-6</v>
      </c>
      <c r="O85" s="854">
        <f>Amnt_Deposited!B80</f>
        <v>2066</v>
      </c>
      <c r="P85" s="861">
        <f>Amnt_Deposited!C80</f>
        <v>0</v>
      </c>
      <c r="Q85" s="857">
        <f>MCF!R84</f>
        <v>0.78500000000000003</v>
      </c>
      <c r="R85" s="858">
        <f t="shared" si="23"/>
        <v>0</v>
      </c>
      <c r="S85" s="858">
        <f t="shared" ref="S85:S98" si="25">R85*$W$12</f>
        <v>0</v>
      </c>
      <c r="T85" s="858">
        <f t="shared" ref="T85:T98" si="26">R85*(1-$W$12)</f>
        <v>0</v>
      </c>
      <c r="U85" s="858">
        <f t="shared" ref="U85:U98" si="27">S85+U84*$W$10</f>
        <v>1.8191875997877995E-5</v>
      </c>
      <c r="V85" s="858">
        <f t="shared" ref="V85:V98" si="28">U84*(1-$W$10)+T85</f>
        <v>8.9472139121838266E-6</v>
      </c>
      <c r="W85" s="859">
        <f t="shared" ref="W85:W99" si="29">V85*CH4_fraction*conv</f>
        <v>5.9648092747892175E-6</v>
      </c>
    </row>
    <row r="86" spans="2:23">
      <c r="B86" s="854">
        <f>Amnt_Deposited!B81</f>
        <v>2067</v>
      </c>
      <c r="C86" s="861">
        <f>Amnt_Deposited!C81</f>
        <v>0</v>
      </c>
      <c r="D86" s="856">
        <f>Dry_Matter_Content!C73</f>
        <v>0.59</v>
      </c>
      <c r="E86" s="857">
        <f>MCF!R85</f>
        <v>0.78500000000000003</v>
      </c>
      <c r="F86" s="858">
        <f t="shared" si="18"/>
        <v>0</v>
      </c>
      <c r="G86" s="858">
        <f t="shared" si="19"/>
        <v>0</v>
      </c>
      <c r="H86" s="858">
        <f t="shared" si="20"/>
        <v>0</v>
      </c>
      <c r="I86" s="858">
        <f t="shared" si="21"/>
        <v>1.822653204572435E-5</v>
      </c>
      <c r="J86" s="858">
        <f t="shared" si="22"/>
        <v>8.9642586124373012E-6</v>
      </c>
      <c r="K86" s="859">
        <f t="shared" si="24"/>
        <v>5.9761724082915338E-6</v>
      </c>
      <c r="O86" s="854">
        <f>Amnt_Deposited!B81</f>
        <v>2067</v>
      </c>
      <c r="P86" s="861">
        <f>Amnt_Deposited!C81</f>
        <v>0</v>
      </c>
      <c r="Q86" s="857">
        <f>MCF!R85</f>
        <v>0.78500000000000003</v>
      </c>
      <c r="R86" s="858">
        <f t="shared" si="23"/>
        <v>0</v>
      </c>
      <c r="S86" s="858">
        <f t="shared" si="25"/>
        <v>0</v>
      </c>
      <c r="T86" s="858">
        <f t="shared" si="26"/>
        <v>0</v>
      </c>
      <c r="U86" s="858">
        <f t="shared" si="27"/>
        <v>1.219437915637222E-5</v>
      </c>
      <c r="V86" s="858">
        <f t="shared" si="28"/>
        <v>5.9974968415057749E-6</v>
      </c>
      <c r="W86" s="859">
        <f t="shared" si="29"/>
        <v>3.9983312276705166E-6</v>
      </c>
    </row>
    <row r="87" spans="2:23">
      <c r="B87" s="854">
        <f>Amnt_Deposited!B82</f>
        <v>2068</v>
      </c>
      <c r="C87" s="861">
        <f>Amnt_Deposited!C82</f>
        <v>0</v>
      </c>
      <c r="D87" s="856">
        <f>Dry_Matter_Content!C74</f>
        <v>0.59</v>
      </c>
      <c r="E87" s="857">
        <f>MCF!R86</f>
        <v>0.78500000000000003</v>
      </c>
      <c r="F87" s="858">
        <f t="shared" si="18"/>
        <v>0</v>
      </c>
      <c r="G87" s="858">
        <f t="shared" si="19"/>
        <v>0</v>
      </c>
      <c r="H87" s="858">
        <f t="shared" si="20"/>
        <v>0</v>
      </c>
      <c r="I87" s="858">
        <f t="shared" si="21"/>
        <v>1.2217609799960002E-5</v>
      </c>
      <c r="J87" s="858">
        <f t="shared" si="22"/>
        <v>6.0089222457643484E-6</v>
      </c>
      <c r="K87" s="859">
        <f t="shared" si="24"/>
        <v>4.005948163842899E-6</v>
      </c>
      <c r="O87" s="854">
        <f>Amnt_Deposited!B82</f>
        <v>2068</v>
      </c>
      <c r="P87" s="861">
        <f>Amnt_Deposited!C82</f>
        <v>0</v>
      </c>
      <c r="Q87" s="857">
        <f>MCF!R86</f>
        <v>0.78500000000000003</v>
      </c>
      <c r="R87" s="858">
        <f t="shared" si="23"/>
        <v>0</v>
      </c>
      <c r="S87" s="858">
        <f t="shared" si="25"/>
        <v>0</v>
      </c>
      <c r="T87" s="858">
        <f t="shared" si="26"/>
        <v>0</v>
      </c>
      <c r="U87" s="858">
        <f t="shared" si="27"/>
        <v>8.1741367974754673E-6</v>
      </c>
      <c r="V87" s="858">
        <f t="shared" si="28"/>
        <v>4.0202423588967527E-6</v>
      </c>
      <c r="W87" s="859">
        <f t="shared" si="29"/>
        <v>2.6801615725978351E-6</v>
      </c>
    </row>
    <row r="88" spans="2:23">
      <c r="B88" s="854">
        <f>Amnt_Deposited!B83</f>
        <v>2069</v>
      </c>
      <c r="C88" s="861">
        <f>Amnt_Deposited!C83</f>
        <v>0</v>
      </c>
      <c r="D88" s="856">
        <f>Dry_Matter_Content!C75</f>
        <v>0.59</v>
      </c>
      <c r="E88" s="857">
        <f>MCF!R87</f>
        <v>0.78500000000000003</v>
      </c>
      <c r="F88" s="858">
        <f t="shared" si="18"/>
        <v>0</v>
      </c>
      <c r="G88" s="858">
        <f t="shared" si="19"/>
        <v>0</v>
      </c>
      <c r="H88" s="858">
        <f t="shared" si="20"/>
        <v>0</v>
      </c>
      <c r="I88" s="858">
        <f t="shared" si="21"/>
        <v>8.1897087635546662E-6</v>
      </c>
      <c r="J88" s="858">
        <f t="shared" si="22"/>
        <v>4.0279010364053349E-6</v>
      </c>
      <c r="K88" s="859">
        <f t="shared" si="24"/>
        <v>2.6852673576035563E-6</v>
      </c>
      <c r="O88" s="854">
        <f>Amnt_Deposited!B83</f>
        <v>2069</v>
      </c>
      <c r="P88" s="861">
        <f>Amnt_Deposited!C83</f>
        <v>0</v>
      </c>
      <c r="Q88" s="857">
        <f>MCF!R87</f>
        <v>0.78500000000000003</v>
      </c>
      <c r="R88" s="858">
        <f t="shared" si="23"/>
        <v>0</v>
      </c>
      <c r="S88" s="858">
        <f t="shared" si="25"/>
        <v>0</v>
      </c>
      <c r="T88" s="858">
        <f t="shared" si="26"/>
        <v>0</v>
      </c>
      <c r="U88" s="858">
        <f t="shared" si="27"/>
        <v>5.4792877543853683E-6</v>
      </c>
      <c r="V88" s="858">
        <f t="shared" si="28"/>
        <v>2.6948490430900986E-6</v>
      </c>
      <c r="W88" s="859">
        <f t="shared" si="29"/>
        <v>1.7965660287267323E-6</v>
      </c>
    </row>
    <row r="89" spans="2:23">
      <c r="B89" s="854">
        <f>Amnt_Deposited!B84</f>
        <v>2070</v>
      </c>
      <c r="C89" s="861">
        <f>Amnt_Deposited!C84</f>
        <v>0</v>
      </c>
      <c r="D89" s="856">
        <f>Dry_Matter_Content!C76</f>
        <v>0.59</v>
      </c>
      <c r="E89" s="857">
        <f>MCF!R88</f>
        <v>0.78500000000000003</v>
      </c>
      <c r="F89" s="858">
        <f t="shared" si="18"/>
        <v>0</v>
      </c>
      <c r="G89" s="858">
        <f t="shared" si="19"/>
        <v>0</v>
      </c>
      <c r="H89" s="858">
        <f t="shared" si="20"/>
        <v>0</v>
      </c>
      <c r="I89" s="858">
        <f t="shared" si="21"/>
        <v>5.4897259554044425E-6</v>
      </c>
      <c r="J89" s="858">
        <f t="shared" si="22"/>
        <v>2.6999828081502237E-6</v>
      </c>
      <c r="K89" s="859">
        <f t="shared" si="24"/>
        <v>1.7999885387668158E-6</v>
      </c>
      <c r="O89" s="854">
        <f>Amnt_Deposited!B84</f>
        <v>2070</v>
      </c>
      <c r="P89" s="861">
        <f>Amnt_Deposited!C84</f>
        <v>0</v>
      </c>
      <c r="Q89" s="857">
        <f>MCF!R88</f>
        <v>0.78500000000000003</v>
      </c>
      <c r="R89" s="858">
        <f t="shared" si="23"/>
        <v>0</v>
      </c>
      <c r="S89" s="858">
        <f t="shared" si="25"/>
        <v>0</v>
      </c>
      <c r="T89" s="858">
        <f t="shared" si="26"/>
        <v>0</v>
      </c>
      <c r="U89" s="858">
        <f t="shared" si="27"/>
        <v>3.6728764197621151E-6</v>
      </c>
      <c r="V89" s="858">
        <f t="shared" si="28"/>
        <v>1.8064113346232534E-6</v>
      </c>
      <c r="W89" s="859">
        <f t="shared" si="29"/>
        <v>1.2042742230821688E-6</v>
      </c>
    </row>
    <row r="90" spans="2:23">
      <c r="B90" s="854">
        <f>Amnt_Deposited!B85</f>
        <v>2071</v>
      </c>
      <c r="C90" s="861">
        <f>Amnt_Deposited!C85</f>
        <v>0</v>
      </c>
      <c r="D90" s="856">
        <f>Dry_Matter_Content!C77</f>
        <v>0.59</v>
      </c>
      <c r="E90" s="857">
        <f>MCF!R89</f>
        <v>0.78500000000000003</v>
      </c>
      <c r="F90" s="858">
        <f t="shared" si="18"/>
        <v>0</v>
      </c>
      <c r="G90" s="858">
        <f t="shared" si="19"/>
        <v>0</v>
      </c>
      <c r="H90" s="858">
        <f t="shared" si="20"/>
        <v>0</v>
      </c>
      <c r="I90" s="858">
        <f t="shared" si="21"/>
        <v>3.6798733551497501E-6</v>
      </c>
      <c r="J90" s="858">
        <f t="shared" si="22"/>
        <v>1.8098526002546925E-6</v>
      </c>
      <c r="K90" s="859">
        <f t="shared" si="24"/>
        <v>1.2065684001697949E-6</v>
      </c>
      <c r="O90" s="854">
        <f>Amnt_Deposited!B85</f>
        <v>2071</v>
      </c>
      <c r="P90" s="861">
        <f>Amnt_Deposited!C85</f>
        <v>0</v>
      </c>
      <c r="Q90" s="857">
        <f>MCF!R89</f>
        <v>0.78500000000000003</v>
      </c>
      <c r="R90" s="858">
        <f t="shared" si="23"/>
        <v>0</v>
      </c>
      <c r="S90" s="858">
        <f t="shared" si="25"/>
        <v>0</v>
      </c>
      <c r="T90" s="858">
        <f t="shared" si="26"/>
        <v>0</v>
      </c>
      <c r="U90" s="858">
        <f t="shared" si="27"/>
        <v>2.4620026907781553E-6</v>
      </c>
      <c r="V90" s="858">
        <f t="shared" si="28"/>
        <v>1.21087372898396E-6</v>
      </c>
      <c r="W90" s="859">
        <f t="shared" si="29"/>
        <v>8.0724915265597331E-7</v>
      </c>
    </row>
    <row r="91" spans="2:23">
      <c r="B91" s="854">
        <f>Amnt_Deposited!B86</f>
        <v>2072</v>
      </c>
      <c r="C91" s="861">
        <f>Amnt_Deposited!C86</f>
        <v>0</v>
      </c>
      <c r="D91" s="856">
        <f>Dry_Matter_Content!C78</f>
        <v>0.59</v>
      </c>
      <c r="E91" s="857">
        <f>MCF!R90</f>
        <v>0.78500000000000003</v>
      </c>
      <c r="F91" s="858">
        <f t="shared" si="18"/>
        <v>0</v>
      </c>
      <c r="G91" s="858">
        <f t="shared" si="19"/>
        <v>0</v>
      </c>
      <c r="H91" s="858">
        <f t="shared" si="20"/>
        <v>0</v>
      </c>
      <c r="I91" s="858">
        <f t="shared" si="21"/>
        <v>2.4666928768293029E-6</v>
      </c>
      <c r="J91" s="858">
        <f t="shared" si="22"/>
        <v>1.213180478320447E-6</v>
      </c>
      <c r="K91" s="859">
        <f t="shared" si="24"/>
        <v>8.0878698554696464E-7</v>
      </c>
      <c r="O91" s="854">
        <f>Amnt_Deposited!B86</f>
        <v>2072</v>
      </c>
      <c r="P91" s="861">
        <f>Amnt_Deposited!C86</f>
        <v>0</v>
      </c>
      <c r="Q91" s="857">
        <f>MCF!R90</f>
        <v>0.78500000000000003</v>
      </c>
      <c r="R91" s="858">
        <f t="shared" si="23"/>
        <v>0</v>
      </c>
      <c r="S91" s="858">
        <f t="shared" si="25"/>
        <v>0</v>
      </c>
      <c r="T91" s="858">
        <f t="shared" si="26"/>
        <v>0</v>
      </c>
      <c r="U91" s="858">
        <f t="shared" si="27"/>
        <v>1.6503297570222809E-6</v>
      </c>
      <c r="V91" s="858">
        <f t="shared" si="28"/>
        <v>8.1167293375587437E-7</v>
      </c>
      <c r="W91" s="859">
        <f t="shared" si="29"/>
        <v>5.4111528917058288E-7</v>
      </c>
    </row>
    <row r="92" spans="2:23">
      <c r="B92" s="854">
        <f>Amnt_Deposited!B87</f>
        <v>2073</v>
      </c>
      <c r="C92" s="861">
        <f>Amnt_Deposited!C87</f>
        <v>0</v>
      </c>
      <c r="D92" s="856">
        <f>Dry_Matter_Content!C79</f>
        <v>0.59</v>
      </c>
      <c r="E92" s="857">
        <f>MCF!R91</f>
        <v>0.78500000000000003</v>
      </c>
      <c r="F92" s="858">
        <f t="shared" si="18"/>
        <v>0</v>
      </c>
      <c r="G92" s="858">
        <f t="shared" si="19"/>
        <v>0</v>
      </c>
      <c r="H92" s="858">
        <f t="shared" si="20"/>
        <v>0</v>
      </c>
      <c r="I92" s="858">
        <f t="shared" si="21"/>
        <v>1.6534736827520019E-6</v>
      </c>
      <c r="J92" s="858">
        <f t="shared" si="22"/>
        <v>8.1321919407730093E-7</v>
      </c>
      <c r="K92" s="859">
        <f t="shared" si="24"/>
        <v>5.4214612938486721E-7</v>
      </c>
      <c r="O92" s="854">
        <f>Amnt_Deposited!B87</f>
        <v>2073</v>
      </c>
      <c r="P92" s="861">
        <f>Amnt_Deposited!C87</f>
        <v>0</v>
      </c>
      <c r="Q92" s="857">
        <f>MCF!R91</f>
        <v>0.78500000000000003</v>
      </c>
      <c r="R92" s="858">
        <f t="shared" si="23"/>
        <v>0</v>
      </c>
      <c r="S92" s="858">
        <f t="shared" si="25"/>
        <v>0</v>
      </c>
      <c r="T92" s="858">
        <f t="shared" si="26"/>
        <v>0</v>
      </c>
      <c r="U92" s="858">
        <f t="shared" si="27"/>
        <v>1.1062491187011607E-6</v>
      </c>
      <c r="V92" s="858">
        <f t="shared" si="28"/>
        <v>5.4408063832112011E-7</v>
      </c>
      <c r="W92" s="859">
        <f t="shared" si="29"/>
        <v>3.6272042554741337E-7</v>
      </c>
    </row>
    <row r="93" spans="2:23">
      <c r="B93" s="854">
        <f>Amnt_Deposited!B88</f>
        <v>2074</v>
      </c>
      <c r="C93" s="861">
        <f>Amnt_Deposited!C88</f>
        <v>0</v>
      </c>
      <c r="D93" s="856">
        <f>Dry_Matter_Content!C80</f>
        <v>0.59</v>
      </c>
      <c r="E93" s="857">
        <f>MCF!R92</f>
        <v>0.78500000000000003</v>
      </c>
      <c r="F93" s="858">
        <f t="shared" si="18"/>
        <v>0</v>
      </c>
      <c r="G93" s="858">
        <f t="shared" si="19"/>
        <v>0</v>
      </c>
      <c r="H93" s="858">
        <f t="shared" si="20"/>
        <v>0</v>
      </c>
      <c r="I93" s="858">
        <f t="shared" si="21"/>
        <v>1.10835655514104E-6</v>
      </c>
      <c r="J93" s="858">
        <f t="shared" si="22"/>
        <v>5.4511712761096185E-7</v>
      </c>
      <c r="K93" s="859">
        <f t="shared" si="24"/>
        <v>3.6341141840730787E-7</v>
      </c>
      <c r="O93" s="854">
        <f>Amnt_Deposited!B88</f>
        <v>2074</v>
      </c>
      <c r="P93" s="861">
        <f>Amnt_Deposited!C88</f>
        <v>0</v>
      </c>
      <c r="Q93" s="857">
        <f>MCF!R92</f>
        <v>0.78500000000000003</v>
      </c>
      <c r="R93" s="858">
        <f t="shared" si="23"/>
        <v>0</v>
      </c>
      <c r="S93" s="858">
        <f t="shared" si="25"/>
        <v>0</v>
      </c>
      <c r="T93" s="858">
        <f t="shared" si="26"/>
        <v>0</v>
      </c>
      <c r="U93" s="858">
        <f t="shared" si="27"/>
        <v>7.4154096017464744E-7</v>
      </c>
      <c r="V93" s="858">
        <f t="shared" si="28"/>
        <v>3.6470815852651322E-7</v>
      </c>
      <c r="W93" s="859">
        <f t="shared" si="29"/>
        <v>2.431387723510088E-7</v>
      </c>
    </row>
    <row r="94" spans="2:23">
      <c r="B94" s="854">
        <f>Amnt_Deposited!B89</f>
        <v>2075</v>
      </c>
      <c r="C94" s="861">
        <f>Amnt_Deposited!C89</f>
        <v>0</v>
      </c>
      <c r="D94" s="856">
        <f>Dry_Matter_Content!C81</f>
        <v>0.59</v>
      </c>
      <c r="E94" s="857">
        <f>MCF!R93</f>
        <v>0.78500000000000003</v>
      </c>
      <c r="F94" s="858">
        <f t="shared" si="18"/>
        <v>0</v>
      </c>
      <c r="G94" s="858">
        <f t="shared" si="19"/>
        <v>0</v>
      </c>
      <c r="H94" s="858">
        <f t="shared" si="20"/>
        <v>0</v>
      </c>
      <c r="I94" s="858">
        <f t="shared" si="21"/>
        <v>7.4295361706604455E-7</v>
      </c>
      <c r="J94" s="858">
        <f t="shared" si="22"/>
        <v>3.6540293807499544E-7</v>
      </c>
      <c r="K94" s="859">
        <f t="shared" si="24"/>
        <v>2.4360195871666361E-7</v>
      </c>
      <c r="O94" s="854">
        <f>Amnt_Deposited!B89</f>
        <v>2075</v>
      </c>
      <c r="P94" s="861">
        <f>Amnt_Deposited!C89</f>
        <v>0</v>
      </c>
      <c r="Q94" s="857">
        <f>MCF!R93</f>
        <v>0.78500000000000003</v>
      </c>
      <c r="R94" s="858">
        <f t="shared" si="23"/>
        <v>0</v>
      </c>
      <c r="S94" s="858">
        <f t="shared" si="25"/>
        <v>0</v>
      </c>
      <c r="T94" s="858">
        <f t="shared" si="26"/>
        <v>0</v>
      </c>
      <c r="U94" s="858">
        <f t="shared" si="27"/>
        <v>4.9706977056158189E-7</v>
      </c>
      <c r="V94" s="858">
        <f t="shared" si="28"/>
        <v>2.444711896130656E-7</v>
      </c>
      <c r="W94" s="859">
        <f t="shared" si="29"/>
        <v>1.6298079307537705E-7</v>
      </c>
    </row>
    <row r="95" spans="2:23">
      <c r="B95" s="854">
        <f>Amnt_Deposited!B90</f>
        <v>2076</v>
      </c>
      <c r="C95" s="861">
        <f>Amnt_Deposited!C90</f>
        <v>0</v>
      </c>
      <c r="D95" s="856">
        <f>Dry_Matter_Content!C82</f>
        <v>0.59</v>
      </c>
      <c r="E95" s="857">
        <f>MCF!R94</f>
        <v>0.78500000000000003</v>
      </c>
      <c r="F95" s="858">
        <f t="shared" si="18"/>
        <v>0</v>
      </c>
      <c r="G95" s="858">
        <f t="shared" si="19"/>
        <v>0</v>
      </c>
      <c r="H95" s="858">
        <f t="shared" si="20"/>
        <v>0</v>
      </c>
      <c r="I95" s="858">
        <f t="shared" si="21"/>
        <v>4.9801670279405576E-7</v>
      </c>
      <c r="J95" s="858">
        <f t="shared" si="22"/>
        <v>2.4493691427198879E-7</v>
      </c>
      <c r="K95" s="859">
        <f t="shared" si="24"/>
        <v>1.6329127618132585E-7</v>
      </c>
      <c r="O95" s="854">
        <f>Amnt_Deposited!B90</f>
        <v>2076</v>
      </c>
      <c r="P95" s="861">
        <f>Amnt_Deposited!C90</f>
        <v>0</v>
      </c>
      <c r="Q95" s="857">
        <f>MCF!R94</f>
        <v>0.78500000000000003</v>
      </c>
      <c r="R95" s="858">
        <f t="shared" si="23"/>
        <v>0</v>
      </c>
      <c r="S95" s="858">
        <f t="shared" si="25"/>
        <v>0</v>
      </c>
      <c r="T95" s="858">
        <f t="shared" si="26"/>
        <v>0</v>
      </c>
      <c r="U95" s="858">
        <f t="shared" si="27"/>
        <v>3.3319583148576425E-7</v>
      </c>
      <c r="V95" s="858">
        <f t="shared" si="28"/>
        <v>1.6387393907581765E-7</v>
      </c>
      <c r="W95" s="859">
        <f t="shared" si="29"/>
        <v>1.0924929271721176E-7</v>
      </c>
    </row>
    <row r="96" spans="2:23">
      <c r="B96" s="854">
        <f>Amnt_Deposited!B91</f>
        <v>2077</v>
      </c>
      <c r="C96" s="861">
        <f>Amnt_Deposited!C91</f>
        <v>0</v>
      </c>
      <c r="D96" s="856">
        <f>Dry_Matter_Content!C83</f>
        <v>0.59</v>
      </c>
      <c r="E96" s="857">
        <f>MCF!R95</f>
        <v>0.78500000000000003</v>
      </c>
      <c r="F96" s="858">
        <f t="shared" si="18"/>
        <v>0</v>
      </c>
      <c r="G96" s="858">
        <f t="shared" si="19"/>
        <v>0</v>
      </c>
      <c r="H96" s="858">
        <f t="shared" si="20"/>
        <v>0</v>
      </c>
      <c r="I96" s="858">
        <f t="shared" si="21"/>
        <v>3.3383057914342878E-7</v>
      </c>
      <c r="J96" s="858">
        <f t="shared" si="22"/>
        <v>1.6418612365062701E-7</v>
      </c>
      <c r="K96" s="859">
        <f t="shared" si="24"/>
        <v>1.0945741576708467E-7</v>
      </c>
      <c r="O96" s="854">
        <f>Amnt_Deposited!B91</f>
        <v>2077</v>
      </c>
      <c r="P96" s="861">
        <f>Amnt_Deposited!C91</f>
        <v>0</v>
      </c>
      <c r="Q96" s="857">
        <f>MCF!R95</f>
        <v>0.78500000000000003</v>
      </c>
      <c r="R96" s="858">
        <f t="shared" si="23"/>
        <v>0</v>
      </c>
      <c r="S96" s="858">
        <f t="shared" si="25"/>
        <v>0</v>
      </c>
      <c r="T96" s="858">
        <f t="shared" si="26"/>
        <v>0</v>
      </c>
      <c r="U96" s="858">
        <f t="shared" si="27"/>
        <v>2.2334784510042062E-7</v>
      </c>
      <c r="V96" s="858">
        <f t="shared" si="28"/>
        <v>1.0984798638534363E-7</v>
      </c>
      <c r="W96" s="859">
        <f t="shared" si="29"/>
        <v>7.3231990923562421E-8</v>
      </c>
    </row>
    <row r="97" spans="2:23">
      <c r="B97" s="854">
        <f>Amnt_Deposited!B92</f>
        <v>2078</v>
      </c>
      <c r="C97" s="861">
        <f>Amnt_Deposited!C92</f>
        <v>0</v>
      </c>
      <c r="D97" s="856">
        <f>Dry_Matter_Content!C84</f>
        <v>0.59</v>
      </c>
      <c r="E97" s="857">
        <f>MCF!R96</f>
        <v>0.78500000000000003</v>
      </c>
      <c r="F97" s="858">
        <f t="shared" si="18"/>
        <v>0</v>
      </c>
      <c r="G97" s="858">
        <f t="shared" si="19"/>
        <v>0</v>
      </c>
      <c r="H97" s="858">
        <f t="shared" si="20"/>
        <v>0</v>
      </c>
      <c r="I97" s="858">
        <f t="shared" si="21"/>
        <v>2.2377332917952731E-7</v>
      </c>
      <c r="J97" s="858">
        <f t="shared" si="22"/>
        <v>1.1005724996390147E-7</v>
      </c>
      <c r="K97" s="859">
        <f t="shared" si="24"/>
        <v>7.3371499975934301E-8</v>
      </c>
      <c r="O97" s="854">
        <f>Amnt_Deposited!B92</f>
        <v>2078</v>
      </c>
      <c r="P97" s="861">
        <f>Amnt_Deposited!C92</f>
        <v>0</v>
      </c>
      <c r="Q97" s="857">
        <f>MCF!R96</f>
        <v>0.78500000000000003</v>
      </c>
      <c r="R97" s="858">
        <f t="shared" si="23"/>
        <v>0</v>
      </c>
      <c r="S97" s="858">
        <f t="shared" si="25"/>
        <v>0</v>
      </c>
      <c r="T97" s="858">
        <f t="shared" si="26"/>
        <v>0</v>
      </c>
      <c r="U97" s="858">
        <f t="shared" si="27"/>
        <v>1.497145378096748E-7</v>
      </c>
      <c r="V97" s="858">
        <f t="shared" si="28"/>
        <v>7.363330729074583E-8</v>
      </c>
      <c r="W97" s="859">
        <f t="shared" si="29"/>
        <v>4.9088871527163884E-8</v>
      </c>
    </row>
    <row r="98" spans="2:23">
      <c r="B98" s="854">
        <f>Amnt_Deposited!B93</f>
        <v>2079</v>
      </c>
      <c r="C98" s="861">
        <f>Amnt_Deposited!C93</f>
        <v>0</v>
      </c>
      <c r="D98" s="856">
        <f>Dry_Matter_Content!C85</f>
        <v>0.59</v>
      </c>
      <c r="E98" s="857">
        <f>MCF!R97</f>
        <v>0.78500000000000003</v>
      </c>
      <c r="F98" s="858">
        <f t="shared" si="18"/>
        <v>0</v>
      </c>
      <c r="G98" s="858">
        <f t="shared" si="19"/>
        <v>0</v>
      </c>
      <c r="H98" s="858">
        <f t="shared" si="20"/>
        <v>0</v>
      </c>
      <c r="I98" s="858">
        <f t="shared" si="21"/>
        <v>1.4999974831716903E-7</v>
      </c>
      <c r="J98" s="858">
        <f t="shared" si="22"/>
        <v>7.3773580862358296E-8</v>
      </c>
      <c r="K98" s="859">
        <f t="shared" si="24"/>
        <v>4.9182387241572193E-8</v>
      </c>
      <c r="O98" s="854">
        <f>Amnt_Deposited!B93</f>
        <v>2079</v>
      </c>
      <c r="P98" s="861">
        <f>Amnt_Deposited!C93</f>
        <v>0</v>
      </c>
      <c r="Q98" s="857">
        <f>MCF!R97</f>
        <v>0.78500000000000003</v>
      </c>
      <c r="R98" s="858">
        <f t="shared" si="23"/>
        <v>0</v>
      </c>
      <c r="S98" s="858">
        <f t="shared" si="25"/>
        <v>0</v>
      </c>
      <c r="T98" s="858">
        <f t="shared" si="26"/>
        <v>0</v>
      </c>
      <c r="U98" s="858">
        <f t="shared" si="27"/>
        <v>1.0035665587678568E-7</v>
      </c>
      <c r="V98" s="858">
        <f t="shared" si="28"/>
        <v>4.9357881932889123E-8</v>
      </c>
      <c r="W98" s="859">
        <f t="shared" si="29"/>
        <v>3.2905254621926077E-8</v>
      </c>
    </row>
    <row r="99" spans="2:23" ht="13.5" thickBot="1">
      <c r="B99" s="863">
        <f>Amnt_Deposited!B94</f>
        <v>2080</v>
      </c>
      <c r="C99" s="864">
        <f>Amnt_Deposited!C94</f>
        <v>0</v>
      </c>
      <c r="D99" s="865">
        <f>Dry_Matter_Content!C86</f>
        <v>0.59</v>
      </c>
      <c r="E99" s="866">
        <f>MCF!R98</f>
        <v>0.78500000000000003</v>
      </c>
      <c r="F99" s="867">
        <f t="shared" si="18"/>
        <v>0</v>
      </c>
      <c r="G99" s="867">
        <f t="shared" si="19"/>
        <v>0</v>
      </c>
      <c r="H99" s="867">
        <f t="shared" si="20"/>
        <v>0</v>
      </c>
      <c r="I99" s="867">
        <f t="shared" si="21"/>
        <v>1.0054783819729906E-7</v>
      </c>
      <c r="J99" s="867">
        <f t="shared" si="22"/>
        <v>4.9451910119869975E-8</v>
      </c>
      <c r="K99" s="868">
        <f t="shared" si="24"/>
        <v>3.2967940079913312E-8</v>
      </c>
      <c r="O99" s="863">
        <f>Amnt_Deposited!B94</f>
        <v>2080</v>
      </c>
      <c r="P99" s="864">
        <f>Amnt_Deposited!C94</f>
        <v>0</v>
      </c>
      <c r="Q99" s="866">
        <f>MCF!R98</f>
        <v>0.78500000000000003</v>
      </c>
      <c r="R99" s="867">
        <f t="shared" si="23"/>
        <v>0</v>
      </c>
      <c r="S99" s="867">
        <f>R99*$W$12</f>
        <v>0</v>
      </c>
      <c r="T99" s="867">
        <f>R99*(1-$W$12)</f>
        <v>0</v>
      </c>
      <c r="U99" s="867">
        <f>S99+U98*$W$10</f>
        <v>6.7271078187309795E-8</v>
      </c>
      <c r="V99" s="867">
        <f>U98*(1-$W$10)+T99</f>
        <v>3.3085577689475889E-8</v>
      </c>
      <c r="W99" s="868">
        <f t="shared" si="29"/>
        <v>2.2057051792983924E-8</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1" customWidth="1"/>
    <col min="14" max="16384" width="8.85546875" style="6"/>
  </cols>
  <sheetData>
    <row r="2" spans="1:23" ht="15.75">
      <c r="B2" s="45" t="s">
        <v>314</v>
      </c>
      <c r="C2" s="223"/>
      <c r="D2" s="223"/>
      <c r="E2" s="224"/>
      <c r="F2" s="225"/>
      <c r="G2" s="225"/>
      <c r="H2" s="225"/>
      <c r="I2" s="225"/>
      <c r="J2" s="225"/>
      <c r="K2" s="225"/>
    </row>
    <row r="3" spans="1:23" ht="15">
      <c r="B3" s="242" t="str">
        <f>IF(Select2=2,"This sheet applies only to the waste compositon option and can be deleted when the bulk waste option has been chosen","")</f>
        <v/>
      </c>
      <c r="C3" s="223"/>
      <c r="D3" s="223"/>
      <c r="E3" s="224"/>
      <c r="F3" s="225"/>
      <c r="G3" s="225"/>
      <c r="H3" s="225"/>
      <c r="I3" s="225"/>
      <c r="J3" s="225"/>
      <c r="K3" s="225"/>
    </row>
    <row r="4" spans="1:23" ht="16.5" thickBot="1">
      <c r="B4" s="226"/>
      <c r="C4" s="227"/>
      <c r="D4" s="227"/>
      <c r="E4" s="256"/>
      <c r="F4" s="228"/>
      <c r="G4" s="228"/>
      <c r="H4" s="228"/>
      <c r="I4" s="228"/>
      <c r="J4" s="228"/>
      <c r="K4" s="228"/>
    </row>
    <row r="5" spans="1:23" ht="26.25" thickBot="1">
      <c r="B5" s="229"/>
      <c r="C5" s="230"/>
      <c r="D5" s="230"/>
      <c r="F5" s="231"/>
      <c r="G5" s="216"/>
      <c r="H5" s="216"/>
      <c r="I5" s="216"/>
      <c r="J5" s="216"/>
      <c r="K5" s="115" t="s">
        <v>7</v>
      </c>
      <c r="O5" s="229"/>
      <c r="P5" s="230"/>
      <c r="Q5" s="222"/>
      <c r="R5" s="231"/>
      <c r="S5" s="216"/>
      <c r="T5" s="216"/>
      <c r="U5" s="216"/>
      <c r="V5" s="216"/>
      <c r="W5" s="115" t="s">
        <v>7</v>
      </c>
    </row>
    <row r="6" spans="1:23">
      <c r="B6" s="229"/>
      <c r="C6" s="230"/>
      <c r="D6" s="230"/>
      <c r="F6" s="108" t="s">
        <v>9</v>
      </c>
      <c r="G6" s="109"/>
      <c r="H6" s="109"/>
      <c r="I6" s="113"/>
      <c r="J6" s="120" t="s">
        <v>9</v>
      </c>
      <c r="K6" s="260">
        <f>Parameters!O16</f>
        <v>0.44</v>
      </c>
      <c r="O6" s="229"/>
      <c r="P6" s="230"/>
      <c r="Q6" s="222"/>
      <c r="R6" s="108" t="s">
        <v>9</v>
      </c>
      <c r="S6" s="109"/>
      <c r="T6" s="109"/>
      <c r="U6" s="113"/>
      <c r="V6" s="120" t="s">
        <v>9</v>
      </c>
      <c r="W6" s="260">
        <f>Parameters!R16</f>
        <v>0.4</v>
      </c>
    </row>
    <row r="7" spans="1:23" ht="13.5" thickBot="1">
      <c r="B7" s="229"/>
      <c r="C7" s="230"/>
      <c r="D7" s="230"/>
      <c r="F7" s="250" t="s">
        <v>12</v>
      </c>
      <c r="G7" s="251"/>
      <c r="H7" s="251"/>
      <c r="I7" s="252"/>
      <c r="J7" s="253" t="s">
        <v>12</v>
      </c>
      <c r="K7" s="254">
        <f>DOCF</f>
        <v>0.5</v>
      </c>
      <c r="O7" s="229"/>
      <c r="P7" s="230"/>
      <c r="Q7" s="222"/>
      <c r="R7" s="250" t="s">
        <v>12</v>
      </c>
      <c r="S7" s="251"/>
      <c r="T7" s="251"/>
      <c r="U7" s="252"/>
      <c r="V7" s="253" t="s">
        <v>12</v>
      </c>
      <c r="W7" s="254">
        <f>DOCF</f>
        <v>0.5</v>
      </c>
    </row>
    <row r="8" spans="1:23">
      <c r="F8" s="108" t="s">
        <v>192</v>
      </c>
      <c r="G8" s="109"/>
      <c r="H8" s="109"/>
      <c r="I8" s="113"/>
      <c r="J8" s="120" t="s">
        <v>188</v>
      </c>
      <c r="K8" s="114">
        <f>Parameters!O35</f>
        <v>7.0000000000000007E-2</v>
      </c>
      <c r="O8" s="47"/>
      <c r="P8" s="47"/>
      <c r="Q8" s="222"/>
      <c r="R8" s="108" t="s">
        <v>192</v>
      </c>
      <c r="S8" s="109"/>
      <c r="T8" s="109"/>
      <c r="U8" s="113"/>
      <c r="V8" s="120" t="s">
        <v>188</v>
      </c>
      <c r="W8" s="114">
        <f>Parameters!O35</f>
        <v>7.0000000000000007E-2</v>
      </c>
    </row>
    <row r="9" spans="1:23" ht="15.75">
      <c r="F9" s="246" t="s">
        <v>190</v>
      </c>
      <c r="G9" s="247"/>
      <c r="H9" s="247"/>
      <c r="I9" s="248"/>
      <c r="J9" s="249" t="s">
        <v>189</v>
      </c>
      <c r="K9" s="255">
        <f>LN(2)/$K$8</f>
        <v>9.9021025794277886</v>
      </c>
      <c r="O9" s="47"/>
      <c r="P9" s="47"/>
      <c r="Q9" s="222"/>
      <c r="R9" s="246" t="s">
        <v>190</v>
      </c>
      <c r="S9" s="247"/>
      <c r="T9" s="247"/>
      <c r="U9" s="248"/>
      <c r="V9" s="249" t="s">
        <v>189</v>
      </c>
      <c r="W9" s="255">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8" t="s">
        <v>239</v>
      </c>
      <c r="E15" s="53" t="s">
        <v>11</v>
      </c>
      <c r="F15" s="54" t="s">
        <v>180</v>
      </c>
      <c r="G15" s="54" t="s">
        <v>181</v>
      </c>
      <c r="H15" s="54" t="s">
        <v>182</v>
      </c>
      <c r="I15" s="54" t="s">
        <v>183</v>
      </c>
      <c r="J15" s="54" t="s">
        <v>184</v>
      </c>
      <c r="K15" s="245" t="s">
        <v>185</v>
      </c>
      <c r="O15" s="51" t="s">
        <v>1</v>
      </c>
      <c r="P15" s="52" t="s">
        <v>10</v>
      </c>
      <c r="Q15" s="53" t="s">
        <v>11</v>
      </c>
      <c r="R15" s="54" t="s">
        <v>180</v>
      </c>
      <c r="S15" s="54" t="s">
        <v>181</v>
      </c>
      <c r="T15" s="54" t="s">
        <v>182</v>
      </c>
      <c r="U15" s="54" t="s">
        <v>183</v>
      </c>
      <c r="V15" s="54" t="s">
        <v>184</v>
      </c>
      <c r="W15" s="245" t="s">
        <v>185</v>
      </c>
    </row>
    <row r="16" spans="1:23" ht="45">
      <c r="A16" s="232"/>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0</v>
      </c>
      <c r="D19" s="415">
        <f>Dry_Matter_Content!D6</f>
        <v>0.44</v>
      </c>
      <c r="E19" s="282">
        <f>MCF!R18</f>
        <v>0.78500000000000003</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Amnt_Deposited!D14</f>
        <v>0</v>
      </c>
      <c r="Q19" s="282">
        <f>MCF!R18</f>
        <v>0.78500000000000003</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Amnt_Deposited!D15</f>
        <v>0</v>
      </c>
      <c r="D20" s="417">
        <f>Dry_Matter_Content!D7</f>
        <v>0.44</v>
      </c>
      <c r="E20" s="283">
        <f>MCF!R19</f>
        <v>0.78500000000000003</v>
      </c>
      <c r="F20" s="67">
        <f t="shared" si="0"/>
        <v>0</v>
      </c>
      <c r="G20" s="67">
        <f t="shared" si="1"/>
        <v>0</v>
      </c>
      <c r="H20" s="67">
        <f t="shared" si="2"/>
        <v>0</v>
      </c>
      <c r="I20" s="67">
        <f t="shared" si="3"/>
        <v>0</v>
      </c>
      <c r="J20" s="67">
        <f t="shared" si="4"/>
        <v>0</v>
      </c>
      <c r="K20" s="100">
        <f>J20*CH4_fraction*conv</f>
        <v>0</v>
      </c>
      <c r="M20" s="392"/>
      <c r="O20" s="96">
        <f>Amnt_Deposited!B15</f>
        <v>2001</v>
      </c>
      <c r="P20" s="99">
        <f>Amnt_Deposited!D15</f>
        <v>0</v>
      </c>
      <c r="Q20" s="283">
        <f>MCF!R19</f>
        <v>0.78500000000000003</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0</v>
      </c>
      <c r="D21" s="417">
        <f>Dry_Matter_Content!D8</f>
        <v>0.44</v>
      </c>
      <c r="E21" s="283">
        <f>MCF!R20</f>
        <v>0.78500000000000003</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Amnt_Deposited!D16</f>
        <v>0</v>
      </c>
      <c r="Q21" s="283">
        <f>MCF!R20</f>
        <v>0.78500000000000003</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0</v>
      </c>
      <c r="D22" s="417">
        <f>Dry_Matter_Content!D9</f>
        <v>0.44</v>
      </c>
      <c r="E22" s="283">
        <f>MCF!R21</f>
        <v>0.78500000000000003</v>
      </c>
      <c r="F22" s="67">
        <f t="shared" si="0"/>
        <v>0</v>
      </c>
      <c r="G22" s="67">
        <f t="shared" si="1"/>
        <v>0</v>
      </c>
      <c r="H22" s="67">
        <f t="shared" si="2"/>
        <v>0</v>
      </c>
      <c r="I22" s="67">
        <f t="shared" si="3"/>
        <v>0</v>
      </c>
      <c r="J22" s="67">
        <f t="shared" si="4"/>
        <v>0</v>
      </c>
      <c r="K22" s="100">
        <f t="shared" si="6"/>
        <v>0</v>
      </c>
      <c r="N22" s="257"/>
      <c r="O22" s="96">
        <f>Amnt_Deposited!B17</f>
        <v>2003</v>
      </c>
      <c r="P22" s="99">
        <f>Amnt_Deposited!D17</f>
        <v>0</v>
      </c>
      <c r="Q22" s="283">
        <f>MCF!R21</f>
        <v>0.78500000000000003</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0</v>
      </c>
      <c r="D23" s="417">
        <f>Dry_Matter_Content!D10</f>
        <v>0.44</v>
      </c>
      <c r="E23" s="283">
        <f>MCF!R22</f>
        <v>0.78500000000000003</v>
      </c>
      <c r="F23" s="67">
        <f t="shared" si="0"/>
        <v>0</v>
      </c>
      <c r="G23" s="67">
        <f t="shared" si="1"/>
        <v>0</v>
      </c>
      <c r="H23" s="67">
        <f t="shared" si="2"/>
        <v>0</v>
      </c>
      <c r="I23" s="67">
        <f t="shared" si="3"/>
        <v>0</v>
      </c>
      <c r="J23" s="67">
        <f t="shared" si="4"/>
        <v>0</v>
      </c>
      <c r="K23" s="100">
        <f t="shared" si="6"/>
        <v>0</v>
      </c>
      <c r="N23" s="257"/>
      <c r="O23" s="96">
        <f>Amnt_Deposited!B18</f>
        <v>2004</v>
      </c>
      <c r="P23" s="99">
        <f>Amnt_Deposited!D18</f>
        <v>0</v>
      </c>
      <c r="Q23" s="283">
        <f>MCF!R22</f>
        <v>0.78500000000000003</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0</v>
      </c>
      <c r="D24" s="417">
        <f>Dry_Matter_Content!D11</f>
        <v>0.44</v>
      </c>
      <c r="E24" s="283">
        <f>MCF!R23</f>
        <v>0.78500000000000003</v>
      </c>
      <c r="F24" s="67">
        <f t="shared" si="0"/>
        <v>0</v>
      </c>
      <c r="G24" s="67">
        <f t="shared" si="1"/>
        <v>0</v>
      </c>
      <c r="H24" s="67">
        <f t="shared" si="2"/>
        <v>0</v>
      </c>
      <c r="I24" s="67">
        <f t="shared" si="3"/>
        <v>0</v>
      </c>
      <c r="J24" s="67">
        <f t="shared" si="4"/>
        <v>0</v>
      </c>
      <c r="K24" s="100">
        <f t="shared" si="6"/>
        <v>0</v>
      </c>
      <c r="N24" s="257"/>
      <c r="O24" s="96">
        <f>Amnt_Deposited!B19</f>
        <v>2005</v>
      </c>
      <c r="P24" s="99">
        <f>Amnt_Deposited!D19</f>
        <v>0</v>
      </c>
      <c r="Q24" s="283">
        <f>MCF!R23</f>
        <v>0.78500000000000003</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0</v>
      </c>
      <c r="D25" s="417">
        <f>Dry_Matter_Content!D12</f>
        <v>0.44</v>
      </c>
      <c r="E25" s="283">
        <f>MCF!R24</f>
        <v>0.78500000000000003</v>
      </c>
      <c r="F25" s="67">
        <f t="shared" si="0"/>
        <v>0</v>
      </c>
      <c r="G25" s="67">
        <f t="shared" si="1"/>
        <v>0</v>
      </c>
      <c r="H25" s="67">
        <f t="shared" si="2"/>
        <v>0</v>
      </c>
      <c r="I25" s="67">
        <f t="shared" si="3"/>
        <v>0</v>
      </c>
      <c r="J25" s="67">
        <f t="shared" si="4"/>
        <v>0</v>
      </c>
      <c r="K25" s="100">
        <f t="shared" si="6"/>
        <v>0</v>
      </c>
      <c r="N25" s="257"/>
      <c r="O25" s="96">
        <f>Amnt_Deposited!B20</f>
        <v>2006</v>
      </c>
      <c r="P25" s="99">
        <f>Amnt_Deposited!D20</f>
        <v>0</v>
      </c>
      <c r="Q25" s="283">
        <f>MCF!R24</f>
        <v>0.78500000000000003</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0</v>
      </c>
      <c r="D26" s="417">
        <f>Dry_Matter_Content!D13</f>
        <v>0.44</v>
      </c>
      <c r="E26" s="283">
        <f>MCF!R25</f>
        <v>0.78500000000000003</v>
      </c>
      <c r="F26" s="67">
        <f t="shared" si="0"/>
        <v>0</v>
      </c>
      <c r="G26" s="67">
        <f t="shared" si="1"/>
        <v>0</v>
      </c>
      <c r="H26" s="67">
        <f t="shared" si="2"/>
        <v>0</v>
      </c>
      <c r="I26" s="67">
        <f t="shared" si="3"/>
        <v>0</v>
      </c>
      <c r="J26" s="67">
        <f t="shared" si="4"/>
        <v>0</v>
      </c>
      <c r="K26" s="100">
        <f t="shared" si="6"/>
        <v>0</v>
      </c>
      <c r="N26" s="257"/>
      <c r="O26" s="96">
        <f>Amnt_Deposited!B21</f>
        <v>2007</v>
      </c>
      <c r="P26" s="99">
        <f>Amnt_Deposited!D21</f>
        <v>0</v>
      </c>
      <c r="Q26" s="283">
        <f>MCF!R25</f>
        <v>0.78500000000000003</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0</v>
      </c>
      <c r="D27" s="417">
        <f>Dry_Matter_Content!D14</f>
        <v>0.44</v>
      </c>
      <c r="E27" s="283">
        <f>MCF!R26</f>
        <v>0.78500000000000003</v>
      </c>
      <c r="F27" s="67">
        <f t="shared" si="0"/>
        <v>0</v>
      </c>
      <c r="G27" s="67">
        <f t="shared" si="1"/>
        <v>0</v>
      </c>
      <c r="H27" s="67">
        <f t="shared" si="2"/>
        <v>0</v>
      </c>
      <c r="I27" s="67">
        <f t="shared" si="3"/>
        <v>0</v>
      </c>
      <c r="J27" s="67">
        <f t="shared" si="4"/>
        <v>0</v>
      </c>
      <c r="K27" s="100">
        <f t="shared" si="6"/>
        <v>0</v>
      </c>
      <c r="N27" s="257"/>
      <c r="O27" s="96">
        <f>Amnt_Deposited!B22</f>
        <v>2008</v>
      </c>
      <c r="P27" s="99">
        <f>Amnt_Deposited!D22</f>
        <v>0</v>
      </c>
      <c r="Q27" s="283">
        <f>MCF!R26</f>
        <v>0.78500000000000003</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0</v>
      </c>
      <c r="D28" s="417">
        <f>Dry_Matter_Content!D15</f>
        <v>0.44</v>
      </c>
      <c r="E28" s="283">
        <f>MCF!R27</f>
        <v>0.78500000000000003</v>
      </c>
      <c r="F28" s="67">
        <f t="shared" si="0"/>
        <v>0</v>
      </c>
      <c r="G28" s="67">
        <f t="shared" si="1"/>
        <v>0</v>
      </c>
      <c r="H28" s="67">
        <f t="shared" si="2"/>
        <v>0</v>
      </c>
      <c r="I28" s="67">
        <f t="shared" si="3"/>
        <v>0</v>
      </c>
      <c r="J28" s="67">
        <f t="shared" si="4"/>
        <v>0</v>
      </c>
      <c r="K28" s="100">
        <f t="shared" si="6"/>
        <v>0</v>
      </c>
      <c r="N28" s="257"/>
      <c r="O28" s="96">
        <f>Amnt_Deposited!B23</f>
        <v>2009</v>
      </c>
      <c r="P28" s="99">
        <f>Amnt_Deposited!D23</f>
        <v>0</v>
      </c>
      <c r="Q28" s="283">
        <f>MCF!R27</f>
        <v>0.78500000000000003</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0</v>
      </c>
      <c r="D29" s="417">
        <f>Dry_Matter_Content!D16</f>
        <v>0.44</v>
      </c>
      <c r="E29" s="283">
        <f>MCF!R28</f>
        <v>0.78500000000000003</v>
      </c>
      <c r="F29" s="67">
        <f t="shared" si="0"/>
        <v>0</v>
      </c>
      <c r="G29" s="67">
        <f t="shared" si="1"/>
        <v>0</v>
      </c>
      <c r="H29" s="67">
        <f t="shared" si="2"/>
        <v>0</v>
      </c>
      <c r="I29" s="67">
        <f t="shared" si="3"/>
        <v>0</v>
      </c>
      <c r="J29" s="67">
        <f t="shared" si="4"/>
        <v>0</v>
      </c>
      <c r="K29" s="100">
        <f t="shared" si="6"/>
        <v>0</v>
      </c>
      <c r="O29" s="96">
        <f>Amnt_Deposited!B24</f>
        <v>2010</v>
      </c>
      <c r="P29" s="99">
        <f>Amnt_Deposited!D24</f>
        <v>0</v>
      </c>
      <c r="Q29" s="283">
        <f>MCF!R28</f>
        <v>0.78500000000000003</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27.144429180656999</v>
      </c>
      <c r="D30" s="417">
        <f>Dry_Matter_Content!D17</f>
        <v>0.44</v>
      </c>
      <c r="E30" s="283">
        <f>MCF!R29</f>
        <v>0.78500000000000003</v>
      </c>
      <c r="F30" s="67">
        <f t="shared" si="0"/>
        <v>2.0626508845797642</v>
      </c>
      <c r="G30" s="67">
        <f t="shared" si="1"/>
        <v>2.0626508845797642</v>
      </c>
      <c r="H30" s="67">
        <f t="shared" si="2"/>
        <v>0</v>
      </c>
      <c r="I30" s="67">
        <f t="shared" si="3"/>
        <v>2.0626508845797642</v>
      </c>
      <c r="J30" s="67">
        <f t="shared" si="4"/>
        <v>0</v>
      </c>
      <c r="K30" s="100">
        <f t="shared" si="6"/>
        <v>0</v>
      </c>
      <c r="O30" s="96">
        <f>Amnt_Deposited!B25</f>
        <v>2011</v>
      </c>
      <c r="P30" s="99">
        <f>Amnt_Deposited!D25</f>
        <v>27.144429180656999</v>
      </c>
      <c r="Q30" s="283">
        <f>MCF!R29</f>
        <v>0.78500000000000003</v>
      </c>
      <c r="R30" s="67">
        <f t="shared" si="5"/>
        <v>4.2616753813631494</v>
      </c>
      <c r="S30" s="67">
        <f t="shared" si="7"/>
        <v>4.2616753813631494</v>
      </c>
      <c r="T30" s="67">
        <f t="shared" si="8"/>
        <v>0</v>
      </c>
      <c r="U30" s="67">
        <f t="shared" si="9"/>
        <v>4.2616753813631494</v>
      </c>
      <c r="V30" s="67">
        <f t="shared" si="10"/>
        <v>0</v>
      </c>
      <c r="W30" s="100">
        <f t="shared" si="11"/>
        <v>0</v>
      </c>
    </row>
    <row r="31" spans="2:23">
      <c r="B31" s="96">
        <f>Amnt_Deposited!B26</f>
        <v>2012</v>
      </c>
      <c r="C31" s="99">
        <f>Amnt_Deposited!D26</f>
        <v>27.726553272984003</v>
      </c>
      <c r="D31" s="417">
        <f>Dry_Matter_Content!D18</f>
        <v>0.44</v>
      </c>
      <c r="E31" s="283">
        <f>MCF!R30</f>
        <v>0.78500000000000003</v>
      </c>
      <c r="F31" s="67">
        <f t="shared" si="0"/>
        <v>2.1068853301075086</v>
      </c>
      <c r="G31" s="67">
        <f t="shared" si="1"/>
        <v>2.1068853301075086</v>
      </c>
      <c r="H31" s="67">
        <f t="shared" si="2"/>
        <v>0</v>
      </c>
      <c r="I31" s="67">
        <f t="shared" si="3"/>
        <v>4.0300882675132179</v>
      </c>
      <c r="J31" s="67">
        <f t="shared" si="4"/>
        <v>0.13944794717405465</v>
      </c>
      <c r="K31" s="100">
        <f t="shared" si="6"/>
        <v>9.2965298116036432E-2</v>
      </c>
      <c r="O31" s="96">
        <f>Amnt_Deposited!B26</f>
        <v>2012</v>
      </c>
      <c r="P31" s="99">
        <f>Amnt_Deposited!D26</f>
        <v>27.726553272984003</v>
      </c>
      <c r="Q31" s="283">
        <f>MCF!R30</f>
        <v>0.78500000000000003</v>
      </c>
      <c r="R31" s="67">
        <f t="shared" si="5"/>
        <v>4.3530688638584882</v>
      </c>
      <c r="S31" s="67">
        <f t="shared" si="7"/>
        <v>4.3530688638584882</v>
      </c>
      <c r="T31" s="67">
        <f t="shared" si="8"/>
        <v>0</v>
      </c>
      <c r="U31" s="67">
        <f t="shared" si="9"/>
        <v>8.3266286518868142</v>
      </c>
      <c r="V31" s="67">
        <f t="shared" si="10"/>
        <v>0.28811559333482367</v>
      </c>
      <c r="W31" s="100">
        <f t="shared" si="11"/>
        <v>0.19207706222321577</v>
      </c>
    </row>
    <row r="32" spans="2:23">
      <c r="B32" s="96">
        <f>Amnt_Deposited!B27</f>
        <v>2013</v>
      </c>
      <c r="C32" s="99">
        <f>Amnt_Deposited!D27</f>
        <v>28.384040824122</v>
      </c>
      <c r="D32" s="417">
        <f>Dry_Matter_Content!D19</f>
        <v>0.44</v>
      </c>
      <c r="E32" s="283">
        <f>MCF!R31</f>
        <v>0.78500000000000003</v>
      </c>
      <c r="F32" s="67">
        <f t="shared" si="0"/>
        <v>2.1568464941433825</v>
      </c>
      <c r="G32" s="67">
        <f t="shared" si="1"/>
        <v>2.1568464941433825</v>
      </c>
      <c r="H32" s="67">
        <f t="shared" si="2"/>
        <v>0</v>
      </c>
      <c r="I32" s="67">
        <f t="shared" si="3"/>
        <v>5.9144758884481767</v>
      </c>
      <c r="J32" s="67">
        <f t="shared" si="4"/>
        <v>0.27245887320842355</v>
      </c>
      <c r="K32" s="100">
        <f t="shared" si="6"/>
        <v>0.18163924880561569</v>
      </c>
      <c r="O32" s="96">
        <f>Amnt_Deposited!B27</f>
        <v>2013</v>
      </c>
      <c r="P32" s="99">
        <f>Amnt_Deposited!D27</f>
        <v>28.384040824122</v>
      </c>
      <c r="Q32" s="283">
        <f>MCF!R31</f>
        <v>0.78500000000000003</v>
      </c>
      <c r="R32" s="67">
        <f t="shared" si="5"/>
        <v>4.456294409387155</v>
      </c>
      <c r="S32" s="67">
        <f t="shared" si="7"/>
        <v>4.456294409387155</v>
      </c>
      <c r="T32" s="67">
        <f t="shared" si="8"/>
        <v>0</v>
      </c>
      <c r="U32" s="67">
        <f t="shared" si="9"/>
        <v>12.219991505058218</v>
      </c>
      <c r="V32" s="67">
        <f t="shared" si="10"/>
        <v>0.56293155621575108</v>
      </c>
      <c r="W32" s="100">
        <f t="shared" si="11"/>
        <v>0.37528770414383406</v>
      </c>
    </row>
    <row r="33" spans="2:23">
      <c r="B33" s="96">
        <f>Amnt_Deposited!B28</f>
        <v>2014</v>
      </c>
      <c r="C33" s="99">
        <f>Amnt_Deposited!D28</f>
        <v>29.036344815732001</v>
      </c>
      <c r="D33" s="417">
        <f>Dry_Matter_Content!D20</f>
        <v>0.44</v>
      </c>
      <c r="E33" s="283">
        <f>MCF!R32</f>
        <v>0.78500000000000003</v>
      </c>
      <c r="F33" s="67">
        <f t="shared" si="0"/>
        <v>2.2064137698578437</v>
      </c>
      <c r="G33" s="67">
        <f t="shared" si="1"/>
        <v>2.2064137698578437</v>
      </c>
      <c r="H33" s="67">
        <f t="shared" si="2"/>
        <v>0</v>
      </c>
      <c r="I33" s="67">
        <f t="shared" si="3"/>
        <v>7.7210345362296664</v>
      </c>
      <c r="J33" s="67">
        <f t="shared" si="4"/>
        <v>0.39985512207635404</v>
      </c>
      <c r="K33" s="100">
        <f t="shared" si="6"/>
        <v>0.26657008138423599</v>
      </c>
      <c r="O33" s="96">
        <f>Amnt_Deposited!B28</f>
        <v>2014</v>
      </c>
      <c r="P33" s="99">
        <f>Amnt_Deposited!D28</f>
        <v>29.036344815732001</v>
      </c>
      <c r="Q33" s="283">
        <f>MCF!R32</f>
        <v>0.78500000000000003</v>
      </c>
      <c r="R33" s="67">
        <f t="shared" si="5"/>
        <v>4.5587061360699241</v>
      </c>
      <c r="S33" s="67">
        <f t="shared" si="7"/>
        <v>4.5587061360699241</v>
      </c>
      <c r="T33" s="67">
        <f t="shared" si="8"/>
        <v>0</v>
      </c>
      <c r="U33" s="67">
        <f t="shared" si="9"/>
        <v>15.952550694689394</v>
      </c>
      <c r="V33" s="67">
        <f t="shared" si="10"/>
        <v>0.82614694643874809</v>
      </c>
      <c r="W33" s="100">
        <f t="shared" si="11"/>
        <v>0.55076463095916539</v>
      </c>
    </row>
    <row r="34" spans="2:23">
      <c r="B34" s="96">
        <f>Amnt_Deposited!B29</f>
        <v>2015</v>
      </c>
      <c r="C34" s="99">
        <f>Amnt_Deposited!D29</f>
        <v>29.685057177989997</v>
      </c>
      <c r="D34" s="417">
        <f>Dry_Matter_Content!D21</f>
        <v>0.44</v>
      </c>
      <c r="E34" s="283">
        <f>MCF!R33</f>
        <v>0.78500000000000003</v>
      </c>
      <c r="F34" s="67">
        <f t="shared" si="0"/>
        <v>2.2557081248411039</v>
      </c>
      <c r="G34" s="67">
        <f t="shared" si="1"/>
        <v>2.2557081248411039</v>
      </c>
      <c r="H34" s="67">
        <f t="shared" si="2"/>
        <v>0</v>
      </c>
      <c r="I34" s="67">
        <f t="shared" si="3"/>
        <v>9.4547530097020349</v>
      </c>
      <c r="J34" s="67">
        <f t="shared" si="4"/>
        <v>0.52198965136873599</v>
      </c>
      <c r="K34" s="100">
        <f t="shared" si="6"/>
        <v>0.34799310091249064</v>
      </c>
      <c r="O34" s="96">
        <f>Amnt_Deposited!B29</f>
        <v>2015</v>
      </c>
      <c r="P34" s="99">
        <f>Amnt_Deposited!D29</f>
        <v>29.685057177989997</v>
      </c>
      <c r="Q34" s="283">
        <f>MCF!R33</f>
        <v>0.78500000000000003</v>
      </c>
      <c r="R34" s="67">
        <f t="shared" si="5"/>
        <v>4.6605539769444295</v>
      </c>
      <c r="S34" s="67">
        <f t="shared" si="7"/>
        <v>4.6605539769444295</v>
      </c>
      <c r="T34" s="67">
        <f t="shared" si="8"/>
        <v>0</v>
      </c>
      <c r="U34" s="67">
        <f t="shared" si="9"/>
        <v>19.534613656409164</v>
      </c>
      <c r="V34" s="67">
        <f t="shared" si="10"/>
        <v>1.0784910152246612</v>
      </c>
      <c r="W34" s="100">
        <f t="shared" si="11"/>
        <v>0.71899401014977404</v>
      </c>
    </row>
    <row r="35" spans="2:23">
      <c r="B35" s="96">
        <f>Amnt_Deposited!B30</f>
        <v>2016</v>
      </c>
      <c r="C35" s="99">
        <f>Amnt_Deposited!D30</f>
        <v>30.328685884125001</v>
      </c>
      <c r="D35" s="417">
        <f>Dry_Matter_Content!D22</f>
        <v>0.44</v>
      </c>
      <c r="E35" s="283">
        <f>MCF!R34</f>
        <v>0.78500000000000003</v>
      </c>
      <c r="F35" s="67">
        <f t="shared" si="0"/>
        <v>2.3046161829628908</v>
      </c>
      <c r="G35" s="67">
        <f t="shared" si="1"/>
        <v>2.3046161829628908</v>
      </c>
      <c r="H35" s="67">
        <f t="shared" si="2"/>
        <v>0</v>
      </c>
      <c r="I35" s="67">
        <f t="shared" si="3"/>
        <v>11.120169457946233</v>
      </c>
      <c r="J35" s="67">
        <f t="shared" si="4"/>
        <v>0.6391997347186934</v>
      </c>
      <c r="K35" s="100">
        <f t="shared" si="6"/>
        <v>0.42613315647912892</v>
      </c>
      <c r="O35" s="96">
        <f>Amnt_Deposited!B30</f>
        <v>2016</v>
      </c>
      <c r="P35" s="99">
        <f>Amnt_Deposited!D30</f>
        <v>30.328685884125001</v>
      </c>
      <c r="Q35" s="283">
        <f>MCF!R34</f>
        <v>0.78500000000000003</v>
      </c>
      <c r="R35" s="67">
        <f t="shared" si="5"/>
        <v>4.7616036838076257</v>
      </c>
      <c r="S35" s="67">
        <f t="shared" si="7"/>
        <v>4.7616036838076257</v>
      </c>
      <c r="T35" s="67">
        <f t="shared" si="8"/>
        <v>0</v>
      </c>
      <c r="U35" s="67">
        <f t="shared" si="9"/>
        <v>22.975556731293867</v>
      </c>
      <c r="V35" s="67">
        <f t="shared" si="10"/>
        <v>1.3206606089229203</v>
      </c>
      <c r="W35" s="100">
        <f t="shared" si="11"/>
        <v>0.8804404059486135</v>
      </c>
    </row>
    <row r="36" spans="2:23">
      <c r="B36" s="96">
        <f>Amnt_Deposited!B31</f>
        <v>2017</v>
      </c>
      <c r="C36" s="99">
        <f>Amnt_Deposited!D31</f>
        <v>31.963531266163837</v>
      </c>
      <c r="D36" s="417">
        <f>Dry_Matter_Content!D23</f>
        <v>0.44</v>
      </c>
      <c r="E36" s="283">
        <f>MCF!R35</f>
        <v>0.78500000000000003</v>
      </c>
      <c r="F36" s="67">
        <f t="shared" si="0"/>
        <v>2.4288448138532579</v>
      </c>
      <c r="G36" s="67">
        <f t="shared" si="1"/>
        <v>2.4288448138532579</v>
      </c>
      <c r="H36" s="67">
        <f t="shared" si="2"/>
        <v>0</v>
      </c>
      <c r="I36" s="67">
        <f t="shared" si="3"/>
        <v>12.797222092749205</v>
      </c>
      <c r="J36" s="67">
        <f t="shared" si="4"/>
        <v>0.75179217905028661</v>
      </c>
      <c r="K36" s="100">
        <f t="shared" si="6"/>
        <v>0.50119478603352441</v>
      </c>
      <c r="O36" s="96">
        <f>Amnt_Deposited!B31</f>
        <v>2017</v>
      </c>
      <c r="P36" s="99">
        <f>Amnt_Deposited!D31</f>
        <v>31.963531266163837</v>
      </c>
      <c r="Q36" s="283">
        <f>MCF!R35</f>
        <v>0.78500000000000003</v>
      </c>
      <c r="R36" s="67">
        <f t="shared" si="5"/>
        <v>5.0182744087877227</v>
      </c>
      <c r="S36" s="67">
        <f t="shared" si="7"/>
        <v>5.0182744087877227</v>
      </c>
      <c r="T36" s="67">
        <f t="shared" si="8"/>
        <v>0</v>
      </c>
      <c r="U36" s="67">
        <f t="shared" si="9"/>
        <v>26.440541513944634</v>
      </c>
      <c r="V36" s="67">
        <f t="shared" si="10"/>
        <v>1.5532896261369555</v>
      </c>
      <c r="W36" s="100">
        <f t="shared" si="11"/>
        <v>1.035526417424637</v>
      </c>
    </row>
    <row r="37" spans="2:23">
      <c r="B37" s="96">
        <f>Amnt_Deposited!B32</f>
        <v>2018</v>
      </c>
      <c r="C37" s="99">
        <f>Amnt_Deposited!D32</f>
        <v>33.615735587606011</v>
      </c>
      <c r="D37" s="417">
        <f>Dry_Matter_Content!D24</f>
        <v>0.44</v>
      </c>
      <c r="E37" s="283">
        <f>MCF!R36</f>
        <v>0.78500000000000003</v>
      </c>
      <c r="F37" s="67">
        <f t="shared" si="0"/>
        <v>2.5543925158310055</v>
      </c>
      <c r="G37" s="67">
        <f t="shared" si="1"/>
        <v>2.5543925158310055</v>
      </c>
      <c r="H37" s="67">
        <f t="shared" si="2"/>
        <v>0</v>
      </c>
      <c r="I37" s="67">
        <f t="shared" si="3"/>
        <v>14.486443307074232</v>
      </c>
      <c r="J37" s="67">
        <f t="shared" si="4"/>
        <v>0.86517130150598032</v>
      </c>
      <c r="K37" s="100">
        <f t="shared" si="6"/>
        <v>0.57678086767065351</v>
      </c>
      <c r="O37" s="96">
        <f>Amnt_Deposited!B32</f>
        <v>2018</v>
      </c>
      <c r="P37" s="99">
        <f>Amnt_Deposited!D32</f>
        <v>33.615735587606011</v>
      </c>
      <c r="Q37" s="283">
        <f>MCF!R36</f>
        <v>0.78500000000000003</v>
      </c>
      <c r="R37" s="67">
        <f t="shared" si="5"/>
        <v>5.2776704872541442</v>
      </c>
      <c r="S37" s="67">
        <f t="shared" si="7"/>
        <v>5.2776704872541442</v>
      </c>
      <c r="T37" s="67">
        <f t="shared" si="8"/>
        <v>0</v>
      </c>
      <c r="U37" s="67">
        <f t="shared" si="9"/>
        <v>29.930667989822787</v>
      </c>
      <c r="V37" s="67">
        <f t="shared" si="10"/>
        <v>1.7875440113759919</v>
      </c>
      <c r="W37" s="100">
        <f t="shared" si="11"/>
        <v>1.1916960075839946</v>
      </c>
    </row>
    <row r="38" spans="2:23">
      <c r="B38" s="96">
        <f>Amnt_Deposited!B33</f>
        <v>2019</v>
      </c>
      <c r="C38" s="99">
        <f>Amnt_Deposited!D33</f>
        <v>35.331418043235921</v>
      </c>
      <c r="D38" s="417">
        <f>Dry_Matter_Content!D25</f>
        <v>0.44</v>
      </c>
      <c r="E38" s="283">
        <f>MCF!R37</f>
        <v>0.78500000000000003</v>
      </c>
      <c r="F38" s="67">
        <f t="shared" si="0"/>
        <v>2.6847637942694114</v>
      </c>
      <c r="G38" s="67">
        <f t="shared" si="1"/>
        <v>2.6847637942694114</v>
      </c>
      <c r="H38" s="67">
        <f t="shared" si="2"/>
        <v>0</v>
      </c>
      <c r="I38" s="67">
        <f t="shared" si="3"/>
        <v>16.191834006203315</v>
      </c>
      <c r="J38" s="67">
        <f t="shared" si="4"/>
        <v>0.97937309514033077</v>
      </c>
      <c r="K38" s="100">
        <f t="shared" si="6"/>
        <v>0.65291539676022048</v>
      </c>
      <c r="O38" s="96">
        <f>Amnt_Deposited!B33</f>
        <v>2019</v>
      </c>
      <c r="P38" s="99">
        <f>Amnt_Deposited!D33</f>
        <v>35.331418043235921</v>
      </c>
      <c r="Q38" s="283">
        <f>MCF!R37</f>
        <v>0.78500000000000003</v>
      </c>
      <c r="R38" s="67">
        <f t="shared" si="5"/>
        <v>5.5470326327880404</v>
      </c>
      <c r="S38" s="67">
        <f t="shared" si="7"/>
        <v>5.5470326327880404</v>
      </c>
      <c r="T38" s="67">
        <f t="shared" si="8"/>
        <v>0</v>
      </c>
      <c r="U38" s="67">
        <f t="shared" si="9"/>
        <v>33.454202492155602</v>
      </c>
      <c r="V38" s="67">
        <f t="shared" si="10"/>
        <v>2.0234981304552284</v>
      </c>
      <c r="W38" s="100">
        <f t="shared" si="11"/>
        <v>1.3489987536368189</v>
      </c>
    </row>
    <row r="39" spans="2:23">
      <c r="B39" s="96">
        <f>Amnt_Deposited!B34</f>
        <v>2020</v>
      </c>
      <c r="C39" s="99">
        <f>Amnt_Deposited!D34</f>
        <v>37.11274167203711</v>
      </c>
      <c r="D39" s="417">
        <f>Dry_Matter_Content!D26</f>
        <v>0.44</v>
      </c>
      <c r="E39" s="283">
        <f>MCF!R38</f>
        <v>0.78500000000000003</v>
      </c>
      <c r="F39" s="67">
        <f t="shared" si="0"/>
        <v>2.8201230141747562</v>
      </c>
      <c r="G39" s="67">
        <f t="shared" si="1"/>
        <v>2.8201230141747562</v>
      </c>
      <c r="H39" s="67">
        <f t="shared" si="2"/>
        <v>0</v>
      </c>
      <c r="I39" s="67">
        <f t="shared" si="3"/>
        <v>17.917288974501702</v>
      </c>
      <c r="J39" s="67">
        <f t="shared" si="4"/>
        <v>1.0946680458763725</v>
      </c>
      <c r="K39" s="100">
        <f t="shared" si="6"/>
        <v>0.72977869725091493</v>
      </c>
      <c r="O39" s="96">
        <f>Amnt_Deposited!B34</f>
        <v>2020</v>
      </c>
      <c r="P39" s="99">
        <f>Amnt_Deposited!D34</f>
        <v>37.11274167203711</v>
      </c>
      <c r="Q39" s="283">
        <f>MCF!R38</f>
        <v>0.78500000000000003</v>
      </c>
      <c r="R39" s="67">
        <f t="shared" si="5"/>
        <v>5.8267004425098268</v>
      </c>
      <c r="S39" s="67">
        <f t="shared" si="7"/>
        <v>5.8267004425098268</v>
      </c>
      <c r="T39" s="67">
        <f t="shared" si="8"/>
        <v>0</v>
      </c>
      <c r="U39" s="67">
        <f t="shared" si="9"/>
        <v>37.01919209607788</v>
      </c>
      <c r="V39" s="67">
        <f t="shared" si="10"/>
        <v>2.2617108385875455</v>
      </c>
      <c r="W39" s="100">
        <f t="shared" si="11"/>
        <v>1.5078072257250303</v>
      </c>
    </row>
    <row r="40" spans="2:23">
      <c r="B40" s="96">
        <f>Amnt_Deposited!B35</f>
        <v>2021</v>
      </c>
      <c r="C40" s="99">
        <f>Amnt_Deposited!D35</f>
        <v>38.961938551324543</v>
      </c>
      <c r="D40" s="417">
        <f>Dry_Matter_Content!D27</f>
        <v>0.44</v>
      </c>
      <c r="E40" s="283">
        <f>MCF!R39</f>
        <v>0.78500000000000003</v>
      </c>
      <c r="F40" s="67">
        <f t="shared" si="0"/>
        <v>2.9606397866380494</v>
      </c>
      <c r="G40" s="67">
        <f t="shared" si="1"/>
        <v>2.9606397866380494</v>
      </c>
      <c r="H40" s="67">
        <f t="shared" si="2"/>
        <v>0</v>
      </c>
      <c r="I40" s="67">
        <f t="shared" si="3"/>
        <v>19.666609295932425</v>
      </c>
      <c r="J40" s="67">
        <f t="shared" si="4"/>
        <v>1.2113194652073294</v>
      </c>
      <c r="K40" s="100">
        <f t="shared" si="6"/>
        <v>0.80754631013821954</v>
      </c>
      <c r="O40" s="96">
        <f>Amnt_Deposited!B35</f>
        <v>2021</v>
      </c>
      <c r="P40" s="99">
        <f>Amnt_Deposited!D35</f>
        <v>38.961938551324543</v>
      </c>
      <c r="Q40" s="283">
        <f>MCF!R39</f>
        <v>0.78500000000000003</v>
      </c>
      <c r="R40" s="67">
        <f t="shared" si="5"/>
        <v>6.1170243525579533</v>
      </c>
      <c r="S40" s="67">
        <f t="shared" si="7"/>
        <v>6.1170243525579533</v>
      </c>
      <c r="T40" s="67">
        <f t="shared" si="8"/>
        <v>0</v>
      </c>
      <c r="U40" s="67">
        <f t="shared" si="9"/>
        <v>40.633490280852101</v>
      </c>
      <c r="V40" s="67">
        <f t="shared" si="10"/>
        <v>2.5027261677837376</v>
      </c>
      <c r="W40" s="100">
        <f t="shared" si="11"/>
        <v>1.6684841118558249</v>
      </c>
    </row>
    <row r="41" spans="2:23">
      <c r="B41" s="96">
        <f>Amnt_Deposited!B36</f>
        <v>2022</v>
      </c>
      <c r="C41" s="99">
        <f>Amnt_Deposited!D36</f>
        <v>40.881311911183403</v>
      </c>
      <c r="D41" s="417">
        <f>Dry_Matter_Content!D28</f>
        <v>0.44</v>
      </c>
      <c r="E41" s="283">
        <f>MCF!R40</f>
        <v>0.78500000000000003</v>
      </c>
      <c r="F41" s="67">
        <f t="shared" si="0"/>
        <v>3.1064891295070045</v>
      </c>
      <c r="G41" s="67">
        <f t="shared" si="1"/>
        <v>3.1064891295070045</v>
      </c>
      <c r="H41" s="67">
        <f t="shared" si="2"/>
        <v>0</v>
      </c>
      <c r="I41" s="67">
        <f t="shared" si="3"/>
        <v>21.443514095539268</v>
      </c>
      <c r="J41" s="67">
        <f t="shared" si="4"/>
        <v>1.3295843299001593</v>
      </c>
      <c r="K41" s="100">
        <f t="shared" si="6"/>
        <v>0.88638955326677282</v>
      </c>
      <c r="O41" s="96">
        <f>Amnt_Deposited!B36</f>
        <v>2022</v>
      </c>
      <c r="P41" s="99">
        <f>Amnt_Deposited!D36</f>
        <v>40.881311911183403</v>
      </c>
      <c r="Q41" s="283">
        <f>MCF!R40</f>
        <v>0.78500000000000003</v>
      </c>
      <c r="R41" s="67">
        <f t="shared" si="5"/>
        <v>6.4183659700557945</v>
      </c>
      <c r="S41" s="67">
        <f t="shared" si="7"/>
        <v>6.4183659700557945</v>
      </c>
      <c r="T41" s="67">
        <f t="shared" si="8"/>
        <v>0</v>
      </c>
      <c r="U41" s="67">
        <f t="shared" si="9"/>
        <v>44.304781189130708</v>
      </c>
      <c r="V41" s="67">
        <f t="shared" si="10"/>
        <v>2.7470750617771875</v>
      </c>
      <c r="W41" s="100">
        <f t="shared" si="11"/>
        <v>1.8313833745181249</v>
      </c>
    </row>
    <row r="42" spans="2:23">
      <c r="B42" s="96">
        <f>Amnt_Deposited!B37</f>
        <v>2023</v>
      </c>
      <c r="C42" s="99">
        <f>Amnt_Deposited!D37</f>
        <v>42.873238311852049</v>
      </c>
      <c r="D42" s="417">
        <f>Dry_Matter_Content!D29</f>
        <v>0.44</v>
      </c>
      <c r="E42" s="283">
        <f>MCF!R41</f>
        <v>0.78500000000000003</v>
      </c>
      <c r="F42" s="67">
        <f t="shared" si="0"/>
        <v>3.2578516328410134</v>
      </c>
      <c r="G42" s="67">
        <f t="shared" si="1"/>
        <v>3.2578516328410134</v>
      </c>
      <c r="H42" s="67">
        <f t="shared" si="2"/>
        <v>0</v>
      </c>
      <c r="I42" s="67">
        <f t="shared" si="3"/>
        <v>23.251651652587917</v>
      </c>
      <c r="J42" s="67">
        <f t="shared" si="4"/>
        <v>1.4497140757923646</v>
      </c>
      <c r="K42" s="100">
        <f t="shared" si="6"/>
        <v>0.96647605052824304</v>
      </c>
      <c r="O42" s="96">
        <f>Amnt_Deposited!B37</f>
        <v>2023</v>
      </c>
      <c r="P42" s="99">
        <f>Amnt_Deposited!D37</f>
        <v>42.873238311852049</v>
      </c>
      <c r="Q42" s="283">
        <f>MCF!R41</f>
        <v>0.78500000000000003</v>
      </c>
      <c r="R42" s="67">
        <f t="shared" si="5"/>
        <v>6.7310984149607718</v>
      </c>
      <c r="S42" s="67">
        <f t="shared" si="7"/>
        <v>6.7310984149607718</v>
      </c>
      <c r="T42" s="67">
        <f t="shared" si="8"/>
        <v>0</v>
      </c>
      <c r="U42" s="67">
        <f t="shared" si="9"/>
        <v>48.04060258799155</v>
      </c>
      <c r="V42" s="67">
        <f t="shared" si="10"/>
        <v>2.995277016099926</v>
      </c>
      <c r="W42" s="100">
        <f t="shared" si="11"/>
        <v>1.9968513440666174</v>
      </c>
    </row>
    <row r="43" spans="2:23">
      <c r="B43" s="96">
        <f>Amnt_Deposited!B38</f>
        <v>2024</v>
      </c>
      <c r="C43" s="99">
        <f>Amnt_Deposited!D38</f>
        <v>44.940169885884558</v>
      </c>
      <c r="D43" s="417">
        <f>Dry_Matter_Content!D30</f>
        <v>0.44</v>
      </c>
      <c r="E43" s="283">
        <f>MCF!R42</f>
        <v>0.78500000000000003</v>
      </c>
      <c r="F43" s="67">
        <f t="shared" si="0"/>
        <v>3.4149136292885962</v>
      </c>
      <c r="G43" s="67">
        <f t="shared" si="1"/>
        <v>3.4149136292885962</v>
      </c>
      <c r="H43" s="67">
        <f t="shared" si="2"/>
        <v>0</v>
      </c>
      <c r="I43" s="67">
        <f t="shared" si="3"/>
        <v>25.094609932767497</v>
      </c>
      <c r="J43" s="67">
        <f t="shared" si="4"/>
        <v>1.5719553491090141</v>
      </c>
      <c r="K43" s="100">
        <f t="shared" si="6"/>
        <v>1.0479702327393428</v>
      </c>
      <c r="O43" s="96">
        <f>Amnt_Deposited!B38</f>
        <v>2024</v>
      </c>
      <c r="P43" s="99">
        <f>Amnt_Deposited!D38</f>
        <v>44.940169885884558</v>
      </c>
      <c r="Q43" s="283">
        <f>MCF!R42</f>
        <v>0.78500000000000003</v>
      </c>
      <c r="R43" s="67">
        <f t="shared" si="5"/>
        <v>7.0556066720838757</v>
      </c>
      <c r="S43" s="67">
        <f t="shared" si="7"/>
        <v>7.0556066720838757</v>
      </c>
      <c r="T43" s="67">
        <f t="shared" si="8"/>
        <v>0</v>
      </c>
      <c r="U43" s="67">
        <f t="shared" si="9"/>
        <v>51.848367629684901</v>
      </c>
      <c r="V43" s="67">
        <f t="shared" si="10"/>
        <v>3.2478416303905244</v>
      </c>
      <c r="W43" s="100">
        <f t="shared" si="11"/>
        <v>2.1652277535936828</v>
      </c>
    </row>
    <row r="44" spans="2:23">
      <c r="B44" s="96">
        <f>Amnt_Deposited!B39</f>
        <v>2025</v>
      </c>
      <c r="C44" s="99">
        <f>Amnt_Deposited!D39</f>
        <v>47.084636646980442</v>
      </c>
      <c r="D44" s="417">
        <f>Dry_Matter_Content!D31</f>
        <v>0.44</v>
      </c>
      <c r="E44" s="283">
        <f>MCF!R43</f>
        <v>0.78500000000000003</v>
      </c>
      <c r="F44" s="67">
        <f t="shared" si="0"/>
        <v>3.5778673695307499</v>
      </c>
      <c r="G44" s="67">
        <f t="shared" si="1"/>
        <v>3.5778673695307499</v>
      </c>
      <c r="H44" s="67">
        <f t="shared" si="2"/>
        <v>0</v>
      </c>
      <c r="I44" s="67">
        <f t="shared" si="3"/>
        <v>26.975926583793587</v>
      </c>
      <c r="J44" s="67">
        <f t="shared" si="4"/>
        <v>1.6965507185046587</v>
      </c>
      <c r="K44" s="100">
        <f t="shared" si="6"/>
        <v>1.131033812336439</v>
      </c>
      <c r="O44" s="96">
        <f>Amnt_Deposited!B39</f>
        <v>2025</v>
      </c>
      <c r="P44" s="99">
        <f>Amnt_Deposited!D39</f>
        <v>47.084636646980442</v>
      </c>
      <c r="Q44" s="283">
        <f>MCF!R43</f>
        <v>0.78500000000000003</v>
      </c>
      <c r="R44" s="67">
        <f t="shared" si="5"/>
        <v>7.3922879535759298</v>
      </c>
      <c r="S44" s="67">
        <f t="shared" si="7"/>
        <v>7.3922879535759298</v>
      </c>
      <c r="T44" s="67">
        <f t="shared" si="8"/>
        <v>0</v>
      </c>
      <c r="U44" s="67">
        <f t="shared" si="9"/>
        <v>55.73538550370575</v>
      </c>
      <c r="V44" s="67">
        <f t="shared" si="10"/>
        <v>3.5052700795550793</v>
      </c>
      <c r="W44" s="100">
        <f t="shared" si="11"/>
        <v>2.3368467197033862</v>
      </c>
    </row>
    <row r="45" spans="2:23">
      <c r="B45" s="96">
        <f>Amnt_Deposited!B40</f>
        <v>2026</v>
      </c>
      <c r="C45" s="99">
        <f>Amnt_Deposited!D40</f>
        <v>49.309248867423911</v>
      </c>
      <c r="D45" s="417">
        <f>Dry_Matter_Content!D32</f>
        <v>0.44</v>
      </c>
      <c r="E45" s="283">
        <f>MCF!R44</f>
        <v>0.78500000000000003</v>
      </c>
      <c r="F45" s="67">
        <f t="shared" si="0"/>
        <v>3.7469112029378082</v>
      </c>
      <c r="G45" s="67">
        <f t="shared" si="1"/>
        <v>3.7469112029378082</v>
      </c>
      <c r="H45" s="67">
        <f t="shared" si="2"/>
        <v>0</v>
      </c>
      <c r="I45" s="67">
        <f t="shared" si="3"/>
        <v>28.899098435903529</v>
      </c>
      <c r="J45" s="67">
        <f t="shared" si="4"/>
        <v>1.8237393508278668</v>
      </c>
      <c r="K45" s="100">
        <f t="shared" si="6"/>
        <v>1.2158262338852444</v>
      </c>
      <c r="O45" s="96">
        <f>Amnt_Deposited!B40</f>
        <v>2026</v>
      </c>
      <c r="P45" s="99">
        <f>Amnt_Deposited!D40</f>
        <v>49.309248867423911</v>
      </c>
      <c r="Q45" s="283">
        <f>MCF!R44</f>
        <v>0.78500000000000003</v>
      </c>
      <c r="R45" s="67">
        <f t="shared" si="5"/>
        <v>7.7415520721855549</v>
      </c>
      <c r="S45" s="67">
        <f t="shared" si="7"/>
        <v>7.7415520721855549</v>
      </c>
      <c r="T45" s="67">
        <f t="shared" si="8"/>
        <v>0</v>
      </c>
      <c r="U45" s="67">
        <f t="shared" si="9"/>
        <v>59.708881065916373</v>
      </c>
      <c r="V45" s="67">
        <f t="shared" si="10"/>
        <v>3.7680565099749308</v>
      </c>
      <c r="W45" s="100">
        <f t="shared" si="11"/>
        <v>2.5120376733166205</v>
      </c>
    </row>
    <row r="46" spans="2:23">
      <c r="B46" s="96">
        <f>Amnt_Deposited!B41</f>
        <v>2027</v>
      </c>
      <c r="C46" s="99">
        <f>Amnt_Deposited!D41</f>
        <v>51.616699526130319</v>
      </c>
      <c r="D46" s="417">
        <f>Dry_Matter_Content!D33</f>
        <v>0.44</v>
      </c>
      <c r="E46" s="283">
        <f>MCF!R45</f>
        <v>0.78500000000000003</v>
      </c>
      <c r="F46" s="67">
        <f t="shared" si="0"/>
        <v>3.9222497635915903</v>
      </c>
      <c r="G46" s="67">
        <f t="shared" si="1"/>
        <v>3.9222497635915903</v>
      </c>
      <c r="H46" s="67">
        <f t="shared" si="2"/>
        <v>0</v>
      </c>
      <c r="I46" s="67">
        <f t="shared" si="3"/>
        <v>30.867590546081697</v>
      </c>
      <c r="J46" s="67">
        <f t="shared" si="4"/>
        <v>1.9537576534134224</v>
      </c>
      <c r="K46" s="100">
        <f t="shared" si="6"/>
        <v>1.3025051022756149</v>
      </c>
      <c r="O46" s="96">
        <f>Amnt_Deposited!B41</f>
        <v>2027</v>
      </c>
      <c r="P46" s="99">
        <f>Amnt_Deposited!D41</f>
        <v>51.616699526130319</v>
      </c>
      <c r="Q46" s="283">
        <f>MCF!R45</f>
        <v>0.78500000000000003</v>
      </c>
      <c r="R46" s="67">
        <f t="shared" si="5"/>
        <v>8.103821825602461</v>
      </c>
      <c r="S46" s="67">
        <f t="shared" si="7"/>
        <v>8.103821825602461</v>
      </c>
      <c r="T46" s="67">
        <f t="shared" si="8"/>
        <v>0</v>
      </c>
      <c r="U46" s="67">
        <f t="shared" si="9"/>
        <v>63.776013524962174</v>
      </c>
      <c r="V46" s="67">
        <f t="shared" si="10"/>
        <v>4.0366893665566579</v>
      </c>
      <c r="W46" s="100">
        <f t="shared" si="11"/>
        <v>2.6911262443711053</v>
      </c>
    </row>
    <row r="47" spans="2:23">
      <c r="B47" s="96">
        <f>Amnt_Deposited!B42</f>
        <v>2028</v>
      </c>
      <c r="C47" s="99">
        <f>Amnt_Deposited!D42</f>
        <v>54.009766829354703</v>
      </c>
      <c r="D47" s="417">
        <f>Dry_Matter_Content!D34</f>
        <v>0.44</v>
      </c>
      <c r="E47" s="283">
        <f>MCF!R46</f>
        <v>0.78500000000000003</v>
      </c>
      <c r="F47" s="67">
        <f t="shared" si="0"/>
        <v>4.1040941618290052</v>
      </c>
      <c r="G47" s="67">
        <f t="shared" si="1"/>
        <v>4.1040941618290052</v>
      </c>
      <c r="H47" s="67">
        <f t="shared" si="2"/>
        <v>0</v>
      </c>
      <c r="I47" s="67">
        <f t="shared" si="3"/>
        <v>32.884844822382853</v>
      </c>
      <c r="J47" s="67">
        <f t="shared" si="4"/>
        <v>2.0868398855278478</v>
      </c>
      <c r="K47" s="100">
        <f t="shared" si="6"/>
        <v>1.3912265903518986</v>
      </c>
      <c r="O47" s="96">
        <f>Amnt_Deposited!B42</f>
        <v>2028</v>
      </c>
      <c r="P47" s="99">
        <f>Amnt_Deposited!D42</f>
        <v>54.009766829354703</v>
      </c>
      <c r="Q47" s="283">
        <f>MCF!R46</f>
        <v>0.78500000000000003</v>
      </c>
      <c r="R47" s="67">
        <f t="shared" si="5"/>
        <v>8.4795333922086904</v>
      </c>
      <c r="S47" s="67">
        <f t="shared" si="7"/>
        <v>8.4795333922086904</v>
      </c>
      <c r="T47" s="67">
        <f t="shared" si="8"/>
        <v>0</v>
      </c>
      <c r="U47" s="67">
        <f t="shared" si="9"/>
        <v>67.943894261121599</v>
      </c>
      <c r="V47" s="67">
        <f t="shared" si="10"/>
        <v>4.3116526560492714</v>
      </c>
      <c r="W47" s="100">
        <f t="shared" si="11"/>
        <v>2.8744351040328473</v>
      </c>
    </row>
    <row r="48" spans="2:23">
      <c r="B48" s="96">
        <f>Amnt_Deposited!B43</f>
        <v>2029</v>
      </c>
      <c r="C48" s="99">
        <f>Amnt_Deposited!D43</f>
        <v>56.49131680617667</v>
      </c>
      <c r="D48" s="417">
        <f>Dry_Matter_Content!D35</f>
        <v>0.44</v>
      </c>
      <c r="E48" s="283">
        <f>MCF!R47</f>
        <v>0.78500000000000003</v>
      </c>
      <c r="F48" s="67">
        <f t="shared" si="0"/>
        <v>4.2926621814677537</v>
      </c>
      <c r="G48" s="67">
        <f t="shared" si="1"/>
        <v>4.2926621814677537</v>
      </c>
      <c r="H48" s="67">
        <f t="shared" si="2"/>
        <v>0</v>
      </c>
      <c r="I48" s="67">
        <f t="shared" si="3"/>
        <v>34.954288262423646</v>
      </c>
      <c r="J48" s="67">
        <f t="shared" si="4"/>
        <v>2.2232187414269595</v>
      </c>
      <c r="K48" s="100">
        <f t="shared" si="6"/>
        <v>1.4821458276179729</v>
      </c>
      <c r="O48" s="96">
        <f>Amnt_Deposited!B43</f>
        <v>2029</v>
      </c>
      <c r="P48" s="99">
        <f>Amnt_Deposited!D43</f>
        <v>56.49131680617667</v>
      </c>
      <c r="Q48" s="283">
        <f>MCF!R47</f>
        <v>0.78500000000000003</v>
      </c>
      <c r="R48" s="67">
        <f t="shared" si="5"/>
        <v>8.8691367385697379</v>
      </c>
      <c r="S48" s="67">
        <f t="shared" si="7"/>
        <v>8.8691367385697379</v>
      </c>
      <c r="T48" s="67">
        <f t="shared" si="8"/>
        <v>0</v>
      </c>
      <c r="U48" s="67">
        <f t="shared" si="9"/>
        <v>72.219603847982739</v>
      </c>
      <c r="V48" s="67">
        <f t="shared" si="10"/>
        <v>4.5934271517085943</v>
      </c>
      <c r="W48" s="100">
        <f t="shared" si="11"/>
        <v>3.0622847678057292</v>
      </c>
    </row>
    <row r="49" spans="2:23">
      <c r="B49" s="96">
        <f>Amnt_Deposited!B44</f>
        <v>2030</v>
      </c>
      <c r="C49" s="99">
        <f>Amnt_Deposited!D44</f>
        <v>59.103584047799998</v>
      </c>
      <c r="D49" s="417">
        <f>Dry_Matter_Content!D36</f>
        <v>0.44</v>
      </c>
      <c r="E49" s="283">
        <f>MCF!R48</f>
        <v>0.78500000000000003</v>
      </c>
      <c r="F49" s="67">
        <f t="shared" si="0"/>
        <v>4.4911631446242266</v>
      </c>
      <c r="G49" s="67">
        <f t="shared" si="1"/>
        <v>4.4911631446242266</v>
      </c>
      <c r="H49" s="67">
        <f t="shared" si="2"/>
        <v>0</v>
      </c>
      <c r="I49" s="67">
        <f t="shared" si="3"/>
        <v>37.082325499719055</v>
      </c>
      <c r="J49" s="67">
        <f t="shared" si="4"/>
        <v>2.3631259073288113</v>
      </c>
      <c r="K49" s="100">
        <f t="shared" si="6"/>
        <v>1.5754172715525407</v>
      </c>
      <c r="O49" s="96">
        <f>Amnt_Deposited!B44</f>
        <v>2030</v>
      </c>
      <c r="P49" s="99">
        <f>Amnt_Deposited!D44</f>
        <v>59.103584047799998</v>
      </c>
      <c r="Q49" s="283">
        <f>MCF!R48</f>
        <v>0.78500000000000003</v>
      </c>
      <c r="R49" s="67">
        <f t="shared" si="5"/>
        <v>9.2792626955046007</v>
      </c>
      <c r="S49" s="67">
        <f t="shared" si="7"/>
        <v>9.2792626955046007</v>
      </c>
      <c r="T49" s="67">
        <f t="shared" si="8"/>
        <v>0</v>
      </c>
      <c r="U49" s="67">
        <f t="shared" si="9"/>
        <v>76.616374999419548</v>
      </c>
      <c r="V49" s="67">
        <f t="shared" si="10"/>
        <v>4.8824915440677925</v>
      </c>
      <c r="W49" s="100">
        <f t="shared" si="11"/>
        <v>3.2549943627118614</v>
      </c>
    </row>
    <row r="50" spans="2:23">
      <c r="B50" s="96">
        <f>Amnt_Deposited!B45</f>
        <v>2031</v>
      </c>
      <c r="C50" s="99">
        <f>Amnt_Deposited!D45</f>
        <v>0</v>
      </c>
      <c r="D50" s="417">
        <f>Dry_Matter_Content!D37</f>
        <v>0.44</v>
      </c>
      <c r="E50" s="283">
        <f>MCF!R49</f>
        <v>0.78500000000000003</v>
      </c>
      <c r="F50" s="67">
        <f t="shared" si="0"/>
        <v>0</v>
      </c>
      <c r="G50" s="67">
        <f t="shared" si="1"/>
        <v>0</v>
      </c>
      <c r="H50" s="67">
        <f t="shared" si="2"/>
        <v>0</v>
      </c>
      <c r="I50" s="67">
        <f t="shared" si="3"/>
        <v>34.575331123678801</v>
      </c>
      <c r="J50" s="67">
        <f t="shared" si="4"/>
        <v>2.5069943760402529</v>
      </c>
      <c r="K50" s="100">
        <f t="shared" si="6"/>
        <v>1.6713295840268352</v>
      </c>
      <c r="O50" s="96">
        <f>Amnt_Deposited!B45</f>
        <v>2031</v>
      </c>
      <c r="P50" s="99">
        <f>Amnt_Deposited!D45</f>
        <v>0</v>
      </c>
      <c r="Q50" s="283">
        <f>MCF!R49</f>
        <v>0.78500000000000003</v>
      </c>
      <c r="R50" s="67">
        <f t="shared" si="5"/>
        <v>0</v>
      </c>
      <c r="S50" s="67">
        <f t="shared" si="7"/>
        <v>0</v>
      </c>
      <c r="T50" s="67">
        <f t="shared" si="8"/>
        <v>0</v>
      </c>
      <c r="U50" s="67">
        <f t="shared" si="9"/>
        <v>71.436634553055384</v>
      </c>
      <c r="V50" s="67">
        <f t="shared" si="10"/>
        <v>5.1797404463641605</v>
      </c>
      <c r="W50" s="100">
        <f t="shared" si="11"/>
        <v>3.4531602975761069</v>
      </c>
    </row>
    <row r="51" spans="2:23">
      <c r="B51" s="96">
        <f>Amnt_Deposited!B46</f>
        <v>2032</v>
      </c>
      <c r="C51" s="99">
        <f>Amnt_Deposited!D46</f>
        <v>0</v>
      </c>
      <c r="D51" s="417">
        <f>Dry_Matter_Content!D38</f>
        <v>0.44</v>
      </c>
      <c r="E51" s="283">
        <f>MCF!R50</f>
        <v>0.78500000000000003</v>
      </c>
      <c r="F51" s="67">
        <f t="shared" ref="F51:F82" si="12">C51*D51*$K$6*DOCF*E51</f>
        <v>0</v>
      </c>
      <c r="G51" s="67">
        <f t="shared" si="1"/>
        <v>0</v>
      </c>
      <c r="H51" s="67">
        <f t="shared" si="2"/>
        <v>0</v>
      </c>
      <c r="I51" s="67">
        <f t="shared" si="3"/>
        <v>32.237825060919903</v>
      </c>
      <c r="J51" s="67">
        <f t="shared" si="4"/>
        <v>2.337506062758901</v>
      </c>
      <c r="K51" s="100">
        <f t="shared" si="6"/>
        <v>1.5583373751726006</v>
      </c>
      <c r="O51" s="96">
        <f>Amnt_Deposited!B46</f>
        <v>2032</v>
      </c>
      <c r="P51" s="99">
        <f>Amnt_Deposited!D46</f>
        <v>0</v>
      </c>
      <c r="Q51" s="283">
        <f>MCF!R50</f>
        <v>0.78500000000000003</v>
      </c>
      <c r="R51" s="67">
        <f t="shared" ref="R51:R82" si="13">P51*$W$6*DOCF*Q51</f>
        <v>0</v>
      </c>
      <c r="S51" s="67">
        <f t="shared" si="7"/>
        <v>0</v>
      </c>
      <c r="T51" s="67">
        <f t="shared" si="8"/>
        <v>0</v>
      </c>
      <c r="U51" s="67">
        <f t="shared" si="9"/>
        <v>66.607076572148557</v>
      </c>
      <c r="V51" s="67">
        <f t="shared" si="10"/>
        <v>4.829557980906821</v>
      </c>
      <c r="W51" s="100">
        <f t="shared" si="11"/>
        <v>3.2197053206045472</v>
      </c>
    </row>
    <row r="52" spans="2:23">
      <c r="B52" s="96">
        <f>Amnt_Deposited!B47</f>
        <v>2033</v>
      </c>
      <c r="C52" s="99">
        <f>Amnt_Deposited!D47</f>
        <v>0</v>
      </c>
      <c r="D52" s="417">
        <f>Dry_Matter_Content!D39</f>
        <v>0.44</v>
      </c>
      <c r="E52" s="283">
        <f>MCF!R51</f>
        <v>0.78500000000000003</v>
      </c>
      <c r="F52" s="67">
        <f t="shared" si="12"/>
        <v>0</v>
      </c>
      <c r="G52" s="67">
        <f t="shared" si="1"/>
        <v>0</v>
      </c>
      <c r="H52" s="67">
        <f t="shared" si="2"/>
        <v>0</v>
      </c>
      <c r="I52" s="67">
        <f t="shared" si="3"/>
        <v>30.058348854010816</v>
      </c>
      <c r="J52" s="67">
        <f t="shared" si="4"/>
        <v>2.1794762069090852</v>
      </c>
      <c r="K52" s="100">
        <f t="shared" si="6"/>
        <v>1.45298413793939</v>
      </c>
      <c r="O52" s="96">
        <f>Amnt_Deposited!B47</f>
        <v>2033</v>
      </c>
      <c r="P52" s="99">
        <f>Amnt_Deposited!D47</f>
        <v>0</v>
      </c>
      <c r="Q52" s="283">
        <f>MCF!R51</f>
        <v>0.78500000000000003</v>
      </c>
      <c r="R52" s="67">
        <f t="shared" si="13"/>
        <v>0</v>
      </c>
      <c r="S52" s="67">
        <f t="shared" si="7"/>
        <v>0</v>
      </c>
      <c r="T52" s="67">
        <f t="shared" si="8"/>
        <v>0</v>
      </c>
      <c r="U52" s="67">
        <f t="shared" si="9"/>
        <v>62.104026557873588</v>
      </c>
      <c r="V52" s="67">
        <f t="shared" si="10"/>
        <v>4.5030500142749688</v>
      </c>
      <c r="W52" s="100">
        <f t="shared" si="11"/>
        <v>3.002033342849979</v>
      </c>
    </row>
    <row r="53" spans="2:23">
      <c r="B53" s="96">
        <f>Amnt_Deposited!B48</f>
        <v>2034</v>
      </c>
      <c r="C53" s="99">
        <f>Amnt_Deposited!D48</f>
        <v>0</v>
      </c>
      <c r="D53" s="417">
        <f>Dry_Matter_Content!D40</f>
        <v>0.44</v>
      </c>
      <c r="E53" s="283">
        <f>MCF!R52</f>
        <v>0.78500000000000003</v>
      </c>
      <c r="F53" s="67">
        <f t="shared" si="12"/>
        <v>0</v>
      </c>
      <c r="G53" s="67">
        <f t="shared" si="1"/>
        <v>0</v>
      </c>
      <c r="H53" s="67">
        <f t="shared" si="2"/>
        <v>0</v>
      </c>
      <c r="I53" s="67">
        <f t="shared" si="3"/>
        <v>28.026218708056728</v>
      </c>
      <c r="J53" s="67">
        <f t="shared" si="4"/>
        <v>2.0321301459540884</v>
      </c>
      <c r="K53" s="100">
        <f t="shared" si="6"/>
        <v>1.3547534306360589</v>
      </c>
      <c r="O53" s="96">
        <f>Amnt_Deposited!B48</f>
        <v>2034</v>
      </c>
      <c r="P53" s="99">
        <f>Amnt_Deposited!D48</f>
        <v>0</v>
      </c>
      <c r="Q53" s="283">
        <f>MCF!R52</f>
        <v>0.78500000000000003</v>
      </c>
      <c r="R53" s="67">
        <f t="shared" si="13"/>
        <v>0</v>
      </c>
      <c r="S53" s="67">
        <f t="shared" si="7"/>
        <v>0</v>
      </c>
      <c r="T53" s="67">
        <f t="shared" si="8"/>
        <v>0</v>
      </c>
      <c r="U53" s="67">
        <f t="shared" si="9"/>
        <v>57.905410553836212</v>
      </c>
      <c r="V53" s="67">
        <f t="shared" si="10"/>
        <v>4.1986160040373735</v>
      </c>
      <c r="W53" s="100">
        <f t="shared" si="11"/>
        <v>2.7990773360249155</v>
      </c>
    </row>
    <row r="54" spans="2:23">
      <c r="B54" s="96">
        <f>Amnt_Deposited!B49</f>
        <v>2035</v>
      </c>
      <c r="C54" s="99">
        <f>Amnt_Deposited!D49</f>
        <v>0</v>
      </c>
      <c r="D54" s="417">
        <f>Dry_Matter_Content!D41</f>
        <v>0.44</v>
      </c>
      <c r="E54" s="283">
        <f>MCF!R53</f>
        <v>0.78500000000000003</v>
      </c>
      <c r="F54" s="67">
        <f t="shared" si="12"/>
        <v>0</v>
      </c>
      <c r="G54" s="67">
        <f t="shared" si="1"/>
        <v>0</v>
      </c>
      <c r="H54" s="67">
        <f t="shared" si="2"/>
        <v>0</v>
      </c>
      <c r="I54" s="67">
        <f t="shared" si="3"/>
        <v>26.131473118724564</v>
      </c>
      <c r="J54" s="67">
        <f t="shared" si="4"/>
        <v>1.894745589332165</v>
      </c>
      <c r="K54" s="100">
        <f t="shared" si="6"/>
        <v>1.2631637262214432</v>
      </c>
      <c r="O54" s="96">
        <f>Amnt_Deposited!B49</f>
        <v>2035</v>
      </c>
      <c r="P54" s="99">
        <f>Amnt_Deposited!D49</f>
        <v>0</v>
      </c>
      <c r="Q54" s="283">
        <f>MCF!R53</f>
        <v>0.78500000000000003</v>
      </c>
      <c r="R54" s="67">
        <f t="shared" si="13"/>
        <v>0</v>
      </c>
      <c r="S54" s="67">
        <f t="shared" si="7"/>
        <v>0</v>
      </c>
      <c r="T54" s="67">
        <f t="shared" si="8"/>
        <v>0</v>
      </c>
      <c r="U54" s="67">
        <f t="shared" si="9"/>
        <v>53.99064693951356</v>
      </c>
      <c r="V54" s="67">
        <f t="shared" si="10"/>
        <v>3.9147636143226543</v>
      </c>
      <c r="W54" s="100">
        <f t="shared" si="11"/>
        <v>2.609842409548436</v>
      </c>
    </row>
    <row r="55" spans="2:23">
      <c r="B55" s="96">
        <f>Amnt_Deposited!B50</f>
        <v>2036</v>
      </c>
      <c r="C55" s="99">
        <f>Amnt_Deposited!D50</f>
        <v>0</v>
      </c>
      <c r="D55" s="417">
        <f>Dry_Matter_Content!D42</f>
        <v>0.44</v>
      </c>
      <c r="E55" s="283">
        <f>MCF!R54</f>
        <v>0.78500000000000003</v>
      </c>
      <c r="F55" s="67">
        <f t="shared" si="12"/>
        <v>0</v>
      </c>
      <c r="G55" s="67">
        <f t="shared" si="1"/>
        <v>0</v>
      </c>
      <c r="H55" s="67">
        <f t="shared" si="2"/>
        <v>0</v>
      </c>
      <c r="I55" s="67">
        <f t="shared" si="3"/>
        <v>24.364824040937201</v>
      </c>
      <c r="J55" s="67">
        <f t="shared" si="4"/>
        <v>1.7666490777873645</v>
      </c>
      <c r="K55" s="100">
        <f t="shared" si="6"/>
        <v>1.1777660518582429</v>
      </c>
      <c r="O55" s="96">
        <f>Amnt_Deposited!B50</f>
        <v>2036</v>
      </c>
      <c r="P55" s="99">
        <f>Amnt_Deposited!D50</f>
        <v>0</v>
      </c>
      <c r="Q55" s="283">
        <f>MCF!R54</f>
        <v>0.78500000000000003</v>
      </c>
      <c r="R55" s="67">
        <f t="shared" si="13"/>
        <v>0</v>
      </c>
      <c r="S55" s="67">
        <f t="shared" si="7"/>
        <v>0</v>
      </c>
      <c r="T55" s="67">
        <f t="shared" si="8"/>
        <v>0</v>
      </c>
      <c r="U55" s="67">
        <f t="shared" si="9"/>
        <v>50.340545539126445</v>
      </c>
      <c r="V55" s="67">
        <f t="shared" si="10"/>
        <v>3.6501014003871166</v>
      </c>
      <c r="W55" s="100">
        <f t="shared" si="11"/>
        <v>2.4334009335914111</v>
      </c>
    </row>
    <row r="56" spans="2:23">
      <c r="B56" s="96">
        <f>Amnt_Deposited!B51</f>
        <v>2037</v>
      </c>
      <c r="C56" s="99">
        <f>Amnt_Deposited!D51</f>
        <v>0</v>
      </c>
      <c r="D56" s="417">
        <f>Dry_Matter_Content!D43</f>
        <v>0.44</v>
      </c>
      <c r="E56" s="283">
        <f>MCF!R55</f>
        <v>0.78500000000000003</v>
      </c>
      <c r="F56" s="67">
        <f t="shared" si="12"/>
        <v>0</v>
      </c>
      <c r="G56" s="67">
        <f t="shared" si="1"/>
        <v>0</v>
      </c>
      <c r="H56" s="67">
        <f t="shared" si="2"/>
        <v>0</v>
      </c>
      <c r="I56" s="67">
        <f t="shared" si="3"/>
        <v>22.717611358865721</v>
      </c>
      <c r="J56" s="67">
        <f t="shared" si="4"/>
        <v>1.6472126820714816</v>
      </c>
      <c r="K56" s="100">
        <f t="shared" si="6"/>
        <v>1.0981417880476543</v>
      </c>
      <c r="O56" s="96">
        <f>Amnt_Deposited!B51</f>
        <v>2037</v>
      </c>
      <c r="P56" s="99">
        <f>Amnt_Deposited!D51</f>
        <v>0</v>
      </c>
      <c r="Q56" s="283">
        <f>MCF!R55</f>
        <v>0.78500000000000003</v>
      </c>
      <c r="R56" s="67">
        <f t="shared" si="13"/>
        <v>0</v>
      </c>
      <c r="S56" s="67">
        <f t="shared" si="7"/>
        <v>0</v>
      </c>
      <c r="T56" s="67">
        <f t="shared" si="8"/>
        <v>0</v>
      </c>
      <c r="U56" s="67">
        <f t="shared" si="9"/>
        <v>46.93721355137545</v>
      </c>
      <c r="V56" s="67">
        <f t="shared" si="10"/>
        <v>3.4033319877509949</v>
      </c>
      <c r="W56" s="100">
        <f t="shared" si="11"/>
        <v>2.2688879918339966</v>
      </c>
    </row>
    <row r="57" spans="2:23">
      <c r="B57" s="96">
        <f>Amnt_Deposited!B52</f>
        <v>2038</v>
      </c>
      <c r="C57" s="99">
        <f>Amnt_Deposited!D52</f>
        <v>0</v>
      </c>
      <c r="D57" s="417">
        <f>Dry_Matter_Content!D44</f>
        <v>0.44</v>
      </c>
      <c r="E57" s="283">
        <f>MCF!R56</f>
        <v>0.78500000000000003</v>
      </c>
      <c r="F57" s="67">
        <f t="shared" si="12"/>
        <v>0</v>
      </c>
      <c r="G57" s="67">
        <f t="shared" si="1"/>
        <v>0</v>
      </c>
      <c r="H57" s="67">
        <f t="shared" si="2"/>
        <v>0</v>
      </c>
      <c r="I57" s="67">
        <f t="shared" si="3"/>
        <v>21.18176043403157</v>
      </c>
      <c r="J57" s="67">
        <f t="shared" si="4"/>
        <v>1.5358509248341512</v>
      </c>
      <c r="K57" s="100">
        <f t="shared" si="6"/>
        <v>1.0239006165561007</v>
      </c>
      <c r="O57" s="96">
        <f>Amnt_Deposited!B52</f>
        <v>2038</v>
      </c>
      <c r="P57" s="99">
        <f>Amnt_Deposited!D52</f>
        <v>0</v>
      </c>
      <c r="Q57" s="283">
        <f>MCF!R56</f>
        <v>0.78500000000000003</v>
      </c>
      <c r="R57" s="67">
        <f t="shared" si="13"/>
        <v>0</v>
      </c>
      <c r="S57" s="67">
        <f t="shared" si="7"/>
        <v>0</v>
      </c>
      <c r="T57" s="67">
        <f t="shared" si="8"/>
        <v>0</v>
      </c>
      <c r="U57" s="67">
        <f t="shared" si="9"/>
        <v>43.763967838908194</v>
      </c>
      <c r="V57" s="67">
        <f t="shared" si="10"/>
        <v>3.1732457124672537</v>
      </c>
      <c r="W57" s="100">
        <f t="shared" si="11"/>
        <v>2.1154971416448358</v>
      </c>
    </row>
    <row r="58" spans="2:23">
      <c r="B58" s="96">
        <f>Amnt_Deposited!B53</f>
        <v>2039</v>
      </c>
      <c r="C58" s="99">
        <f>Amnt_Deposited!D53</f>
        <v>0</v>
      </c>
      <c r="D58" s="417">
        <f>Dry_Matter_Content!D45</f>
        <v>0.44</v>
      </c>
      <c r="E58" s="283">
        <f>MCF!R57</f>
        <v>0.78500000000000003</v>
      </c>
      <c r="F58" s="67">
        <f t="shared" si="12"/>
        <v>0</v>
      </c>
      <c r="G58" s="67">
        <f t="shared" si="1"/>
        <v>0</v>
      </c>
      <c r="H58" s="67">
        <f t="shared" si="2"/>
        <v>0</v>
      </c>
      <c r="I58" s="67">
        <f t="shared" si="3"/>
        <v>19.749742523419371</v>
      </c>
      <c r="J58" s="67">
        <f t="shared" si="4"/>
        <v>1.4320179106121975</v>
      </c>
      <c r="K58" s="100">
        <f t="shared" si="6"/>
        <v>0.95467860707479835</v>
      </c>
      <c r="O58" s="96">
        <f>Amnt_Deposited!B53</f>
        <v>2039</v>
      </c>
      <c r="P58" s="99">
        <f>Amnt_Deposited!D53</f>
        <v>0</v>
      </c>
      <c r="Q58" s="283">
        <f>MCF!R57</f>
        <v>0.78500000000000003</v>
      </c>
      <c r="R58" s="67">
        <f t="shared" si="13"/>
        <v>0</v>
      </c>
      <c r="S58" s="67">
        <f t="shared" si="7"/>
        <v>0</v>
      </c>
      <c r="T58" s="67">
        <f t="shared" si="8"/>
        <v>0</v>
      </c>
      <c r="U58" s="67">
        <f t="shared" si="9"/>
        <v>40.805253147560677</v>
      </c>
      <c r="V58" s="67">
        <f t="shared" si="10"/>
        <v>2.9587146913475149</v>
      </c>
      <c r="W58" s="100">
        <f t="shared" si="11"/>
        <v>1.9724764608983432</v>
      </c>
    </row>
    <row r="59" spans="2:23">
      <c r="B59" s="96">
        <f>Amnt_Deposited!B54</f>
        <v>2040</v>
      </c>
      <c r="C59" s="99">
        <f>Amnt_Deposited!D54</f>
        <v>0</v>
      </c>
      <c r="D59" s="417">
        <f>Dry_Matter_Content!D46</f>
        <v>0.44</v>
      </c>
      <c r="E59" s="283">
        <f>MCF!R58</f>
        <v>0.78500000000000003</v>
      </c>
      <c r="F59" s="67">
        <f t="shared" si="12"/>
        <v>0</v>
      </c>
      <c r="G59" s="67">
        <f t="shared" si="1"/>
        <v>0</v>
      </c>
      <c r="H59" s="67">
        <f t="shared" si="2"/>
        <v>0</v>
      </c>
      <c r="I59" s="67">
        <f t="shared" si="3"/>
        <v>18.41453787356993</v>
      </c>
      <c r="J59" s="67">
        <f t="shared" si="4"/>
        <v>1.3352046498494416</v>
      </c>
      <c r="K59" s="100">
        <f t="shared" si="6"/>
        <v>0.8901364332329611</v>
      </c>
      <c r="O59" s="96">
        <f>Amnt_Deposited!B54</f>
        <v>2040</v>
      </c>
      <c r="P59" s="99">
        <f>Amnt_Deposited!D54</f>
        <v>0</v>
      </c>
      <c r="Q59" s="283">
        <f>MCF!R58</f>
        <v>0.78500000000000003</v>
      </c>
      <c r="R59" s="67">
        <f t="shared" si="13"/>
        <v>0</v>
      </c>
      <c r="S59" s="67">
        <f t="shared" si="7"/>
        <v>0</v>
      </c>
      <c r="T59" s="67">
        <f t="shared" si="8"/>
        <v>0</v>
      </c>
      <c r="U59" s="67">
        <f t="shared" si="9"/>
        <v>38.046565854483319</v>
      </c>
      <c r="V59" s="67">
        <f t="shared" si="10"/>
        <v>2.758687293077358</v>
      </c>
      <c r="W59" s="100">
        <f t="shared" si="11"/>
        <v>1.8391248620515719</v>
      </c>
    </row>
    <row r="60" spans="2:23">
      <c r="B60" s="96">
        <f>Amnt_Deposited!B55</f>
        <v>2041</v>
      </c>
      <c r="C60" s="99">
        <f>Amnt_Deposited!D55</f>
        <v>0</v>
      </c>
      <c r="D60" s="417">
        <f>Dry_Matter_Content!D47</f>
        <v>0.44</v>
      </c>
      <c r="E60" s="283">
        <f>MCF!R59</f>
        <v>0.78500000000000003</v>
      </c>
      <c r="F60" s="67">
        <f t="shared" si="12"/>
        <v>0</v>
      </c>
      <c r="G60" s="67">
        <f t="shared" si="1"/>
        <v>0</v>
      </c>
      <c r="H60" s="67">
        <f t="shared" si="2"/>
        <v>0</v>
      </c>
      <c r="I60" s="67">
        <f t="shared" si="3"/>
        <v>17.169601309740624</v>
      </c>
      <c r="J60" s="67">
        <f t="shared" si="4"/>
        <v>1.2449365638293051</v>
      </c>
      <c r="K60" s="100">
        <f t="shared" si="6"/>
        <v>0.82995770921953671</v>
      </c>
      <c r="O60" s="96">
        <f>Amnt_Deposited!B55</f>
        <v>2041</v>
      </c>
      <c r="P60" s="99">
        <f>Amnt_Deposited!D55</f>
        <v>0</v>
      </c>
      <c r="Q60" s="283">
        <f>MCF!R59</f>
        <v>0.78500000000000003</v>
      </c>
      <c r="R60" s="67">
        <f t="shared" si="13"/>
        <v>0</v>
      </c>
      <c r="S60" s="67">
        <f t="shared" si="7"/>
        <v>0</v>
      </c>
      <c r="T60" s="67">
        <f t="shared" si="8"/>
        <v>0</v>
      </c>
      <c r="U60" s="67">
        <f t="shared" si="9"/>
        <v>35.474382871364924</v>
      </c>
      <c r="V60" s="67">
        <f t="shared" si="10"/>
        <v>2.5721829831183984</v>
      </c>
      <c r="W60" s="100">
        <f t="shared" si="11"/>
        <v>1.7147886554122656</v>
      </c>
    </row>
    <row r="61" spans="2:23">
      <c r="B61" s="96">
        <f>Amnt_Deposited!B56</f>
        <v>2042</v>
      </c>
      <c r="C61" s="99">
        <f>Amnt_Deposited!D56</f>
        <v>0</v>
      </c>
      <c r="D61" s="417">
        <f>Dry_Matter_Content!D48</f>
        <v>0.44</v>
      </c>
      <c r="E61" s="283">
        <f>MCF!R60</f>
        <v>0.78500000000000003</v>
      </c>
      <c r="F61" s="67">
        <f t="shared" si="12"/>
        <v>0</v>
      </c>
      <c r="G61" s="67">
        <f t="shared" si="1"/>
        <v>0</v>
      </c>
      <c r="H61" s="67">
        <f t="shared" si="2"/>
        <v>0</v>
      </c>
      <c r="I61" s="67">
        <f t="shared" si="3"/>
        <v>16.008830151451232</v>
      </c>
      <c r="J61" s="67">
        <f t="shared" si="4"/>
        <v>1.1607711582893911</v>
      </c>
      <c r="K61" s="100">
        <f t="shared" si="6"/>
        <v>0.77384743885959406</v>
      </c>
      <c r="O61" s="96">
        <f>Amnt_Deposited!B56</f>
        <v>2042</v>
      </c>
      <c r="P61" s="99">
        <f>Amnt_Deposited!D56</f>
        <v>0</v>
      </c>
      <c r="Q61" s="283">
        <f>MCF!R60</f>
        <v>0.78500000000000003</v>
      </c>
      <c r="R61" s="67">
        <f t="shared" si="13"/>
        <v>0</v>
      </c>
      <c r="S61" s="67">
        <f t="shared" si="7"/>
        <v>0</v>
      </c>
      <c r="T61" s="67">
        <f t="shared" si="8"/>
        <v>0</v>
      </c>
      <c r="U61" s="67">
        <f t="shared" si="9"/>
        <v>33.076095354238085</v>
      </c>
      <c r="V61" s="67">
        <f t="shared" si="10"/>
        <v>2.3982875171268407</v>
      </c>
      <c r="W61" s="100">
        <f t="shared" si="11"/>
        <v>1.598858344751227</v>
      </c>
    </row>
    <row r="62" spans="2:23">
      <c r="B62" s="96">
        <f>Amnt_Deposited!B57</f>
        <v>2043</v>
      </c>
      <c r="C62" s="99">
        <f>Amnt_Deposited!D57</f>
        <v>0</v>
      </c>
      <c r="D62" s="417">
        <f>Dry_Matter_Content!D49</f>
        <v>0.44</v>
      </c>
      <c r="E62" s="283">
        <f>MCF!R61</f>
        <v>0.78500000000000003</v>
      </c>
      <c r="F62" s="67">
        <f t="shared" si="12"/>
        <v>0</v>
      </c>
      <c r="G62" s="67">
        <f t="shared" si="1"/>
        <v>0</v>
      </c>
      <c r="H62" s="67">
        <f t="shared" si="2"/>
        <v>0</v>
      </c>
      <c r="I62" s="67">
        <f t="shared" si="3"/>
        <v>14.926534297137135</v>
      </c>
      <c r="J62" s="67">
        <f t="shared" si="4"/>
        <v>1.0822958543140972</v>
      </c>
      <c r="K62" s="100">
        <f t="shared" si="6"/>
        <v>0.72153056954273143</v>
      </c>
      <c r="O62" s="96">
        <f>Amnt_Deposited!B57</f>
        <v>2043</v>
      </c>
      <c r="P62" s="99">
        <f>Amnt_Deposited!D57</f>
        <v>0</v>
      </c>
      <c r="Q62" s="283">
        <f>MCF!R61</f>
        <v>0.78500000000000003</v>
      </c>
      <c r="R62" s="67">
        <f t="shared" si="13"/>
        <v>0</v>
      </c>
      <c r="S62" s="67">
        <f t="shared" si="7"/>
        <v>0</v>
      </c>
      <c r="T62" s="67">
        <f t="shared" si="8"/>
        <v>0</v>
      </c>
      <c r="U62" s="67">
        <f t="shared" si="9"/>
        <v>30.839946894911439</v>
      </c>
      <c r="V62" s="67">
        <f t="shared" si="10"/>
        <v>2.2361484593266474</v>
      </c>
      <c r="W62" s="100">
        <f t="shared" si="11"/>
        <v>1.4907656395510982</v>
      </c>
    </row>
    <row r="63" spans="2:23">
      <c r="B63" s="96">
        <f>Amnt_Deposited!B58</f>
        <v>2044</v>
      </c>
      <c r="C63" s="99">
        <f>Amnt_Deposited!D58</f>
        <v>0</v>
      </c>
      <c r="D63" s="417">
        <f>Dry_Matter_Content!D50</f>
        <v>0.44</v>
      </c>
      <c r="E63" s="283">
        <f>MCF!R62</f>
        <v>0.78500000000000003</v>
      </c>
      <c r="F63" s="67">
        <f t="shared" si="12"/>
        <v>0</v>
      </c>
      <c r="G63" s="67">
        <f t="shared" si="1"/>
        <v>0</v>
      </c>
      <c r="H63" s="67">
        <f t="shared" si="2"/>
        <v>0</v>
      </c>
      <c r="I63" s="67">
        <f t="shared" si="3"/>
        <v>13.917408331264841</v>
      </c>
      <c r="J63" s="67">
        <f t="shared" si="4"/>
        <v>1.0091259658722929</v>
      </c>
      <c r="K63" s="100">
        <f t="shared" si="6"/>
        <v>0.67275064391486183</v>
      </c>
      <c r="O63" s="96">
        <f>Amnt_Deposited!B58</f>
        <v>2044</v>
      </c>
      <c r="P63" s="99">
        <f>Amnt_Deposited!D58</f>
        <v>0</v>
      </c>
      <c r="Q63" s="283">
        <f>MCF!R62</f>
        <v>0.78500000000000003</v>
      </c>
      <c r="R63" s="67">
        <f t="shared" si="13"/>
        <v>0</v>
      </c>
      <c r="S63" s="67">
        <f t="shared" si="7"/>
        <v>0</v>
      </c>
      <c r="T63" s="67">
        <f t="shared" si="8"/>
        <v>0</v>
      </c>
      <c r="U63" s="67">
        <f t="shared" si="9"/>
        <v>28.754975891043063</v>
      </c>
      <c r="V63" s="67">
        <f t="shared" si="10"/>
        <v>2.084971003868374</v>
      </c>
      <c r="W63" s="100">
        <f t="shared" si="11"/>
        <v>1.3899806692455825</v>
      </c>
    </row>
    <row r="64" spans="2:23">
      <c r="B64" s="96">
        <f>Amnt_Deposited!B59</f>
        <v>2045</v>
      </c>
      <c r="C64" s="99">
        <f>Amnt_Deposited!D59</f>
        <v>0</v>
      </c>
      <c r="D64" s="417">
        <f>Dry_Matter_Content!D51</f>
        <v>0.44</v>
      </c>
      <c r="E64" s="283">
        <f>MCF!R63</f>
        <v>0.78500000000000003</v>
      </c>
      <c r="F64" s="67">
        <f t="shared" si="12"/>
        <v>0</v>
      </c>
      <c r="G64" s="67">
        <f t="shared" si="1"/>
        <v>0</v>
      </c>
      <c r="H64" s="67">
        <f t="shared" si="2"/>
        <v>0</v>
      </c>
      <c r="I64" s="67">
        <f t="shared" si="3"/>
        <v>12.976505517178895</v>
      </c>
      <c r="J64" s="67">
        <f t="shared" si="4"/>
        <v>0.94090281408594678</v>
      </c>
      <c r="K64" s="100">
        <f t="shared" si="6"/>
        <v>0.62726854272396448</v>
      </c>
      <c r="O64" s="96">
        <f>Amnt_Deposited!B59</f>
        <v>2045</v>
      </c>
      <c r="P64" s="99">
        <f>Amnt_Deposited!D59</f>
        <v>0</v>
      </c>
      <c r="Q64" s="283">
        <f>MCF!R63</f>
        <v>0.78500000000000003</v>
      </c>
      <c r="R64" s="67">
        <f t="shared" si="13"/>
        <v>0</v>
      </c>
      <c r="S64" s="67">
        <f t="shared" si="7"/>
        <v>0</v>
      </c>
      <c r="T64" s="67">
        <f t="shared" si="8"/>
        <v>0</v>
      </c>
      <c r="U64" s="67">
        <f t="shared" si="9"/>
        <v>26.810961812353092</v>
      </c>
      <c r="V64" s="67">
        <f t="shared" si="10"/>
        <v>1.9440140786899729</v>
      </c>
      <c r="W64" s="100">
        <f t="shared" si="11"/>
        <v>1.2960093857933153</v>
      </c>
    </row>
    <row r="65" spans="2:23">
      <c r="B65" s="96">
        <f>Amnt_Deposited!B60</f>
        <v>2046</v>
      </c>
      <c r="C65" s="99">
        <f>Amnt_Deposited!D60</f>
        <v>0</v>
      </c>
      <c r="D65" s="417">
        <f>Dry_Matter_Content!D52</f>
        <v>0.44</v>
      </c>
      <c r="E65" s="283">
        <f>MCF!R64</f>
        <v>0.78500000000000003</v>
      </c>
      <c r="F65" s="67">
        <f t="shared" si="12"/>
        <v>0</v>
      </c>
      <c r="G65" s="67">
        <f t="shared" si="1"/>
        <v>0</v>
      </c>
      <c r="H65" s="67">
        <f t="shared" si="2"/>
        <v>0</v>
      </c>
      <c r="I65" s="67">
        <f t="shared" si="3"/>
        <v>12.099213548193042</v>
      </c>
      <c r="J65" s="67">
        <f t="shared" si="4"/>
        <v>0.87729196898585216</v>
      </c>
      <c r="K65" s="100">
        <f t="shared" si="6"/>
        <v>0.58486131265723473</v>
      </c>
      <c r="O65" s="96">
        <f>Amnt_Deposited!B60</f>
        <v>2046</v>
      </c>
      <c r="P65" s="99">
        <f>Amnt_Deposited!D60</f>
        <v>0</v>
      </c>
      <c r="Q65" s="283">
        <f>MCF!R64</f>
        <v>0.78500000000000003</v>
      </c>
      <c r="R65" s="67">
        <f t="shared" si="13"/>
        <v>0</v>
      </c>
      <c r="S65" s="67">
        <f t="shared" si="7"/>
        <v>0</v>
      </c>
      <c r="T65" s="67">
        <f t="shared" si="8"/>
        <v>0</v>
      </c>
      <c r="U65" s="67">
        <f t="shared" si="9"/>
        <v>24.998375099572407</v>
      </c>
      <c r="V65" s="67">
        <f t="shared" si="10"/>
        <v>1.8125867127806867</v>
      </c>
      <c r="W65" s="100">
        <f t="shared" si="11"/>
        <v>1.2083911418537912</v>
      </c>
    </row>
    <row r="66" spans="2:23">
      <c r="B66" s="96">
        <f>Amnt_Deposited!B61</f>
        <v>2047</v>
      </c>
      <c r="C66" s="99">
        <f>Amnt_Deposited!D61</f>
        <v>0</v>
      </c>
      <c r="D66" s="417">
        <f>Dry_Matter_Content!D53</f>
        <v>0.44</v>
      </c>
      <c r="E66" s="283">
        <f>MCF!R65</f>
        <v>0.78500000000000003</v>
      </c>
      <c r="F66" s="67">
        <f t="shared" si="12"/>
        <v>0</v>
      </c>
      <c r="G66" s="67">
        <f t="shared" si="1"/>
        <v>0</v>
      </c>
      <c r="H66" s="67">
        <f t="shared" si="2"/>
        <v>0</v>
      </c>
      <c r="I66" s="67">
        <f t="shared" si="3"/>
        <v>11.281231938057513</v>
      </c>
      <c r="J66" s="67">
        <f t="shared" si="4"/>
        <v>0.81798161013552939</v>
      </c>
      <c r="K66" s="100">
        <f t="shared" si="6"/>
        <v>0.54532107342368619</v>
      </c>
      <c r="O66" s="96">
        <f>Amnt_Deposited!B61</f>
        <v>2047</v>
      </c>
      <c r="P66" s="99">
        <f>Amnt_Deposited!D61</f>
        <v>0</v>
      </c>
      <c r="Q66" s="283">
        <f>MCF!R65</f>
        <v>0.78500000000000003</v>
      </c>
      <c r="R66" s="67">
        <f t="shared" si="13"/>
        <v>0</v>
      </c>
      <c r="S66" s="67">
        <f t="shared" si="7"/>
        <v>0</v>
      </c>
      <c r="T66" s="67">
        <f t="shared" si="8"/>
        <v>0</v>
      </c>
      <c r="U66" s="67">
        <f t="shared" si="9"/>
        <v>23.308330450532058</v>
      </c>
      <c r="V66" s="67">
        <f t="shared" si="10"/>
        <v>1.6900446490403505</v>
      </c>
      <c r="W66" s="100">
        <f t="shared" si="11"/>
        <v>1.1266964326935669</v>
      </c>
    </row>
    <row r="67" spans="2:23">
      <c r="B67" s="96">
        <f>Amnt_Deposited!B62</f>
        <v>2048</v>
      </c>
      <c r="C67" s="99">
        <f>Amnt_Deposited!D62</f>
        <v>0</v>
      </c>
      <c r="D67" s="417">
        <f>Dry_Matter_Content!D54</f>
        <v>0.44</v>
      </c>
      <c r="E67" s="283">
        <f>MCF!R66</f>
        <v>0.78500000000000003</v>
      </c>
      <c r="F67" s="67">
        <f t="shared" si="12"/>
        <v>0</v>
      </c>
      <c r="G67" s="67">
        <f t="shared" si="1"/>
        <v>0</v>
      </c>
      <c r="H67" s="67">
        <f t="shared" si="2"/>
        <v>0</v>
      </c>
      <c r="I67" s="67">
        <f t="shared" si="3"/>
        <v>10.518550939970428</v>
      </c>
      <c r="J67" s="67">
        <f t="shared" si="4"/>
        <v>0.76268099808708434</v>
      </c>
      <c r="K67" s="100">
        <f t="shared" si="6"/>
        <v>0.50845399872472286</v>
      </c>
      <c r="O67" s="96">
        <f>Amnt_Deposited!B62</f>
        <v>2048</v>
      </c>
      <c r="P67" s="99">
        <f>Amnt_Deposited!D62</f>
        <v>0</v>
      </c>
      <c r="Q67" s="283">
        <f>MCF!R66</f>
        <v>0.78500000000000003</v>
      </c>
      <c r="R67" s="67">
        <f t="shared" si="13"/>
        <v>0</v>
      </c>
      <c r="S67" s="67">
        <f t="shared" si="7"/>
        <v>0</v>
      </c>
      <c r="T67" s="67">
        <f t="shared" si="8"/>
        <v>0</v>
      </c>
      <c r="U67" s="67">
        <f t="shared" si="9"/>
        <v>21.732543264401716</v>
      </c>
      <c r="V67" s="67">
        <f t="shared" si="10"/>
        <v>1.5757871861303401</v>
      </c>
      <c r="W67" s="100">
        <f t="shared" si="11"/>
        <v>1.05052479075356</v>
      </c>
    </row>
    <row r="68" spans="2:23">
      <c r="B68" s="96">
        <f>Amnt_Deposited!B63</f>
        <v>2049</v>
      </c>
      <c r="C68" s="99">
        <f>Amnt_Deposited!D63</f>
        <v>0</v>
      </c>
      <c r="D68" s="417">
        <f>Dry_Matter_Content!D55</f>
        <v>0.44</v>
      </c>
      <c r="E68" s="283">
        <f>MCF!R67</f>
        <v>0.78500000000000003</v>
      </c>
      <c r="F68" s="67">
        <f t="shared" si="12"/>
        <v>0</v>
      </c>
      <c r="G68" s="67">
        <f t="shared" si="1"/>
        <v>0</v>
      </c>
      <c r="H68" s="67">
        <f t="shared" si="2"/>
        <v>0</v>
      </c>
      <c r="I68" s="67">
        <f t="shared" si="3"/>
        <v>9.8074318907943301</v>
      </c>
      <c r="J68" s="67">
        <f t="shared" si="4"/>
        <v>0.71111904917609781</v>
      </c>
      <c r="K68" s="100">
        <f t="shared" si="6"/>
        <v>0.47407936611739854</v>
      </c>
      <c r="O68" s="96">
        <f>Amnt_Deposited!B63</f>
        <v>2049</v>
      </c>
      <c r="P68" s="99">
        <f>Amnt_Deposited!D63</f>
        <v>0</v>
      </c>
      <c r="Q68" s="283">
        <f>MCF!R67</f>
        <v>0.78500000000000003</v>
      </c>
      <c r="R68" s="67">
        <f t="shared" si="13"/>
        <v>0</v>
      </c>
      <c r="S68" s="67">
        <f t="shared" si="7"/>
        <v>0</v>
      </c>
      <c r="T68" s="67">
        <f t="shared" si="8"/>
        <v>0</v>
      </c>
      <c r="U68" s="67">
        <f t="shared" si="9"/>
        <v>20.263289030566803</v>
      </c>
      <c r="V68" s="67">
        <f t="shared" si="10"/>
        <v>1.4692542338349133</v>
      </c>
      <c r="W68" s="100">
        <f t="shared" si="11"/>
        <v>0.97950282255660881</v>
      </c>
    </row>
    <row r="69" spans="2:23">
      <c r="B69" s="96">
        <f>Amnt_Deposited!B64</f>
        <v>2050</v>
      </c>
      <c r="C69" s="99">
        <f>Amnt_Deposited!D64</f>
        <v>0</v>
      </c>
      <c r="D69" s="417">
        <f>Dry_Matter_Content!D56</f>
        <v>0.44</v>
      </c>
      <c r="E69" s="283">
        <f>MCF!R68</f>
        <v>0.78500000000000003</v>
      </c>
      <c r="F69" s="67">
        <f t="shared" si="12"/>
        <v>0</v>
      </c>
      <c r="G69" s="67">
        <f t="shared" si="1"/>
        <v>0</v>
      </c>
      <c r="H69" s="67">
        <f t="shared" si="2"/>
        <v>0</v>
      </c>
      <c r="I69" s="67">
        <f t="shared" si="3"/>
        <v>9.1443888841251422</v>
      </c>
      <c r="J69" s="67">
        <f t="shared" si="4"/>
        <v>0.6630430066691877</v>
      </c>
      <c r="K69" s="100">
        <f t="shared" si="6"/>
        <v>0.44202867111279176</v>
      </c>
      <c r="O69" s="96">
        <f>Amnt_Deposited!B64</f>
        <v>2050</v>
      </c>
      <c r="P69" s="99">
        <f>Amnt_Deposited!D64</f>
        <v>0</v>
      </c>
      <c r="Q69" s="283">
        <f>MCF!R68</f>
        <v>0.78500000000000003</v>
      </c>
      <c r="R69" s="67">
        <f t="shared" si="13"/>
        <v>0</v>
      </c>
      <c r="S69" s="67">
        <f t="shared" si="7"/>
        <v>0</v>
      </c>
      <c r="T69" s="67">
        <f t="shared" si="8"/>
        <v>0</v>
      </c>
      <c r="U69" s="67">
        <f t="shared" si="9"/>
        <v>18.893365463068481</v>
      </c>
      <c r="V69" s="67">
        <f t="shared" si="10"/>
        <v>1.3699235674983221</v>
      </c>
      <c r="W69" s="100">
        <f t="shared" si="11"/>
        <v>0.91328237833221471</v>
      </c>
    </row>
    <row r="70" spans="2:23">
      <c r="B70" s="96">
        <f>Amnt_Deposited!B65</f>
        <v>2051</v>
      </c>
      <c r="C70" s="99">
        <f>Amnt_Deposited!D65</f>
        <v>0</v>
      </c>
      <c r="D70" s="417">
        <f>Dry_Matter_Content!D57</f>
        <v>0.44</v>
      </c>
      <c r="E70" s="283">
        <f>MCF!R69</f>
        <v>0.78500000000000003</v>
      </c>
      <c r="F70" s="67">
        <f t="shared" si="12"/>
        <v>0</v>
      </c>
      <c r="G70" s="67">
        <f t="shared" si="1"/>
        <v>0</v>
      </c>
      <c r="H70" s="67">
        <f t="shared" si="2"/>
        <v>0</v>
      </c>
      <c r="I70" s="67">
        <f t="shared" si="3"/>
        <v>8.5261716823749332</v>
      </c>
      <c r="J70" s="67">
        <f t="shared" si="4"/>
        <v>0.61821720175020911</v>
      </c>
      <c r="K70" s="100">
        <f t="shared" si="6"/>
        <v>0.41214480116680607</v>
      </c>
      <c r="O70" s="96">
        <f>Amnt_Deposited!B65</f>
        <v>2051</v>
      </c>
      <c r="P70" s="99">
        <f>Amnt_Deposited!D65</f>
        <v>0</v>
      </c>
      <c r="Q70" s="283">
        <f>MCF!R69</f>
        <v>0.78500000000000003</v>
      </c>
      <c r="R70" s="67">
        <f t="shared" si="13"/>
        <v>0</v>
      </c>
      <c r="S70" s="67">
        <f t="shared" si="7"/>
        <v>0</v>
      </c>
      <c r="T70" s="67">
        <f t="shared" si="8"/>
        <v>0</v>
      </c>
      <c r="U70" s="67">
        <f t="shared" si="9"/>
        <v>17.616057194989537</v>
      </c>
      <c r="V70" s="67">
        <f t="shared" si="10"/>
        <v>1.2773082680789447</v>
      </c>
      <c r="W70" s="100">
        <f t="shared" si="11"/>
        <v>0.85153884538596314</v>
      </c>
    </row>
    <row r="71" spans="2:23">
      <c r="B71" s="96">
        <f>Amnt_Deposited!B66</f>
        <v>2052</v>
      </c>
      <c r="C71" s="99">
        <f>Amnt_Deposited!D66</f>
        <v>0</v>
      </c>
      <c r="D71" s="417">
        <f>Dry_Matter_Content!D58</f>
        <v>0.44</v>
      </c>
      <c r="E71" s="283">
        <f>MCF!R70</f>
        <v>0.78500000000000003</v>
      </c>
      <c r="F71" s="67">
        <f t="shared" si="12"/>
        <v>0</v>
      </c>
      <c r="G71" s="67">
        <f t="shared" si="1"/>
        <v>0</v>
      </c>
      <c r="H71" s="67">
        <f t="shared" si="2"/>
        <v>0</v>
      </c>
      <c r="I71" s="67">
        <f t="shared" si="3"/>
        <v>7.9497497841034894</v>
      </c>
      <c r="J71" s="67">
        <f t="shared" si="4"/>
        <v>0.57642189827144374</v>
      </c>
      <c r="K71" s="100">
        <f t="shared" si="6"/>
        <v>0.38428126551429581</v>
      </c>
      <c r="O71" s="96">
        <f>Amnt_Deposited!B66</f>
        <v>2052</v>
      </c>
      <c r="P71" s="99">
        <f>Amnt_Deposited!D66</f>
        <v>0</v>
      </c>
      <c r="Q71" s="283">
        <f>MCF!R70</f>
        <v>0.78500000000000003</v>
      </c>
      <c r="R71" s="67">
        <f t="shared" si="13"/>
        <v>0</v>
      </c>
      <c r="S71" s="67">
        <f t="shared" si="7"/>
        <v>0</v>
      </c>
      <c r="T71" s="67">
        <f t="shared" si="8"/>
        <v>0</v>
      </c>
      <c r="U71" s="67">
        <f t="shared" si="9"/>
        <v>16.42510285971796</v>
      </c>
      <c r="V71" s="67">
        <f t="shared" si="10"/>
        <v>1.1909543352715783</v>
      </c>
      <c r="W71" s="100">
        <f t="shared" si="11"/>
        <v>0.79396955684771886</v>
      </c>
    </row>
    <row r="72" spans="2:23">
      <c r="B72" s="96">
        <f>Amnt_Deposited!B67</f>
        <v>2053</v>
      </c>
      <c r="C72" s="99">
        <f>Amnt_Deposited!D67</f>
        <v>0</v>
      </c>
      <c r="D72" s="417">
        <f>Dry_Matter_Content!D59</f>
        <v>0.44</v>
      </c>
      <c r="E72" s="283">
        <f>MCF!R71</f>
        <v>0.78500000000000003</v>
      </c>
      <c r="F72" s="67">
        <f t="shared" si="12"/>
        <v>0</v>
      </c>
      <c r="G72" s="67">
        <f t="shared" si="1"/>
        <v>0</v>
      </c>
      <c r="H72" s="67">
        <f t="shared" si="2"/>
        <v>0</v>
      </c>
      <c r="I72" s="67">
        <f t="shared" si="3"/>
        <v>7.41229756849674</v>
      </c>
      <c r="J72" s="67">
        <f t="shared" si="4"/>
        <v>0.53745221560674938</v>
      </c>
      <c r="K72" s="100">
        <f t="shared" si="6"/>
        <v>0.35830147707116622</v>
      </c>
      <c r="O72" s="96">
        <f>Amnt_Deposited!B67</f>
        <v>2053</v>
      </c>
      <c r="P72" s="99">
        <f>Amnt_Deposited!D67</f>
        <v>0</v>
      </c>
      <c r="Q72" s="283">
        <f>MCF!R71</f>
        <v>0.78500000000000003</v>
      </c>
      <c r="R72" s="67">
        <f t="shared" si="13"/>
        <v>0</v>
      </c>
      <c r="S72" s="67">
        <f t="shared" si="7"/>
        <v>0</v>
      </c>
      <c r="T72" s="67">
        <f t="shared" si="8"/>
        <v>0</v>
      </c>
      <c r="U72" s="67">
        <f t="shared" si="9"/>
        <v>15.314664397720543</v>
      </c>
      <c r="V72" s="67">
        <f t="shared" si="10"/>
        <v>1.1104384619974164</v>
      </c>
      <c r="W72" s="100">
        <f t="shared" si="11"/>
        <v>0.7402923079982775</v>
      </c>
    </row>
    <row r="73" spans="2:23">
      <c r="B73" s="96">
        <f>Amnt_Deposited!B68</f>
        <v>2054</v>
      </c>
      <c r="C73" s="99">
        <f>Amnt_Deposited!D68</f>
        <v>0</v>
      </c>
      <c r="D73" s="417">
        <f>Dry_Matter_Content!D60</f>
        <v>0.44</v>
      </c>
      <c r="E73" s="283">
        <f>MCF!R72</f>
        <v>0.78500000000000003</v>
      </c>
      <c r="F73" s="67">
        <f t="shared" si="12"/>
        <v>0</v>
      </c>
      <c r="G73" s="67">
        <f t="shared" si="1"/>
        <v>0</v>
      </c>
      <c r="H73" s="67">
        <f t="shared" si="2"/>
        <v>0</v>
      </c>
      <c r="I73" s="67">
        <f t="shared" si="3"/>
        <v>6.911180444170248</v>
      </c>
      <c r="J73" s="67">
        <f t="shared" si="4"/>
        <v>0.50111712432649236</v>
      </c>
      <c r="K73" s="100">
        <f t="shared" si="6"/>
        <v>0.33407808288432822</v>
      </c>
      <c r="O73" s="96">
        <f>Amnt_Deposited!B68</f>
        <v>2054</v>
      </c>
      <c r="P73" s="99">
        <f>Amnt_Deposited!D68</f>
        <v>0</v>
      </c>
      <c r="Q73" s="283">
        <f>MCF!R72</f>
        <v>0.78500000000000003</v>
      </c>
      <c r="R73" s="67">
        <f t="shared" si="13"/>
        <v>0</v>
      </c>
      <c r="S73" s="67">
        <f t="shared" si="7"/>
        <v>0</v>
      </c>
      <c r="T73" s="67">
        <f t="shared" si="8"/>
        <v>0</v>
      </c>
      <c r="U73" s="67">
        <f t="shared" si="9"/>
        <v>14.279298438368286</v>
      </c>
      <c r="V73" s="67">
        <f t="shared" si="10"/>
        <v>1.0353659593522573</v>
      </c>
      <c r="W73" s="100">
        <f t="shared" si="11"/>
        <v>0.69024397290150485</v>
      </c>
    </row>
    <row r="74" spans="2:23">
      <c r="B74" s="96">
        <f>Amnt_Deposited!B69</f>
        <v>2055</v>
      </c>
      <c r="C74" s="99">
        <f>Amnt_Deposited!D69</f>
        <v>0</v>
      </c>
      <c r="D74" s="417">
        <f>Dry_Matter_Content!D61</f>
        <v>0.44</v>
      </c>
      <c r="E74" s="283">
        <f>MCF!R73</f>
        <v>0.78500000000000003</v>
      </c>
      <c r="F74" s="67">
        <f t="shared" si="12"/>
        <v>0</v>
      </c>
      <c r="G74" s="67">
        <f t="shared" si="1"/>
        <v>0</v>
      </c>
      <c r="H74" s="67">
        <f t="shared" si="2"/>
        <v>0</v>
      </c>
      <c r="I74" s="67">
        <f t="shared" si="3"/>
        <v>6.4439419343991862</v>
      </c>
      <c r="J74" s="67">
        <f t="shared" si="4"/>
        <v>0.46723850977106218</v>
      </c>
      <c r="K74" s="100">
        <f t="shared" si="6"/>
        <v>0.31149233984737479</v>
      </c>
      <c r="O74" s="96">
        <f>Amnt_Deposited!B69</f>
        <v>2055</v>
      </c>
      <c r="P74" s="99">
        <f>Amnt_Deposited!D69</f>
        <v>0</v>
      </c>
      <c r="Q74" s="283">
        <f>MCF!R73</f>
        <v>0.78500000000000003</v>
      </c>
      <c r="R74" s="67">
        <f t="shared" si="13"/>
        <v>0</v>
      </c>
      <c r="S74" s="67">
        <f t="shared" si="7"/>
        <v>0</v>
      </c>
      <c r="T74" s="67">
        <f t="shared" si="8"/>
        <v>0</v>
      </c>
      <c r="U74" s="67">
        <f t="shared" si="9"/>
        <v>13.313929616527249</v>
      </c>
      <c r="V74" s="67">
        <f t="shared" si="10"/>
        <v>0.96536882184103789</v>
      </c>
      <c r="W74" s="100">
        <f t="shared" si="11"/>
        <v>0.64357921456069189</v>
      </c>
    </row>
    <row r="75" spans="2:23">
      <c r="B75" s="96">
        <f>Amnt_Deposited!B70</f>
        <v>2056</v>
      </c>
      <c r="C75" s="99">
        <f>Amnt_Deposited!D70</f>
        <v>0</v>
      </c>
      <c r="D75" s="417">
        <f>Dry_Matter_Content!D62</f>
        <v>0.44</v>
      </c>
      <c r="E75" s="283">
        <f>MCF!R74</f>
        <v>0.78500000000000003</v>
      </c>
      <c r="F75" s="67">
        <f t="shared" si="12"/>
        <v>0</v>
      </c>
      <c r="G75" s="67">
        <f t="shared" si="1"/>
        <v>0</v>
      </c>
      <c r="H75" s="67">
        <f t="shared" si="2"/>
        <v>0</v>
      </c>
      <c r="I75" s="67">
        <f t="shared" si="3"/>
        <v>6.0082916354665823</v>
      </c>
      <c r="J75" s="67">
        <f t="shared" si="4"/>
        <v>0.43565029893260343</v>
      </c>
      <c r="K75" s="100">
        <f t="shared" si="6"/>
        <v>0.2904335326217356</v>
      </c>
      <c r="O75" s="96">
        <f>Amnt_Deposited!B70</f>
        <v>2056</v>
      </c>
      <c r="P75" s="99">
        <f>Amnt_Deposited!D70</f>
        <v>0</v>
      </c>
      <c r="Q75" s="283">
        <f>MCF!R74</f>
        <v>0.78500000000000003</v>
      </c>
      <c r="R75" s="67">
        <f t="shared" si="13"/>
        <v>0</v>
      </c>
      <c r="S75" s="67">
        <f t="shared" si="7"/>
        <v>0</v>
      </c>
      <c r="T75" s="67">
        <f t="shared" si="8"/>
        <v>0</v>
      </c>
      <c r="U75" s="67">
        <f t="shared" si="9"/>
        <v>12.413825693112779</v>
      </c>
      <c r="V75" s="67">
        <f t="shared" si="10"/>
        <v>0.90010392341447021</v>
      </c>
      <c r="W75" s="100">
        <f t="shared" si="11"/>
        <v>0.6000692822763134</v>
      </c>
    </row>
    <row r="76" spans="2:23">
      <c r="B76" s="96">
        <f>Amnt_Deposited!B71</f>
        <v>2057</v>
      </c>
      <c r="C76" s="99">
        <f>Amnt_Deposited!D71</f>
        <v>0</v>
      </c>
      <c r="D76" s="417">
        <f>Dry_Matter_Content!D63</f>
        <v>0.44</v>
      </c>
      <c r="E76" s="283">
        <f>MCF!R75</f>
        <v>0.78500000000000003</v>
      </c>
      <c r="F76" s="67">
        <f t="shared" si="12"/>
        <v>0</v>
      </c>
      <c r="G76" s="67">
        <f t="shared" si="1"/>
        <v>0</v>
      </c>
      <c r="H76" s="67">
        <f t="shared" si="2"/>
        <v>0</v>
      </c>
      <c r="I76" s="67">
        <f t="shared" si="3"/>
        <v>5.6020939891016441</v>
      </c>
      <c r="J76" s="67">
        <f t="shared" si="4"/>
        <v>0.40619764636493833</v>
      </c>
      <c r="K76" s="100">
        <f t="shared" si="6"/>
        <v>0.27079843090995886</v>
      </c>
      <c r="O76" s="96">
        <f>Amnt_Deposited!B71</f>
        <v>2057</v>
      </c>
      <c r="P76" s="99">
        <f>Amnt_Deposited!D71</f>
        <v>0</v>
      </c>
      <c r="Q76" s="283">
        <f>MCF!R75</f>
        <v>0.78500000000000003</v>
      </c>
      <c r="R76" s="67">
        <f t="shared" si="13"/>
        <v>0</v>
      </c>
      <c r="S76" s="67">
        <f t="shared" si="7"/>
        <v>0</v>
      </c>
      <c r="T76" s="67">
        <f t="shared" si="8"/>
        <v>0</v>
      </c>
      <c r="U76" s="67">
        <f t="shared" si="9"/>
        <v>11.57457435764803</v>
      </c>
      <c r="V76" s="67">
        <f t="shared" si="10"/>
        <v>0.83925133546474906</v>
      </c>
      <c r="W76" s="100">
        <f t="shared" si="11"/>
        <v>0.55950089030983263</v>
      </c>
    </row>
    <row r="77" spans="2:23">
      <c r="B77" s="96">
        <f>Amnt_Deposited!B72</f>
        <v>2058</v>
      </c>
      <c r="C77" s="99">
        <f>Amnt_Deposited!D72</f>
        <v>0</v>
      </c>
      <c r="D77" s="417">
        <f>Dry_Matter_Content!D64</f>
        <v>0.44</v>
      </c>
      <c r="E77" s="283">
        <f>MCF!R76</f>
        <v>0.78500000000000003</v>
      </c>
      <c r="F77" s="67">
        <f t="shared" si="12"/>
        <v>0</v>
      </c>
      <c r="G77" s="67">
        <f t="shared" si="1"/>
        <v>0</v>
      </c>
      <c r="H77" s="67">
        <f t="shared" si="2"/>
        <v>0</v>
      </c>
      <c r="I77" s="67">
        <f t="shared" si="3"/>
        <v>5.223357813970634</v>
      </c>
      <c r="J77" s="67">
        <f t="shared" si="4"/>
        <v>0.37873617513101038</v>
      </c>
      <c r="K77" s="100">
        <f t="shared" si="6"/>
        <v>0.25249078342067355</v>
      </c>
      <c r="O77" s="96">
        <f>Amnt_Deposited!B72</f>
        <v>2058</v>
      </c>
      <c r="P77" s="99">
        <f>Amnt_Deposited!D72</f>
        <v>0</v>
      </c>
      <c r="Q77" s="283">
        <f>MCF!R76</f>
        <v>0.78500000000000003</v>
      </c>
      <c r="R77" s="67">
        <f t="shared" si="13"/>
        <v>0</v>
      </c>
      <c r="S77" s="67">
        <f t="shared" si="7"/>
        <v>0</v>
      </c>
      <c r="T77" s="67">
        <f t="shared" si="8"/>
        <v>0</v>
      </c>
      <c r="U77" s="67">
        <f t="shared" si="9"/>
        <v>10.792061599112884</v>
      </c>
      <c r="V77" s="67">
        <f t="shared" si="10"/>
        <v>0.78251275853514579</v>
      </c>
      <c r="W77" s="100">
        <f t="shared" si="11"/>
        <v>0.52167517235676386</v>
      </c>
    </row>
    <row r="78" spans="2:23">
      <c r="B78" s="96">
        <f>Amnt_Deposited!B73</f>
        <v>2059</v>
      </c>
      <c r="C78" s="99">
        <f>Amnt_Deposited!D73</f>
        <v>0</v>
      </c>
      <c r="D78" s="417">
        <f>Dry_Matter_Content!D65</f>
        <v>0.44</v>
      </c>
      <c r="E78" s="283">
        <f>MCF!R77</f>
        <v>0.78500000000000003</v>
      </c>
      <c r="F78" s="67">
        <f t="shared" si="12"/>
        <v>0</v>
      </c>
      <c r="G78" s="67">
        <f t="shared" si="1"/>
        <v>0</v>
      </c>
      <c r="H78" s="67">
        <f t="shared" si="2"/>
        <v>0</v>
      </c>
      <c r="I78" s="67">
        <f t="shared" si="3"/>
        <v>4.8702265449036632</v>
      </c>
      <c r="J78" s="67">
        <f t="shared" si="4"/>
        <v>0.35313126906697101</v>
      </c>
      <c r="K78" s="100">
        <f t="shared" si="6"/>
        <v>0.23542084604464733</v>
      </c>
      <c r="O78" s="96">
        <f>Amnt_Deposited!B73</f>
        <v>2059</v>
      </c>
      <c r="P78" s="99">
        <f>Amnt_Deposited!D73</f>
        <v>0</v>
      </c>
      <c r="Q78" s="283">
        <f>MCF!R77</f>
        <v>0.78500000000000003</v>
      </c>
      <c r="R78" s="67">
        <f t="shared" si="13"/>
        <v>0</v>
      </c>
      <c r="S78" s="67">
        <f t="shared" si="7"/>
        <v>0</v>
      </c>
      <c r="T78" s="67">
        <f t="shared" si="8"/>
        <v>0</v>
      </c>
      <c r="U78" s="67">
        <f t="shared" si="9"/>
        <v>10.062451539057159</v>
      </c>
      <c r="V78" s="67">
        <f t="shared" si="10"/>
        <v>0.72961006005572548</v>
      </c>
      <c r="W78" s="100">
        <f t="shared" si="11"/>
        <v>0.48640670670381697</v>
      </c>
    </row>
    <row r="79" spans="2:23">
      <c r="B79" s="96">
        <f>Amnt_Deposited!B74</f>
        <v>2060</v>
      </c>
      <c r="C79" s="99">
        <f>Amnt_Deposited!D74</f>
        <v>0</v>
      </c>
      <c r="D79" s="417">
        <f>Dry_Matter_Content!D66</f>
        <v>0.44</v>
      </c>
      <c r="E79" s="283">
        <f>MCF!R78</f>
        <v>0.78500000000000003</v>
      </c>
      <c r="F79" s="67">
        <f t="shared" si="12"/>
        <v>0</v>
      </c>
      <c r="G79" s="67">
        <f t="shared" si="1"/>
        <v>0</v>
      </c>
      <c r="H79" s="67">
        <f t="shared" si="2"/>
        <v>0</v>
      </c>
      <c r="I79" s="67">
        <f t="shared" si="3"/>
        <v>4.5409691320100745</v>
      </c>
      <c r="J79" s="67">
        <f t="shared" si="4"/>
        <v>0.32925741289358834</v>
      </c>
      <c r="K79" s="100">
        <f t="shared" si="6"/>
        <v>0.21950494192905889</v>
      </c>
      <c r="O79" s="96">
        <f>Amnt_Deposited!B74</f>
        <v>2060</v>
      </c>
      <c r="P79" s="99">
        <f>Amnt_Deposited!D74</f>
        <v>0</v>
      </c>
      <c r="Q79" s="283">
        <f>MCF!R78</f>
        <v>0.78500000000000003</v>
      </c>
      <c r="R79" s="67">
        <f t="shared" si="13"/>
        <v>0</v>
      </c>
      <c r="S79" s="67">
        <f t="shared" si="7"/>
        <v>0</v>
      </c>
      <c r="T79" s="67">
        <f t="shared" si="8"/>
        <v>0</v>
      </c>
      <c r="U79" s="67">
        <f t="shared" si="9"/>
        <v>9.3821676281199924</v>
      </c>
      <c r="V79" s="67">
        <f t="shared" si="10"/>
        <v>0.68028391093716623</v>
      </c>
      <c r="W79" s="100">
        <f t="shared" si="11"/>
        <v>0.45352260729144411</v>
      </c>
    </row>
    <row r="80" spans="2:23">
      <c r="B80" s="96">
        <f>Amnt_Deposited!B75</f>
        <v>2061</v>
      </c>
      <c r="C80" s="99">
        <f>Amnt_Deposited!D75</f>
        <v>0</v>
      </c>
      <c r="D80" s="417">
        <f>Dry_Matter_Content!D67</f>
        <v>0.44</v>
      </c>
      <c r="E80" s="283">
        <f>MCF!R79</f>
        <v>0.78500000000000003</v>
      </c>
      <c r="F80" s="67">
        <f t="shared" si="12"/>
        <v>0</v>
      </c>
      <c r="G80" s="67">
        <f t="shared" si="1"/>
        <v>0</v>
      </c>
      <c r="H80" s="67">
        <f t="shared" si="2"/>
        <v>0</v>
      </c>
      <c r="I80" s="67">
        <f t="shared" si="3"/>
        <v>4.2339715550698713</v>
      </c>
      <c r="J80" s="67">
        <f t="shared" si="4"/>
        <v>0.30699757694020285</v>
      </c>
      <c r="K80" s="100">
        <f t="shared" si="6"/>
        <v>0.20466505129346857</v>
      </c>
      <c r="O80" s="96">
        <f>Amnt_Deposited!B75</f>
        <v>2061</v>
      </c>
      <c r="P80" s="99">
        <f>Amnt_Deposited!D75</f>
        <v>0</v>
      </c>
      <c r="Q80" s="283">
        <f>MCF!R79</f>
        <v>0.78500000000000003</v>
      </c>
      <c r="R80" s="67">
        <f t="shared" si="13"/>
        <v>0</v>
      </c>
      <c r="S80" s="67">
        <f t="shared" si="7"/>
        <v>0</v>
      </c>
      <c r="T80" s="67">
        <f t="shared" si="8"/>
        <v>0</v>
      </c>
      <c r="U80" s="67">
        <f t="shared" si="9"/>
        <v>8.7478751137807294</v>
      </c>
      <c r="V80" s="67">
        <f t="shared" si="10"/>
        <v>0.63429251433926237</v>
      </c>
      <c r="W80" s="100">
        <f t="shared" si="11"/>
        <v>0.42286167622617488</v>
      </c>
    </row>
    <row r="81" spans="2:23">
      <c r="B81" s="96">
        <f>Amnt_Deposited!B76</f>
        <v>2062</v>
      </c>
      <c r="C81" s="99">
        <f>Amnt_Deposited!D76</f>
        <v>0</v>
      </c>
      <c r="D81" s="417">
        <f>Dry_Matter_Content!D68</f>
        <v>0.44</v>
      </c>
      <c r="E81" s="283">
        <f>MCF!R80</f>
        <v>0.78500000000000003</v>
      </c>
      <c r="F81" s="67">
        <f t="shared" si="12"/>
        <v>0</v>
      </c>
      <c r="G81" s="67">
        <f t="shared" si="1"/>
        <v>0</v>
      </c>
      <c r="H81" s="67">
        <f t="shared" si="2"/>
        <v>0</v>
      </c>
      <c r="I81" s="67">
        <f t="shared" si="3"/>
        <v>3.9477289116047252</v>
      </c>
      <c r="J81" s="67">
        <f t="shared" si="4"/>
        <v>0.286242643465146</v>
      </c>
      <c r="K81" s="100">
        <f t="shared" si="6"/>
        <v>0.190828428976764</v>
      </c>
      <c r="O81" s="96">
        <f>Amnt_Deposited!B76</f>
        <v>2062</v>
      </c>
      <c r="P81" s="99">
        <f>Amnt_Deposited!D76</f>
        <v>0</v>
      </c>
      <c r="Q81" s="283">
        <f>MCF!R80</f>
        <v>0.78500000000000003</v>
      </c>
      <c r="R81" s="67">
        <f t="shared" si="13"/>
        <v>0</v>
      </c>
      <c r="S81" s="67">
        <f t="shared" si="7"/>
        <v>0</v>
      </c>
      <c r="T81" s="67">
        <f t="shared" si="8"/>
        <v>0</v>
      </c>
      <c r="U81" s="67">
        <f t="shared" si="9"/>
        <v>8.1564646933981955</v>
      </c>
      <c r="V81" s="67">
        <f t="shared" si="10"/>
        <v>0.59141042038253322</v>
      </c>
      <c r="W81" s="100">
        <f t="shared" si="11"/>
        <v>0.39427361358835544</v>
      </c>
    </row>
    <row r="82" spans="2:23">
      <c r="B82" s="96">
        <f>Amnt_Deposited!B77</f>
        <v>2063</v>
      </c>
      <c r="C82" s="99">
        <f>Amnt_Deposited!D77</f>
        <v>0</v>
      </c>
      <c r="D82" s="417">
        <f>Dry_Matter_Content!D69</f>
        <v>0.44</v>
      </c>
      <c r="E82" s="283">
        <f>MCF!R81</f>
        <v>0.78500000000000003</v>
      </c>
      <c r="F82" s="67">
        <f t="shared" si="12"/>
        <v>0</v>
      </c>
      <c r="G82" s="67">
        <f t="shared" si="1"/>
        <v>0</v>
      </c>
      <c r="H82" s="67">
        <f t="shared" si="2"/>
        <v>0</v>
      </c>
      <c r="I82" s="67">
        <f t="shared" si="3"/>
        <v>3.6808380398442813</v>
      </c>
      <c r="J82" s="67">
        <f t="shared" si="4"/>
        <v>0.26689087176044385</v>
      </c>
      <c r="K82" s="100">
        <f t="shared" si="6"/>
        <v>0.1779272478402959</v>
      </c>
      <c r="O82" s="96">
        <f>Amnt_Deposited!B77</f>
        <v>2063</v>
      </c>
      <c r="P82" s="99">
        <f>Amnt_Deposited!D77</f>
        <v>0</v>
      </c>
      <c r="Q82" s="283">
        <f>MCF!R81</f>
        <v>0.78500000000000003</v>
      </c>
      <c r="R82" s="67">
        <f t="shared" si="13"/>
        <v>0</v>
      </c>
      <c r="S82" s="67">
        <f t="shared" si="7"/>
        <v>0</v>
      </c>
      <c r="T82" s="67">
        <f t="shared" si="8"/>
        <v>0</v>
      </c>
      <c r="U82" s="67">
        <f t="shared" si="9"/>
        <v>7.6050372724055428</v>
      </c>
      <c r="V82" s="67">
        <f t="shared" si="10"/>
        <v>0.55142742099265285</v>
      </c>
      <c r="W82" s="100">
        <f t="shared" si="11"/>
        <v>0.36761828066176855</v>
      </c>
    </row>
    <row r="83" spans="2:23">
      <c r="B83" s="96">
        <f>Amnt_Deposited!B78</f>
        <v>2064</v>
      </c>
      <c r="C83" s="99">
        <f>Amnt_Deposited!D78</f>
        <v>0</v>
      </c>
      <c r="D83" s="417">
        <f>Dry_Matter_Content!D70</f>
        <v>0.44</v>
      </c>
      <c r="E83" s="283">
        <f>MCF!R82</f>
        <v>0.78500000000000003</v>
      </c>
      <c r="F83" s="67">
        <f t="shared" ref="F83:F99" si="14">C83*D83*$K$6*DOCF*E83</f>
        <v>0</v>
      </c>
      <c r="G83" s="67">
        <f t="shared" ref="G83:G99" si="15">F83*$K$12</f>
        <v>0</v>
      </c>
      <c r="H83" s="67">
        <f t="shared" ref="H83:H99" si="16">F83*(1-$K$12)</f>
        <v>0</v>
      </c>
      <c r="I83" s="67">
        <f t="shared" ref="I83:I99" si="17">G83+I82*$K$10</f>
        <v>3.4319906404255325</v>
      </c>
      <c r="J83" s="67">
        <f t="shared" ref="J83:J99" si="18">I82*(1-$K$10)+H83</f>
        <v>0.24884739941874881</v>
      </c>
      <c r="K83" s="100">
        <f t="shared" si="6"/>
        <v>0.16589826627916587</v>
      </c>
      <c r="O83" s="96">
        <f>Amnt_Deposited!B78</f>
        <v>2064</v>
      </c>
      <c r="P83" s="99">
        <f>Amnt_Deposited!D78</f>
        <v>0</v>
      </c>
      <c r="Q83" s="283">
        <f>MCF!R82</f>
        <v>0.78500000000000003</v>
      </c>
      <c r="R83" s="67">
        <f t="shared" ref="R83:R99" si="19">P83*$W$6*DOCF*Q83</f>
        <v>0</v>
      </c>
      <c r="S83" s="67">
        <f t="shared" si="7"/>
        <v>0</v>
      </c>
      <c r="T83" s="67">
        <f t="shared" si="8"/>
        <v>0</v>
      </c>
      <c r="U83" s="67">
        <f t="shared" si="9"/>
        <v>7.0908897529453174</v>
      </c>
      <c r="V83" s="67">
        <f t="shared" si="10"/>
        <v>0.51414751946022508</v>
      </c>
      <c r="W83" s="100">
        <f t="shared" si="11"/>
        <v>0.34276501297348339</v>
      </c>
    </row>
    <row r="84" spans="2:23">
      <c r="B84" s="96">
        <f>Amnt_Deposited!B79</f>
        <v>2065</v>
      </c>
      <c r="C84" s="99">
        <f>Amnt_Deposited!D79</f>
        <v>0</v>
      </c>
      <c r="D84" s="417">
        <f>Dry_Matter_Content!D71</f>
        <v>0.44</v>
      </c>
      <c r="E84" s="283">
        <f>MCF!R83</f>
        <v>0.78500000000000003</v>
      </c>
      <c r="F84" s="67">
        <f t="shared" si="14"/>
        <v>0</v>
      </c>
      <c r="G84" s="67">
        <f t="shared" si="15"/>
        <v>0</v>
      </c>
      <c r="H84" s="67">
        <f t="shared" si="16"/>
        <v>0</v>
      </c>
      <c r="I84" s="67">
        <f t="shared" si="17"/>
        <v>3.1999668631078242</v>
      </c>
      <c r="J84" s="67">
        <f t="shared" si="18"/>
        <v>0.23202377731770846</v>
      </c>
      <c r="K84" s="100">
        <f t="shared" si="6"/>
        <v>0.15468251821180562</v>
      </c>
      <c r="O84" s="96">
        <f>Amnt_Deposited!B79</f>
        <v>2065</v>
      </c>
      <c r="P84" s="99">
        <f>Amnt_Deposited!D79</f>
        <v>0</v>
      </c>
      <c r="Q84" s="283">
        <f>MCF!R83</f>
        <v>0.78500000000000003</v>
      </c>
      <c r="R84" s="67">
        <f t="shared" si="19"/>
        <v>0</v>
      </c>
      <c r="S84" s="67">
        <f t="shared" si="7"/>
        <v>0</v>
      </c>
      <c r="T84" s="67">
        <f t="shared" si="8"/>
        <v>0</v>
      </c>
      <c r="U84" s="67">
        <f t="shared" si="9"/>
        <v>6.6115017832806302</v>
      </c>
      <c r="V84" s="67">
        <f t="shared" si="10"/>
        <v>0.47938796966468711</v>
      </c>
      <c r="W84" s="100">
        <f t="shared" si="11"/>
        <v>0.31959197977645804</v>
      </c>
    </row>
    <row r="85" spans="2:23">
      <c r="B85" s="96">
        <f>Amnt_Deposited!B80</f>
        <v>2066</v>
      </c>
      <c r="C85" s="99">
        <f>Amnt_Deposited!D80</f>
        <v>0</v>
      </c>
      <c r="D85" s="417">
        <f>Dry_Matter_Content!D72</f>
        <v>0.44</v>
      </c>
      <c r="E85" s="283">
        <f>MCF!R84</f>
        <v>0.78500000000000003</v>
      </c>
      <c r="F85" s="67">
        <f t="shared" si="14"/>
        <v>0</v>
      </c>
      <c r="G85" s="67">
        <f t="shared" si="15"/>
        <v>0</v>
      </c>
      <c r="H85" s="67">
        <f t="shared" si="16"/>
        <v>0</v>
      </c>
      <c r="I85" s="67">
        <f t="shared" si="17"/>
        <v>2.9836293270655587</v>
      </c>
      <c r="J85" s="67">
        <f t="shared" si="18"/>
        <v>0.21633753604226533</v>
      </c>
      <c r="K85" s="100">
        <f t="shared" ref="K85:K99" si="20">J85*CH4_fraction*conv</f>
        <v>0.14422502402817688</v>
      </c>
      <c r="O85" s="96">
        <f>Amnt_Deposited!B80</f>
        <v>2066</v>
      </c>
      <c r="P85" s="99">
        <f>Amnt_Deposited!D80</f>
        <v>0</v>
      </c>
      <c r="Q85" s="283">
        <f>MCF!R84</f>
        <v>0.78500000000000003</v>
      </c>
      <c r="R85" s="67">
        <f t="shared" si="19"/>
        <v>0</v>
      </c>
      <c r="S85" s="67">
        <f t="shared" ref="S85:S98" si="21">R85*$W$12</f>
        <v>0</v>
      </c>
      <c r="T85" s="67">
        <f t="shared" ref="T85:T98" si="22">R85*(1-$W$12)</f>
        <v>0</v>
      </c>
      <c r="U85" s="67">
        <f t="shared" ref="U85:U98" si="23">S85+U84*$W$10</f>
        <v>6.1645234030280154</v>
      </c>
      <c r="V85" s="67">
        <f t="shared" ref="V85:V98" si="24">U84*(1-$W$10)+T85</f>
        <v>0.44697838025261444</v>
      </c>
      <c r="W85" s="100">
        <f t="shared" ref="W85:W99" si="25">V85*CH4_fraction*conv</f>
        <v>0.29798558683507625</v>
      </c>
    </row>
    <row r="86" spans="2:23">
      <c r="B86" s="96">
        <f>Amnt_Deposited!B81</f>
        <v>2067</v>
      </c>
      <c r="C86" s="99">
        <f>Amnt_Deposited!D81</f>
        <v>0</v>
      </c>
      <c r="D86" s="417">
        <f>Dry_Matter_Content!D73</f>
        <v>0.44</v>
      </c>
      <c r="E86" s="283">
        <f>MCF!R85</f>
        <v>0.78500000000000003</v>
      </c>
      <c r="F86" s="67">
        <f t="shared" si="14"/>
        <v>0</v>
      </c>
      <c r="G86" s="67">
        <f t="shared" si="15"/>
        <v>0</v>
      </c>
      <c r="H86" s="67">
        <f t="shared" si="16"/>
        <v>0</v>
      </c>
      <c r="I86" s="67">
        <f t="shared" si="17"/>
        <v>2.7819175454460701</v>
      </c>
      <c r="J86" s="67">
        <f t="shared" si="18"/>
        <v>0.20171178161948852</v>
      </c>
      <c r="K86" s="100">
        <f t="shared" si="20"/>
        <v>0.13447452107965902</v>
      </c>
      <c r="O86" s="96">
        <f>Amnt_Deposited!B81</f>
        <v>2067</v>
      </c>
      <c r="P86" s="99">
        <f>Amnt_Deposited!D81</f>
        <v>0</v>
      </c>
      <c r="Q86" s="283">
        <f>MCF!R85</f>
        <v>0.78500000000000003</v>
      </c>
      <c r="R86" s="67">
        <f t="shared" si="19"/>
        <v>0</v>
      </c>
      <c r="S86" s="67">
        <f t="shared" si="21"/>
        <v>0</v>
      </c>
      <c r="T86" s="67">
        <f t="shared" si="22"/>
        <v>0</v>
      </c>
      <c r="U86" s="67">
        <f t="shared" si="23"/>
        <v>5.7477635236489064</v>
      </c>
      <c r="V86" s="67">
        <f t="shared" si="24"/>
        <v>0.41675987937910863</v>
      </c>
      <c r="W86" s="100">
        <f t="shared" si="25"/>
        <v>0.2778399195860724</v>
      </c>
    </row>
    <row r="87" spans="2:23">
      <c r="B87" s="96">
        <f>Amnt_Deposited!B82</f>
        <v>2068</v>
      </c>
      <c r="C87" s="99">
        <f>Amnt_Deposited!D82</f>
        <v>0</v>
      </c>
      <c r="D87" s="417">
        <f>Dry_Matter_Content!D74</f>
        <v>0.44</v>
      </c>
      <c r="E87" s="283">
        <f>MCF!R86</f>
        <v>0.78500000000000003</v>
      </c>
      <c r="F87" s="67">
        <f t="shared" si="14"/>
        <v>0</v>
      </c>
      <c r="G87" s="67">
        <f t="shared" si="15"/>
        <v>0</v>
      </c>
      <c r="H87" s="67">
        <f t="shared" si="16"/>
        <v>0</v>
      </c>
      <c r="I87" s="67">
        <f t="shared" si="17"/>
        <v>2.5938427268618409</v>
      </c>
      <c r="J87" s="67">
        <f t="shared" si="18"/>
        <v>0.18807481858422934</v>
      </c>
      <c r="K87" s="100">
        <f t="shared" si="20"/>
        <v>0.12538321238948621</v>
      </c>
      <c r="O87" s="96">
        <f>Amnt_Deposited!B82</f>
        <v>2068</v>
      </c>
      <c r="P87" s="99">
        <f>Amnt_Deposited!D82</f>
        <v>0</v>
      </c>
      <c r="Q87" s="283">
        <f>MCF!R86</f>
        <v>0.78500000000000003</v>
      </c>
      <c r="R87" s="67">
        <f t="shared" si="19"/>
        <v>0</v>
      </c>
      <c r="S87" s="67">
        <f t="shared" si="21"/>
        <v>0</v>
      </c>
      <c r="T87" s="67">
        <f t="shared" si="22"/>
        <v>0</v>
      </c>
      <c r="U87" s="67">
        <f t="shared" si="23"/>
        <v>5.359179187731077</v>
      </c>
      <c r="V87" s="67">
        <f t="shared" si="24"/>
        <v>0.38858433591782932</v>
      </c>
      <c r="W87" s="100">
        <f t="shared" si="25"/>
        <v>0.25905622394521954</v>
      </c>
    </row>
    <row r="88" spans="2:23">
      <c r="B88" s="96">
        <f>Amnt_Deposited!B83</f>
        <v>2069</v>
      </c>
      <c r="C88" s="99">
        <f>Amnt_Deposited!D83</f>
        <v>0</v>
      </c>
      <c r="D88" s="417">
        <f>Dry_Matter_Content!D75</f>
        <v>0.44</v>
      </c>
      <c r="E88" s="283">
        <f>MCF!R87</f>
        <v>0.78500000000000003</v>
      </c>
      <c r="F88" s="67">
        <f t="shared" si="14"/>
        <v>0</v>
      </c>
      <c r="G88" s="67">
        <f t="shared" si="15"/>
        <v>0</v>
      </c>
      <c r="H88" s="67">
        <f t="shared" si="16"/>
        <v>0</v>
      </c>
      <c r="I88" s="67">
        <f t="shared" si="17"/>
        <v>2.4184829283339733</v>
      </c>
      <c r="J88" s="67">
        <f t="shared" si="18"/>
        <v>0.17535979852786784</v>
      </c>
      <c r="K88" s="100">
        <f t="shared" si="20"/>
        <v>0.1169065323519119</v>
      </c>
      <c r="O88" s="96">
        <f>Amnt_Deposited!B83</f>
        <v>2069</v>
      </c>
      <c r="P88" s="99">
        <f>Amnt_Deposited!D83</f>
        <v>0</v>
      </c>
      <c r="Q88" s="283">
        <f>MCF!R87</f>
        <v>0.78500000000000003</v>
      </c>
      <c r="R88" s="67">
        <f t="shared" si="19"/>
        <v>0</v>
      </c>
      <c r="S88" s="67">
        <f t="shared" si="21"/>
        <v>0</v>
      </c>
      <c r="T88" s="67">
        <f t="shared" si="22"/>
        <v>0</v>
      </c>
      <c r="U88" s="67">
        <f t="shared" si="23"/>
        <v>4.9968655544090357</v>
      </c>
      <c r="V88" s="67">
        <f t="shared" si="24"/>
        <v>0.36231363332204103</v>
      </c>
      <c r="W88" s="100">
        <f t="shared" si="25"/>
        <v>0.24154242221469402</v>
      </c>
    </row>
    <row r="89" spans="2:23">
      <c r="B89" s="96">
        <f>Amnt_Deposited!B84</f>
        <v>2070</v>
      </c>
      <c r="C89" s="99">
        <f>Amnt_Deposited!D84</f>
        <v>0</v>
      </c>
      <c r="D89" s="417">
        <f>Dry_Matter_Content!D76</f>
        <v>0.44</v>
      </c>
      <c r="E89" s="283">
        <f>MCF!R88</f>
        <v>0.78500000000000003</v>
      </c>
      <c r="F89" s="67">
        <f t="shared" si="14"/>
        <v>0</v>
      </c>
      <c r="G89" s="67">
        <f t="shared" si="15"/>
        <v>0</v>
      </c>
      <c r="H89" s="67">
        <f t="shared" si="16"/>
        <v>0</v>
      </c>
      <c r="I89" s="67">
        <f t="shared" si="17"/>
        <v>2.2549785359266372</v>
      </c>
      <c r="J89" s="67">
        <f t="shared" si="18"/>
        <v>0.16350439240733619</v>
      </c>
      <c r="K89" s="100">
        <f t="shared" si="20"/>
        <v>0.10900292827155746</v>
      </c>
      <c r="O89" s="96">
        <f>Amnt_Deposited!B84</f>
        <v>2070</v>
      </c>
      <c r="P89" s="99">
        <f>Amnt_Deposited!D84</f>
        <v>0</v>
      </c>
      <c r="Q89" s="283">
        <f>MCF!R88</f>
        <v>0.78500000000000003</v>
      </c>
      <c r="R89" s="67">
        <f t="shared" si="19"/>
        <v>0</v>
      </c>
      <c r="S89" s="67">
        <f t="shared" si="21"/>
        <v>0</v>
      </c>
      <c r="T89" s="67">
        <f t="shared" si="22"/>
        <v>0</v>
      </c>
      <c r="U89" s="67">
        <f t="shared" si="23"/>
        <v>4.6590465618318948</v>
      </c>
      <c r="V89" s="67">
        <f t="shared" si="24"/>
        <v>0.33781899257714088</v>
      </c>
      <c r="W89" s="100">
        <f t="shared" si="25"/>
        <v>0.2252126617180939</v>
      </c>
    </row>
    <row r="90" spans="2:23">
      <c r="B90" s="96">
        <f>Amnt_Deposited!B85</f>
        <v>2071</v>
      </c>
      <c r="C90" s="99">
        <f>Amnt_Deposited!D85</f>
        <v>0</v>
      </c>
      <c r="D90" s="417">
        <f>Dry_Matter_Content!D77</f>
        <v>0.44</v>
      </c>
      <c r="E90" s="283">
        <f>MCF!R89</f>
        <v>0.78500000000000003</v>
      </c>
      <c r="F90" s="67">
        <f t="shared" si="14"/>
        <v>0</v>
      </c>
      <c r="G90" s="67">
        <f t="shared" si="15"/>
        <v>0</v>
      </c>
      <c r="H90" s="67">
        <f t="shared" si="16"/>
        <v>0</v>
      </c>
      <c r="I90" s="67">
        <f t="shared" si="17"/>
        <v>2.10252805091856</v>
      </c>
      <c r="J90" s="67">
        <f t="shared" si="18"/>
        <v>0.15245048500807734</v>
      </c>
      <c r="K90" s="100">
        <f t="shared" si="20"/>
        <v>0.10163365667205156</v>
      </c>
      <c r="O90" s="96">
        <f>Amnt_Deposited!B85</f>
        <v>2071</v>
      </c>
      <c r="P90" s="99">
        <f>Amnt_Deposited!D85</f>
        <v>0</v>
      </c>
      <c r="Q90" s="283">
        <f>MCF!R89</f>
        <v>0.78500000000000003</v>
      </c>
      <c r="R90" s="67">
        <f t="shared" si="19"/>
        <v>0</v>
      </c>
      <c r="S90" s="67">
        <f t="shared" si="21"/>
        <v>0</v>
      </c>
      <c r="T90" s="67">
        <f t="shared" si="22"/>
        <v>0</v>
      </c>
      <c r="U90" s="67">
        <f t="shared" si="23"/>
        <v>4.3440662209061154</v>
      </c>
      <c r="V90" s="67">
        <f t="shared" si="24"/>
        <v>0.31498034092577959</v>
      </c>
      <c r="W90" s="100">
        <f t="shared" si="25"/>
        <v>0.20998689395051973</v>
      </c>
    </row>
    <row r="91" spans="2:23">
      <c r="B91" s="96">
        <f>Amnt_Deposited!B86</f>
        <v>2072</v>
      </c>
      <c r="C91" s="99">
        <f>Amnt_Deposited!D86</f>
        <v>0</v>
      </c>
      <c r="D91" s="417">
        <f>Dry_Matter_Content!D78</f>
        <v>0.44</v>
      </c>
      <c r="E91" s="283">
        <f>MCF!R90</f>
        <v>0.78500000000000003</v>
      </c>
      <c r="F91" s="67">
        <f t="shared" si="14"/>
        <v>0</v>
      </c>
      <c r="G91" s="67">
        <f t="shared" si="15"/>
        <v>0</v>
      </c>
      <c r="H91" s="67">
        <f t="shared" si="16"/>
        <v>0</v>
      </c>
      <c r="I91" s="67">
        <f t="shared" si="17"/>
        <v>1.9603841608553643</v>
      </c>
      <c r="J91" s="67">
        <f t="shared" si="18"/>
        <v>0.14214389006319572</v>
      </c>
      <c r="K91" s="100">
        <f t="shared" si="20"/>
        <v>9.4762593375463805E-2</v>
      </c>
      <c r="O91" s="96">
        <f>Amnt_Deposited!B86</f>
        <v>2072</v>
      </c>
      <c r="P91" s="99">
        <f>Amnt_Deposited!D86</f>
        <v>0</v>
      </c>
      <c r="Q91" s="283">
        <f>MCF!R90</f>
        <v>0.78500000000000003</v>
      </c>
      <c r="R91" s="67">
        <f t="shared" si="19"/>
        <v>0</v>
      </c>
      <c r="S91" s="67">
        <f t="shared" si="21"/>
        <v>0</v>
      </c>
      <c r="T91" s="67">
        <f t="shared" si="22"/>
        <v>0</v>
      </c>
      <c r="U91" s="67">
        <f t="shared" si="23"/>
        <v>4.0503804976350501</v>
      </c>
      <c r="V91" s="67">
        <f t="shared" si="24"/>
        <v>0.29368572327106551</v>
      </c>
      <c r="W91" s="100">
        <f t="shared" si="25"/>
        <v>0.19579048218071032</v>
      </c>
    </row>
    <row r="92" spans="2:23">
      <c r="B92" s="96">
        <f>Amnt_Deposited!B87</f>
        <v>2073</v>
      </c>
      <c r="C92" s="99">
        <f>Amnt_Deposited!D87</f>
        <v>0</v>
      </c>
      <c r="D92" s="417">
        <f>Dry_Matter_Content!D79</f>
        <v>0.44</v>
      </c>
      <c r="E92" s="283">
        <f>MCF!R91</f>
        <v>0.78500000000000003</v>
      </c>
      <c r="F92" s="67">
        <f t="shared" si="14"/>
        <v>0</v>
      </c>
      <c r="G92" s="67">
        <f t="shared" si="15"/>
        <v>0</v>
      </c>
      <c r="H92" s="67">
        <f t="shared" si="16"/>
        <v>0</v>
      </c>
      <c r="I92" s="67">
        <f t="shared" si="17"/>
        <v>1.8278500762230501</v>
      </c>
      <c r="J92" s="67">
        <f t="shared" si="18"/>
        <v>0.13253408463231423</v>
      </c>
      <c r="K92" s="100">
        <f t="shared" si="20"/>
        <v>8.8356056421542817E-2</v>
      </c>
      <c r="O92" s="96">
        <f>Amnt_Deposited!B87</f>
        <v>2073</v>
      </c>
      <c r="P92" s="99">
        <f>Amnt_Deposited!D87</f>
        <v>0</v>
      </c>
      <c r="Q92" s="283">
        <f>MCF!R91</f>
        <v>0.78500000000000003</v>
      </c>
      <c r="R92" s="67">
        <f t="shared" si="19"/>
        <v>0</v>
      </c>
      <c r="S92" s="67">
        <f t="shared" si="21"/>
        <v>0</v>
      </c>
      <c r="T92" s="67">
        <f t="shared" si="22"/>
        <v>0</v>
      </c>
      <c r="U92" s="67">
        <f t="shared" si="23"/>
        <v>3.7765497442625002</v>
      </c>
      <c r="V92" s="67">
        <f t="shared" si="24"/>
        <v>0.27383075337255003</v>
      </c>
      <c r="W92" s="100">
        <f t="shared" si="25"/>
        <v>0.18255383558170002</v>
      </c>
    </row>
    <row r="93" spans="2:23">
      <c r="B93" s="96">
        <f>Amnt_Deposited!B88</f>
        <v>2074</v>
      </c>
      <c r="C93" s="99">
        <f>Amnt_Deposited!D88</f>
        <v>0</v>
      </c>
      <c r="D93" s="417">
        <f>Dry_Matter_Content!D80</f>
        <v>0.44</v>
      </c>
      <c r="E93" s="283">
        <f>MCF!R92</f>
        <v>0.78500000000000003</v>
      </c>
      <c r="F93" s="67">
        <f t="shared" si="14"/>
        <v>0</v>
      </c>
      <c r="G93" s="67">
        <f t="shared" si="15"/>
        <v>0</v>
      </c>
      <c r="H93" s="67">
        <f t="shared" si="16"/>
        <v>0</v>
      </c>
      <c r="I93" s="67">
        <f t="shared" si="17"/>
        <v>1.7042761147849883</v>
      </c>
      <c r="J93" s="67">
        <f t="shared" si="18"/>
        <v>0.12357396143806169</v>
      </c>
      <c r="K93" s="100">
        <f t="shared" si="20"/>
        <v>8.2382640958707787E-2</v>
      </c>
      <c r="O93" s="96">
        <f>Amnt_Deposited!B88</f>
        <v>2074</v>
      </c>
      <c r="P93" s="99">
        <f>Amnt_Deposited!D88</f>
        <v>0</v>
      </c>
      <c r="Q93" s="283">
        <f>MCF!R92</f>
        <v>0.78500000000000003</v>
      </c>
      <c r="R93" s="67">
        <f t="shared" si="19"/>
        <v>0</v>
      </c>
      <c r="S93" s="67">
        <f t="shared" si="21"/>
        <v>0</v>
      </c>
      <c r="T93" s="67">
        <f t="shared" si="22"/>
        <v>0</v>
      </c>
      <c r="U93" s="67">
        <f t="shared" si="23"/>
        <v>3.5212316421177445</v>
      </c>
      <c r="V93" s="67">
        <f t="shared" si="24"/>
        <v>0.25531810214475559</v>
      </c>
      <c r="W93" s="100">
        <f t="shared" si="25"/>
        <v>0.17021206809650372</v>
      </c>
    </row>
    <row r="94" spans="2:23">
      <c r="B94" s="96">
        <f>Amnt_Deposited!B89</f>
        <v>2075</v>
      </c>
      <c r="C94" s="99">
        <f>Amnt_Deposited!D89</f>
        <v>0</v>
      </c>
      <c r="D94" s="417">
        <f>Dry_Matter_Content!D81</f>
        <v>0.44</v>
      </c>
      <c r="E94" s="283">
        <f>MCF!R93</f>
        <v>0.78500000000000003</v>
      </c>
      <c r="F94" s="67">
        <f t="shared" si="14"/>
        <v>0</v>
      </c>
      <c r="G94" s="67">
        <f t="shared" si="15"/>
        <v>0</v>
      </c>
      <c r="H94" s="67">
        <f t="shared" si="16"/>
        <v>0</v>
      </c>
      <c r="I94" s="67">
        <f t="shared" si="17"/>
        <v>1.5890565168388435</v>
      </c>
      <c r="J94" s="67">
        <f t="shared" si="18"/>
        <v>0.1152195979461447</v>
      </c>
      <c r="K94" s="100">
        <f t="shared" si="20"/>
        <v>7.6813065297429789E-2</v>
      </c>
      <c r="O94" s="96">
        <f>Amnt_Deposited!B89</f>
        <v>2075</v>
      </c>
      <c r="P94" s="99">
        <f>Amnt_Deposited!D89</f>
        <v>0</v>
      </c>
      <c r="Q94" s="283">
        <f>MCF!R93</f>
        <v>0.78500000000000003</v>
      </c>
      <c r="R94" s="67">
        <f t="shared" si="19"/>
        <v>0</v>
      </c>
      <c r="S94" s="67">
        <f t="shared" si="21"/>
        <v>0</v>
      </c>
      <c r="T94" s="67">
        <f t="shared" si="22"/>
        <v>0</v>
      </c>
      <c r="U94" s="67">
        <f t="shared" si="23"/>
        <v>3.2831746215678588</v>
      </c>
      <c r="V94" s="67">
        <f t="shared" si="24"/>
        <v>0.23805702054988573</v>
      </c>
      <c r="W94" s="100">
        <f t="shared" si="25"/>
        <v>0.15870468036659047</v>
      </c>
    </row>
    <row r="95" spans="2:23">
      <c r="B95" s="96">
        <f>Amnt_Deposited!B90</f>
        <v>2076</v>
      </c>
      <c r="C95" s="99">
        <f>Amnt_Deposited!D90</f>
        <v>0</v>
      </c>
      <c r="D95" s="417">
        <f>Dry_Matter_Content!D82</f>
        <v>0.44</v>
      </c>
      <c r="E95" s="283">
        <f>MCF!R94</f>
        <v>0.78500000000000003</v>
      </c>
      <c r="F95" s="67">
        <f t="shared" si="14"/>
        <v>0</v>
      </c>
      <c r="G95" s="67">
        <f t="shared" si="15"/>
        <v>0</v>
      </c>
      <c r="H95" s="67">
        <f t="shared" si="16"/>
        <v>0</v>
      </c>
      <c r="I95" s="67">
        <f t="shared" si="17"/>
        <v>1.4816264757818101</v>
      </c>
      <c r="J95" s="67">
        <f t="shared" si="18"/>
        <v>0.1074300410570334</v>
      </c>
      <c r="K95" s="100">
        <f t="shared" si="20"/>
        <v>7.1620027371355588E-2</v>
      </c>
      <c r="O95" s="96">
        <f>Amnt_Deposited!B90</f>
        <v>2076</v>
      </c>
      <c r="P95" s="99">
        <f>Amnt_Deposited!D90</f>
        <v>0</v>
      </c>
      <c r="Q95" s="283">
        <f>MCF!R94</f>
        <v>0.78500000000000003</v>
      </c>
      <c r="R95" s="67">
        <f t="shared" si="19"/>
        <v>0</v>
      </c>
      <c r="S95" s="67">
        <f t="shared" si="21"/>
        <v>0</v>
      </c>
      <c r="T95" s="67">
        <f t="shared" si="22"/>
        <v>0</v>
      </c>
      <c r="U95" s="67">
        <f t="shared" si="23"/>
        <v>3.0612117268219219</v>
      </c>
      <c r="V95" s="67">
        <f t="shared" si="24"/>
        <v>0.22196289474593678</v>
      </c>
      <c r="W95" s="100">
        <f t="shared" si="25"/>
        <v>0.14797526316395784</v>
      </c>
    </row>
    <row r="96" spans="2:23">
      <c r="B96" s="96">
        <f>Amnt_Deposited!B91</f>
        <v>2077</v>
      </c>
      <c r="C96" s="99">
        <f>Amnt_Deposited!D91</f>
        <v>0</v>
      </c>
      <c r="D96" s="417">
        <f>Dry_Matter_Content!D83</f>
        <v>0.44</v>
      </c>
      <c r="E96" s="283">
        <f>MCF!R95</f>
        <v>0.78500000000000003</v>
      </c>
      <c r="F96" s="67">
        <f t="shared" si="14"/>
        <v>0</v>
      </c>
      <c r="G96" s="67">
        <f t="shared" si="15"/>
        <v>0</v>
      </c>
      <c r="H96" s="67">
        <f t="shared" si="16"/>
        <v>0</v>
      </c>
      <c r="I96" s="67">
        <f t="shared" si="17"/>
        <v>1.3814593694279897</v>
      </c>
      <c r="J96" s="67">
        <f t="shared" si="18"/>
        <v>0.10016710635382021</v>
      </c>
      <c r="K96" s="100">
        <f t="shared" si="20"/>
        <v>6.677807090254681E-2</v>
      </c>
      <c r="O96" s="96">
        <f>Amnt_Deposited!B91</f>
        <v>2077</v>
      </c>
      <c r="P96" s="99">
        <f>Amnt_Deposited!D91</f>
        <v>0</v>
      </c>
      <c r="Q96" s="283">
        <f>MCF!R95</f>
        <v>0.78500000000000003</v>
      </c>
      <c r="R96" s="67">
        <f t="shared" si="19"/>
        <v>0</v>
      </c>
      <c r="S96" s="67">
        <f t="shared" si="21"/>
        <v>0</v>
      </c>
      <c r="T96" s="67">
        <f t="shared" si="22"/>
        <v>0</v>
      </c>
      <c r="U96" s="67">
        <f t="shared" si="23"/>
        <v>2.8542548955123759</v>
      </c>
      <c r="V96" s="67">
        <f t="shared" si="24"/>
        <v>0.20695683130954592</v>
      </c>
      <c r="W96" s="100">
        <f t="shared" si="25"/>
        <v>0.1379712208730306</v>
      </c>
    </row>
    <row r="97" spans="2:23">
      <c r="B97" s="96">
        <f>Amnt_Deposited!B92</f>
        <v>2078</v>
      </c>
      <c r="C97" s="99">
        <f>Amnt_Deposited!D92</f>
        <v>0</v>
      </c>
      <c r="D97" s="417">
        <f>Dry_Matter_Content!D84</f>
        <v>0.44</v>
      </c>
      <c r="E97" s="283">
        <f>MCF!R96</f>
        <v>0.78500000000000003</v>
      </c>
      <c r="F97" s="67">
        <f t="shared" si="14"/>
        <v>0</v>
      </c>
      <c r="G97" s="67">
        <f t="shared" si="15"/>
        <v>0</v>
      </c>
      <c r="H97" s="67">
        <f t="shared" si="16"/>
        <v>0</v>
      </c>
      <c r="I97" s="67">
        <f t="shared" si="17"/>
        <v>1.288064178505826</v>
      </c>
      <c r="J97" s="67">
        <f t="shared" si="18"/>
        <v>9.3395190922163807E-2</v>
      </c>
      <c r="K97" s="100">
        <f t="shared" si="20"/>
        <v>6.2263460614775869E-2</v>
      </c>
      <c r="O97" s="96">
        <f>Amnt_Deposited!B92</f>
        <v>2078</v>
      </c>
      <c r="P97" s="99">
        <f>Amnt_Deposited!D92</f>
        <v>0</v>
      </c>
      <c r="Q97" s="283">
        <f>MCF!R96</f>
        <v>0.78500000000000003</v>
      </c>
      <c r="R97" s="67">
        <f t="shared" si="19"/>
        <v>0</v>
      </c>
      <c r="S97" s="67">
        <f t="shared" si="21"/>
        <v>0</v>
      </c>
      <c r="T97" s="67">
        <f t="shared" si="22"/>
        <v>0</v>
      </c>
      <c r="U97" s="67">
        <f t="shared" si="23"/>
        <v>2.6612896250120373</v>
      </c>
      <c r="V97" s="67">
        <f t="shared" si="24"/>
        <v>0.19296527050033849</v>
      </c>
      <c r="W97" s="100">
        <f t="shared" si="25"/>
        <v>0.12864351366689231</v>
      </c>
    </row>
    <row r="98" spans="2:23">
      <c r="B98" s="96">
        <f>Amnt_Deposited!B93</f>
        <v>2079</v>
      </c>
      <c r="C98" s="99">
        <f>Amnt_Deposited!D93</f>
        <v>0</v>
      </c>
      <c r="D98" s="417">
        <f>Dry_Matter_Content!D85</f>
        <v>0.44</v>
      </c>
      <c r="E98" s="283">
        <f>MCF!R97</f>
        <v>0.78500000000000003</v>
      </c>
      <c r="F98" s="67">
        <f t="shared" si="14"/>
        <v>0</v>
      </c>
      <c r="G98" s="67">
        <f t="shared" si="15"/>
        <v>0</v>
      </c>
      <c r="H98" s="67">
        <f t="shared" si="16"/>
        <v>0</v>
      </c>
      <c r="I98" s="67">
        <f t="shared" si="17"/>
        <v>1.2009830796810643</v>
      </c>
      <c r="J98" s="67">
        <f t="shared" si="18"/>
        <v>8.7081098824761657E-2</v>
      </c>
      <c r="K98" s="100">
        <f t="shared" si="20"/>
        <v>5.8054065883174438E-2</v>
      </c>
      <c r="O98" s="96">
        <f>Amnt_Deposited!B93</f>
        <v>2079</v>
      </c>
      <c r="P98" s="99">
        <f>Amnt_Deposited!D93</f>
        <v>0</v>
      </c>
      <c r="Q98" s="283">
        <f>MCF!R97</f>
        <v>0.78500000000000003</v>
      </c>
      <c r="R98" s="67">
        <f t="shared" si="19"/>
        <v>0</v>
      </c>
      <c r="S98" s="67">
        <f t="shared" si="21"/>
        <v>0</v>
      </c>
      <c r="T98" s="67">
        <f t="shared" si="22"/>
        <v>0</v>
      </c>
      <c r="U98" s="67">
        <f t="shared" si="23"/>
        <v>2.4813699993410419</v>
      </c>
      <c r="V98" s="67">
        <f t="shared" si="24"/>
        <v>0.17991962567099518</v>
      </c>
      <c r="W98" s="100">
        <f t="shared" si="25"/>
        <v>0.11994641711399678</v>
      </c>
    </row>
    <row r="99" spans="2:23" ht="13.5" thickBot="1">
      <c r="B99" s="97">
        <f>Amnt_Deposited!B94</f>
        <v>2080</v>
      </c>
      <c r="C99" s="101">
        <f>Amnt_Deposited!D94</f>
        <v>0</v>
      </c>
      <c r="D99" s="418">
        <f>Dry_Matter_Content!D86</f>
        <v>0.44</v>
      </c>
      <c r="E99" s="284">
        <f>MCF!R98</f>
        <v>0.78500000000000003</v>
      </c>
      <c r="F99" s="68">
        <f t="shared" si="14"/>
        <v>0</v>
      </c>
      <c r="G99" s="68">
        <f t="shared" si="15"/>
        <v>0</v>
      </c>
      <c r="H99" s="68">
        <f t="shared" si="16"/>
        <v>0</v>
      </c>
      <c r="I99" s="68">
        <f t="shared" si="17"/>
        <v>1.1197892013062374</v>
      </c>
      <c r="J99" s="68">
        <f t="shared" si="18"/>
        <v>8.1193878374826903E-2</v>
      </c>
      <c r="K99" s="102">
        <f t="shared" si="20"/>
        <v>5.4129252249884602E-2</v>
      </c>
      <c r="O99" s="97">
        <f>Amnt_Deposited!B94</f>
        <v>2080</v>
      </c>
      <c r="P99" s="101">
        <f>Amnt_Deposited!D94</f>
        <v>0</v>
      </c>
      <c r="Q99" s="284">
        <f>MCF!R98</f>
        <v>0.78500000000000003</v>
      </c>
      <c r="R99" s="68">
        <f t="shared" si="19"/>
        <v>0</v>
      </c>
      <c r="S99" s="68">
        <f>R99*$W$12</f>
        <v>0</v>
      </c>
      <c r="T99" s="68">
        <f>R99*(1-$W$12)</f>
        <v>0</v>
      </c>
      <c r="U99" s="68">
        <f>S99+U98*$W$10</f>
        <v>2.3136140522856143</v>
      </c>
      <c r="V99" s="68">
        <f>U98*(1-$W$10)+T99</f>
        <v>0.16775594705542748</v>
      </c>
      <c r="W99" s="102">
        <f t="shared" si="25"/>
        <v>0.11183729803695165</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1" customWidth="1"/>
    <col min="14" max="16384" width="8.85546875" style="6"/>
  </cols>
  <sheetData>
    <row r="2" spans="1:23" ht="15.75">
      <c r="B2" s="45" t="s">
        <v>313</v>
      </c>
      <c r="C2" s="223"/>
      <c r="D2" s="223"/>
      <c r="E2" s="224"/>
      <c r="F2" s="225"/>
      <c r="G2" s="225"/>
      <c r="H2" s="225"/>
      <c r="I2" s="225"/>
      <c r="J2" s="225"/>
      <c r="K2" s="225"/>
    </row>
    <row r="3" spans="1:23" ht="15">
      <c r="B3" s="242" t="str">
        <f>IF(Select2=2,"This sheet applies only to the waste compositon option and can be deleted when the bulk waste option has been chosen","")</f>
        <v/>
      </c>
      <c r="C3" s="223"/>
      <c r="D3" s="223"/>
      <c r="E3" s="224"/>
      <c r="F3" s="225"/>
      <c r="G3" s="225"/>
      <c r="H3" s="225"/>
      <c r="I3" s="225"/>
      <c r="J3" s="225"/>
      <c r="K3" s="225"/>
    </row>
    <row r="4" spans="1:23" ht="16.5" thickBot="1">
      <c r="B4" s="226"/>
      <c r="C4" s="227"/>
      <c r="D4" s="227"/>
      <c r="E4" s="256"/>
      <c r="F4" s="228"/>
      <c r="G4" s="228"/>
      <c r="H4" s="228"/>
      <c r="I4" s="228"/>
      <c r="J4" s="228"/>
      <c r="K4" s="228"/>
    </row>
    <row r="5" spans="1:23" ht="26.25" thickBot="1">
      <c r="B5" s="229"/>
      <c r="C5" s="230"/>
      <c r="D5" s="230"/>
      <c r="F5" s="231"/>
      <c r="G5" s="216"/>
      <c r="H5" s="216"/>
      <c r="I5" s="216"/>
      <c r="J5" s="216"/>
      <c r="K5" s="115" t="s">
        <v>7</v>
      </c>
      <c r="O5" s="229"/>
      <c r="P5" s="230"/>
      <c r="Q5" s="222"/>
      <c r="R5" s="231"/>
      <c r="S5" s="216"/>
      <c r="T5" s="216"/>
      <c r="U5" s="216"/>
      <c r="V5" s="216"/>
      <c r="W5" s="115" t="s">
        <v>7</v>
      </c>
    </row>
    <row r="6" spans="1:23">
      <c r="B6" s="229"/>
      <c r="C6" s="230"/>
      <c r="D6" s="230"/>
      <c r="F6" s="108" t="s">
        <v>9</v>
      </c>
      <c r="G6" s="109"/>
      <c r="H6" s="109"/>
      <c r="I6" s="113"/>
      <c r="J6" s="120" t="s">
        <v>9</v>
      </c>
      <c r="K6" s="260">
        <f>Parameters!O21</f>
        <v>0.6</v>
      </c>
      <c r="O6" s="229"/>
      <c r="P6" s="230"/>
      <c r="Q6" s="222"/>
      <c r="R6" s="108" t="s">
        <v>9</v>
      </c>
      <c r="S6" s="109"/>
      <c r="T6" s="109"/>
      <c r="U6" s="113"/>
      <c r="V6" s="120" t="s">
        <v>9</v>
      </c>
      <c r="W6" s="260">
        <f>Parameters!R21</f>
        <v>0.24</v>
      </c>
    </row>
    <row r="7" spans="1:23" ht="13.5" thickBot="1">
      <c r="B7" s="229"/>
      <c r="C7" s="230"/>
      <c r="D7" s="230"/>
      <c r="F7" s="250" t="s">
        <v>12</v>
      </c>
      <c r="G7" s="251"/>
      <c r="H7" s="251"/>
      <c r="I7" s="252"/>
      <c r="J7" s="253" t="s">
        <v>12</v>
      </c>
      <c r="K7" s="254">
        <f>DOCF</f>
        <v>0.5</v>
      </c>
      <c r="O7" s="229"/>
      <c r="P7" s="230"/>
      <c r="Q7" s="222"/>
      <c r="R7" s="250" t="s">
        <v>12</v>
      </c>
      <c r="S7" s="251"/>
      <c r="T7" s="251"/>
      <c r="U7" s="252"/>
      <c r="V7" s="253" t="s">
        <v>12</v>
      </c>
      <c r="W7" s="254">
        <f>DOCF</f>
        <v>0.5</v>
      </c>
    </row>
    <row r="8" spans="1:23">
      <c r="F8" s="108" t="s">
        <v>192</v>
      </c>
      <c r="G8" s="109"/>
      <c r="H8" s="109"/>
      <c r="I8" s="113"/>
      <c r="J8" s="120" t="s">
        <v>188</v>
      </c>
      <c r="K8" s="114">
        <f>Parameters!O40</f>
        <v>0.17</v>
      </c>
      <c r="O8" s="47"/>
      <c r="P8" s="47"/>
      <c r="Q8" s="222"/>
      <c r="R8" s="108" t="s">
        <v>192</v>
      </c>
      <c r="S8" s="109"/>
      <c r="T8" s="109"/>
      <c r="U8" s="113"/>
      <c r="V8" s="120" t="s">
        <v>188</v>
      </c>
      <c r="W8" s="114">
        <f>Parameters!O40</f>
        <v>0.17</v>
      </c>
    </row>
    <row r="9" spans="1:23" ht="15.75">
      <c r="F9" s="246" t="s">
        <v>190</v>
      </c>
      <c r="G9" s="247"/>
      <c r="H9" s="247"/>
      <c r="I9" s="248"/>
      <c r="J9" s="249" t="s">
        <v>189</v>
      </c>
      <c r="K9" s="255">
        <f>LN(2)/$K$8</f>
        <v>4.077336356234972</v>
      </c>
      <c r="O9" s="47"/>
      <c r="P9" s="47"/>
      <c r="Q9" s="222"/>
      <c r="R9" s="246" t="s">
        <v>190</v>
      </c>
      <c r="S9" s="247"/>
      <c r="T9" s="247"/>
      <c r="U9" s="248"/>
      <c r="V9" s="249" t="s">
        <v>189</v>
      </c>
      <c r="W9" s="255">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8" t="s">
        <v>239</v>
      </c>
      <c r="E15" s="53" t="s">
        <v>11</v>
      </c>
      <c r="F15" s="54" t="s">
        <v>180</v>
      </c>
      <c r="G15" s="54" t="s">
        <v>181</v>
      </c>
      <c r="H15" s="54" t="s">
        <v>182</v>
      </c>
      <c r="I15" s="54" t="s">
        <v>183</v>
      </c>
      <c r="J15" s="54" t="s">
        <v>184</v>
      </c>
      <c r="K15" s="245" t="s">
        <v>185</v>
      </c>
      <c r="O15" s="51" t="s">
        <v>1</v>
      </c>
      <c r="P15" s="52" t="s">
        <v>10</v>
      </c>
      <c r="Q15" s="53" t="s">
        <v>11</v>
      </c>
      <c r="R15" s="54" t="s">
        <v>180</v>
      </c>
      <c r="S15" s="54" t="s">
        <v>181</v>
      </c>
      <c r="T15" s="54" t="s">
        <v>182</v>
      </c>
      <c r="U15" s="54" t="s">
        <v>183</v>
      </c>
      <c r="V15" s="54" t="s">
        <v>184</v>
      </c>
      <c r="W15" s="245" t="s">
        <v>185</v>
      </c>
    </row>
    <row r="16" spans="1:23" ht="45">
      <c r="A16" s="232"/>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0</v>
      </c>
      <c r="D19" s="415">
        <f>Dry_Matter_Content!E6</f>
        <v>0.44</v>
      </c>
      <c r="E19" s="282">
        <f>MCF!R18</f>
        <v>0.78500000000000003</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Amnt_Deposited!E14</f>
        <v>0</v>
      </c>
      <c r="Q19" s="282">
        <f>MCF!R18</f>
        <v>0.78500000000000003</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Amnt_Deposited!D15</f>
        <v>0</v>
      </c>
      <c r="D20" s="417">
        <f>Dry_Matter_Content!E7</f>
        <v>0.44</v>
      </c>
      <c r="E20" s="283">
        <f>MCF!R19</f>
        <v>0.78500000000000003</v>
      </c>
      <c r="F20" s="67">
        <f t="shared" si="0"/>
        <v>0</v>
      </c>
      <c r="G20" s="67">
        <f t="shared" si="1"/>
        <v>0</v>
      </c>
      <c r="H20" s="67">
        <f t="shared" si="2"/>
        <v>0</v>
      </c>
      <c r="I20" s="67">
        <f t="shared" si="3"/>
        <v>0</v>
      </c>
      <c r="J20" s="67">
        <f t="shared" si="4"/>
        <v>0</v>
      </c>
      <c r="K20" s="100">
        <f>J20*CH4_fraction*conv</f>
        <v>0</v>
      </c>
      <c r="M20" s="392"/>
      <c r="O20" s="96">
        <f>Amnt_Deposited!B15</f>
        <v>2001</v>
      </c>
      <c r="P20" s="99">
        <f>Amnt_Deposited!E15</f>
        <v>0</v>
      </c>
      <c r="Q20" s="283">
        <f>MCF!R19</f>
        <v>0.78500000000000003</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0</v>
      </c>
      <c r="D21" s="417">
        <f>Dry_Matter_Content!E8</f>
        <v>0.44</v>
      </c>
      <c r="E21" s="283">
        <f>MCF!R20</f>
        <v>0.78500000000000003</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Amnt_Deposited!E16</f>
        <v>0</v>
      </c>
      <c r="Q21" s="283">
        <f>MCF!R20</f>
        <v>0.78500000000000003</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0</v>
      </c>
      <c r="D22" s="417">
        <f>Dry_Matter_Content!E9</f>
        <v>0.44</v>
      </c>
      <c r="E22" s="283">
        <f>MCF!R21</f>
        <v>0.78500000000000003</v>
      </c>
      <c r="F22" s="67">
        <f t="shared" si="0"/>
        <v>0</v>
      </c>
      <c r="G22" s="67">
        <f t="shared" si="1"/>
        <v>0</v>
      </c>
      <c r="H22" s="67">
        <f t="shared" si="2"/>
        <v>0</v>
      </c>
      <c r="I22" s="67">
        <f t="shared" si="3"/>
        <v>0</v>
      </c>
      <c r="J22" s="67">
        <f t="shared" si="4"/>
        <v>0</v>
      </c>
      <c r="K22" s="100">
        <f t="shared" si="6"/>
        <v>0</v>
      </c>
      <c r="N22" s="257"/>
      <c r="O22" s="96">
        <f>Amnt_Deposited!B17</f>
        <v>2003</v>
      </c>
      <c r="P22" s="99">
        <f>Amnt_Deposited!E17</f>
        <v>0</v>
      </c>
      <c r="Q22" s="283">
        <f>MCF!R21</f>
        <v>0.78500000000000003</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0</v>
      </c>
      <c r="D23" s="417">
        <f>Dry_Matter_Content!E10</f>
        <v>0.44</v>
      </c>
      <c r="E23" s="283">
        <f>MCF!R22</f>
        <v>0.78500000000000003</v>
      </c>
      <c r="F23" s="67">
        <f t="shared" si="0"/>
        <v>0</v>
      </c>
      <c r="G23" s="67">
        <f t="shared" si="1"/>
        <v>0</v>
      </c>
      <c r="H23" s="67">
        <f t="shared" si="2"/>
        <v>0</v>
      </c>
      <c r="I23" s="67">
        <f t="shared" si="3"/>
        <v>0</v>
      </c>
      <c r="J23" s="67">
        <f t="shared" si="4"/>
        <v>0</v>
      </c>
      <c r="K23" s="100">
        <f t="shared" si="6"/>
        <v>0</v>
      </c>
      <c r="N23" s="257"/>
      <c r="O23" s="96">
        <f>Amnt_Deposited!B18</f>
        <v>2004</v>
      </c>
      <c r="P23" s="99">
        <f>Amnt_Deposited!E18</f>
        <v>0</v>
      </c>
      <c r="Q23" s="283">
        <f>MCF!R22</f>
        <v>0.78500000000000003</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0</v>
      </c>
      <c r="D24" s="417">
        <f>Dry_Matter_Content!E11</f>
        <v>0.44</v>
      </c>
      <c r="E24" s="283">
        <f>MCF!R23</f>
        <v>0.78500000000000003</v>
      </c>
      <c r="F24" s="67">
        <f t="shared" si="0"/>
        <v>0</v>
      </c>
      <c r="G24" s="67">
        <f t="shared" si="1"/>
        <v>0</v>
      </c>
      <c r="H24" s="67">
        <f t="shared" si="2"/>
        <v>0</v>
      </c>
      <c r="I24" s="67">
        <f t="shared" si="3"/>
        <v>0</v>
      </c>
      <c r="J24" s="67">
        <f t="shared" si="4"/>
        <v>0</v>
      </c>
      <c r="K24" s="100">
        <f t="shared" si="6"/>
        <v>0</v>
      </c>
      <c r="N24" s="257"/>
      <c r="O24" s="96">
        <f>Amnt_Deposited!B19</f>
        <v>2005</v>
      </c>
      <c r="P24" s="99">
        <f>Amnt_Deposited!E19</f>
        <v>0</v>
      </c>
      <c r="Q24" s="283">
        <f>MCF!R23</f>
        <v>0.78500000000000003</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0</v>
      </c>
      <c r="D25" s="417">
        <f>Dry_Matter_Content!E12</f>
        <v>0.44</v>
      </c>
      <c r="E25" s="283">
        <f>MCF!R24</f>
        <v>0.78500000000000003</v>
      </c>
      <c r="F25" s="67">
        <f t="shared" si="0"/>
        <v>0</v>
      </c>
      <c r="G25" s="67">
        <f t="shared" si="1"/>
        <v>0</v>
      </c>
      <c r="H25" s="67">
        <f t="shared" si="2"/>
        <v>0</v>
      </c>
      <c r="I25" s="67">
        <f t="shared" si="3"/>
        <v>0</v>
      </c>
      <c r="J25" s="67">
        <f t="shared" si="4"/>
        <v>0</v>
      </c>
      <c r="K25" s="100">
        <f t="shared" si="6"/>
        <v>0</v>
      </c>
      <c r="N25" s="257"/>
      <c r="O25" s="96">
        <f>Amnt_Deposited!B20</f>
        <v>2006</v>
      </c>
      <c r="P25" s="99">
        <f>Amnt_Deposited!E20</f>
        <v>0</v>
      </c>
      <c r="Q25" s="283">
        <f>MCF!R24</f>
        <v>0.78500000000000003</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0</v>
      </c>
      <c r="D26" s="417">
        <f>Dry_Matter_Content!E13</f>
        <v>0.44</v>
      </c>
      <c r="E26" s="283">
        <f>MCF!R25</f>
        <v>0.78500000000000003</v>
      </c>
      <c r="F26" s="67">
        <f t="shared" si="0"/>
        <v>0</v>
      </c>
      <c r="G26" s="67">
        <f t="shared" si="1"/>
        <v>0</v>
      </c>
      <c r="H26" s="67">
        <f t="shared" si="2"/>
        <v>0</v>
      </c>
      <c r="I26" s="67">
        <f t="shared" si="3"/>
        <v>0</v>
      </c>
      <c r="J26" s="67">
        <f t="shared" si="4"/>
        <v>0</v>
      </c>
      <c r="K26" s="100">
        <f t="shared" si="6"/>
        <v>0</v>
      </c>
      <c r="N26" s="257"/>
      <c r="O26" s="96">
        <f>Amnt_Deposited!B21</f>
        <v>2007</v>
      </c>
      <c r="P26" s="99">
        <f>Amnt_Deposited!E21</f>
        <v>0</v>
      </c>
      <c r="Q26" s="283">
        <f>MCF!R25</f>
        <v>0.78500000000000003</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0</v>
      </c>
      <c r="D27" s="417">
        <f>Dry_Matter_Content!E14</f>
        <v>0.44</v>
      </c>
      <c r="E27" s="283">
        <f>MCF!R26</f>
        <v>0.78500000000000003</v>
      </c>
      <c r="F27" s="67">
        <f t="shared" si="0"/>
        <v>0</v>
      </c>
      <c r="G27" s="67">
        <f t="shared" si="1"/>
        <v>0</v>
      </c>
      <c r="H27" s="67">
        <f t="shared" si="2"/>
        <v>0</v>
      </c>
      <c r="I27" s="67">
        <f t="shared" si="3"/>
        <v>0</v>
      </c>
      <c r="J27" s="67">
        <f t="shared" si="4"/>
        <v>0</v>
      </c>
      <c r="K27" s="100">
        <f t="shared" si="6"/>
        <v>0</v>
      </c>
      <c r="N27" s="257"/>
      <c r="O27" s="96">
        <f>Amnt_Deposited!B22</f>
        <v>2008</v>
      </c>
      <c r="P27" s="99">
        <f>Amnt_Deposited!E22</f>
        <v>0</v>
      </c>
      <c r="Q27" s="283">
        <f>MCF!R26</f>
        <v>0.78500000000000003</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0</v>
      </c>
      <c r="D28" s="417">
        <f>Dry_Matter_Content!E15</f>
        <v>0.44</v>
      </c>
      <c r="E28" s="283">
        <f>MCF!R27</f>
        <v>0.78500000000000003</v>
      </c>
      <c r="F28" s="67">
        <f t="shared" si="0"/>
        <v>0</v>
      </c>
      <c r="G28" s="67">
        <f t="shared" si="1"/>
        <v>0</v>
      </c>
      <c r="H28" s="67">
        <f t="shared" si="2"/>
        <v>0</v>
      </c>
      <c r="I28" s="67">
        <f t="shared" si="3"/>
        <v>0</v>
      </c>
      <c r="J28" s="67">
        <f t="shared" si="4"/>
        <v>0</v>
      </c>
      <c r="K28" s="100">
        <f t="shared" si="6"/>
        <v>0</v>
      </c>
      <c r="N28" s="257"/>
      <c r="O28" s="96">
        <f>Amnt_Deposited!B23</f>
        <v>2009</v>
      </c>
      <c r="P28" s="99">
        <f>Amnt_Deposited!E23</f>
        <v>0</v>
      </c>
      <c r="Q28" s="283">
        <f>MCF!R27</f>
        <v>0.78500000000000003</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0</v>
      </c>
      <c r="D29" s="417">
        <f>Dry_Matter_Content!E16</f>
        <v>0.44</v>
      </c>
      <c r="E29" s="283">
        <f>MCF!R28</f>
        <v>0.78500000000000003</v>
      </c>
      <c r="F29" s="67">
        <f t="shared" si="0"/>
        <v>0</v>
      </c>
      <c r="G29" s="67">
        <f t="shared" si="1"/>
        <v>0</v>
      </c>
      <c r="H29" s="67">
        <f t="shared" si="2"/>
        <v>0</v>
      </c>
      <c r="I29" s="67">
        <f t="shared" si="3"/>
        <v>0</v>
      </c>
      <c r="J29" s="67">
        <f t="shared" si="4"/>
        <v>0</v>
      </c>
      <c r="K29" s="100">
        <f t="shared" si="6"/>
        <v>0</v>
      </c>
      <c r="O29" s="96">
        <f>Amnt_Deposited!B24</f>
        <v>2010</v>
      </c>
      <c r="P29" s="99">
        <f>Amnt_Deposited!E24</f>
        <v>0</v>
      </c>
      <c r="Q29" s="283">
        <f>MCF!R28</f>
        <v>0.78500000000000003</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27.144429180656999</v>
      </c>
      <c r="D30" s="417">
        <f>Dry_Matter_Content!E17</f>
        <v>0.44</v>
      </c>
      <c r="E30" s="283">
        <f>MCF!R29</f>
        <v>0.78500000000000003</v>
      </c>
      <c r="F30" s="67">
        <f t="shared" si="0"/>
        <v>2.8127057516996783</v>
      </c>
      <c r="G30" s="67">
        <f t="shared" si="1"/>
        <v>2.8127057516996783</v>
      </c>
      <c r="H30" s="67">
        <f t="shared" si="2"/>
        <v>0</v>
      </c>
      <c r="I30" s="67">
        <f t="shared" si="3"/>
        <v>2.8127057516996783</v>
      </c>
      <c r="J30" s="67">
        <f t="shared" si="4"/>
        <v>0</v>
      </c>
      <c r="K30" s="100">
        <f t="shared" si="6"/>
        <v>0</v>
      </c>
      <c r="O30" s="96">
        <f>Amnt_Deposited!B25</f>
        <v>2011</v>
      </c>
      <c r="P30" s="99">
        <f>Amnt_Deposited!E25</f>
        <v>0</v>
      </c>
      <c r="Q30" s="283">
        <f>MCF!R29</f>
        <v>0.78500000000000003</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27.726553272984003</v>
      </c>
      <c r="D31" s="417">
        <f>Dry_Matter_Content!E18</f>
        <v>0.44</v>
      </c>
      <c r="E31" s="283">
        <f>MCF!R30</f>
        <v>0.78500000000000003</v>
      </c>
      <c r="F31" s="67">
        <f t="shared" si="0"/>
        <v>2.8730254501466024</v>
      </c>
      <c r="G31" s="67">
        <f t="shared" si="1"/>
        <v>2.8730254501466024</v>
      </c>
      <c r="H31" s="67">
        <f t="shared" si="2"/>
        <v>0</v>
      </c>
      <c r="I31" s="67">
        <f t="shared" si="3"/>
        <v>5.2460063322939057</v>
      </c>
      <c r="J31" s="67">
        <f t="shared" si="4"/>
        <v>0.43972486955237566</v>
      </c>
      <c r="K31" s="100">
        <f t="shared" si="6"/>
        <v>0.29314991303491711</v>
      </c>
      <c r="O31" s="96">
        <f>Amnt_Deposited!B26</f>
        <v>2012</v>
      </c>
      <c r="P31" s="99">
        <f>Amnt_Deposited!E26</f>
        <v>0</v>
      </c>
      <c r="Q31" s="283">
        <f>MCF!R30</f>
        <v>0.78500000000000003</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28.384040824122</v>
      </c>
      <c r="D32" s="417">
        <f>Dry_Matter_Content!E19</f>
        <v>0.44</v>
      </c>
      <c r="E32" s="283">
        <f>MCF!R31</f>
        <v>0.78500000000000003</v>
      </c>
      <c r="F32" s="67">
        <f t="shared" si="0"/>
        <v>2.9411543101955213</v>
      </c>
      <c r="G32" s="67">
        <f t="shared" si="1"/>
        <v>2.9411543101955213</v>
      </c>
      <c r="H32" s="67">
        <f t="shared" si="2"/>
        <v>0</v>
      </c>
      <c r="I32" s="67">
        <f t="shared" si="3"/>
        <v>7.367025280393726</v>
      </c>
      <c r="J32" s="67">
        <f t="shared" si="4"/>
        <v>0.82013536209570015</v>
      </c>
      <c r="K32" s="100">
        <f t="shared" si="6"/>
        <v>0.54675690806380006</v>
      </c>
      <c r="O32" s="96">
        <f>Amnt_Deposited!B27</f>
        <v>2013</v>
      </c>
      <c r="P32" s="99">
        <f>Amnt_Deposited!E27</f>
        <v>0</v>
      </c>
      <c r="Q32" s="283">
        <f>MCF!R31</f>
        <v>0.78500000000000003</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29.036344815732001</v>
      </c>
      <c r="D33" s="417">
        <f>Dry_Matter_Content!E20</f>
        <v>0.44</v>
      </c>
      <c r="E33" s="283">
        <f>MCF!R32</f>
        <v>0.78500000000000003</v>
      </c>
      <c r="F33" s="67">
        <f t="shared" si="0"/>
        <v>3.0087460498061498</v>
      </c>
      <c r="G33" s="67">
        <f t="shared" si="1"/>
        <v>3.0087460498061498</v>
      </c>
      <c r="H33" s="67">
        <f t="shared" si="2"/>
        <v>0</v>
      </c>
      <c r="I33" s="67">
        <f t="shared" si="3"/>
        <v>9.2240460818504459</v>
      </c>
      <c r="J33" s="67">
        <f t="shared" si="4"/>
        <v>1.1517252483494309</v>
      </c>
      <c r="K33" s="100">
        <f t="shared" si="6"/>
        <v>0.76781683223295394</v>
      </c>
      <c r="O33" s="96">
        <f>Amnt_Deposited!B28</f>
        <v>2014</v>
      </c>
      <c r="P33" s="99">
        <f>Amnt_Deposited!E28</f>
        <v>0</v>
      </c>
      <c r="Q33" s="283">
        <f>MCF!R32</f>
        <v>0.78500000000000003</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29.685057177989997</v>
      </c>
      <c r="D34" s="417">
        <f>Dry_Matter_Content!E21</f>
        <v>0.44</v>
      </c>
      <c r="E34" s="283">
        <f>MCF!R33</f>
        <v>0.78500000000000003</v>
      </c>
      <c r="F34" s="67">
        <f t="shared" si="0"/>
        <v>3.0759656247833234</v>
      </c>
      <c r="G34" s="67">
        <f t="shared" si="1"/>
        <v>3.0759656247833234</v>
      </c>
      <c r="H34" s="67">
        <f t="shared" si="2"/>
        <v>0</v>
      </c>
      <c r="I34" s="67">
        <f t="shared" si="3"/>
        <v>10.857968770704272</v>
      </c>
      <c r="J34" s="67">
        <f t="shared" si="4"/>
        <v>1.4420429359294977</v>
      </c>
      <c r="K34" s="100">
        <f t="shared" si="6"/>
        <v>0.96136195728633178</v>
      </c>
      <c r="O34" s="96">
        <f>Amnt_Deposited!B29</f>
        <v>2015</v>
      </c>
      <c r="P34" s="99">
        <f>Amnt_Deposited!E29</f>
        <v>0</v>
      </c>
      <c r="Q34" s="283">
        <f>MCF!R33</f>
        <v>0.78500000000000003</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30.328685884125001</v>
      </c>
      <c r="D35" s="417">
        <f>Dry_Matter_Content!E22</f>
        <v>0.44</v>
      </c>
      <c r="E35" s="283">
        <f>MCF!R34</f>
        <v>0.78500000000000003</v>
      </c>
      <c r="F35" s="67">
        <f t="shared" si="0"/>
        <v>3.1426584313130328</v>
      </c>
      <c r="G35" s="67">
        <f t="shared" si="1"/>
        <v>3.1426584313130328</v>
      </c>
      <c r="H35" s="67">
        <f t="shared" si="2"/>
        <v>0</v>
      </c>
      <c r="I35" s="67">
        <f t="shared" si="3"/>
        <v>12.303144662858513</v>
      </c>
      <c r="J35" s="67">
        <f t="shared" si="4"/>
        <v>1.6974825391587904</v>
      </c>
      <c r="K35" s="100">
        <f t="shared" si="6"/>
        <v>1.1316550261058602</v>
      </c>
      <c r="O35" s="96">
        <f>Amnt_Deposited!B30</f>
        <v>2016</v>
      </c>
      <c r="P35" s="99">
        <f>Amnt_Deposited!E30</f>
        <v>0</v>
      </c>
      <c r="Q35" s="283">
        <f>MCF!R34</f>
        <v>0.78500000000000003</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31.963531266163837</v>
      </c>
      <c r="D36" s="417">
        <f>Dry_Matter_Content!E23</f>
        <v>0.44</v>
      </c>
      <c r="E36" s="283">
        <f>MCF!R35</f>
        <v>0.78500000000000003</v>
      </c>
      <c r="F36" s="67">
        <f t="shared" si="0"/>
        <v>3.3120611097998967</v>
      </c>
      <c r="G36" s="67">
        <f t="shared" si="1"/>
        <v>3.3120611097998967</v>
      </c>
      <c r="H36" s="67">
        <f t="shared" si="2"/>
        <v>0</v>
      </c>
      <c r="I36" s="67">
        <f t="shared" si="3"/>
        <v>13.691791395349201</v>
      </c>
      <c r="J36" s="67">
        <f t="shared" si="4"/>
        <v>1.9234143773092085</v>
      </c>
      <c r="K36" s="100">
        <f t="shared" si="6"/>
        <v>1.2822762515394723</v>
      </c>
      <c r="O36" s="96">
        <f>Amnt_Deposited!B31</f>
        <v>2017</v>
      </c>
      <c r="P36" s="99">
        <f>Amnt_Deposited!E31</f>
        <v>0</v>
      </c>
      <c r="Q36" s="283">
        <f>MCF!R35</f>
        <v>0.78500000000000003</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Amnt_Deposited!D32</f>
        <v>33.615735587606011</v>
      </c>
      <c r="D37" s="417">
        <f>Dry_Matter_Content!E24</f>
        <v>0.44</v>
      </c>
      <c r="E37" s="283">
        <f>MCF!R36</f>
        <v>0.78500000000000003</v>
      </c>
      <c r="F37" s="67">
        <f t="shared" si="0"/>
        <v>3.4832625215877346</v>
      </c>
      <c r="G37" s="67">
        <f t="shared" si="1"/>
        <v>3.4832625215877346</v>
      </c>
      <c r="H37" s="67">
        <f t="shared" si="2"/>
        <v>0</v>
      </c>
      <c r="I37" s="67">
        <f t="shared" si="3"/>
        <v>15.034545198020963</v>
      </c>
      <c r="J37" s="67">
        <f t="shared" si="4"/>
        <v>2.1405087189159726</v>
      </c>
      <c r="K37" s="100">
        <f t="shared" si="6"/>
        <v>1.4270058126106484</v>
      </c>
      <c r="O37" s="96">
        <f>Amnt_Deposited!B32</f>
        <v>2018</v>
      </c>
      <c r="P37" s="99">
        <f>Amnt_Deposited!E32</f>
        <v>0</v>
      </c>
      <c r="Q37" s="283">
        <f>MCF!R36</f>
        <v>0.78500000000000003</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Amnt_Deposited!D33</f>
        <v>35.331418043235921</v>
      </c>
      <c r="D38" s="417">
        <f>Dry_Matter_Content!E25</f>
        <v>0.44</v>
      </c>
      <c r="E38" s="283">
        <f>MCF!R37</f>
        <v>0.78500000000000003</v>
      </c>
      <c r="F38" s="67">
        <f t="shared" si="0"/>
        <v>3.6610415376401062</v>
      </c>
      <c r="G38" s="67">
        <f t="shared" si="1"/>
        <v>3.6610415376401062</v>
      </c>
      <c r="H38" s="67">
        <f t="shared" si="2"/>
        <v>0</v>
      </c>
      <c r="I38" s="67">
        <f t="shared" si="3"/>
        <v>16.345158354738505</v>
      </c>
      <c r="J38" s="67">
        <f t="shared" si="4"/>
        <v>2.3504283809225659</v>
      </c>
      <c r="K38" s="100">
        <f t="shared" si="6"/>
        <v>1.5669522539483771</v>
      </c>
      <c r="O38" s="96">
        <f>Amnt_Deposited!B33</f>
        <v>2019</v>
      </c>
      <c r="P38" s="99">
        <f>Amnt_Deposited!E33</f>
        <v>0</v>
      </c>
      <c r="Q38" s="283">
        <f>MCF!R37</f>
        <v>0.78500000000000003</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Amnt_Deposited!D34</f>
        <v>37.11274167203711</v>
      </c>
      <c r="D39" s="417">
        <f>Dry_Matter_Content!E26</f>
        <v>0.44</v>
      </c>
      <c r="E39" s="283">
        <f>MCF!R38</f>
        <v>0.78500000000000003</v>
      </c>
      <c r="F39" s="67">
        <f t="shared" si="0"/>
        <v>3.8456222920564858</v>
      </c>
      <c r="G39" s="67">
        <f t="shared" si="1"/>
        <v>3.8456222920564858</v>
      </c>
      <c r="H39" s="67">
        <f t="shared" si="2"/>
        <v>0</v>
      </c>
      <c r="I39" s="67">
        <f t="shared" si="3"/>
        <v>17.635457317645795</v>
      </c>
      <c r="J39" s="67">
        <f t="shared" si="4"/>
        <v>2.5553233291491955</v>
      </c>
      <c r="K39" s="100">
        <f t="shared" si="6"/>
        <v>1.7035488860994636</v>
      </c>
      <c r="O39" s="96">
        <f>Amnt_Deposited!B34</f>
        <v>2020</v>
      </c>
      <c r="P39" s="99">
        <f>Amnt_Deposited!E34</f>
        <v>0</v>
      </c>
      <c r="Q39" s="283">
        <f>MCF!R38</f>
        <v>0.78500000000000003</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Amnt_Deposited!D35</f>
        <v>38.961938551324543</v>
      </c>
      <c r="D40" s="417">
        <f>Dry_Matter_Content!E27</f>
        <v>0.44</v>
      </c>
      <c r="E40" s="283">
        <f>MCF!R39</f>
        <v>0.78500000000000003</v>
      </c>
      <c r="F40" s="67">
        <f t="shared" si="0"/>
        <v>4.0372360726882492</v>
      </c>
      <c r="G40" s="67">
        <f t="shared" si="1"/>
        <v>4.0372360726882492</v>
      </c>
      <c r="H40" s="67">
        <f t="shared" si="2"/>
        <v>0</v>
      </c>
      <c r="I40" s="67">
        <f t="shared" si="3"/>
        <v>18.915650936173243</v>
      </c>
      <c r="J40" s="67">
        <f t="shared" si="4"/>
        <v>2.7570424541608025</v>
      </c>
      <c r="K40" s="100">
        <f t="shared" si="6"/>
        <v>1.8380283027738682</v>
      </c>
      <c r="O40" s="96">
        <f>Amnt_Deposited!B35</f>
        <v>2021</v>
      </c>
      <c r="P40" s="99">
        <f>Amnt_Deposited!E35</f>
        <v>0</v>
      </c>
      <c r="Q40" s="283">
        <f>MCF!R39</f>
        <v>0.78500000000000003</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Amnt_Deposited!D36</f>
        <v>40.881311911183403</v>
      </c>
      <c r="D41" s="417">
        <f>Dry_Matter_Content!E28</f>
        <v>0.44</v>
      </c>
      <c r="E41" s="283">
        <f>MCF!R40</f>
        <v>0.78500000000000003</v>
      </c>
      <c r="F41" s="67">
        <f t="shared" si="0"/>
        <v>4.236121540236824</v>
      </c>
      <c r="G41" s="67">
        <f t="shared" si="1"/>
        <v>4.236121540236824</v>
      </c>
      <c r="H41" s="67">
        <f t="shared" si="2"/>
        <v>0</v>
      </c>
      <c r="I41" s="67">
        <f t="shared" si="3"/>
        <v>20.194590718104639</v>
      </c>
      <c r="J41" s="67">
        <f t="shared" si="4"/>
        <v>2.9571817583054303</v>
      </c>
      <c r="K41" s="100">
        <f t="shared" si="6"/>
        <v>1.9714545055369534</v>
      </c>
      <c r="O41" s="96">
        <f>Amnt_Deposited!B36</f>
        <v>2022</v>
      </c>
      <c r="P41" s="99">
        <f>Amnt_Deposited!E36</f>
        <v>0</v>
      </c>
      <c r="Q41" s="283">
        <f>MCF!R40</f>
        <v>0.78500000000000003</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Amnt_Deposited!D37</f>
        <v>42.873238311852049</v>
      </c>
      <c r="D42" s="417">
        <f>Dry_Matter_Content!E29</f>
        <v>0.44</v>
      </c>
      <c r="E42" s="283">
        <f>MCF!R41</f>
        <v>0.78500000000000003</v>
      </c>
      <c r="F42" s="67">
        <f t="shared" si="0"/>
        <v>4.4425249538741092</v>
      </c>
      <c r="G42" s="67">
        <f t="shared" si="1"/>
        <v>4.4425249538741092</v>
      </c>
      <c r="H42" s="67">
        <f t="shared" si="2"/>
        <v>0</v>
      </c>
      <c r="I42" s="67">
        <f t="shared" si="3"/>
        <v>21.479990628302893</v>
      </c>
      <c r="J42" s="67">
        <f t="shared" si="4"/>
        <v>3.157125043675856</v>
      </c>
      <c r="K42" s="100">
        <f t="shared" si="6"/>
        <v>2.1047500291172372</v>
      </c>
      <c r="O42" s="96">
        <f>Amnt_Deposited!B37</f>
        <v>2023</v>
      </c>
      <c r="P42" s="99">
        <f>Amnt_Deposited!E37</f>
        <v>0</v>
      </c>
      <c r="Q42" s="283">
        <f>MCF!R41</f>
        <v>0.78500000000000003</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Amnt_Deposited!D38</f>
        <v>44.940169885884558</v>
      </c>
      <c r="D43" s="417">
        <f>Dry_Matter_Content!E30</f>
        <v>0.44</v>
      </c>
      <c r="E43" s="283">
        <f>MCF!R42</f>
        <v>0.78500000000000003</v>
      </c>
      <c r="F43" s="67">
        <f t="shared" si="0"/>
        <v>4.6567004035753579</v>
      </c>
      <c r="G43" s="67">
        <f t="shared" si="1"/>
        <v>4.6567004035753579</v>
      </c>
      <c r="H43" s="67">
        <f t="shared" si="2"/>
        <v>0</v>
      </c>
      <c r="I43" s="67">
        <f t="shared" si="3"/>
        <v>22.778612757494557</v>
      </c>
      <c r="J43" s="67">
        <f t="shared" si="4"/>
        <v>3.3580782743836921</v>
      </c>
      <c r="K43" s="100">
        <f t="shared" si="6"/>
        <v>2.2387188495891279</v>
      </c>
      <c r="O43" s="96">
        <f>Amnt_Deposited!B38</f>
        <v>2024</v>
      </c>
      <c r="P43" s="99">
        <f>Amnt_Deposited!E38</f>
        <v>0</v>
      </c>
      <c r="Q43" s="283">
        <f>MCF!R42</f>
        <v>0.78500000000000003</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Amnt_Deposited!D39</f>
        <v>47.084636646980442</v>
      </c>
      <c r="D44" s="417">
        <f>Dry_Matter_Content!E31</f>
        <v>0.44</v>
      </c>
      <c r="E44" s="283">
        <f>MCF!R43</f>
        <v>0.78500000000000003</v>
      </c>
      <c r="F44" s="67">
        <f t="shared" si="0"/>
        <v>4.8789100493601136</v>
      </c>
      <c r="G44" s="67">
        <f t="shared" si="1"/>
        <v>4.8789100493601136</v>
      </c>
      <c r="H44" s="67">
        <f t="shared" si="2"/>
        <v>0</v>
      </c>
      <c r="I44" s="67">
        <f t="shared" si="3"/>
        <v>24.096424203731807</v>
      </c>
      <c r="J44" s="67">
        <f t="shared" si="4"/>
        <v>3.5610986031228653</v>
      </c>
      <c r="K44" s="100">
        <f t="shared" si="6"/>
        <v>2.3740657354152432</v>
      </c>
      <c r="O44" s="96">
        <f>Amnt_Deposited!B39</f>
        <v>2025</v>
      </c>
      <c r="P44" s="99">
        <f>Amnt_Deposited!E39</f>
        <v>0</v>
      </c>
      <c r="Q44" s="283">
        <f>MCF!R43</f>
        <v>0.78500000000000003</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Amnt_Deposited!D40</f>
        <v>49.309248867423911</v>
      </c>
      <c r="D45" s="417">
        <f>Dry_Matter_Content!E32</f>
        <v>0.44</v>
      </c>
      <c r="E45" s="283">
        <f>MCF!R44</f>
        <v>0.78500000000000003</v>
      </c>
      <c r="F45" s="67">
        <f t="shared" si="0"/>
        <v>5.1094243676424655</v>
      </c>
      <c r="G45" s="67">
        <f t="shared" si="1"/>
        <v>5.1094243676424655</v>
      </c>
      <c r="H45" s="67">
        <f t="shared" si="2"/>
        <v>0</v>
      </c>
      <c r="I45" s="67">
        <f t="shared" si="3"/>
        <v>25.438729674112523</v>
      </c>
      <c r="J45" s="67">
        <f t="shared" si="4"/>
        <v>3.7671188972617506</v>
      </c>
      <c r="K45" s="100">
        <f t="shared" si="6"/>
        <v>2.5114125981745001</v>
      </c>
      <c r="O45" s="96">
        <f>Amnt_Deposited!B40</f>
        <v>2026</v>
      </c>
      <c r="P45" s="99">
        <f>Amnt_Deposited!E40</f>
        <v>0</v>
      </c>
      <c r="Q45" s="283">
        <f>MCF!R44</f>
        <v>0.78500000000000003</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Amnt_Deposited!D41</f>
        <v>51.616699526130319</v>
      </c>
      <c r="D46" s="417">
        <f>Dry_Matter_Content!E33</f>
        <v>0.44</v>
      </c>
      <c r="E46" s="283">
        <f>MCF!R45</f>
        <v>0.78500000000000003</v>
      </c>
      <c r="F46" s="67">
        <f t="shared" si="0"/>
        <v>5.348522404897623</v>
      </c>
      <c r="G46" s="67">
        <f t="shared" si="1"/>
        <v>5.348522404897623</v>
      </c>
      <c r="H46" s="67">
        <f t="shared" si="2"/>
        <v>0</v>
      </c>
      <c r="I46" s="67">
        <f t="shared" si="3"/>
        <v>26.810283609852746</v>
      </c>
      <c r="J46" s="67">
        <f t="shared" si="4"/>
        <v>3.9769684691573972</v>
      </c>
      <c r="K46" s="100">
        <f t="shared" si="6"/>
        <v>2.6513123127715978</v>
      </c>
      <c r="O46" s="96">
        <f>Amnt_Deposited!B41</f>
        <v>2027</v>
      </c>
      <c r="P46" s="99">
        <f>Amnt_Deposited!E41</f>
        <v>0</v>
      </c>
      <c r="Q46" s="283">
        <f>MCF!R45</f>
        <v>0.78500000000000003</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Amnt_Deposited!D42</f>
        <v>54.009766829354703</v>
      </c>
      <c r="D47" s="417">
        <f>Dry_Matter_Content!E34</f>
        <v>0.44</v>
      </c>
      <c r="E47" s="283">
        <f>MCF!R46</f>
        <v>0.78500000000000003</v>
      </c>
      <c r="F47" s="67">
        <f t="shared" si="0"/>
        <v>5.5964920388577335</v>
      </c>
      <c r="G47" s="67">
        <f t="shared" si="1"/>
        <v>5.5964920388577335</v>
      </c>
      <c r="H47" s="67">
        <f t="shared" si="2"/>
        <v>0</v>
      </c>
      <c r="I47" s="67">
        <f t="shared" si="3"/>
        <v>28.215385043461183</v>
      </c>
      <c r="J47" s="67">
        <f t="shared" si="4"/>
        <v>4.1913906052492971</v>
      </c>
      <c r="K47" s="100">
        <f t="shared" si="6"/>
        <v>2.7942604034995311</v>
      </c>
      <c r="O47" s="96">
        <f>Amnt_Deposited!B42</f>
        <v>2028</v>
      </c>
      <c r="P47" s="99">
        <f>Amnt_Deposited!E42</f>
        <v>0</v>
      </c>
      <c r="Q47" s="283">
        <f>MCF!R46</f>
        <v>0.78500000000000003</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Amnt_Deposited!D43</f>
        <v>56.49131680617667</v>
      </c>
      <c r="D48" s="417">
        <f>Dry_Matter_Content!E35</f>
        <v>0.44</v>
      </c>
      <c r="E48" s="283">
        <f>MCF!R47</f>
        <v>0.78500000000000003</v>
      </c>
      <c r="F48" s="67">
        <f t="shared" si="0"/>
        <v>5.8536302474560262</v>
      </c>
      <c r="G48" s="67">
        <f t="shared" si="1"/>
        <v>5.8536302474560262</v>
      </c>
      <c r="H48" s="67">
        <f t="shared" si="2"/>
        <v>0</v>
      </c>
      <c r="I48" s="67">
        <f t="shared" si="3"/>
        <v>29.657957895344055</v>
      </c>
      <c r="J48" s="67">
        <f t="shared" si="4"/>
        <v>4.411057395573156</v>
      </c>
      <c r="K48" s="100">
        <f t="shared" si="6"/>
        <v>2.940704930382104</v>
      </c>
      <c r="O48" s="96">
        <f>Amnt_Deposited!B43</f>
        <v>2029</v>
      </c>
      <c r="P48" s="99">
        <f>Amnt_Deposited!E43</f>
        <v>0</v>
      </c>
      <c r="Q48" s="283">
        <f>MCF!R47</f>
        <v>0.78500000000000003</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Amnt_Deposited!D44</f>
        <v>59.103584047799998</v>
      </c>
      <c r="D49" s="417">
        <f>Dry_Matter_Content!E36</f>
        <v>0.44</v>
      </c>
      <c r="E49" s="283">
        <f>MCF!R48</f>
        <v>0.78500000000000003</v>
      </c>
      <c r="F49" s="67">
        <f t="shared" si="0"/>
        <v>6.124313379033036</v>
      </c>
      <c r="G49" s="67">
        <f t="shared" si="1"/>
        <v>6.124313379033036</v>
      </c>
      <c r="H49" s="67">
        <f t="shared" si="2"/>
        <v>0</v>
      </c>
      <c r="I49" s="67">
        <f t="shared" si="3"/>
        <v>31.14568898743175</v>
      </c>
      <c r="J49" s="67">
        <f t="shared" si="4"/>
        <v>4.6365822869453428</v>
      </c>
      <c r="K49" s="100">
        <f t="shared" si="6"/>
        <v>3.0910548579635617</v>
      </c>
      <c r="O49" s="96">
        <f>Amnt_Deposited!B44</f>
        <v>2030</v>
      </c>
      <c r="P49" s="99">
        <f>Amnt_Deposited!E44</f>
        <v>0</v>
      </c>
      <c r="Q49" s="283">
        <f>MCF!R48</f>
        <v>0.78500000000000003</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Amnt_Deposited!D45</f>
        <v>0</v>
      </c>
      <c r="D50" s="417">
        <f>Dry_Matter_Content!E37</f>
        <v>0.44</v>
      </c>
      <c r="E50" s="283">
        <f>MCF!R49</f>
        <v>0.78500000000000003</v>
      </c>
      <c r="F50" s="67">
        <f t="shared" si="0"/>
        <v>0</v>
      </c>
      <c r="G50" s="67">
        <f t="shared" si="1"/>
        <v>0</v>
      </c>
      <c r="H50" s="67">
        <f t="shared" si="2"/>
        <v>0</v>
      </c>
      <c r="I50" s="67">
        <f t="shared" si="3"/>
        <v>26.276521987349614</v>
      </c>
      <c r="J50" s="67">
        <f t="shared" si="4"/>
        <v>4.8691670000821352</v>
      </c>
      <c r="K50" s="100">
        <f t="shared" si="6"/>
        <v>3.24611133338809</v>
      </c>
      <c r="O50" s="96">
        <f>Amnt_Deposited!B45</f>
        <v>2031</v>
      </c>
      <c r="P50" s="99">
        <f>Amnt_Deposited!E45</f>
        <v>0</v>
      </c>
      <c r="Q50" s="283">
        <f>MCF!R49</f>
        <v>0.78500000000000003</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Amnt_Deposited!D46</f>
        <v>0</v>
      </c>
      <c r="D51" s="417">
        <f>Dry_Matter_Content!E38</f>
        <v>0.44</v>
      </c>
      <c r="E51" s="283">
        <f>MCF!R50</f>
        <v>0.78500000000000003</v>
      </c>
      <c r="F51" s="67">
        <f t="shared" si="0"/>
        <v>0</v>
      </c>
      <c r="G51" s="67">
        <f t="shared" si="1"/>
        <v>0</v>
      </c>
      <c r="H51" s="67">
        <f t="shared" si="2"/>
        <v>0</v>
      </c>
      <c r="I51" s="67">
        <f t="shared" si="3"/>
        <v>22.168577103248158</v>
      </c>
      <c r="J51" s="67">
        <f t="shared" si="4"/>
        <v>4.1079448841014585</v>
      </c>
      <c r="K51" s="100">
        <f t="shared" si="6"/>
        <v>2.7386299227343054</v>
      </c>
      <c r="O51" s="96">
        <f>Amnt_Deposited!B46</f>
        <v>2032</v>
      </c>
      <c r="P51" s="99">
        <f>Amnt_Deposited!E46</f>
        <v>0</v>
      </c>
      <c r="Q51" s="283">
        <f>MCF!R50</f>
        <v>0.78500000000000003</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Amnt_Deposited!D47</f>
        <v>0</v>
      </c>
      <c r="D52" s="417">
        <f>Dry_Matter_Content!E39</f>
        <v>0.44</v>
      </c>
      <c r="E52" s="283">
        <f>MCF!R51</f>
        <v>0.78500000000000003</v>
      </c>
      <c r="F52" s="67">
        <f t="shared" si="0"/>
        <v>0</v>
      </c>
      <c r="G52" s="67">
        <f t="shared" si="1"/>
        <v>0</v>
      </c>
      <c r="H52" s="67">
        <f t="shared" si="2"/>
        <v>0</v>
      </c>
      <c r="I52" s="67">
        <f t="shared" si="3"/>
        <v>18.702848536014649</v>
      </c>
      <c r="J52" s="67">
        <f t="shared" si="4"/>
        <v>3.4657285672335094</v>
      </c>
      <c r="K52" s="100">
        <f t="shared" si="6"/>
        <v>2.3104857114890063</v>
      </c>
      <c r="O52" s="96">
        <f>Amnt_Deposited!B47</f>
        <v>2033</v>
      </c>
      <c r="P52" s="99">
        <f>Amnt_Deposited!E47</f>
        <v>0</v>
      </c>
      <c r="Q52" s="283">
        <f>MCF!R51</f>
        <v>0.78500000000000003</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Amnt_Deposited!D48</f>
        <v>0</v>
      </c>
      <c r="D53" s="417">
        <f>Dry_Matter_Content!E40</f>
        <v>0.44</v>
      </c>
      <c r="E53" s="283">
        <f>MCF!R52</f>
        <v>0.78500000000000003</v>
      </c>
      <c r="F53" s="67">
        <f t="shared" si="0"/>
        <v>0</v>
      </c>
      <c r="G53" s="67">
        <f t="shared" si="1"/>
        <v>0</v>
      </c>
      <c r="H53" s="67">
        <f t="shared" si="2"/>
        <v>0</v>
      </c>
      <c r="I53" s="67">
        <f t="shared" si="3"/>
        <v>15.778935279966742</v>
      </c>
      <c r="J53" s="67">
        <f t="shared" si="4"/>
        <v>2.9239132560479066</v>
      </c>
      <c r="K53" s="100">
        <f t="shared" si="6"/>
        <v>1.9492755040319376</v>
      </c>
      <c r="O53" s="96">
        <f>Amnt_Deposited!B48</f>
        <v>2034</v>
      </c>
      <c r="P53" s="99">
        <f>Amnt_Deposited!E48</f>
        <v>0</v>
      </c>
      <c r="Q53" s="283">
        <f>MCF!R52</f>
        <v>0.78500000000000003</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Amnt_Deposited!D49</f>
        <v>0</v>
      </c>
      <c r="D54" s="417">
        <f>Dry_Matter_Content!E41</f>
        <v>0.44</v>
      </c>
      <c r="E54" s="283">
        <f>MCF!R53</f>
        <v>0.78500000000000003</v>
      </c>
      <c r="F54" s="67">
        <f t="shared" si="0"/>
        <v>0</v>
      </c>
      <c r="G54" s="67">
        <f t="shared" si="1"/>
        <v>0</v>
      </c>
      <c r="H54" s="67">
        <f t="shared" si="2"/>
        <v>0</v>
      </c>
      <c r="I54" s="67">
        <f t="shared" si="3"/>
        <v>13.31213253905935</v>
      </c>
      <c r="J54" s="67">
        <f t="shared" si="4"/>
        <v>2.4668027409073923</v>
      </c>
      <c r="K54" s="100">
        <f t="shared" si="6"/>
        <v>1.6445351606049281</v>
      </c>
      <c r="O54" s="96">
        <f>Amnt_Deposited!B49</f>
        <v>2035</v>
      </c>
      <c r="P54" s="99">
        <f>Amnt_Deposited!E49</f>
        <v>0</v>
      </c>
      <c r="Q54" s="283">
        <f>MCF!R53</f>
        <v>0.78500000000000003</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Amnt_Deposited!D50</f>
        <v>0</v>
      </c>
      <c r="D55" s="417">
        <f>Dry_Matter_Content!E42</f>
        <v>0.44</v>
      </c>
      <c r="E55" s="283">
        <f>MCF!R54</f>
        <v>0.78500000000000003</v>
      </c>
      <c r="F55" s="67">
        <f t="shared" si="0"/>
        <v>0</v>
      </c>
      <c r="G55" s="67">
        <f t="shared" si="1"/>
        <v>0</v>
      </c>
      <c r="H55" s="67">
        <f t="shared" si="2"/>
        <v>0</v>
      </c>
      <c r="I55" s="67">
        <f t="shared" si="3"/>
        <v>11.230977857072258</v>
      </c>
      <c r="J55" s="67">
        <f t="shared" si="4"/>
        <v>2.0811546819870919</v>
      </c>
      <c r="K55" s="100">
        <f t="shared" si="6"/>
        <v>1.3874364546580611</v>
      </c>
      <c r="O55" s="96">
        <f>Amnt_Deposited!B50</f>
        <v>2036</v>
      </c>
      <c r="P55" s="99">
        <f>Amnt_Deposited!E50</f>
        <v>0</v>
      </c>
      <c r="Q55" s="283">
        <f>MCF!R54</f>
        <v>0.78500000000000003</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Amnt_Deposited!D51</f>
        <v>0</v>
      </c>
      <c r="D56" s="417">
        <f>Dry_Matter_Content!E43</f>
        <v>0.44</v>
      </c>
      <c r="E56" s="283">
        <f>MCF!R55</f>
        <v>0.78500000000000003</v>
      </c>
      <c r="F56" s="67">
        <f t="shared" si="0"/>
        <v>0</v>
      </c>
      <c r="G56" s="67">
        <f t="shared" si="1"/>
        <v>0</v>
      </c>
      <c r="H56" s="67">
        <f t="shared" si="2"/>
        <v>0</v>
      </c>
      <c r="I56" s="67">
        <f t="shared" si="3"/>
        <v>9.4751808739849128</v>
      </c>
      <c r="J56" s="67">
        <f t="shared" si="4"/>
        <v>1.755796983087345</v>
      </c>
      <c r="K56" s="100">
        <f t="shared" si="6"/>
        <v>1.1705313220582299</v>
      </c>
      <c r="O56" s="96">
        <f>Amnt_Deposited!B51</f>
        <v>2037</v>
      </c>
      <c r="P56" s="99">
        <f>Amnt_Deposited!E51</f>
        <v>0</v>
      </c>
      <c r="Q56" s="283">
        <f>MCF!R55</f>
        <v>0.78500000000000003</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Amnt_Deposited!D52</f>
        <v>0</v>
      </c>
      <c r="D57" s="417">
        <f>Dry_Matter_Content!E44</f>
        <v>0.44</v>
      </c>
      <c r="E57" s="283">
        <f>MCF!R56</f>
        <v>0.78500000000000003</v>
      </c>
      <c r="F57" s="67">
        <f t="shared" si="0"/>
        <v>0</v>
      </c>
      <c r="G57" s="67">
        <f t="shared" si="1"/>
        <v>0</v>
      </c>
      <c r="H57" s="67">
        <f t="shared" si="2"/>
        <v>0</v>
      </c>
      <c r="I57" s="67">
        <f t="shared" si="3"/>
        <v>7.9938767342680439</v>
      </c>
      <c r="J57" s="67">
        <f t="shared" si="4"/>
        <v>1.4813041397168687</v>
      </c>
      <c r="K57" s="100">
        <f t="shared" si="6"/>
        <v>0.98753609314457913</v>
      </c>
      <c r="O57" s="96">
        <f>Amnt_Deposited!B52</f>
        <v>2038</v>
      </c>
      <c r="P57" s="99">
        <f>Amnt_Deposited!E52</f>
        <v>0</v>
      </c>
      <c r="Q57" s="283">
        <f>MCF!R56</f>
        <v>0.78500000000000003</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Amnt_Deposited!D53</f>
        <v>0</v>
      </c>
      <c r="D58" s="417">
        <f>Dry_Matter_Content!E45</f>
        <v>0.44</v>
      </c>
      <c r="E58" s="283">
        <f>MCF!R57</f>
        <v>0.78500000000000003</v>
      </c>
      <c r="F58" s="67">
        <f t="shared" si="0"/>
        <v>0</v>
      </c>
      <c r="G58" s="67">
        <f t="shared" si="1"/>
        <v>0</v>
      </c>
      <c r="H58" s="67">
        <f t="shared" si="2"/>
        <v>0</v>
      </c>
      <c r="I58" s="67">
        <f t="shared" si="3"/>
        <v>6.744152548910348</v>
      </c>
      <c r="J58" s="67">
        <f t="shared" si="4"/>
        <v>1.2497241853576959</v>
      </c>
      <c r="K58" s="100">
        <f t="shared" si="6"/>
        <v>0.83314945690513054</v>
      </c>
      <c r="O58" s="96">
        <f>Amnt_Deposited!B53</f>
        <v>2039</v>
      </c>
      <c r="P58" s="99">
        <f>Amnt_Deposited!E53</f>
        <v>0</v>
      </c>
      <c r="Q58" s="283">
        <f>MCF!R57</f>
        <v>0.78500000000000003</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Amnt_Deposited!D54</f>
        <v>0</v>
      </c>
      <c r="D59" s="417">
        <f>Dry_Matter_Content!E46</f>
        <v>0.44</v>
      </c>
      <c r="E59" s="283">
        <f>MCF!R58</f>
        <v>0.78500000000000003</v>
      </c>
      <c r="F59" s="67">
        <f t="shared" si="0"/>
        <v>0</v>
      </c>
      <c r="G59" s="67">
        <f t="shared" si="1"/>
        <v>0</v>
      </c>
      <c r="H59" s="67">
        <f t="shared" si="2"/>
        <v>0</v>
      </c>
      <c r="I59" s="67">
        <f t="shared" si="3"/>
        <v>5.6898042232744821</v>
      </c>
      <c r="J59" s="67">
        <f t="shared" si="4"/>
        <v>1.0543483256358657</v>
      </c>
      <c r="K59" s="100">
        <f t="shared" si="6"/>
        <v>0.70289888375724374</v>
      </c>
      <c r="O59" s="96">
        <f>Amnt_Deposited!B54</f>
        <v>2040</v>
      </c>
      <c r="P59" s="99">
        <f>Amnt_Deposited!E54</f>
        <v>0</v>
      </c>
      <c r="Q59" s="283">
        <f>MCF!R58</f>
        <v>0.78500000000000003</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Amnt_Deposited!D55</f>
        <v>0</v>
      </c>
      <c r="D60" s="417">
        <f>Dry_Matter_Content!E47</f>
        <v>0.44</v>
      </c>
      <c r="E60" s="283">
        <f>MCF!R59</f>
        <v>0.78500000000000003</v>
      </c>
      <c r="F60" s="67">
        <f t="shared" si="0"/>
        <v>0</v>
      </c>
      <c r="G60" s="67">
        <f t="shared" si="1"/>
        <v>0</v>
      </c>
      <c r="H60" s="67">
        <f t="shared" si="2"/>
        <v>0</v>
      </c>
      <c r="I60" s="67">
        <f t="shared" si="3"/>
        <v>4.8002876364981955</v>
      </c>
      <c r="J60" s="67">
        <f t="shared" si="4"/>
        <v>0.88951658677628676</v>
      </c>
      <c r="K60" s="100">
        <f t="shared" si="6"/>
        <v>0.59301105785085784</v>
      </c>
      <c r="O60" s="96">
        <f>Amnt_Deposited!B55</f>
        <v>2041</v>
      </c>
      <c r="P60" s="99">
        <f>Amnt_Deposited!E55</f>
        <v>0</v>
      </c>
      <c r="Q60" s="283">
        <f>MCF!R59</f>
        <v>0.78500000000000003</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Amnt_Deposited!D56</f>
        <v>0</v>
      </c>
      <c r="D61" s="417">
        <f>Dry_Matter_Content!E48</f>
        <v>0.44</v>
      </c>
      <c r="E61" s="283">
        <f>MCF!R60</f>
        <v>0.78500000000000003</v>
      </c>
      <c r="F61" s="67">
        <f t="shared" si="0"/>
        <v>0</v>
      </c>
      <c r="G61" s="67">
        <f t="shared" si="1"/>
        <v>0</v>
      </c>
      <c r="H61" s="67">
        <f t="shared" si="2"/>
        <v>0</v>
      </c>
      <c r="I61" s="67">
        <f t="shared" si="3"/>
        <v>4.0498337884561382</v>
      </c>
      <c r="J61" s="67">
        <f t="shared" si="4"/>
        <v>0.75045384804205717</v>
      </c>
      <c r="K61" s="100">
        <f t="shared" si="6"/>
        <v>0.50030256536137141</v>
      </c>
      <c r="O61" s="96">
        <f>Amnt_Deposited!B56</f>
        <v>2042</v>
      </c>
      <c r="P61" s="99">
        <f>Amnt_Deposited!E56</f>
        <v>0</v>
      </c>
      <c r="Q61" s="283">
        <f>MCF!R60</f>
        <v>0.78500000000000003</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Amnt_Deposited!D57</f>
        <v>0</v>
      </c>
      <c r="D62" s="417">
        <f>Dry_Matter_Content!E49</f>
        <v>0.44</v>
      </c>
      <c r="E62" s="283">
        <f>MCF!R61</f>
        <v>0.78500000000000003</v>
      </c>
      <c r="F62" s="67">
        <f t="shared" si="0"/>
        <v>0</v>
      </c>
      <c r="G62" s="67">
        <f t="shared" si="1"/>
        <v>0</v>
      </c>
      <c r="H62" s="67">
        <f t="shared" si="2"/>
        <v>0</v>
      </c>
      <c r="I62" s="67">
        <f t="shared" si="3"/>
        <v>3.4167022803836855</v>
      </c>
      <c r="J62" s="67">
        <f t="shared" si="4"/>
        <v>0.63313150807245255</v>
      </c>
      <c r="K62" s="100">
        <f t="shared" si="6"/>
        <v>0.42208767204830167</v>
      </c>
      <c r="O62" s="96">
        <f>Amnt_Deposited!B57</f>
        <v>2043</v>
      </c>
      <c r="P62" s="99">
        <f>Amnt_Deposited!E57</f>
        <v>0</v>
      </c>
      <c r="Q62" s="283">
        <f>MCF!R61</f>
        <v>0.78500000000000003</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Amnt_Deposited!D58</f>
        <v>0</v>
      </c>
      <c r="D63" s="417">
        <f>Dry_Matter_Content!E50</f>
        <v>0.44</v>
      </c>
      <c r="E63" s="283">
        <f>MCF!R62</f>
        <v>0.78500000000000003</v>
      </c>
      <c r="F63" s="67">
        <f t="shared" si="0"/>
        <v>0</v>
      </c>
      <c r="G63" s="67">
        <f t="shared" si="1"/>
        <v>0</v>
      </c>
      <c r="H63" s="67">
        <f t="shared" si="2"/>
        <v>0</v>
      </c>
      <c r="I63" s="67">
        <f t="shared" si="3"/>
        <v>2.8825515027443478</v>
      </c>
      <c r="J63" s="67">
        <f t="shared" si="4"/>
        <v>0.53415077763933749</v>
      </c>
      <c r="K63" s="100">
        <f t="shared" si="6"/>
        <v>0.35610051842622498</v>
      </c>
      <c r="O63" s="96">
        <f>Amnt_Deposited!B58</f>
        <v>2044</v>
      </c>
      <c r="P63" s="99">
        <f>Amnt_Deposited!E58</f>
        <v>0</v>
      </c>
      <c r="Q63" s="283">
        <f>MCF!R62</f>
        <v>0.78500000000000003</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Amnt_Deposited!D59</f>
        <v>0</v>
      </c>
      <c r="D64" s="417">
        <f>Dry_Matter_Content!E51</f>
        <v>0.44</v>
      </c>
      <c r="E64" s="283">
        <f>MCF!R63</f>
        <v>0.78500000000000003</v>
      </c>
      <c r="F64" s="67">
        <f t="shared" si="0"/>
        <v>0</v>
      </c>
      <c r="G64" s="67">
        <f t="shared" si="1"/>
        <v>0</v>
      </c>
      <c r="H64" s="67">
        <f t="shared" si="2"/>
        <v>0</v>
      </c>
      <c r="I64" s="67">
        <f t="shared" si="3"/>
        <v>2.4319072848924406</v>
      </c>
      <c r="J64" s="67">
        <f t="shared" si="4"/>
        <v>0.45064421785190739</v>
      </c>
      <c r="K64" s="100">
        <f t="shared" si="6"/>
        <v>0.30042947856793822</v>
      </c>
      <c r="O64" s="96">
        <f>Amnt_Deposited!B59</f>
        <v>2045</v>
      </c>
      <c r="P64" s="99">
        <f>Amnt_Deposited!E59</f>
        <v>0</v>
      </c>
      <c r="Q64" s="283">
        <f>MCF!R63</f>
        <v>0.78500000000000003</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Amnt_Deposited!D60</f>
        <v>0</v>
      </c>
      <c r="D65" s="417">
        <f>Dry_Matter_Content!E52</f>
        <v>0.44</v>
      </c>
      <c r="E65" s="283">
        <f>MCF!R64</f>
        <v>0.78500000000000003</v>
      </c>
      <c r="F65" s="67">
        <f t="shared" si="0"/>
        <v>0</v>
      </c>
      <c r="G65" s="67">
        <f t="shared" si="1"/>
        <v>0</v>
      </c>
      <c r="H65" s="67">
        <f t="shared" si="2"/>
        <v>0</v>
      </c>
      <c r="I65" s="67">
        <f t="shared" si="3"/>
        <v>2.0517146134881905</v>
      </c>
      <c r="J65" s="67">
        <f t="shared" si="4"/>
        <v>0.38019267140425023</v>
      </c>
      <c r="K65" s="100">
        <f t="shared" si="6"/>
        <v>0.25346178093616678</v>
      </c>
      <c r="O65" s="96">
        <f>Amnt_Deposited!B60</f>
        <v>2046</v>
      </c>
      <c r="P65" s="99">
        <f>Amnt_Deposited!E60</f>
        <v>0</v>
      </c>
      <c r="Q65" s="283">
        <f>MCF!R64</f>
        <v>0.78500000000000003</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Amnt_Deposited!D61</f>
        <v>0</v>
      </c>
      <c r="D66" s="417">
        <f>Dry_Matter_Content!E53</f>
        <v>0.44</v>
      </c>
      <c r="E66" s="283">
        <f>MCF!R65</f>
        <v>0.78500000000000003</v>
      </c>
      <c r="F66" s="67">
        <f t="shared" si="0"/>
        <v>0</v>
      </c>
      <c r="G66" s="67">
        <f t="shared" si="1"/>
        <v>0</v>
      </c>
      <c r="H66" s="67">
        <f t="shared" si="2"/>
        <v>0</v>
      </c>
      <c r="I66" s="67">
        <f t="shared" si="3"/>
        <v>1.7309594330966345</v>
      </c>
      <c r="J66" s="67">
        <f t="shared" si="4"/>
        <v>0.32075518039155598</v>
      </c>
      <c r="K66" s="100">
        <f t="shared" si="6"/>
        <v>0.21383678692770397</v>
      </c>
      <c r="O66" s="96">
        <f>Amnt_Deposited!B61</f>
        <v>2047</v>
      </c>
      <c r="P66" s="99">
        <f>Amnt_Deposited!E61</f>
        <v>0</v>
      </c>
      <c r="Q66" s="283">
        <f>MCF!R65</f>
        <v>0.78500000000000003</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Amnt_Deposited!D62</f>
        <v>0</v>
      </c>
      <c r="D67" s="417">
        <f>Dry_Matter_Content!E54</f>
        <v>0.44</v>
      </c>
      <c r="E67" s="283">
        <f>MCF!R66</f>
        <v>0.78500000000000003</v>
      </c>
      <c r="F67" s="67">
        <f t="shared" si="0"/>
        <v>0</v>
      </c>
      <c r="G67" s="67">
        <f t="shared" si="1"/>
        <v>0</v>
      </c>
      <c r="H67" s="67">
        <f t="shared" si="2"/>
        <v>0</v>
      </c>
      <c r="I67" s="67">
        <f t="shared" si="3"/>
        <v>1.4603495726592524</v>
      </c>
      <c r="J67" s="67">
        <f t="shared" si="4"/>
        <v>0.27060986043738205</v>
      </c>
      <c r="K67" s="100">
        <f t="shared" si="6"/>
        <v>0.18040657362492135</v>
      </c>
      <c r="O67" s="96">
        <f>Amnt_Deposited!B62</f>
        <v>2048</v>
      </c>
      <c r="P67" s="99">
        <f>Amnt_Deposited!E62</f>
        <v>0</v>
      </c>
      <c r="Q67" s="283">
        <f>MCF!R66</f>
        <v>0.78500000000000003</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Amnt_Deposited!D63</f>
        <v>0</v>
      </c>
      <c r="D68" s="417">
        <f>Dry_Matter_Content!E55</f>
        <v>0.44</v>
      </c>
      <c r="E68" s="283">
        <f>MCF!R67</f>
        <v>0.78500000000000003</v>
      </c>
      <c r="F68" s="67">
        <f t="shared" si="0"/>
        <v>0</v>
      </c>
      <c r="G68" s="67">
        <f t="shared" si="1"/>
        <v>0</v>
      </c>
      <c r="H68" s="67">
        <f t="shared" si="2"/>
        <v>0</v>
      </c>
      <c r="I68" s="67">
        <f t="shared" si="3"/>
        <v>1.2320455543841755</v>
      </c>
      <c r="J68" s="67">
        <f t="shared" si="4"/>
        <v>0.2283040182750769</v>
      </c>
      <c r="K68" s="100">
        <f t="shared" si="6"/>
        <v>0.15220267885005126</v>
      </c>
      <c r="O68" s="96">
        <f>Amnt_Deposited!B63</f>
        <v>2049</v>
      </c>
      <c r="P68" s="99">
        <f>Amnt_Deposited!E63</f>
        <v>0</v>
      </c>
      <c r="Q68" s="283">
        <f>MCF!R67</f>
        <v>0.78500000000000003</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Amnt_Deposited!D64</f>
        <v>0</v>
      </c>
      <c r="D69" s="417">
        <f>Dry_Matter_Content!E56</f>
        <v>0.44</v>
      </c>
      <c r="E69" s="283">
        <f>MCF!R68</f>
        <v>0.78500000000000003</v>
      </c>
      <c r="F69" s="67">
        <f t="shared" si="0"/>
        <v>0</v>
      </c>
      <c r="G69" s="67">
        <f t="shared" si="1"/>
        <v>0</v>
      </c>
      <c r="H69" s="67">
        <f t="shared" si="2"/>
        <v>0</v>
      </c>
      <c r="I69" s="67">
        <f t="shared" si="3"/>
        <v>1.0394334866779154</v>
      </c>
      <c r="J69" s="67">
        <f t="shared" si="4"/>
        <v>0.19261206770626019</v>
      </c>
      <c r="K69" s="100">
        <f t="shared" si="6"/>
        <v>0.12840804513750678</v>
      </c>
      <c r="O69" s="96">
        <f>Amnt_Deposited!B64</f>
        <v>2050</v>
      </c>
      <c r="P69" s="99">
        <f>Amnt_Deposited!E64</f>
        <v>0</v>
      </c>
      <c r="Q69" s="283">
        <f>MCF!R68</f>
        <v>0.78500000000000003</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Amnt_Deposited!D65</f>
        <v>0</v>
      </c>
      <c r="D70" s="417">
        <f>Dry_Matter_Content!E57</f>
        <v>0.44</v>
      </c>
      <c r="E70" s="283">
        <f>MCF!R69</f>
        <v>0.78500000000000003</v>
      </c>
      <c r="F70" s="67">
        <f t="shared" si="0"/>
        <v>0</v>
      </c>
      <c r="G70" s="67">
        <f t="shared" si="1"/>
        <v>0</v>
      </c>
      <c r="H70" s="67">
        <f t="shared" si="2"/>
        <v>0</v>
      </c>
      <c r="I70" s="67">
        <f t="shared" si="3"/>
        <v>0.87693346190226307</v>
      </c>
      <c r="J70" s="67">
        <f t="shared" si="4"/>
        <v>0.16250002477565226</v>
      </c>
      <c r="K70" s="100">
        <f t="shared" si="6"/>
        <v>0.10833334985043483</v>
      </c>
      <c r="O70" s="96">
        <f>Amnt_Deposited!B65</f>
        <v>2051</v>
      </c>
      <c r="P70" s="99">
        <f>Amnt_Deposited!E65</f>
        <v>0</v>
      </c>
      <c r="Q70" s="283">
        <f>MCF!R69</f>
        <v>0.78500000000000003</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Amnt_Deposited!D66</f>
        <v>0</v>
      </c>
      <c r="D71" s="417">
        <f>Dry_Matter_Content!E58</f>
        <v>0.44</v>
      </c>
      <c r="E71" s="283">
        <f>MCF!R70</f>
        <v>0.78500000000000003</v>
      </c>
      <c r="F71" s="67">
        <f t="shared" si="0"/>
        <v>0</v>
      </c>
      <c r="G71" s="67">
        <f t="shared" si="1"/>
        <v>0</v>
      </c>
      <c r="H71" s="67">
        <f t="shared" si="2"/>
        <v>0</v>
      </c>
      <c r="I71" s="67">
        <f t="shared" si="3"/>
        <v>0.73983790830300455</v>
      </c>
      <c r="J71" s="67">
        <f t="shared" si="4"/>
        <v>0.13709555359925846</v>
      </c>
      <c r="K71" s="100">
        <f t="shared" si="6"/>
        <v>9.1397035732838972E-2</v>
      </c>
      <c r="O71" s="96">
        <f>Amnt_Deposited!B66</f>
        <v>2052</v>
      </c>
      <c r="P71" s="99">
        <f>Amnt_Deposited!E66</f>
        <v>0</v>
      </c>
      <c r="Q71" s="283">
        <f>MCF!R70</f>
        <v>0.78500000000000003</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Amnt_Deposited!D67</f>
        <v>0</v>
      </c>
      <c r="D72" s="417">
        <f>Dry_Matter_Content!E59</f>
        <v>0.44</v>
      </c>
      <c r="E72" s="283">
        <f>MCF!R71</f>
        <v>0.78500000000000003</v>
      </c>
      <c r="F72" s="67">
        <f t="shared" si="0"/>
        <v>0</v>
      </c>
      <c r="G72" s="67">
        <f t="shared" si="1"/>
        <v>0</v>
      </c>
      <c r="H72" s="67">
        <f t="shared" si="2"/>
        <v>0</v>
      </c>
      <c r="I72" s="67">
        <f t="shared" si="3"/>
        <v>0.62417521321950653</v>
      </c>
      <c r="J72" s="67">
        <f t="shared" si="4"/>
        <v>0.11566269508349808</v>
      </c>
      <c r="K72" s="100">
        <f t="shared" si="6"/>
        <v>7.710846338899871E-2</v>
      </c>
      <c r="O72" s="96">
        <f>Amnt_Deposited!B67</f>
        <v>2053</v>
      </c>
      <c r="P72" s="99">
        <f>Amnt_Deposited!E67</f>
        <v>0</v>
      </c>
      <c r="Q72" s="283">
        <f>MCF!R71</f>
        <v>0.78500000000000003</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Amnt_Deposited!D68</f>
        <v>0</v>
      </c>
      <c r="D73" s="417">
        <f>Dry_Matter_Content!E60</f>
        <v>0.44</v>
      </c>
      <c r="E73" s="283">
        <f>MCF!R72</f>
        <v>0.78500000000000003</v>
      </c>
      <c r="F73" s="67">
        <f t="shared" si="0"/>
        <v>0</v>
      </c>
      <c r="G73" s="67">
        <f t="shared" si="1"/>
        <v>0</v>
      </c>
      <c r="H73" s="67">
        <f t="shared" si="2"/>
        <v>0</v>
      </c>
      <c r="I73" s="67">
        <f t="shared" si="3"/>
        <v>0.52659466678484368</v>
      </c>
      <c r="J73" s="67">
        <f t="shared" si="4"/>
        <v>9.7580546434662865E-2</v>
      </c>
      <c r="K73" s="100">
        <f t="shared" si="6"/>
        <v>6.5053697623108572E-2</v>
      </c>
      <c r="O73" s="96">
        <f>Amnt_Deposited!B68</f>
        <v>2054</v>
      </c>
      <c r="P73" s="99">
        <f>Amnt_Deposited!E68</f>
        <v>0</v>
      </c>
      <c r="Q73" s="283">
        <f>MCF!R72</f>
        <v>0.78500000000000003</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Amnt_Deposited!D69</f>
        <v>0</v>
      </c>
      <c r="D74" s="417">
        <f>Dry_Matter_Content!E61</f>
        <v>0.44</v>
      </c>
      <c r="E74" s="283">
        <f>MCF!R73</f>
        <v>0.78500000000000003</v>
      </c>
      <c r="F74" s="67">
        <f t="shared" si="0"/>
        <v>0</v>
      </c>
      <c r="G74" s="67">
        <f t="shared" si="1"/>
        <v>0</v>
      </c>
      <c r="H74" s="67">
        <f t="shared" si="2"/>
        <v>0</v>
      </c>
      <c r="I74" s="67">
        <f t="shared" si="3"/>
        <v>0.44426939297366891</v>
      </c>
      <c r="J74" s="67">
        <f t="shared" si="4"/>
        <v>8.2325273811174743E-2</v>
      </c>
      <c r="K74" s="100">
        <f t="shared" si="6"/>
        <v>5.4883515874116495E-2</v>
      </c>
      <c r="O74" s="96">
        <f>Amnt_Deposited!B69</f>
        <v>2055</v>
      </c>
      <c r="P74" s="99">
        <f>Amnt_Deposited!E69</f>
        <v>0</v>
      </c>
      <c r="Q74" s="283">
        <f>MCF!R73</f>
        <v>0.78500000000000003</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Amnt_Deposited!D70</f>
        <v>0</v>
      </c>
      <c r="D75" s="417">
        <f>Dry_Matter_Content!E62</f>
        <v>0.44</v>
      </c>
      <c r="E75" s="283">
        <f>MCF!R74</f>
        <v>0.78500000000000003</v>
      </c>
      <c r="F75" s="67">
        <f t="shared" si="0"/>
        <v>0</v>
      </c>
      <c r="G75" s="67">
        <f t="shared" si="1"/>
        <v>0</v>
      </c>
      <c r="H75" s="67">
        <f t="shared" si="2"/>
        <v>0</v>
      </c>
      <c r="I75" s="67">
        <f t="shared" si="3"/>
        <v>0.37481445594251711</v>
      </c>
      <c r="J75" s="67">
        <f t="shared" si="4"/>
        <v>6.9454937031151812E-2</v>
      </c>
      <c r="K75" s="100">
        <f t="shared" si="6"/>
        <v>4.6303291354101203E-2</v>
      </c>
      <c r="O75" s="96">
        <f>Amnt_Deposited!B70</f>
        <v>2056</v>
      </c>
      <c r="P75" s="99">
        <f>Amnt_Deposited!E70</f>
        <v>0</v>
      </c>
      <c r="Q75" s="283">
        <f>MCF!R74</f>
        <v>0.78500000000000003</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Amnt_Deposited!D71</f>
        <v>0</v>
      </c>
      <c r="D76" s="417">
        <f>Dry_Matter_Content!E63</f>
        <v>0.44</v>
      </c>
      <c r="E76" s="283">
        <f>MCF!R75</f>
        <v>0.78500000000000003</v>
      </c>
      <c r="F76" s="67">
        <f t="shared" si="0"/>
        <v>0</v>
      </c>
      <c r="G76" s="67">
        <f t="shared" si="1"/>
        <v>0</v>
      </c>
      <c r="H76" s="67">
        <f t="shared" si="2"/>
        <v>0</v>
      </c>
      <c r="I76" s="67">
        <f t="shared" si="3"/>
        <v>0.31621776923041706</v>
      </c>
      <c r="J76" s="67">
        <f t="shared" si="4"/>
        <v>5.8596686712100075E-2</v>
      </c>
      <c r="K76" s="100">
        <f t="shared" si="6"/>
        <v>3.9064457808066715E-2</v>
      </c>
      <c r="O76" s="96">
        <f>Amnt_Deposited!B71</f>
        <v>2057</v>
      </c>
      <c r="P76" s="99">
        <f>Amnt_Deposited!E71</f>
        <v>0</v>
      </c>
      <c r="Q76" s="283">
        <f>MCF!R75</f>
        <v>0.78500000000000003</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Amnt_Deposited!D72</f>
        <v>0</v>
      </c>
      <c r="D77" s="417">
        <f>Dry_Matter_Content!E64</f>
        <v>0.44</v>
      </c>
      <c r="E77" s="283">
        <f>MCF!R76</f>
        <v>0.78500000000000003</v>
      </c>
      <c r="F77" s="67">
        <f t="shared" si="0"/>
        <v>0</v>
      </c>
      <c r="G77" s="67">
        <f t="shared" si="1"/>
        <v>0</v>
      </c>
      <c r="H77" s="67">
        <f t="shared" si="2"/>
        <v>0</v>
      </c>
      <c r="I77" s="67">
        <f t="shared" si="3"/>
        <v>0.26678180628229742</v>
      </c>
      <c r="J77" s="67">
        <f t="shared" si="4"/>
        <v>4.9435962948119666E-2</v>
      </c>
      <c r="K77" s="100">
        <f t="shared" si="6"/>
        <v>3.2957308632079775E-2</v>
      </c>
      <c r="O77" s="96">
        <f>Amnt_Deposited!B72</f>
        <v>2058</v>
      </c>
      <c r="P77" s="99">
        <f>Amnt_Deposited!E72</f>
        <v>0</v>
      </c>
      <c r="Q77" s="283">
        <f>MCF!R76</f>
        <v>0.78500000000000003</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Amnt_Deposited!D73</f>
        <v>0</v>
      </c>
      <c r="D78" s="417">
        <f>Dry_Matter_Content!E65</f>
        <v>0.44</v>
      </c>
      <c r="E78" s="283">
        <f>MCF!R77</f>
        <v>0.78500000000000003</v>
      </c>
      <c r="F78" s="67">
        <f t="shared" si="0"/>
        <v>0</v>
      </c>
      <c r="G78" s="67">
        <f t="shared" si="1"/>
        <v>0</v>
      </c>
      <c r="H78" s="67">
        <f t="shared" si="2"/>
        <v>0</v>
      </c>
      <c r="I78" s="67">
        <f t="shared" si="3"/>
        <v>0.22507442366840641</v>
      </c>
      <c r="J78" s="67">
        <f t="shared" si="4"/>
        <v>4.1707382613891002E-2</v>
      </c>
      <c r="K78" s="100">
        <f t="shared" si="6"/>
        <v>2.7804921742594E-2</v>
      </c>
      <c r="O78" s="96">
        <f>Amnt_Deposited!B73</f>
        <v>2059</v>
      </c>
      <c r="P78" s="99">
        <f>Amnt_Deposited!E73</f>
        <v>0</v>
      </c>
      <c r="Q78" s="283">
        <f>MCF!R77</f>
        <v>0.78500000000000003</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Amnt_Deposited!D74</f>
        <v>0</v>
      </c>
      <c r="D79" s="417">
        <f>Dry_Matter_Content!E66</f>
        <v>0.44</v>
      </c>
      <c r="E79" s="283">
        <f>MCF!R78</f>
        <v>0.78500000000000003</v>
      </c>
      <c r="F79" s="67">
        <f t="shared" si="0"/>
        <v>0</v>
      </c>
      <c r="G79" s="67">
        <f t="shared" si="1"/>
        <v>0</v>
      </c>
      <c r="H79" s="67">
        <f t="shared" si="2"/>
        <v>0</v>
      </c>
      <c r="I79" s="67">
        <f t="shared" si="3"/>
        <v>0.18988737236474285</v>
      </c>
      <c r="J79" s="67">
        <f t="shared" si="4"/>
        <v>3.518705130366355E-2</v>
      </c>
      <c r="K79" s="100">
        <f t="shared" si="6"/>
        <v>2.3458034202442364E-2</v>
      </c>
      <c r="O79" s="96">
        <f>Amnt_Deposited!B74</f>
        <v>2060</v>
      </c>
      <c r="P79" s="99">
        <f>Amnt_Deposited!E74</f>
        <v>0</v>
      </c>
      <c r="Q79" s="283">
        <f>MCF!R78</f>
        <v>0.78500000000000003</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Amnt_Deposited!D75</f>
        <v>0</v>
      </c>
      <c r="D80" s="417">
        <f>Dry_Matter_Content!E67</f>
        <v>0.44</v>
      </c>
      <c r="E80" s="283">
        <f>MCF!R79</f>
        <v>0.78500000000000003</v>
      </c>
      <c r="F80" s="67">
        <f t="shared" si="0"/>
        <v>0</v>
      </c>
      <c r="G80" s="67">
        <f t="shared" si="1"/>
        <v>0</v>
      </c>
      <c r="H80" s="67">
        <f t="shared" si="2"/>
        <v>0</v>
      </c>
      <c r="I80" s="67">
        <f t="shared" si="3"/>
        <v>0.16020129518006998</v>
      </c>
      <c r="J80" s="67">
        <f t="shared" si="4"/>
        <v>2.9686077184672855E-2</v>
      </c>
      <c r="K80" s="100">
        <f t="shared" si="6"/>
        <v>1.9790718123115236E-2</v>
      </c>
      <c r="O80" s="96">
        <f>Amnt_Deposited!B75</f>
        <v>2061</v>
      </c>
      <c r="P80" s="99">
        <f>Amnt_Deposited!E75</f>
        <v>0</v>
      </c>
      <c r="Q80" s="283">
        <f>MCF!R79</f>
        <v>0.78500000000000003</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Amnt_Deposited!D76</f>
        <v>0</v>
      </c>
      <c r="D81" s="417">
        <f>Dry_Matter_Content!E68</f>
        <v>0.44</v>
      </c>
      <c r="E81" s="283">
        <f>MCF!R80</f>
        <v>0.78500000000000003</v>
      </c>
      <c r="F81" s="67">
        <f t="shared" si="0"/>
        <v>0</v>
      </c>
      <c r="G81" s="67">
        <f t="shared" si="1"/>
        <v>0</v>
      </c>
      <c r="H81" s="67">
        <f t="shared" si="2"/>
        <v>0</v>
      </c>
      <c r="I81" s="67">
        <f t="shared" si="3"/>
        <v>0.13515619631659687</v>
      </c>
      <c r="J81" s="67">
        <f t="shared" si="4"/>
        <v>2.5045098863473111E-2</v>
      </c>
      <c r="K81" s="100">
        <f t="shared" si="6"/>
        <v>1.6696732575648739E-2</v>
      </c>
      <c r="O81" s="96">
        <f>Amnt_Deposited!B76</f>
        <v>2062</v>
      </c>
      <c r="P81" s="99">
        <f>Amnt_Deposited!E76</f>
        <v>0</v>
      </c>
      <c r="Q81" s="283">
        <f>MCF!R80</f>
        <v>0.78500000000000003</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Amnt_Deposited!D77</f>
        <v>0</v>
      </c>
      <c r="D82" s="417">
        <f>Dry_Matter_Content!E69</f>
        <v>0.44</v>
      </c>
      <c r="E82" s="283">
        <f>MCF!R81</f>
        <v>0.78500000000000003</v>
      </c>
      <c r="F82" s="67">
        <f t="shared" si="0"/>
        <v>0</v>
      </c>
      <c r="G82" s="67">
        <f t="shared" si="1"/>
        <v>0</v>
      </c>
      <c r="H82" s="67">
        <f t="shared" si="2"/>
        <v>0</v>
      </c>
      <c r="I82" s="67">
        <f t="shared" si="3"/>
        <v>0.11402652757730652</v>
      </c>
      <c r="J82" s="67">
        <f t="shared" si="4"/>
        <v>2.1129668739290342E-2</v>
      </c>
      <c r="K82" s="100">
        <f t="shared" si="6"/>
        <v>1.4086445826193561E-2</v>
      </c>
      <c r="O82" s="96">
        <f>Amnt_Deposited!B77</f>
        <v>2063</v>
      </c>
      <c r="P82" s="99">
        <f>Amnt_Deposited!E77</f>
        <v>0</v>
      </c>
      <c r="Q82" s="283">
        <f>MCF!R81</f>
        <v>0.78500000000000003</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Amnt_Deposited!D78</f>
        <v>0</v>
      </c>
      <c r="D83" s="417">
        <f>Dry_Matter_Content!E70</f>
        <v>0.44</v>
      </c>
      <c r="E83" s="283">
        <f>MCF!R82</f>
        <v>0.78500000000000003</v>
      </c>
      <c r="F83" s="67">
        <f t="shared" ref="F83:F99" si="12">C83*D83*$K$6*DOCF*E83</f>
        <v>0</v>
      </c>
      <c r="G83" s="67">
        <f t="shared" ref="G83:G99" si="13">F83*$K$12</f>
        <v>0</v>
      </c>
      <c r="H83" s="67">
        <f t="shared" ref="H83:H99" si="14">F83*(1-$K$12)</f>
        <v>0</v>
      </c>
      <c r="I83" s="67">
        <f t="shared" ref="I83:I99" si="15">G83+I82*$K$10</f>
        <v>9.6200169475630801E-2</v>
      </c>
      <c r="J83" s="67">
        <f t="shared" ref="J83:J99" si="16">I82*(1-$K$10)+H83</f>
        <v>1.7826358101675727E-2</v>
      </c>
      <c r="K83" s="100">
        <f t="shared" si="6"/>
        <v>1.1884238734450485E-2</v>
      </c>
      <c r="O83" s="96">
        <f>Amnt_Deposited!B78</f>
        <v>2064</v>
      </c>
      <c r="P83" s="99">
        <f>Amnt_Deposited!E78</f>
        <v>0</v>
      </c>
      <c r="Q83" s="283">
        <f>MCF!R82</f>
        <v>0.78500000000000003</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Amnt_Deposited!D79</f>
        <v>0</v>
      </c>
      <c r="D84" s="417">
        <f>Dry_Matter_Content!E71</f>
        <v>0.44</v>
      </c>
      <c r="E84" s="283">
        <f>MCF!R83</f>
        <v>0.78500000000000003</v>
      </c>
      <c r="F84" s="67">
        <f t="shared" si="12"/>
        <v>0</v>
      </c>
      <c r="G84" s="67">
        <f t="shared" si="13"/>
        <v>0</v>
      </c>
      <c r="H84" s="67">
        <f t="shared" si="14"/>
        <v>0</v>
      </c>
      <c r="I84" s="67">
        <f t="shared" si="15"/>
        <v>8.1160698337199091E-2</v>
      </c>
      <c r="J84" s="67">
        <f t="shared" si="16"/>
        <v>1.5039471138431711E-2</v>
      </c>
      <c r="K84" s="100">
        <f t="shared" si="6"/>
        <v>1.0026314092287807E-2</v>
      </c>
      <c r="O84" s="96">
        <f>Amnt_Deposited!B79</f>
        <v>2065</v>
      </c>
      <c r="P84" s="99">
        <f>Amnt_Deposited!E79</f>
        <v>0</v>
      </c>
      <c r="Q84" s="283">
        <f>MCF!R83</f>
        <v>0.78500000000000003</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Amnt_Deposited!D80</f>
        <v>0</v>
      </c>
      <c r="D85" s="417">
        <f>Dry_Matter_Content!E72</f>
        <v>0.44</v>
      </c>
      <c r="E85" s="283">
        <f>MCF!R84</f>
        <v>0.78500000000000003</v>
      </c>
      <c r="F85" s="67">
        <f t="shared" si="12"/>
        <v>0</v>
      </c>
      <c r="G85" s="67">
        <f t="shared" si="13"/>
        <v>0</v>
      </c>
      <c r="H85" s="67">
        <f t="shared" si="14"/>
        <v>0</v>
      </c>
      <c r="I85" s="67">
        <f t="shared" si="15"/>
        <v>6.84724256774875E-2</v>
      </c>
      <c r="J85" s="67">
        <f t="shared" si="16"/>
        <v>1.2688272659711597E-2</v>
      </c>
      <c r="K85" s="100">
        <f t="shared" ref="K85:K99" si="18">J85*CH4_fraction*conv</f>
        <v>8.4588484398077299E-3</v>
      </c>
      <c r="O85" s="96">
        <f>Amnt_Deposited!B80</f>
        <v>2066</v>
      </c>
      <c r="P85" s="99">
        <f>Amnt_Deposited!E80</f>
        <v>0</v>
      </c>
      <c r="Q85" s="283">
        <f>MCF!R84</f>
        <v>0.78500000000000003</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Amnt_Deposited!D81</f>
        <v>0</v>
      </c>
      <c r="D86" s="417">
        <f>Dry_Matter_Content!E73</f>
        <v>0.44</v>
      </c>
      <c r="E86" s="283">
        <f>MCF!R85</f>
        <v>0.78500000000000003</v>
      </c>
      <c r="F86" s="67">
        <f t="shared" si="12"/>
        <v>0</v>
      </c>
      <c r="G86" s="67">
        <f t="shared" si="13"/>
        <v>0</v>
      </c>
      <c r="H86" s="67">
        <f t="shared" si="14"/>
        <v>0</v>
      </c>
      <c r="I86" s="67">
        <f t="shared" si="15"/>
        <v>5.7767776451107006E-2</v>
      </c>
      <c r="J86" s="67">
        <f t="shared" si="16"/>
        <v>1.0704649226380494E-2</v>
      </c>
      <c r="K86" s="100">
        <f t="shared" si="18"/>
        <v>7.1364328175869962E-3</v>
      </c>
      <c r="O86" s="96">
        <f>Amnt_Deposited!B81</f>
        <v>2067</v>
      </c>
      <c r="P86" s="99">
        <f>Amnt_Deposited!E81</f>
        <v>0</v>
      </c>
      <c r="Q86" s="283">
        <f>MCF!R85</f>
        <v>0.78500000000000003</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Amnt_Deposited!D82</f>
        <v>0</v>
      </c>
      <c r="D87" s="417">
        <f>Dry_Matter_Content!E74</f>
        <v>0.44</v>
      </c>
      <c r="E87" s="283">
        <f>MCF!R86</f>
        <v>0.78500000000000003</v>
      </c>
      <c r="F87" s="67">
        <f t="shared" si="12"/>
        <v>0</v>
      </c>
      <c r="G87" s="67">
        <f t="shared" si="13"/>
        <v>0</v>
      </c>
      <c r="H87" s="67">
        <f t="shared" si="14"/>
        <v>0</v>
      </c>
      <c r="I87" s="67">
        <f t="shared" si="15"/>
        <v>4.8736640524804087E-2</v>
      </c>
      <c r="J87" s="67">
        <f t="shared" si="16"/>
        <v>9.0311359263029207E-3</v>
      </c>
      <c r="K87" s="100">
        <f t="shared" si="18"/>
        <v>6.0207572842019465E-3</v>
      </c>
      <c r="O87" s="96">
        <f>Amnt_Deposited!B82</f>
        <v>2068</v>
      </c>
      <c r="P87" s="99">
        <f>Amnt_Deposited!E82</f>
        <v>0</v>
      </c>
      <c r="Q87" s="283">
        <f>MCF!R86</f>
        <v>0.78500000000000003</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Amnt_Deposited!D83</f>
        <v>0</v>
      </c>
      <c r="D88" s="417">
        <f>Dry_Matter_Content!E75</f>
        <v>0.44</v>
      </c>
      <c r="E88" s="283">
        <f>MCF!R87</f>
        <v>0.78500000000000003</v>
      </c>
      <c r="F88" s="67">
        <f t="shared" si="12"/>
        <v>0</v>
      </c>
      <c r="G88" s="67">
        <f t="shared" si="13"/>
        <v>0</v>
      </c>
      <c r="H88" s="67">
        <f t="shared" si="14"/>
        <v>0</v>
      </c>
      <c r="I88" s="67">
        <f t="shared" si="15"/>
        <v>4.1117388889882721E-2</v>
      </c>
      <c r="J88" s="67">
        <f t="shared" si="16"/>
        <v>7.6192516349213651E-3</v>
      </c>
      <c r="K88" s="100">
        <f t="shared" si="18"/>
        <v>5.0795010899475765E-3</v>
      </c>
      <c r="O88" s="96">
        <f>Amnt_Deposited!B83</f>
        <v>2069</v>
      </c>
      <c r="P88" s="99">
        <f>Amnt_Deposited!E83</f>
        <v>0</v>
      </c>
      <c r="Q88" s="283">
        <f>MCF!R87</f>
        <v>0.78500000000000003</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Amnt_Deposited!D84</f>
        <v>0</v>
      </c>
      <c r="D89" s="417">
        <f>Dry_Matter_Content!E76</f>
        <v>0.44</v>
      </c>
      <c r="E89" s="283">
        <f>MCF!R88</f>
        <v>0.78500000000000003</v>
      </c>
      <c r="F89" s="67">
        <f t="shared" si="12"/>
        <v>0</v>
      </c>
      <c r="G89" s="67">
        <f t="shared" si="13"/>
        <v>0</v>
      </c>
      <c r="H89" s="67">
        <f t="shared" si="14"/>
        <v>0</v>
      </c>
      <c r="I89" s="67">
        <f t="shared" si="15"/>
        <v>3.4689294356705092E-2</v>
      </c>
      <c r="J89" s="67">
        <f t="shared" si="16"/>
        <v>6.4280945331776302E-3</v>
      </c>
      <c r="K89" s="100">
        <f t="shared" si="18"/>
        <v>4.2853963554517534E-3</v>
      </c>
      <c r="O89" s="96">
        <f>Amnt_Deposited!B84</f>
        <v>2070</v>
      </c>
      <c r="P89" s="99">
        <f>Amnt_Deposited!E84</f>
        <v>0</v>
      </c>
      <c r="Q89" s="283">
        <f>MCF!R88</f>
        <v>0.78500000000000003</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Amnt_Deposited!D85</f>
        <v>0</v>
      </c>
      <c r="D90" s="417">
        <f>Dry_Matter_Content!E77</f>
        <v>0.44</v>
      </c>
      <c r="E90" s="283">
        <f>MCF!R89</f>
        <v>0.78500000000000003</v>
      </c>
      <c r="F90" s="67">
        <f t="shared" si="12"/>
        <v>0</v>
      </c>
      <c r="G90" s="67">
        <f t="shared" si="13"/>
        <v>0</v>
      </c>
      <c r="H90" s="67">
        <f t="shared" si="14"/>
        <v>0</v>
      </c>
      <c r="I90" s="67">
        <f t="shared" si="15"/>
        <v>2.9266137161307569E-2</v>
      </c>
      <c r="J90" s="67">
        <f t="shared" si="16"/>
        <v>5.4231571953975224E-3</v>
      </c>
      <c r="K90" s="100">
        <f t="shared" si="18"/>
        <v>3.6154381302650148E-3</v>
      </c>
      <c r="O90" s="96">
        <f>Amnt_Deposited!B85</f>
        <v>2071</v>
      </c>
      <c r="P90" s="99">
        <f>Amnt_Deposited!E85</f>
        <v>0</v>
      </c>
      <c r="Q90" s="283">
        <f>MCF!R89</f>
        <v>0.78500000000000003</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Amnt_Deposited!D86</f>
        <v>0</v>
      </c>
      <c r="D91" s="417">
        <f>Dry_Matter_Content!E78</f>
        <v>0.44</v>
      </c>
      <c r="E91" s="283">
        <f>MCF!R90</f>
        <v>0.78500000000000003</v>
      </c>
      <c r="F91" s="67">
        <f t="shared" si="12"/>
        <v>0</v>
      </c>
      <c r="G91" s="67">
        <f t="shared" si="13"/>
        <v>0</v>
      </c>
      <c r="H91" s="67">
        <f t="shared" si="14"/>
        <v>0</v>
      </c>
      <c r="I91" s="67">
        <f t="shared" si="15"/>
        <v>2.4690810240679161E-2</v>
      </c>
      <c r="J91" s="67">
        <f t="shared" si="16"/>
        <v>4.5753269206284088E-3</v>
      </c>
      <c r="K91" s="100">
        <f t="shared" si="18"/>
        <v>3.0502179470856057E-3</v>
      </c>
      <c r="O91" s="96">
        <f>Amnt_Deposited!B86</f>
        <v>2072</v>
      </c>
      <c r="P91" s="99">
        <f>Amnt_Deposited!E86</f>
        <v>0</v>
      </c>
      <c r="Q91" s="283">
        <f>MCF!R90</f>
        <v>0.78500000000000003</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Amnt_Deposited!D87</f>
        <v>0</v>
      </c>
      <c r="D92" s="417">
        <f>Dry_Matter_Content!E79</f>
        <v>0.44</v>
      </c>
      <c r="E92" s="283">
        <f>MCF!R91</f>
        <v>0.78500000000000003</v>
      </c>
      <c r="F92" s="67">
        <f t="shared" si="12"/>
        <v>0</v>
      </c>
      <c r="G92" s="67">
        <f t="shared" si="13"/>
        <v>0</v>
      </c>
      <c r="H92" s="67">
        <f t="shared" si="14"/>
        <v>0</v>
      </c>
      <c r="I92" s="67">
        <f t="shared" si="15"/>
        <v>2.0830767893318697E-2</v>
      </c>
      <c r="J92" s="67">
        <f t="shared" si="16"/>
        <v>3.8600423473604639E-3</v>
      </c>
      <c r="K92" s="100">
        <f t="shared" si="18"/>
        <v>2.5733615649069759E-3</v>
      </c>
      <c r="O92" s="96">
        <f>Amnt_Deposited!B87</f>
        <v>2073</v>
      </c>
      <c r="P92" s="99">
        <f>Amnt_Deposited!E87</f>
        <v>0</v>
      </c>
      <c r="Q92" s="283">
        <f>MCF!R91</f>
        <v>0.78500000000000003</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Amnt_Deposited!D88</f>
        <v>0</v>
      </c>
      <c r="D93" s="417">
        <f>Dry_Matter_Content!E80</f>
        <v>0.44</v>
      </c>
      <c r="E93" s="283">
        <f>MCF!R92</f>
        <v>0.78500000000000003</v>
      </c>
      <c r="F93" s="67">
        <f t="shared" si="12"/>
        <v>0</v>
      </c>
      <c r="G93" s="67">
        <f t="shared" si="13"/>
        <v>0</v>
      </c>
      <c r="H93" s="67">
        <f t="shared" si="14"/>
        <v>0</v>
      </c>
      <c r="I93" s="67">
        <f t="shared" si="15"/>
        <v>1.7574185974278556E-2</v>
      </c>
      <c r="J93" s="67">
        <f t="shared" si="16"/>
        <v>3.2565819190401401E-3</v>
      </c>
      <c r="K93" s="100">
        <f t="shared" si="18"/>
        <v>2.1710546126934268E-3</v>
      </c>
      <c r="O93" s="96">
        <f>Amnt_Deposited!B88</f>
        <v>2074</v>
      </c>
      <c r="P93" s="99">
        <f>Amnt_Deposited!E88</f>
        <v>0</v>
      </c>
      <c r="Q93" s="283">
        <f>MCF!R92</f>
        <v>0.78500000000000003</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Amnt_Deposited!D89</f>
        <v>0</v>
      </c>
      <c r="D94" s="417">
        <f>Dry_Matter_Content!E81</f>
        <v>0.44</v>
      </c>
      <c r="E94" s="283">
        <f>MCF!R93</f>
        <v>0.78500000000000003</v>
      </c>
      <c r="F94" s="67">
        <f t="shared" si="12"/>
        <v>0</v>
      </c>
      <c r="G94" s="67">
        <f t="shared" si="13"/>
        <v>0</v>
      </c>
      <c r="H94" s="67">
        <f t="shared" si="14"/>
        <v>0</v>
      </c>
      <c r="I94" s="67">
        <f t="shared" si="15"/>
        <v>1.4826722386820456E-2</v>
      </c>
      <c r="J94" s="67">
        <f t="shared" si="16"/>
        <v>2.7474635874580994E-3</v>
      </c>
      <c r="K94" s="100">
        <f t="shared" si="18"/>
        <v>1.8316423916387328E-3</v>
      </c>
      <c r="O94" s="96">
        <f>Amnt_Deposited!B89</f>
        <v>2075</v>
      </c>
      <c r="P94" s="99">
        <f>Amnt_Deposited!E89</f>
        <v>0</v>
      </c>
      <c r="Q94" s="283">
        <f>MCF!R93</f>
        <v>0.78500000000000003</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Amnt_Deposited!D90</f>
        <v>0</v>
      </c>
      <c r="D95" s="417">
        <f>Dry_Matter_Content!E82</f>
        <v>0.44</v>
      </c>
      <c r="E95" s="283">
        <f>MCF!R94</f>
        <v>0.78500000000000003</v>
      </c>
      <c r="F95" s="67">
        <f t="shared" si="12"/>
        <v>0</v>
      </c>
      <c r="G95" s="67">
        <f t="shared" si="13"/>
        <v>0</v>
      </c>
      <c r="H95" s="67">
        <f t="shared" si="14"/>
        <v>0</v>
      </c>
      <c r="I95" s="67">
        <f t="shared" si="15"/>
        <v>1.2508784023202376E-2</v>
      </c>
      <c r="J95" s="67">
        <f t="shared" si="16"/>
        <v>2.3179383636180795E-3</v>
      </c>
      <c r="K95" s="100">
        <f t="shared" si="18"/>
        <v>1.5452922424120529E-3</v>
      </c>
      <c r="O95" s="96">
        <f>Amnt_Deposited!B90</f>
        <v>2076</v>
      </c>
      <c r="P95" s="99">
        <f>Amnt_Deposited!E90</f>
        <v>0</v>
      </c>
      <c r="Q95" s="283">
        <f>MCF!R94</f>
        <v>0.78500000000000003</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Amnt_Deposited!D91</f>
        <v>0</v>
      </c>
      <c r="D96" s="417">
        <f>Dry_Matter_Content!E83</f>
        <v>0.44</v>
      </c>
      <c r="E96" s="283">
        <f>MCF!R95</f>
        <v>0.78500000000000003</v>
      </c>
      <c r="F96" s="67">
        <f t="shared" si="12"/>
        <v>0</v>
      </c>
      <c r="G96" s="67">
        <f t="shared" si="13"/>
        <v>0</v>
      </c>
      <c r="H96" s="67">
        <f t="shared" si="14"/>
        <v>0</v>
      </c>
      <c r="I96" s="67">
        <f t="shared" si="15"/>
        <v>1.0553220978778807E-2</v>
      </c>
      <c r="J96" s="67">
        <f t="shared" si="16"/>
        <v>1.9555630444235686E-3</v>
      </c>
      <c r="K96" s="100">
        <f t="shared" si="18"/>
        <v>1.303708696282379E-3</v>
      </c>
      <c r="O96" s="96">
        <f>Amnt_Deposited!B91</f>
        <v>2077</v>
      </c>
      <c r="P96" s="99">
        <f>Amnt_Deposited!E91</f>
        <v>0</v>
      </c>
      <c r="Q96" s="283">
        <f>MCF!R95</f>
        <v>0.78500000000000003</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Amnt_Deposited!D92</f>
        <v>0</v>
      </c>
      <c r="D97" s="417">
        <f>Dry_Matter_Content!E84</f>
        <v>0.44</v>
      </c>
      <c r="E97" s="283">
        <f>MCF!R96</f>
        <v>0.78500000000000003</v>
      </c>
      <c r="F97" s="67">
        <f t="shared" si="12"/>
        <v>0</v>
      </c>
      <c r="G97" s="67">
        <f t="shared" si="13"/>
        <v>0</v>
      </c>
      <c r="H97" s="67">
        <f t="shared" si="14"/>
        <v>0</v>
      </c>
      <c r="I97" s="67">
        <f t="shared" si="15"/>
        <v>8.9033812415625305E-3</v>
      </c>
      <c r="J97" s="67">
        <f t="shared" si="16"/>
        <v>1.6498397372162758E-3</v>
      </c>
      <c r="K97" s="100">
        <f t="shared" si="18"/>
        <v>1.0998931581441837E-3</v>
      </c>
      <c r="O97" s="96">
        <f>Amnt_Deposited!B92</f>
        <v>2078</v>
      </c>
      <c r="P97" s="99">
        <f>Amnt_Deposited!E92</f>
        <v>0</v>
      </c>
      <c r="Q97" s="283">
        <f>MCF!R96</f>
        <v>0.78500000000000003</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Amnt_Deposited!D93</f>
        <v>0</v>
      </c>
      <c r="D98" s="417">
        <f>Dry_Matter_Content!E85</f>
        <v>0.44</v>
      </c>
      <c r="E98" s="283">
        <f>MCF!R97</f>
        <v>0.78500000000000003</v>
      </c>
      <c r="F98" s="67">
        <f t="shared" si="12"/>
        <v>0</v>
      </c>
      <c r="G98" s="67">
        <f t="shared" si="13"/>
        <v>0</v>
      </c>
      <c r="H98" s="67">
        <f t="shared" si="14"/>
        <v>0</v>
      </c>
      <c r="I98" s="67">
        <f t="shared" si="15"/>
        <v>7.5114695022505352E-3</v>
      </c>
      <c r="J98" s="67">
        <f t="shared" si="16"/>
        <v>1.3919117393119951E-3</v>
      </c>
      <c r="K98" s="100">
        <f t="shared" si="18"/>
        <v>9.2794115954133007E-4</v>
      </c>
      <c r="O98" s="96">
        <f>Amnt_Deposited!B93</f>
        <v>2079</v>
      </c>
      <c r="P98" s="99">
        <f>Amnt_Deposited!E93</f>
        <v>0</v>
      </c>
      <c r="Q98" s="283">
        <f>MCF!R97</f>
        <v>0.78500000000000003</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Amnt_Deposited!D94</f>
        <v>0</v>
      </c>
      <c r="D99" s="417">
        <f>Dry_Matter_Content!E86</f>
        <v>0.44</v>
      </c>
      <c r="E99" s="284">
        <f>MCF!R98</f>
        <v>0.78500000000000003</v>
      </c>
      <c r="F99" s="68">
        <f t="shared" si="12"/>
        <v>0</v>
      </c>
      <c r="G99" s="68">
        <f t="shared" si="13"/>
        <v>0</v>
      </c>
      <c r="H99" s="68">
        <f t="shared" si="14"/>
        <v>0</v>
      </c>
      <c r="I99" s="68">
        <f t="shared" si="15"/>
        <v>6.3371625399855271E-3</v>
      </c>
      <c r="J99" s="68">
        <f t="shared" si="16"/>
        <v>1.1743069622650079E-3</v>
      </c>
      <c r="K99" s="102">
        <f t="shared" si="18"/>
        <v>7.8287130817667188E-4</v>
      </c>
      <c r="O99" s="97">
        <f>Amnt_Deposited!B94</f>
        <v>2080</v>
      </c>
      <c r="P99" s="99">
        <f>Amnt_Deposited!E94</f>
        <v>0</v>
      </c>
      <c r="Q99" s="284">
        <f>MCF!R98</f>
        <v>0.78500000000000003</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1" customWidth="1"/>
    <col min="14" max="16384" width="8.85546875" style="6"/>
  </cols>
  <sheetData>
    <row r="2" spans="1:23" ht="15.75">
      <c r="B2" s="45" t="s">
        <v>312</v>
      </c>
      <c r="C2" s="223"/>
      <c r="D2" s="223"/>
      <c r="E2" s="224"/>
      <c r="F2" s="225"/>
      <c r="G2" s="225"/>
      <c r="H2" s="225"/>
      <c r="I2" s="225"/>
      <c r="J2" s="225"/>
      <c r="K2" s="225"/>
    </row>
    <row r="3" spans="1:23" ht="15">
      <c r="B3" s="242" t="str">
        <f>IF(Select2=2,"This sheet applies only to the waste compositon option and can be deleted when the bulk waste option has been chosen","")</f>
        <v/>
      </c>
      <c r="C3" s="223"/>
      <c r="D3" s="223"/>
      <c r="E3" s="224"/>
      <c r="F3" s="225"/>
      <c r="G3" s="225"/>
      <c r="H3" s="225"/>
      <c r="I3" s="225"/>
      <c r="J3" s="225"/>
      <c r="K3" s="225"/>
    </row>
    <row r="4" spans="1:23" ht="16.5" thickBot="1">
      <c r="B4" s="226"/>
      <c r="C4" s="227"/>
      <c r="D4" s="227"/>
      <c r="E4" s="256"/>
      <c r="F4" s="228"/>
      <c r="G4" s="228"/>
      <c r="H4" s="228"/>
      <c r="I4" s="228"/>
      <c r="J4" s="228"/>
      <c r="K4" s="228"/>
    </row>
    <row r="5" spans="1:23" ht="26.25" thickBot="1">
      <c r="B5" s="229"/>
      <c r="C5" s="230"/>
      <c r="D5" s="230"/>
      <c r="F5" s="231"/>
      <c r="G5" s="216"/>
      <c r="H5" s="216"/>
      <c r="I5" s="216"/>
      <c r="J5" s="216"/>
      <c r="K5" s="115" t="s">
        <v>7</v>
      </c>
      <c r="O5" s="229"/>
      <c r="P5" s="230"/>
      <c r="Q5" s="222"/>
      <c r="R5" s="231"/>
      <c r="S5" s="216"/>
      <c r="T5" s="216"/>
      <c r="U5" s="216"/>
      <c r="V5" s="216"/>
      <c r="W5" s="115" t="s">
        <v>7</v>
      </c>
    </row>
    <row r="6" spans="1:23">
      <c r="B6" s="229"/>
      <c r="C6" s="230"/>
      <c r="D6" s="230"/>
      <c r="F6" s="108" t="s">
        <v>9</v>
      </c>
      <c r="G6" s="109"/>
      <c r="H6" s="109"/>
      <c r="I6" s="113"/>
      <c r="J6" s="120" t="s">
        <v>9</v>
      </c>
      <c r="K6" s="260">
        <f>Parameters!O17</f>
        <v>0.49</v>
      </c>
      <c r="O6" s="229"/>
      <c r="P6" s="230"/>
      <c r="Q6" s="222"/>
      <c r="R6" s="108" t="s">
        <v>9</v>
      </c>
      <c r="S6" s="109"/>
      <c r="T6" s="109"/>
      <c r="U6" s="113"/>
      <c r="V6" s="120" t="s">
        <v>9</v>
      </c>
      <c r="W6" s="260">
        <f>Parameters!R17</f>
        <v>0.2</v>
      </c>
    </row>
    <row r="7" spans="1:23" ht="13.5" thickBot="1">
      <c r="B7" s="229"/>
      <c r="C7" s="230"/>
      <c r="D7" s="230"/>
      <c r="F7" s="250" t="s">
        <v>12</v>
      </c>
      <c r="G7" s="251"/>
      <c r="H7" s="251"/>
      <c r="I7" s="252"/>
      <c r="J7" s="253" t="s">
        <v>12</v>
      </c>
      <c r="K7" s="254">
        <f>DOCF</f>
        <v>0.5</v>
      </c>
      <c r="O7" s="229"/>
      <c r="P7" s="230"/>
      <c r="Q7" s="222"/>
      <c r="R7" s="250" t="s">
        <v>12</v>
      </c>
      <c r="S7" s="251"/>
      <c r="T7" s="251"/>
      <c r="U7" s="252"/>
      <c r="V7" s="253" t="s">
        <v>12</v>
      </c>
      <c r="W7" s="254">
        <f>DOCF</f>
        <v>0.5</v>
      </c>
    </row>
    <row r="8" spans="1:23">
      <c r="F8" s="108" t="s">
        <v>192</v>
      </c>
      <c r="G8" s="109"/>
      <c r="H8" s="109"/>
      <c r="I8" s="113"/>
      <c r="J8" s="120" t="s">
        <v>188</v>
      </c>
      <c r="K8" s="114">
        <f>Parameters!O36</f>
        <v>0.17</v>
      </c>
      <c r="O8" s="47"/>
      <c r="P8" s="47"/>
      <c r="Q8" s="222"/>
      <c r="R8" s="108" t="s">
        <v>192</v>
      </c>
      <c r="S8" s="109"/>
      <c r="T8" s="109"/>
      <c r="U8" s="113"/>
      <c r="V8" s="120" t="s">
        <v>188</v>
      </c>
      <c r="W8" s="114">
        <f>Parameters!O36</f>
        <v>0.17</v>
      </c>
    </row>
    <row r="9" spans="1:23" ht="15.75">
      <c r="F9" s="246" t="s">
        <v>190</v>
      </c>
      <c r="G9" s="247"/>
      <c r="H9" s="247"/>
      <c r="I9" s="248"/>
      <c r="J9" s="249" t="s">
        <v>189</v>
      </c>
      <c r="K9" s="255">
        <f>LN(2)/$K$8</f>
        <v>4.077336356234972</v>
      </c>
      <c r="O9" s="47"/>
      <c r="P9" s="47"/>
      <c r="Q9" s="222"/>
      <c r="R9" s="246" t="s">
        <v>190</v>
      </c>
      <c r="S9" s="247"/>
      <c r="T9" s="247"/>
      <c r="U9" s="248"/>
      <c r="V9" s="249" t="s">
        <v>189</v>
      </c>
      <c r="W9" s="255">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8" t="s">
        <v>239</v>
      </c>
      <c r="E15" s="53" t="s">
        <v>11</v>
      </c>
      <c r="F15" s="54" t="s">
        <v>180</v>
      </c>
      <c r="G15" s="54" t="s">
        <v>181</v>
      </c>
      <c r="H15" s="54" t="s">
        <v>182</v>
      </c>
      <c r="I15" s="54" t="s">
        <v>183</v>
      </c>
      <c r="J15" s="54" t="s">
        <v>184</v>
      </c>
      <c r="K15" s="245" t="s">
        <v>185</v>
      </c>
      <c r="O15" s="51" t="s">
        <v>1</v>
      </c>
      <c r="P15" s="52" t="s">
        <v>10</v>
      </c>
      <c r="Q15" s="53" t="s">
        <v>11</v>
      </c>
      <c r="R15" s="54" t="s">
        <v>180</v>
      </c>
      <c r="S15" s="54" t="s">
        <v>181</v>
      </c>
      <c r="T15" s="54" t="s">
        <v>182</v>
      </c>
      <c r="U15" s="54" t="s">
        <v>183</v>
      </c>
      <c r="V15" s="54" t="s">
        <v>184</v>
      </c>
      <c r="W15" s="245" t="s">
        <v>185</v>
      </c>
    </row>
    <row r="16" spans="1:23" ht="45">
      <c r="A16" s="232"/>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5">
        <f>Dry_Matter_Content!F6</f>
        <v>0.56999999999999995</v>
      </c>
      <c r="E19" s="282">
        <f>MCF!R18</f>
        <v>0.78500000000000003</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Amnt_Deposited!F14</f>
        <v>0</v>
      </c>
      <c r="Q19" s="282">
        <f>MCF!R18</f>
        <v>0.78500000000000003</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7">
        <f>Dry_Matter_Content!F7</f>
        <v>0.56999999999999995</v>
      </c>
      <c r="E20" s="283">
        <f>MCF!R19</f>
        <v>0.78500000000000003</v>
      </c>
      <c r="F20" s="67">
        <f t="shared" si="0"/>
        <v>0</v>
      </c>
      <c r="G20" s="67">
        <f t="shared" si="1"/>
        <v>0</v>
      </c>
      <c r="H20" s="67">
        <f t="shared" si="2"/>
        <v>0</v>
      </c>
      <c r="I20" s="67">
        <f t="shared" si="3"/>
        <v>0</v>
      </c>
      <c r="J20" s="67">
        <f t="shared" si="4"/>
        <v>0</v>
      </c>
      <c r="K20" s="100">
        <f>J20*CH4_fraction*conv</f>
        <v>0</v>
      </c>
      <c r="M20" s="392"/>
      <c r="O20" s="96">
        <f>Amnt_Deposited!B15</f>
        <v>2001</v>
      </c>
      <c r="P20" s="99">
        <f>Amnt_Deposited!F15</f>
        <v>0</v>
      </c>
      <c r="Q20" s="283">
        <f>MCF!R19</f>
        <v>0.78500000000000003</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7">
        <f>Dry_Matter_Content!F8</f>
        <v>0.56999999999999995</v>
      </c>
      <c r="E21" s="283">
        <f>MCF!R20</f>
        <v>0.78500000000000003</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Amnt_Deposited!F16</f>
        <v>0</v>
      </c>
      <c r="Q21" s="283">
        <f>MCF!R20</f>
        <v>0.78500000000000003</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7">
        <f>Dry_Matter_Content!F9</f>
        <v>0.56999999999999995</v>
      </c>
      <c r="E22" s="283">
        <f>MCF!R21</f>
        <v>0.78500000000000003</v>
      </c>
      <c r="F22" s="67">
        <f t="shared" si="0"/>
        <v>0</v>
      </c>
      <c r="G22" s="67">
        <f t="shared" si="1"/>
        <v>0</v>
      </c>
      <c r="H22" s="67">
        <f t="shared" si="2"/>
        <v>0</v>
      </c>
      <c r="I22" s="67">
        <f t="shared" si="3"/>
        <v>0</v>
      </c>
      <c r="J22" s="67">
        <f t="shared" si="4"/>
        <v>0</v>
      </c>
      <c r="K22" s="100">
        <f t="shared" si="6"/>
        <v>0</v>
      </c>
      <c r="N22" s="257"/>
      <c r="O22" s="96">
        <f>Amnt_Deposited!B17</f>
        <v>2003</v>
      </c>
      <c r="P22" s="99">
        <f>Amnt_Deposited!F17</f>
        <v>0</v>
      </c>
      <c r="Q22" s="283">
        <f>MCF!R21</f>
        <v>0.78500000000000003</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7">
        <f>Dry_Matter_Content!F10</f>
        <v>0.56999999999999995</v>
      </c>
      <c r="E23" s="283">
        <f>MCF!R22</f>
        <v>0.78500000000000003</v>
      </c>
      <c r="F23" s="67">
        <f t="shared" si="0"/>
        <v>0</v>
      </c>
      <c r="G23" s="67">
        <f t="shared" si="1"/>
        <v>0</v>
      </c>
      <c r="H23" s="67">
        <f t="shared" si="2"/>
        <v>0</v>
      </c>
      <c r="I23" s="67">
        <f t="shared" si="3"/>
        <v>0</v>
      </c>
      <c r="J23" s="67">
        <f t="shared" si="4"/>
        <v>0</v>
      </c>
      <c r="K23" s="100">
        <f t="shared" si="6"/>
        <v>0</v>
      </c>
      <c r="N23" s="257"/>
      <c r="O23" s="96">
        <f>Amnt_Deposited!B18</f>
        <v>2004</v>
      </c>
      <c r="P23" s="99">
        <f>Amnt_Deposited!F18</f>
        <v>0</v>
      </c>
      <c r="Q23" s="283">
        <f>MCF!R22</f>
        <v>0.78500000000000003</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7">
        <f>Dry_Matter_Content!F11</f>
        <v>0.56999999999999995</v>
      </c>
      <c r="E24" s="283">
        <f>MCF!R23</f>
        <v>0.78500000000000003</v>
      </c>
      <c r="F24" s="67">
        <f t="shared" si="0"/>
        <v>0</v>
      </c>
      <c r="G24" s="67">
        <f t="shared" si="1"/>
        <v>0</v>
      </c>
      <c r="H24" s="67">
        <f t="shared" si="2"/>
        <v>0</v>
      </c>
      <c r="I24" s="67">
        <f t="shared" si="3"/>
        <v>0</v>
      </c>
      <c r="J24" s="67">
        <f t="shared" si="4"/>
        <v>0</v>
      </c>
      <c r="K24" s="100">
        <f t="shared" si="6"/>
        <v>0</v>
      </c>
      <c r="N24" s="257"/>
      <c r="O24" s="96">
        <f>Amnt_Deposited!B19</f>
        <v>2005</v>
      </c>
      <c r="P24" s="99">
        <f>Amnt_Deposited!F19</f>
        <v>0</v>
      </c>
      <c r="Q24" s="283">
        <f>MCF!R23</f>
        <v>0.78500000000000003</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7">
        <f>Dry_Matter_Content!F12</f>
        <v>0.56999999999999995</v>
      </c>
      <c r="E25" s="283">
        <f>MCF!R24</f>
        <v>0.78500000000000003</v>
      </c>
      <c r="F25" s="67">
        <f t="shared" si="0"/>
        <v>0</v>
      </c>
      <c r="G25" s="67">
        <f t="shared" si="1"/>
        <v>0</v>
      </c>
      <c r="H25" s="67">
        <f t="shared" si="2"/>
        <v>0</v>
      </c>
      <c r="I25" s="67">
        <f t="shared" si="3"/>
        <v>0</v>
      </c>
      <c r="J25" s="67">
        <f t="shared" si="4"/>
        <v>0</v>
      </c>
      <c r="K25" s="100">
        <f t="shared" si="6"/>
        <v>0</v>
      </c>
      <c r="N25" s="257"/>
      <c r="O25" s="96">
        <f>Amnt_Deposited!B20</f>
        <v>2006</v>
      </c>
      <c r="P25" s="99">
        <f>Amnt_Deposited!F20</f>
        <v>0</v>
      </c>
      <c r="Q25" s="283">
        <f>MCF!R24</f>
        <v>0.78500000000000003</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7">
        <f>Dry_Matter_Content!F13</f>
        <v>0.56999999999999995</v>
      </c>
      <c r="E26" s="283">
        <f>MCF!R25</f>
        <v>0.78500000000000003</v>
      </c>
      <c r="F26" s="67">
        <f t="shared" si="0"/>
        <v>0</v>
      </c>
      <c r="G26" s="67">
        <f t="shared" si="1"/>
        <v>0</v>
      </c>
      <c r="H26" s="67">
        <f t="shared" si="2"/>
        <v>0</v>
      </c>
      <c r="I26" s="67">
        <f t="shared" si="3"/>
        <v>0</v>
      </c>
      <c r="J26" s="67">
        <f t="shared" si="4"/>
        <v>0</v>
      </c>
      <c r="K26" s="100">
        <f t="shared" si="6"/>
        <v>0</v>
      </c>
      <c r="N26" s="257"/>
      <c r="O26" s="96">
        <f>Amnt_Deposited!B21</f>
        <v>2007</v>
      </c>
      <c r="P26" s="99">
        <f>Amnt_Deposited!F21</f>
        <v>0</v>
      </c>
      <c r="Q26" s="283">
        <f>MCF!R25</f>
        <v>0.78500000000000003</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7">
        <f>Dry_Matter_Content!F14</f>
        <v>0.56999999999999995</v>
      </c>
      <c r="E27" s="283">
        <f>MCF!R26</f>
        <v>0.78500000000000003</v>
      </c>
      <c r="F27" s="67">
        <f t="shared" si="0"/>
        <v>0</v>
      </c>
      <c r="G27" s="67">
        <f t="shared" si="1"/>
        <v>0</v>
      </c>
      <c r="H27" s="67">
        <f t="shared" si="2"/>
        <v>0</v>
      </c>
      <c r="I27" s="67">
        <f t="shared" si="3"/>
        <v>0</v>
      </c>
      <c r="J27" s="67">
        <f t="shared" si="4"/>
        <v>0</v>
      </c>
      <c r="K27" s="100">
        <f t="shared" si="6"/>
        <v>0</v>
      </c>
      <c r="N27" s="257"/>
      <c r="O27" s="96">
        <f>Amnt_Deposited!B22</f>
        <v>2008</v>
      </c>
      <c r="P27" s="99">
        <f>Amnt_Deposited!F22</f>
        <v>0</v>
      </c>
      <c r="Q27" s="283">
        <f>MCF!R26</f>
        <v>0.78500000000000003</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7">
        <f>Dry_Matter_Content!F15</f>
        <v>0.56999999999999995</v>
      </c>
      <c r="E28" s="283">
        <f>MCF!R27</f>
        <v>0.78500000000000003</v>
      </c>
      <c r="F28" s="67">
        <f t="shared" si="0"/>
        <v>0</v>
      </c>
      <c r="G28" s="67">
        <f t="shared" si="1"/>
        <v>0</v>
      </c>
      <c r="H28" s="67">
        <f t="shared" si="2"/>
        <v>0</v>
      </c>
      <c r="I28" s="67">
        <f t="shared" si="3"/>
        <v>0</v>
      </c>
      <c r="J28" s="67">
        <f t="shared" si="4"/>
        <v>0</v>
      </c>
      <c r="K28" s="100">
        <f t="shared" si="6"/>
        <v>0</v>
      </c>
      <c r="N28" s="257"/>
      <c r="O28" s="96">
        <f>Amnt_Deposited!B23</f>
        <v>2009</v>
      </c>
      <c r="P28" s="99">
        <f>Amnt_Deposited!F23</f>
        <v>0</v>
      </c>
      <c r="Q28" s="283">
        <f>MCF!R27</f>
        <v>0.78500000000000003</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7">
        <f>Dry_Matter_Content!F16</f>
        <v>0.56999999999999995</v>
      </c>
      <c r="E29" s="283">
        <f>MCF!R28</f>
        <v>0.78500000000000003</v>
      </c>
      <c r="F29" s="67">
        <f t="shared" si="0"/>
        <v>0</v>
      </c>
      <c r="G29" s="67">
        <f t="shared" si="1"/>
        <v>0</v>
      </c>
      <c r="H29" s="67">
        <f t="shared" si="2"/>
        <v>0</v>
      </c>
      <c r="I29" s="67">
        <f t="shared" si="3"/>
        <v>0</v>
      </c>
      <c r="J29" s="67">
        <f t="shared" si="4"/>
        <v>0</v>
      </c>
      <c r="K29" s="100">
        <f t="shared" si="6"/>
        <v>0</v>
      </c>
      <c r="O29" s="96">
        <f>Amnt_Deposited!B24</f>
        <v>2010</v>
      </c>
      <c r="P29" s="99">
        <f>Amnt_Deposited!F24</f>
        <v>0</v>
      </c>
      <c r="Q29" s="283">
        <f>MCF!R28</f>
        <v>0.78500000000000003</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7">
        <f>Dry_Matter_Content!F17</f>
        <v>0.56999999999999995</v>
      </c>
      <c r="E30" s="283">
        <f>MCF!R29</f>
        <v>0.78500000000000003</v>
      </c>
      <c r="F30" s="67">
        <f t="shared" si="0"/>
        <v>0</v>
      </c>
      <c r="G30" s="67">
        <f t="shared" si="1"/>
        <v>0</v>
      </c>
      <c r="H30" s="67">
        <f t="shared" si="2"/>
        <v>0</v>
      </c>
      <c r="I30" s="67">
        <f t="shared" si="3"/>
        <v>0</v>
      </c>
      <c r="J30" s="67">
        <f t="shared" si="4"/>
        <v>0</v>
      </c>
      <c r="K30" s="100">
        <f t="shared" si="6"/>
        <v>0</v>
      </c>
      <c r="O30" s="96">
        <f>Amnt_Deposited!B25</f>
        <v>2011</v>
      </c>
      <c r="P30" s="99">
        <f>Amnt_Deposited!F25</f>
        <v>0</v>
      </c>
      <c r="Q30" s="283">
        <f>MCF!R29</f>
        <v>0.78500000000000003</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7">
        <f>Dry_Matter_Content!F18</f>
        <v>0.56999999999999995</v>
      </c>
      <c r="E31" s="283">
        <f>MCF!R30</f>
        <v>0.78500000000000003</v>
      </c>
      <c r="F31" s="67">
        <f t="shared" si="0"/>
        <v>0</v>
      </c>
      <c r="G31" s="67">
        <f t="shared" si="1"/>
        <v>0</v>
      </c>
      <c r="H31" s="67">
        <f t="shared" si="2"/>
        <v>0</v>
      </c>
      <c r="I31" s="67">
        <f t="shared" si="3"/>
        <v>0</v>
      </c>
      <c r="J31" s="67">
        <f t="shared" si="4"/>
        <v>0</v>
      </c>
      <c r="K31" s="100">
        <f t="shared" si="6"/>
        <v>0</v>
      </c>
      <c r="O31" s="96">
        <f>Amnt_Deposited!B26</f>
        <v>2012</v>
      </c>
      <c r="P31" s="99">
        <f>Amnt_Deposited!F26</f>
        <v>0</v>
      </c>
      <c r="Q31" s="283">
        <f>MCF!R30</f>
        <v>0.78500000000000003</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7">
        <f>Dry_Matter_Content!F19</f>
        <v>0.56999999999999995</v>
      </c>
      <c r="E32" s="283">
        <f>MCF!R31</f>
        <v>0.78500000000000003</v>
      </c>
      <c r="F32" s="67">
        <f t="shared" si="0"/>
        <v>0</v>
      </c>
      <c r="G32" s="67">
        <f t="shared" si="1"/>
        <v>0</v>
      </c>
      <c r="H32" s="67">
        <f t="shared" si="2"/>
        <v>0</v>
      </c>
      <c r="I32" s="67">
        <f t="shared" si="3"/>
        <v>0</v>
      </c>
      <c r="J32" s="67">
        <f t="shared" si="4"/>
        <v>0</v>
      </c>
      <c r="K32" s="100">
        <f t="shared" si="6"/>
        <v>0</v>
      </c>
      <c r="O32" s="96">
        <f>Amnt_Deposited!B27</f>
        <v>2013</v>
      </c>
      <c r="P32" s="99">
        <f>Amnt_Deposited!F27</f>
        <v>0</v>
      </c>
      <c r="Q32" s="283">
        <f>MCF!R31</f>
        <v>0.78500000000000003</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7">
        <f>Dry_Matter_Content!F20</f>
        <v>0.56999999999999995</v>
      </c>
      <c r="E33" s="283">
        <f>MCF!R32</f>
        <v>0.78500000000000003</v>
      </c>
      <c r="F33" s="67">
        <f t="shared" si="0"/>
        <v>0</v>
      </c>
      <c r="G33" s="67">
        <f t="shared" si="1"/>
        <v>0</v>
      </c>
      <c r="H33" s="67">
        <f t="shared" si="2"/>
        <v>0</v>
      </c>
      <c r="I33" s="67">
        <f t="shared" si="3"/>
        <v>0</v>
      </c>
      <c r="J33" s="67">
        <f t="shared" si="4"/>
        <v>0</v>
      </c>
      <c r="K33" s="100">
        <f t="shared" si="6"/>
        <v>0</v>
      </c>
      <c r="O33" s="96">
        <f>Amnt_Deposited!B28</f>
        <v>2014</v>
      </c>
      <c r="P33" s="99">
        <f>Amnt_Deposited!F28</f>
        <v>0</v>
      </c>
      <c r="Q33" s="283">
        <f>MCF!R32</f>
        <v>0.78500000000000003</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7">
        <f>Dry_Matter_Content!F21</f>
        <v>0.56999999999999995</v>
      </c>
      <c r="E34" s="283">
        <f>MCF!R33</f>
        <v>0.78500000000000003</v>
      </c>
      <c r="F34" s="67">
        <f t="shared" si="0"/>
        <v>0</v>
      </c>
      <c r="G34" s="67">
        <f t="shared" si="1"/>
        <v>0</v>
      </c>
      <c r="H34" s="67">
        <f t="shared" si="2"/>
        <v>0</v>
      </c>
      <c r="I34" s="67">
        <f t="shared" si="3"/>
        <v>0</v>
      </c>
      <c r="J34" s="67">
        <f t="shared" si="4"/>
        <v>0</v>
      </c>
      <c r="K34" s="100">
        <f t="shared" si="6"/>
        <v>0</v>
      </c>
      <c r="O34" s="96">
        <f>Amnt_Deposited!B29</f>
        <v>2015</v>
      </c>
      <c r="P34" s="99">
        <f>Amnt_Deposited!F29</f>
        <v>0</v>
      </c>
      <c r="Q34" s="283">
        <f>MCF!R33</f>
        <v>0.78500000000000003</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7">
        <f>Dry_Matter_Content!F22</f>
        <v>0.56999999999999995</v>
      </c>
      <c r="E35" s="283">
        <f>MCF!R34</f>
        <v>0.78500000000000003</v>
      </c>
      <c r="F35" s="67">
        <f t="shared" si="0"/>
        <v>0</v>
      </c>
      <c r="G35" s="67">
        <f t="shared" si="1"/>
        <v>0</v>
      </c>
      <c r="H35" s="67">
        <f t="shared" si="2"/>
        <v>0</v>
      </c>
      <c r="I35" s="67">
        <f t="shared" si="3"/>
        <v>0</v>
      </c>
      <c r="J35" s="67">
        <f t="shared" si="4"/>
        <v>0</v>
      </c>
      <c r="K35" s="100">
        <f t="shared" si="6"/>
        <v>0</v>
      </c>
      <c r="O35" s="96">
        <f>Amnt_Deposited!B30</f>
        <v>2016</v>
      </c>
      <c r="P35" s="99">
        <f>Amnt_Deposited!F30</f>
        <v>0</v>
      </c>
      <c r="Q35" s="283">
        <f>MCF!R34</f>
        <v>0.78500000000000003</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7">
        <f>Dry_Matter_Content!F23</f>
        <v>0.56999999999999995</v>
      </c>
      <c r="E36" s="283">
        <f>MCF!R35</f>
        <v>0.78500000000000003</v>
      </c>
      <c r="F36" s="67">
        <f t="shared" si="0"/>
        <v>0</v>
      </c>
      <c r="G36" s="67">
        <f t="shared" si="1"/>
        <v>0</v>
      </c>
      <c r="H36" s="67">
        <f t="shared" si="2"/>
        <v>0</v>
      </c>
      <c r="I36" s="67">
        <f t="shared" si="3"/>
        <v>0</v>
      </c>
      <c r="J36" s="67">
        <f t="shared" si="4"/>
        <v>0</v>
      </c>
      <c r="K36" s="100">
        <f t="shared" si="6"/>
        <v>0</v>
      </c>
      <c r="O36" s="96">
        <f>Amnt_Deposited!B31</f>
        <v>2017</v>
      </c>
      <c r="P36" s="99">
        <f>Amnt_Deposited!F31</f>
        <v>0</v>
      </c>
      <c r="Q36" s="283">
        <f>MCF!R35</f>
        <v>0.78500000000000003</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17">
        <f>Dry_Matter_Content!F24</f>
        <v>0.56999999999999995</v>
      </c>
      <c r="E37" s="283">
        <f>MCF!R36</f>
        <v>0.78500000000000003</v>
      </c>
      <c r="F37" s="67">
        <f t="shared" si="0"/>
        <v>0</v>
      </c>
      <c r="G37" s="67">
        <f t="shared" si="1"/>
        <v>0</v>
      </c>
      <c r="H37" s="67">
        <f t="shared" si="2"/>
        <v>0</v>
      </c>
      <c r="I37" s="67">
        <f t="shared" si="3"/>
        <v>0</v>
      </c>
      <c r="J37" s="67">
        <f t="shared" si="4"/>
        <v>0</v>
      </c>
      <c r="K37" s="100">
        <f t="shared" si="6"/>
        <v>0</v>
      </c>
      <c r="O37" s="96">
        <f>Amnt_Deposited!B32</f>
        <v>2018</v>
      </c>
      <c r="P37" s="99">
        <f>Amnt_Deposited!F32</f>
        <v>0</v>
      </c>
      <c r="Q37" s="283">
        <f>MCF!R36</f>
        <v>0.78500000000000003</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17">
        <f>Dry_Matter_Content!F25</f>
        <v>0.56999999999999995</v>
      </c>
      <c r="E38" s="283">
        <f>MCF!R37</f>
        <v>0.78500000000000003</v>
      </c>
      <c r="F38" s="67">
        <f t="shared" si="0"/>
        <v>0</v>
      </c>
      <c r="G38" s="67">
        <f t="shared" si="1"/>
        <v>0</v>
      </c>
      <c r="H38" s="67">
        <f t="shared" si="2"/>
        <v>0</v>
      </c>
      <c r="I38" s="67">
        <f t="shared" si="3"/>
        <v>0</v>
      </c>
      <c r="J38" s="67">
        <f t="shared" si="4"/>
        <v>0</v>
      </c>
      <c r="K38" s="100">
        <f t="shared" si="6"/>
        <v>0</v>
      </c>
      <c r="O38" s="96">
        <f>Amnt_Deposited!B33</f>
        <v>2019</v>
      </c>
      <c r="P38" s="99">
        <f>Amnt_Deposited!F33</f>
        <v>0</v>
      </c>
      <c r="Q38" s="283">
        <f>MCF!R37</f>
        <v>0.78500000000000003</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17">
        <f>Dry_Matter_Content!F26</f>
        <v>0.56999999999999995</v>
      </c>
      <c r="E39" s="283">
        <f>MCF!R38</f>
        <v>0.78500000000000003</v>
      </c>
      <c r="F39" s="67">
        <f t="shared" si="0"/>
        <v>0</v>
      </c>
      <c r="G39" s="67">
        <f t="shared" si="1"/>
        <v>0</v>
      </c>
      <c r="H39" s="67">
        <f t="shared" si="2"/>
        <v>0</v>
      </c>
      <c r="I39" s="67">
        <f t="shared" si="3"/>
        <v>0</v>
      </c>
      <c r="J39" s="67">
        <f t="shared" si="4"/>
        <v>0</v>
      </c>
      <c r="K39" s="100">
        <f t="shared" si="6"/>
        <v>0</v>
      </c>
      <c r="O39" s="96">
        <f>Amnt_Deposited!B34</f>
        <v>2020</v>
      </c>
      <c r="P39" s="99">
        <f>Amnt_Deposited!F34</f>
        <v>0</v>
      </c>
      <c r="Q39" s="283">
        <f>MCF!R38</f>
        <v>0.78500000000000003</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17">
        <f>Dry_Matter_Content!F27</f>
        <v>0.56999999999999995</v>
      </c>
      <c r="E40" s="283">
        <f>MCF!R39</f>
        <v>0.78500000000000003</v>
      </c>
      <c r="F40" s="67">
        <f t="shared" si="0"/>
        <v>0</v>
      </c>
      <c r="G40" s="67">
        <f t="shared" si="1"/>
        <v>0</v>
      </c>
      <c r="H40" s="67">
        <f t="shared" si="2"/>
        <v>0</v>
      </c>
      <c r="I40" s="67">
        <f t="shared" si="3"/>
        <v>0</v>
      </c>
      <c r="J40" s="67">
        <f t="shared" si="4"/>
        <v>0</v>
      </c>
      <c r="K40" s="100">
        <f t="shared" si="6"/>
        <v>0</v>
      </c>
      <c r="O40" s="96">
        <f>Amnt_Deposited!B35</f>
        <v>2021</v>
      </c>
      <c r="P40" s="99">
        <f>Amnt_Deposited!F35</f>
        <v>0</v>
      </c>
      <c r="Q40" s="283">
        <f>MCF!R39</f>
        <v>0.78500000000000003</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17">
        <f>Dry_Matter_Content!F28</f>
        <v>0.56999999999999995</v>
      </c>
      <c r="E41" s="283">
        <f>MCF!R40</f>
        <v>0.78500000000000003</v>
      </c>
      <c r="F41" s="67">
        <f t="shared" si="0"/>
        <v>0</v>
      </c>
      <c r="G41" s="67">
        <f t="shared" si="1"/>
        <v>0</v>
      </c>
      <c r="H41" s="67">
        <f t="shared" si="2"/>
        <v>0</v>
      </c>
      <c r="I41" s="67">
        <f t="shared" si="3"/>
        <v>0</v>
      </c>
      <c r="J41" s="67">
        <f t="shared" si="4"/>
        <v>0</v>
      </c>
      <c r="K41" s="100">
        <f t="shared" si="6"/>
        <v>0</v>
      </c>
      <c r="O41" s="96">
        <f>Amnt_Deposited!B36</f>
        <v>2022</v>
      </c>
      <c r="P41" s="99">
        <f>Amnt_Deposited!F36</f>
        <v>0</v>
      </c>
      <c r="Q41" s="283">
        <f>MCF!R40</f>
        <v>0.78500000000000003</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17">
        <f>Dry_Matter_Content!F29</f>
        <v>0.56999999999999995</v>
      </c>
      <c r="E42" s="283">
        <f>MCF!R41</f>
        <v>0.78500000000000003</v>
      </c>
      <c r="F42" s="67">
        <f t="shared" si="0"/>
        <v>0</v>
      </c>
      <c r="G42" s="67">
        <f t="shared" si="1"/>
        <v>0</v>
      </c>
      <c r="H42" s="67">
        <f t="shared" si="2"/>
        <v>0</v>
      </c>
      <c r="I42" s="67">
        <f t="shared" si="3"/>
        <v>0</v>
      </c>
      <c r="J42" s="67">
        <f t="shared" si="4"/>
        <v>0</v>
      </c>
      <c r="K42" s="100">
        <f t="shared" si="6"/>
        <v>0</v>
      </c>
      <c r="O42" s="96">
        <f>Amnt_Deposited!B37</f>
        <v>2023</v>
      </c>
      <c r="P42" s="99">
        <f>Amnt_Deposited!F37</f>
        <v>0</v>
      </c>
      <c r="Q42" s="283">
        <f>MCF!R41</f>
        <v>0.78500000000000003</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17">
        <f>Dry_Matter_Content!F30</f>
        <v>0.56999999999999995</v>
      </c>
      <c r="E43" s="283">
        <f>MCF!R42</f>
        <v>0.78500000000000003</v>
      </c>
      <c r="F43" s="67">
        <f t="shared" si="0"/>
        <v>0</v>
      </c>
      <c r="G43" s="67">
        <f t="shared" si="1"/>
        <v>0</v>
      </c>
      <c r="H43" s="67">
        <f t="shared" si="2"/>
        <v>0</v>
      </c>
      <c r="I43" s="67">
        <f t="shared" si="3"/>
        <v>0</v>
      </c>
      <c r="J43" s="67">
        <f t="shared" si="4"/>
        <v>0</v>
      </c>
      <c r="K43" s="100">
        <f t="shared" si="6"/>
        <v>0</v>
      </c>
      <c r="O43" s="96">
        <f>Amnt_Deposited!B38</f>
        <v>2024</v>
      </c>
      <c r="P43" s="99">
        <f>Amnt_Deposited!F38</f>
        <v>0</v>
      </c>
      <c r="Q43" s="283">
        <f>MCF!R42</f>
        <v>0.78500000000000003</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17">
        <f>Dry_Matter_Content!F31</f>
        <v>0.56999999999999995</v>
      </c>
      <c r="E44" s="283">
        <f>MCF!R43</f>
        <v>0.78500000000000003</v>
      </c>
      <c r="F44" s="67">
        <f t="shared" si="0"/>
        <v>0</v>
      </c>
      <c r="G44" s="67">
        <f t="shared" si="1"/>
        <v>0</v>
      </c>
      <c r="H44" s="67">
        <f t="shared" si="2"/>
        <v>0</v>
      </c>
      <c r="I44" s="67">
        <f t="shared" si="3"/>
        <v>0</v>
      </c>
      <c r="J44" s="67">
        <f t="shared" si="4"/>
        <v>0</v>
      </c>
      <c r="K44" s="100">
        <f t="shared" si="6"/>
        <v>0</v>
      </c>
      <c r="O44" s="96">
        <f>Amnt_Deposited!B39</f>
        <v>2025</v>
      </c>
      <c r="P44" s="99">
        <f>Amnt_Deposited!F39</f>
        <v>0</v>
      </c>
      <c r="Q44" s="283">
        <f>MCF!R43</f>
        <v>0.78500000000000003</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17">
        <f>Dry_Matter_Content!F32</f>
        <v>0.56999999999999995</v>
      </c>
      <c r="E45" s="283">
        <f>MCF!R44</f>
        <v>0.78500000000000003</v>
      </c>
      <c r="F45" s="67">
        <f t="shared" si="0"/>
        <v>0</v>
      </c>
      <c r="G45" s="67">
        <f t="shared" si="1"/>
        <v>0</v>
      </c>
      <c r="H45" s="67">
        <f t="shared" si="2"/>
        <v>0</v>
      </c>
      <c r="I45" s="67">
        <f t="shared" si="3"/>
        <v>0</v>
      </c>
      <c r="J45" s="67">
        <f t="shared" si="4"/>
        <v>0</v>
      </c>
      <c r="K45" s="100">
        <f t="shared" si="6"/>
        <v>0</v>
      </c>
      <c r="O45" s="96">
        <f>Amnt_Deposited!B40</f>
        <v>2026</v>
      </c>
      <c r="P45" s="99">
        <f>Amnt_Deposited!F40</f>
        <v>0</v>
      </c>
      <c r="Q45" s="283">
        <f>MCF!R44</f>
        <v>0.78500000000000003</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17">
        <f>Dry_Matter_Content!F33</f>
        <v>0.56999999999999995</v>
      </c>
      <c r="E46" s="283">
        <f>MCF!R45</f>
        <v>0.78500000000000003</v>
      </c>
      <c r="F46" s="67">
        <f t="shared" si="0"/>
        <v>0</v>
      </c>
      <c r="G46" s="67">
        <f t="shared" si="1"/>
        <v>0</v>
      </c>
      <c r="H46" s="67">
        <f t="shared" si="2"/>
        <v>0</v>
      </c>
      <c r="I46" s="67">
        <f t="shared" si="3"/>
        <v>0</v>
      </c>
      <c r="J46" s="67">
        <f t="shared" si="4"/>
        <v>0</v>
      </c>
      <c r="K46" s="100">
        <f t="shared" si="6"/>
        <v>0</v>
      </c>
      <c r="O46" s="96">
        <f>Amnt_Deposited!B41</f>
        <v>2027</v>
      </c>
      <c r="P46" s="99">
        <f>Amnt_Deposited!F41</f>
        <v>0</v>
      </c>
      <c r="Q46" s="283">
        <f>MCF!R45</f>
        <v>0.78500000000000003</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17">
        <f>Dry_Matter_Content!F34</f>
        <v>0.56999999999999995</v>
      </c>
      <c r="E47" s="283">
        <f>MCF!R46</f>
        <v>0.78500000000000003</v>
      </c>
      <c r="F47" s="67">
        <f t="shared" si="0"/>
        <v>0</v>
      </c>
      <c r="G47" s="67">
        <f t="shared" si="1"/>
        <v>0</v>
      </c>
      <c r="H47" s="67">
        <f t="shared" si="2"/>
        <v>0</v>
      </c>
      <c r="I47" s="67">
        <f t="shared" si="3"/>
        <v>0</v>
      </c>
      <c r="J47" s="67">
        <f t="shared" si="4"/>
        <v>0</v>
      </c>
      <c r="K47" s="100">
        <f t="shared" si="6"/>
        <v>0</v>
      </c>
      <c r="O47" s="96">
        <f>Amnt_Deposited!B42</f>
        <v>2028</v>
      </c>
      <c r="P47" s="99">
        <f>Amnt_Deposited!F42</f>
        <v>0</v>
      </c>
      <c r="Q47" s="283">
        <f>MCF!R46</f>
        <v>0.78500000000000003</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17">
        <f>Dry_Matter_Content!F35</f>
        <v>0.56999999999999995</v>
      </c>
      <c r="E48" s="283">
        <f>MCF!R47</f>
        <v>0.78500000000000003</v>
      </c>
      <c r="F48" s="67">
        <f t="shared" si="0"/>
        <v>0</v>
      </c>
      <c r="G48" s="67">
        <f t="shared" si="1"/>
        <v>0</v>
      </c>
      <c r="H48" s="67">
        <f t="shared" si="2"/>
        <v>0</v>
      </c>
      <c r="I48" s="67">
        <f t="shared" si="3"/>
        <v>0</v>
      </c>
      <c r="J48" s="67">
        <f t="shared" si="4"/>
        <v>0</v>
      </c>
      <c r="K48" s="100">
        <f t="shared" si="6"/>
        <v>0</v>
      </c>
      <c r="O48" s="96">
        <f>Amnt_Deposited!B43</f>
        <v>2029</v>
      </c>
      <c r="P48" s="99">
        <f>Amnt_Deposited!F43</f>
        <v>0</v>
      </c>
      <c r="Q48" s="283">
        <f>MCF!R47</f>
        <v>0.78500000000000003</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17">
        <f>Dry_Matter_Content!F36</f>
        <v>0.56999999999999995</v>
      </c>
      <c r="E49" s="283">
        <f>MCF!R48</f>
        <v>0.78500000000000003</v>
      </c>
      <c r="F49" s="67">
        <f t="shared" si="0"/>
        <v>0</v>
      </c>
      <c r="G49" s="67">
        <f t="shared" si="1"/>
        <v>0</v>
      </c>
      <c r="H49" s="67">
        <f t="shared" si="2"/>
        <v>0</v>
      </c>
      <c r="I49" s="67">
        <f t="shared" si="3"/>
        <v>0</v>
      </c>
      <c r="J49" s="67">
        <f t="shared" si="4"/>
        <v>0</v>
      </c>
      <c r="K49" s="100">
        <f t="shared" si="6"/>
        <v>0</v>
      </c>
      <c r="O49" s="96">
        <f>Amnt_Deposited!B44</f>
        <v>2030</v>
      </c>
      <c r="P49" s="99">
        <f>Amnt_Deposited!F44</f>
        <v>0</v>
      </c>
      <c r="Q49" s="283">
        <f>MCF!R48</f>
        <v>0.78500000000000003</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17">
        <f>Dry_Matter_Content!F37</f>
        <v>0.56999999999999995</v>
      </c>
      <c r="E50" s="283">
        <f>MCF!R49</f>
        <v>0.78500000000000003</v>
      </c>
      <c r="F50" s="67">
        <f t="shared" si="0"/>
        <v>0</v>
      </c>
      <c r="G50" s="67">
        <f t="shared" si="1"/>
        <v>0</v>
      </c>
      <c r="H50" s="67">
        <f t="shared" si="2"/>
        <v>0</v>
      </c>
      <c r="I50" s="67">
        <f t="shared" si="3"/>
        <v>0</v>
      </c>
      <c r="J50" s="67">
        <f t="shared" si="4"/>
        <v>0</v>
      </c>
      <c r="K50" s="100">
        <f t="shared" si="6"/>
        <v>0</v>
      </c>
      <c r="O50" s="96">
        <f>Amnt_Deposited!B45</f>
        <v>2031</v>
      </c>
      <c r="P50" s="99">
        <f>Amnt_Deposited!F45</f>
        <v>0</v>
      </c>
      <c r="Q50" s="283">
        <f>MCF!R49</f>
        <v>0.78500000000000003</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17">
        <f>Dry_Matter_Content!F38</f>
        <v>0.56999999999999995</v>
      </c>
      <c r="E51" s="283">
        <f>MCF!R50</f>
        <v>0.78500000000000003</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Amnt_Deposited!F46</f>
        <v>0</v>
      </c>
      <c r="Q51" s="283">
        <f>MCF!R50</f>
        <v>0.78500000000000003</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Amnt_Deposited!F47</f>
        <v>0</v>
      </c>
      <c r="D52" s="417">
        <f>Dry_Matter_Content!F39</f>
        <v>0.56999999999999995</v>
      </c>
      <c r="E52" s="283">
        <f>MCF!R51</f>
        <v>0.78500000000000003</v>
      </c>
      <c r="F52" s="67">
        <f t="shared" si="12"/>
        <v>0</v>
      </c>
      <c r="G52" s="67">
        <f t="shared" si="1"/>
        <v>0</v>
      </c>
      <c r="H52" s="67">
        <f t="shared" si="2"/>
        <v>0</v>
      </c>
      <c r="I52" s="67">
        <f t="shared" si="3"/>
        <v>0</v>
      </c>
      <c r="J52" s="67">
        <f t="shared" si="4"/>
        <v>0</v>
      </c>
      <c r="K52" s="100">
        <f t="shared" si="6"/>
        <v>0</v>
      </c>
      <c r="O52" s="96">
        <f>Amnt_Deposited!B47</f>
        <v>2033</v>
      </c>
      <c r="P52" s="99">
        <f>Amnt_Deposited!F47</f>
        <v>0</v>
      </c>
      <c r="Q52" s="283">
        <f>MCF!R51</f>
        <v>0.78500000000000003</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Amnt_Deposited!F48</f>
        <v>0</v>
      </c>
      <c r="D53" s="417">
        <f>Dry_Matter_Content!F40</f>
        <v>0.56999999999999995</v>
      </c>
      <c r="E53" s="283">
        <f>MCF!R52</f>
        <v>0.78500000000000003</v>
      </c>
      <c r="F53" s="67">
        <f t="shared" si="12"/>
        <v>0</v>
      </c>
      <c r="G53" s="67">
        <f t="shared" si="1"/>
        <v>0</v>
      </c>
      <c r="H53" s="67">
        <f t="shared" si="2"/>
        <v>0</v>
      </c>
      <c r="I53" s="67">
        <f t="shared" si="3"/>
        <v>0</v>
      </c>
      <c r="J53" s="67">
        <f t="shared" si="4"/>
        <v>0</v>
      </c>
      <c r="K53" s="100">
        <f t="shared" si="6"/>
        <v>0</v>
      </c>
      <c r="O53" s="96">
        <f>Amnt_Deposited!B48</f>
        <v>2034</v>
      </c>
      <c r="P53" s="99">
        <f>Amnt_Deposited!F48</f>
        <v>0</v>
      </c>
      <c r="Q53" s="283">
        <f>MCF!R52</f>
        <v>0.78500000000000003</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Amnt_Deposited!F49</f>
        <v>0</v>
      </c>
      <c r="D54" s="417">
        <f>Dry_Matter_Content!F41</f>
        <v>0.56999999999999995</v>
      </c>
      <c r="E54" s="283">
        <f>MCF!R53</f>
        <v>0.78500000000000003</v>
      </c>
      <c r="F54" s="67">
        <f t="shared" si="12"/>
        <v>0</v>
      </c>
      <c r="G54" s="67">
        <f t="shared" si="1"/>
        <v>0</v>
      </c>
      <c r="H54" s="67">
        <f t="shared" si="2"/>
        <v>0</v>
      </c>
      <c r="I54" s="67">
        <f t="shared" si="3"/>
        <v>0</v>
      </c>
      <c r="J54" s="67">
        <f t="shared" si="4"/>
        <v>0</v>
      </c>
      <c r="K54" s="100">
        <f t="shared" si="6"/>
        <v>0</v>
      </c>
      <c r="O54" s="96">
        <f>Amnt_Deposited!B49</f>
        <v>2035</v>
      </c>
      <c r="P54" s="99">
        <f>Amnt_Deposited!F49</f>
        <v>0</v>
      </c>
      <c r="Q54" s="283">
        <f>MCF!R53</f>
        <v>0.78500000000000003</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Amnt_Deposited!F50</f>
        <v>0</v>
      </c>
      <c r="D55" s="417">
        <f>Dry_Matter_Content!F42</f>
        <v>0.56999999999999995</v>
      </c>
      <c r="E55" s="283">
        <f>MCF!R54</f>
        <v>0.78500000000000003</v>
      </c>
      <c r="F55" s="67">
        <f t="shared" si="12"/>
        <v>0</v>
      </c>
      <c r="G55" s="67">
        <f t="shared" si="1"/>
        <v>0</v>
      </c>
      <c r="H55" s="67">
        <f t="shared" si="2"/>
        <v>0</v>
      </c>
      <c r="I55" s="67">
        <f t="shared" si="3"/>
        <v>0</v>
      </c>
      <c r="J55" s="67">
        <f t="shared" si="4"/>
        <v>0</v>
      </c>
      <c r="K55" s="100">
        <f t="shared" si="6"/>
        <v>0</v>
      </c>
      <c r="O55" s="96">
        <f>Amnt_Deposited!B50</f>
        <v>2036</v>
      </c>
      <c r="P55" s="99">
        <f>Amnt_Deposited!F50</f>
        <v>0</v>
      </c>
      <c r="Q55" s="283">
        <f>MCF!R54</f>
        <v>0.78500000000000003</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Amnt_Deposited!F51</f>
        <v>0</v>
      </c>
      <c r="D56" s="417">
        <f>Dry_Matter_Content!F43</f>
        <v>0.56999999999999995</v>
      </c>
      <c r="E56" s="283">
        <f>MCF!R55</f>
        <v>0.78500000000000003</v>
      </c>
      <c r="F56" s="67">
        <f t="shared" si="12"/>
        <v>0</v>
      </c>
      <c r="G56" s="67">
        <f t="shared" si="1"/>
        <v>0</v>
      </c>
      <c r="H56" s="67">
        <f t="shared" si="2"/>
        <v>0</v>
      </c>
      <c r="I56" s="67">
        <f t="shared" si="3"/>
        <v>0</v>
      </c>
      <c r="J56" s="67">
        <f t="shared" si="4"/>
        <v>0</v>
      </c>
      <c r="K56" s="100">
        <f t="shared" si="6"/>
        <v>0</v>
      </c>
      <c r="O56" s="96">
        <f>Amnt_Deposited!B51</f>
        <v>2037</v>
      </c>
      <c r="P56" s="99">
        <f>Amnt_Deposited!F51</f>
        <v>0</v>
      </c>
      <c r="Q56" s="283">
        <f>MCF!R55</f>
        <v>0.78500000000000003</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Amnt_Deposited!F52</f>
        <v>0</v>
      </c>
      <c r="D57" s="417">
        <f>Dry_Matter_Content!F44</f>
        <v>0.56999999999999995</v>
      </c>
      <c r="E57" s="283">
        <f>MCF!R56</f>
        <v>0.78500000000000003</v>
      </c>
      <c r="F57" s="67">
        <f t="shared" si="12"/>
        <v>0</v>
      </c>
      <c r="G57" s="67">
        <f t="shared" si="1"/>
        <v>0</v>
      </c>
      <c r="H57" s="67">
        <f t="shared" si="2"/>
        <v>0</v>
      </c>
      <c r="I57" s="67">
        <f t="shared" si="3"/>
        <v>0</v>
      </c>
      <c r="J57" s="67">
        <f t="shared" si="4"/>
        <v>0</v>
      </c>
      <c r="K57" s="100">
        <f t="shared" si="6"/>
        <v>0</v>
      </c>
      <c r="O57" s="96">
        <f>Amnt_Deposited!B52</f>
        <v>2038</v>
      </c>
      <c r="P57" s="99">
        <f>Amnt_Deposited!F52</f>
        <v>0</v>
      </c>
      <c r="Q57" s="283">
        <f>MCF!R56</f>
        <v>0.78500000000000003</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Amnt_Deposited!F53</f>
        <v>0</v>
      </c>
      <c r="D58" s="417">
        <f>Dry_Matter_Content!F45</f>
        <v>0.56999999999999995</v>
      </c>
      <c r="E58" s="283">
        <f>MCF!R57</f>
        <v>0.78500000000000003</v>
      </c>
      <c r="F58" s="67">
        <f t="shared" si="12"/>
        <v>0</v>
      </c>
      <c r="G58" s="67">
        <f t="shared" si="1"/>
        <v>0</v>
      </c>
      <c r="H58" s="67">
        <f t="shared" si="2"/>
        <v>0</v>
      </c>
      <c r="I58" s="67">
        <f t="shared" si="3"/>
        <v>0</v>
      </c>
      <c r="J58" s="67">
        <f t="shared" si="4"/>
        <v>0</v>
      </c>
      <c r="K58" s="100">
        <f t="shared" si="6"/>
        <v>0</v>
      </c>
      <c r="O58" s="96">
        <f>Amnt_Deposited!B53</f>
        <v>2039</v>
      </c>
      <c r="P58" s="99">
        <f>Amnt_Deposited!F53</f>
        <v>0</v>
      </c>
      <c r="Q58" s="283">
        <f>MCF!R57</f>
        <v>0.78500000000000003</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Amnt_Deposited!F54</f>
        <v>0</v>
      </c>
      <c r="D59" s="417">
        <f>Dry_Matter_Content!F46</f>
        <v>0.56999999999999995</v>
      </c>
      <c r="E59" s="283">
        <f>MCF!R58</f>
        <v>0.78500000000000003</v>
      </c>
      <c r="F59" s="67">
        <f t="shared" si="12"/>
        <v>0</v>
      </c>
      <c r="G59" s="67">
        <f t="shared" si="1"/>
        <v>0</v>
      </c>
      <c r="H59" s="67">
        <f t="shared" si="2"/>
        <v>0</v>
      </c>
      <c r="I59" s="67">
        <f t="shared" si="3"/>
        <v>0</v>
      </c>
      <c r="J59" s="67">
        <f t="shared" si="4"/>
        <v>0</v>
      </c>
      <c r="K59" s="100">
        <f t="shared" si="6"/>
        <v>0</v>
      </c>
      <c r="O59" s="96">
        <f>Amnt_Deposited!B54</f>
        <v>2040</v>
      </c>
      <c r="P59" s="99">
        <f>Amnt_Deposited!F54</f>
        <v>0</v>
      </c>
      <c r="Q59" s="283">
        <f>MCF!R58</f>
        <v>0.78500000000000003</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Amnt_Deposited!F55</f>
        <v>0</v>
      </c>
      <c r="D60" s="417">
        <f>Dry_Matter_Content!F47</f>
        <v>0.56999999999999995</v>
      </c>
      <c r="E60" s="283">
        <f>MCF!R59</f>
        <v>0.78500000000000003</v>
      </c>
      <c r="F60" s="67">
        <f t="shared" si="12"/>
        <v>0</v>
      </c>
      <c r="G60" s="67">
        <f t="shared" si="1"/>
        <v>0</v>
      </c>
      <c r="H60" s="67">
        <f t="shared" si="2"/>
        <v>0</v>
      </c>
      <c r="I60" s="67">
        <f t="shared" si="3"/>
        <v>0</v>
      </c>
      <c r="J60" s="67">
        <f t="shared" si="4"/>
        <v>0</v>
      </c>
      <c r="K60" s="100">
        <f t="shared" si="6"/>
        <v>0</v>
      </c>
      <c r="O60" s="96">
        <f>Amnt_Deposited!B55</f>
        <v>2041</v>
      </c>
      <c r="P60" s="99">
        <f>Amnt_Deposited!F55</f>
        <v>0</v>
      </c>
      <c r="Q60" s="283">
        <f>MCF!R59</f>
        <v>0.78500000000000003</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Amnt_Deposited!F56</f>
        <v>0</v>
      </c>
      <c r="D61" s="417">
        <f>Dry_Matter_Content!F48</f>
        <v>0.56999999999999995</v>
      </c>
      <c r="E61" s="283">
        <f>MCF!R60</f>
        <v>0.78500000000000003</v>
      </c>
      <c r="F61" s="67">
        <f t="shared" si="12"/>
        <v>0</v>
      </c>
      <c r="G61" s="67">
        <f t="shared" si="1"/>
        <v>0</v>
      </c>
      <c r="H61" s="67">
        <f t="shared" si="2"/>
        <v>0</v>
      </c>
      <c r="I61" s="67">
        <f t="shared" si="3"/>
        <v>0</v>
      </c>
      <c r="J61" s="67">
        <f t="shared" si="4"/>
        <v>0</v>
      </c>
      <c r="K61" s="100">
        <f t="shared" si="6"/>
        <v>0</v>
      </c>
      <c r="O61" s="96">
        <f>Amnt_Deposited!B56</f>
        <v>2042</v>
      </c>
      <c r="P61" s="99">
        <f>Amnt_Deposited!F56</f>
        <v>0</v>
      </c>
      <c r="Q61" s="283">
        <f>MCF!R60</f>
        <v>0.78500000000000003</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Amnt_Deposited!F57</f>
        <v>0</v>
      </c>
      <c r="D62" s="417">
        <f>Dry_Matter_Content!F49</f>
        <v>0.56999999999999995</v>
      </c>
      <c r="E62" s="283">
        <f>MCF!R61</f>
        <v>0.78500000000000003</v>
      </c>
      <c r="F62" s="67">
        <f t="shared" si="12"/>
        <v>0</v>
      </c>
      <c r="G62" s="67">
        <f t="shared" si="1"/>
        <v>0</v>
      </c>
      <c r="H62" s="67">
        <f t="shared" si="2"/>
        <v>0</v>
      </c>
      <c r="I62" s="67">
        <f t="shared" si="3"/>
        <v>0</v>
      </c>
      <c r="J62" s="67">
        <f t="shared" si="4"/>
        <v>0</v>
      </c>
      <c r="K62" s="100">
        <f t="shared" si="6"/>
        <v>0</v>
      </c>
      <c r="O62" s="96">
        <f>Amnt_Deposited!B57</f>
        <v>2043</v>
      </c>
      <c r="P62" s="99">
        <f>Amnt_Deposited!F57</f>
        <v>0</v>
      </c>
      <c r="Q62" s="283">
        <f>MCF!R61</f>
        <v>0.78500000000000003</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Amnt_Deposited!F58</f>
        <v>0</v>
      </c>
      <c r="D63" s="417">
        <f>Dry_Matter_Content!F50</f>
        <v>0.56999999999999995</v>
      </c>
      <c r="E63" s="283">
        <f>MCF!R62</f>
        <v>0.78500000000000003</v>
      </c>
      <c r="F63" s="67">
        <f t="shared" si="12"/>
        <v>0</v>
      </c>
      <c r="G63" s="67">
        <f t="shared" si="1"/>
        <v>0</v>
      </c>
      <c r="H63" s="67">
        <f t="shared" si="2"/>
        <v>0</v>
      </c>
      <c r="I63" s="67">
        <f t="shared" si="3"/>
        <v>0</v>
      </c>
      <c r="J63" s="67">
        <f t="shared" si="4"/>
        <v>0</v>
      </c>
      <c r="K63" s="100">
        <f t="shared" si="6"/>
        <v>0</v>
      </c>
      <c r="O63" s="96">
        <f>Amnt_Deposited!B58</f>
        <v>2044</v>
      </c>
      <c r="P63" s="99">
        <f>Amnt_Deposited!F58</f>
        <v>0</v>
      </c>
      <c r="Q63" s="283">
        <f>MCF!R62</f>
        <v>0.78500000000000003</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Amnt_Deposited!F59</f>
        <v>0</v>
      </c>
      <c r="D64" s="417">
        <f>Dry_Matter_Content!F51</f>
        <v>0.56999999999999995</v>
      </c>
      <c r="E64" s="283">
        <f>MCF!R63</f>
        <v>0.78500000000000003</v>
      </c>
      <c r="F64" s="67">
        <f t="shared" si="12"/>
        <v>0</v>
      </c>
      <c r="G64" s="67">
        <f t="shared" si="1"/>
        <v>0</v>
      </c>
      <c r="H64" s="67">
        <f t="shared" si="2"/>
        <v>0</v>
      </c>
      <c r="I64" s="67">
        <f t="shared" si="3"/>
        <v>0</v>
      </c>
      <c r="J64" s="67">
        <f t="shared" si="4"/>
        <v>0</v>
      </c>
      <c r="K64" s="100">
        <f t="shared" si="6"/>
        <v>0</v>
      </c>
      <c r="O64" s="96">
        <f>Amnt_Deposited!B59</f>
        <v>2045</v>
      </c>
      <c r="P64" s="99">
        <f>Amnt_Deposited!F59</f>
        <v>0</v>
      </c>
      <c r="Q64" s="283">
        <f>MCF!R63</f>
        <v>0.78500000000000003</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Amnt_Deposited!F60</f>
        <v>0</v>
      </c>
      <c r="D65" s="417">
        <f>Dry_Matter_Content!F52</f>
        <v>0.56999999999999995</v>
      </c>
      <c r="E65" s="283">
        <f>MCF!R64</f>
        <v>0.78500000000000003</v>
      </c>
      <c r="F65" s="67">
        <f t="shared" si="12"/>
        <v>0</v>
      </c>
      <c r="G65" s="67">
        <f t="shared" si="1"/>
        <v>0</v>
      </c>
      <c r="H65" s="67">
        <f t="shared" si="2"/>
        <v>0</v>
      </c>
      <c r="I65" s="67">
        <f t="shared" si="3"/>
        <v>0</v>
      </c>
      <c r="J65" s="67">
        <f t="shared" si="4"/>
        <v>0</v>
      </c>
      <c r="K65" s="100">
        <f t="shared" si="6"/>
        <v>0</v>
      </c>
      <c r="O65" s="96">
        <f>Amnt_Deposited!B60</f>
        <v>2046</v>
      </c>
      <c r="P65" s="99">
        <f>Amnt_Deposited!F60</f>
        <v>0</v>
      </c>
      <c r="Q65" s="283">
        <f>MCF!R64</f>
        <v>0.78500000000000003</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Amnt_Deposited!F61</f>
        <v>0</v>
      </c>
      <c r="D66" s="417">
        <f>Dry_Matter_Content!F53</f>
        <v>0.56999999999999995</v>
      </c>
      <c r="E66" s="283">
        <f>MCF!R65</f>
        <v>0.78500000000000003</v>
      </c>
      <c r="F66" s="67">
        <f t="shared" si="12"/>
        <v>0</v>
      </c>
      <c r="G66" s="67">
        <f t="shared" si="1"/>
        <v>0</v>
      </c>
      <c r="H66" s="67">
        <f t="shared" si="2"/>
        <v>0</v>
      </c>
      <c r="I66" s="67">
        <f t="shared" si="3"/>
        <v>0</v>
      </c>
      <c r="J66" s="67">
        <f t="shared" si="4"/>
        <v>0</v>
      </c>
      <c r="K66" s="100">
        <f t="shared" si="6"/>
        <v>0</v>
      </c>
      <c r="O66" s="96">
        <f>Amnt_Deposited!B61</f>
        <v>2047</v>
      </c>
      <c r="P66" s="99">
        <f>Amnt_Deposited!F61</f>
        <v>0</v>
      </c>
      <c r="Q66" s="283">
        <f>MCF!R65</f>
        <v>0.78500000000000003</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Amnt_Deposited!F62</f>
        <v>0</v>
      </c>
      <c r="D67" s="417">
        <f>Dry_Matter_Content!F54</f>
        <v>0.56999999999999995</v>
      </c>
      <c r="E67" s="283">
        <f>MCF!R66</f>
        <v>0.78500000000000003</v>
      </c>
      <c r="F67" s="67">
        <f t="shared" si="12"/>
        <v>0</v>
      </c>
      <c r="G67" s="67">
        <f t="shared" si="1"/>
        <v>0</v>
      </c>
      <c r="H67" s="67">
        <f t="shared" si="2"/>
        <v>0</v>
      </c>
      <c r="I67" s="67">
        <f t="shared" si="3"/>
        <v>0</v>
      </c>
      <c r="J67" s="67">
        <f t="shared" si="4"/>
        <v>0</v>
      </c>
      <c r="K67" s="100">
        <f t="shared" si="6"/>
        <v>0</v>
      </c>
      <c r="O67" s="96">
        <f>Amnt_Deposited!B62</f>
        <v>2048</v>
      </c>
      <c r="P67" s="99">
        <f>Amnt_Deposited!F62</f>
        <v>0</v>
      </c>
      <c r="Q67" s="283">
        <f>MCF!R66</f>
        <v>0.78500000000000003</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Amnt_Deposited!F63</f>
        <v>0</v>
      </c>
      <c r="D68" s="417">
        <f>Dry_Matter_Content!F55</f>
        <v>0.56999999999999995</v>
      </c>
      <c r="E68" s="283">
        <f>MCF!R67</f>
        <v>0.78500000000000003</v>
      </c>
      <c r="F68" s="67">
        <f t="shared" si="12"/>
        <v>0</v>
      </c>
      <c r="G68" s="67">
        <f t="shared" si="1"/>
        <v>0</v>
      </c>
      <c r="H68" s="67">
        <f t="shared" si="2"/>
        <v>0</v>
      </c>
      <c r="I68" s="67">
        <f t="shared" si="3"/>
        <v>0</v>
      </c>
      <c r="J68" s="67">
        <f t="shared" si="4"/>
        <v>0</v>
      </c>
      <c r="K68" s="100">
        <f t="shared" si="6"/>
        <v>0</v>
      </c>
      <c r="O68" s="96">
        <f>Amnt_Deposited!B63</f>
        <v>2049</v>
      </c>
      <c r="P68" s="99">
        <f>Amnt_Deposited!F63</f>
        <v>0</v>
      </c>
      <c r="Q68" s="283">
        <f>MCF!R67</f>
        <v>0.78500000000000003</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Amnt_Deposited!F64</f>
        <v>0</v>
      </c>
      <c r="D69" s="417">
        <f>Dry_Matter_Content!F56</f>
        <v>0.56999999999999995</v>
      </c>
      <c r="E69" s="283">
        <f>MCF!R68</f>
        <v>0.78500000000000003</v>
      </c>
      <c r="F69" s="67">
        <f t="shared" si="12"/>
        <v>0</v>
      </c>
      <c r="G69" s="67">
        <f t="shared" si="1"/>
        <v>0</v>
      </c>
      <c r="H69" s="67">
        <f t="shared" si="2"/>
        <v>0</v>
      </c>
      <c r="I69" s="67">
        <f t="shared" si="3"/>
        <v>0</v>
      </c>
      <c r="J69" s="67">
        <f t="shared" si="4"/>
        <v>0</v>
      </c>
      <c r="K69" s="100">
        <f t="shared" si="6"/>
        <v>0</v>
      </c>
      <c r="O69" s="96">
        <f>Amnt_Deposited!B64</f>
        <v>2050</v>
      </c>
      <c r="P69" s="99">
        <f>Amnt_Deposited!F64</f>
        <v>0</v>
      </c>
      <c r="Q69" s="283">
        <f>MCF!R68</f>
        <v>0.78500000000000003</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Amnt_Deposited!F65</f>
        <v>0</v>
      </c>
      <c r="D70" s="417">
        <f>Dry_Matter_Content!F57</f>
        <v>0.56999999999999995</v>
      </c>
      <c r="E70" s="283">
        <f>MCF!R69</f>
        <v>0.78500000000000003</v>
      </c>
      <c r="F70" s="67">
        <f t="shared" si="12"/>
        <v>0</v>
      </c>
      <c r="G70" s="67">
        <f t="shared" si="1"/>
        <v>0</v>
      </c>
      <c r="H70" s="67">
        <f t="shared" si="2"/>
        <v>0</v>
      </c>
      <c r="I70" s="67">
        <f t="shared" si="3"/>
        <v>0</v>
      </c>
      <c r="J70" s="67">
        <f t="shared" si="4"/>
        <v>0</v>
      </c>
      <c r="K70" s="100">
        <f t="shared" si="6"/>
        <v>0</v>
      </c>
      <c r="O70" s="96">
        <f>Amnt_Deposited!B65</f>
        <v>2051</v>
      </c>
      <c r="P70" s="99">
        <f>Amnt_Deposited!F65</f>
        <v>0</v>
      </c>
      <c r="Q70" s="283">
        <f>MCF!R69</f>
        <v>0.78500000000000003</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Amnt_Deposited!F66</f>
        <v>0</v>
      </c>
      <c r="D71" s="417">
        <f>Dry_Matter_Content!F58</f>
        <v>0.56999999999999995</v>
      </c>
      <c r="E71" s="283">
        <f>MCF!R70</f>
        <v>0.78500000000000003</v>
      </c>
      <c r="F71" s="67">
        <f t="shared" si="12"/>
        <v>0</v>
      </c>
      <c r="G71" s="67">
        <f t="shared" si="1"/>
        <v>0</v>
      </c>
      <c r="H71" s="67">
        <f t="shared" si="2"/>
        <v>0</v>
      </c>
      <c r="I71" s="67">
        <f t="shared" si="3"/>
        <v>0</v>
      </c>
      <c r="J71" s="67">
        <f t="shared" si="4"/>
        <v>0</v>
      </c>
      <c r="K71" s="100">
        <f t="shared" si="6"/>
        <v>0</v>
      </c>
      <c r="O71" s="96">
        <f>Amnt_Deposited!B66</f>
        <v>2052</v>
      </c>
      <c r="P71" s="99">
        <f>Amnt_Deposited!F66</f>
        <v>0</v>
      </c>
      <c r="Q71" s="283">
        <f>MCF!R70</f>
        <v>0.78500000000000003</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Amnt_Deposited!F67</f>
        <v>0</v>
      </c>
      <c r="D72" s="417">
        <f>Dry_Matter_Content!F59</f>
        <v>0.56999999999999995</v>
      </c>
      <c r="E72" s="283">
        <f>MCF!R71</f>
        <v>0.78500000000000003</v>
      </c>
      <c r="F72" s="67">
        <f t="shared" si="12"/>
        <v>0</v>
      </c>
      <c r="G72" s="67">
        <f t="shared" si="1"/>
        <v>0</v>
      </c>
      <c r="H72" s="67">
        <f t="shared" si="2"/>
        <v>0</v>
      </c>
      <c r="I72" s="67">
        <f t="shared" si="3"/>
        <v>0</v>
      </c>
      <c r="J72" s="67">
        <f t="shared" si="4"/>
        <v>0</v>
      </c>
      <c r="K72" s="100">
        <f t="shared" si="6"/>
        <v>0</v>
      </c>
      <c r="O72" s="96">
        <f>Amnt_Deposited!B67</f>
        <v>2053</v>
      </c>
      <c r="P72" s="99">
        <f>Amnt_Deposited!F67</f>
        <v>0</v>
      </c>
      <c r="Q72" s="283">
        <f>MCF!R71</f>
        <v>0.78500000000000003</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Amnt_Deposited!F68</f>
        <v>0</v>
      </c>
      <c r="D73" s="417">
        <f>Dry_Matter_Content!F60</f>
        <v>0.56999999999999995</v>
      </c>
      <c r="E73" s="283">
        <f>MCF!R72</f>
        <v>0.78500000000000003</v>
      </c>
      <c r="F73" s="67">
        <f t="shared" si="12"/>
        <v>0</v>
      </c>
      <c r="G73" s="67">
        <f t="shared" si="1"/>
        <v>0</v>
      </c>
      <c r="H73" s="67">
        <f t="shared" si="2"/>
        <v>0</v>
      </c>
      <c r="I73" s="67">
        <f t="shared" si="3"/>
        <v>0</v>
      </c>
      <c r="J73" s="67">
        <f t="shared" si="4"/>
        <v>0</v>
      </c>
      <c r="K73" s="100">
        <f t="shared" si="6"/>
        <v>0</v>
      </c>
      <c r="O73" s="96">
        <f>Amnt_Deposited!B68</f>
        <v>2054</v>
      </c>
      <c r="P73" s="99">
        <f>Amnt_Deposited!F68</f>
        <v>0</v>
      </c>
      <c r="Q73" s="283">
        <f>MCF!R72</f>
        <v>0.78500000000000003</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Amnt_Deposited!F69</f>
        <v>0</v>
      </c>
      <c r="D74" s="417">
        <f>Dry_Matter_Content!F61</f>
        <v>0.56999999999999995</v>
      </c>
      <c r="E74" s="283">
        <f>MCF!R73</f>
        <v>0.78500000000000003</v>
      </c>
      <c r="F74" s="67">
        <f t="shared" si="12"/>
        <v>0</v>
      </c>
      <c r="G74" s="67">
        <f t="shared" si="1"/>
        <v>0</v>
      </c>
      <c r="H74" s="67">
        <f t="shared" si="2"/>
        <v>0</v>
      </c>
      <c r="I74" s="67">
        <f t="shared" si="3"/>
        <v>0</v>
      </c>
      <c r="J74" s="67">
        <f t="shared" si="4"/>
        <v>0</v>
      </c>
      <c r="K74" s="100">
        <f t="shared" si="6"/>
        <v>0</v>
      </c>
      <c r="O74" s="96">
        <f>Amnt_Deposited!B69</f>
        <v>2055</v>
      </c>
      <c r="P74" s="99">
        <f>Amnt_Deposited!F69</f>
        <v>0</v>
      </c>
      <c r="Q74" s="283">
        <f>MCF!R73</f>
        <v>0.78500000000000003</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Amnt_Deposited!F70</f>
        <v>0</v>
      </c>
      <c r="D75" s="417">
        <f>Dry_Matter_Content!F62</f>
        <v>0.56999999999999995</v>
      </c>
      <c r="E75" s="283">
        <f>MCF!R74</f>
        <v>0.78500000000000003</v>
      </c>
      <c r="F75" s="67">
        <f t="shared" si="12"/>
        <v>0</v>
      </c>
      <c r="G75" s="67">
        <f t="shared" si="1"/>
        <v>0</v>
      </c>
      <c r="H75" s="67">
        <f t="shared" si="2"/>
        <v>0</v>
      </c>
      <c r="I75" s="67">
        <f t="shared" si="3"/>
        <v>0</v>
      </c>
      <c r="J75" s="67">
        <f t="shared" si="4"/>
        <v>0</v>
      </c>
      <c r="K75" s="100">
        <f t="shared" si="6"/>
        <v>0</v>
      </c>
      <c r="O75" s="96">
        <f>Amnt_Deposited!B70</f>
        <v>2056</v>
      </c>
      <c r="P75" s="99">
        <f>Amnt_Deposited!F70</f>
        <v>0</v>
      </c>
      <c r="Q75" s="283">
        <f>MCF!R74</f>
        <v>0.78500000000000003</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Amnt_Deposited!F71</f>
        <v>0</v>
      </c>
      <c r="D76" s="417">
        <f>Dry_Matter_Content!F63</f>
        <v>0.56999999999999995</v>
      </c>
      <c r="E76" s="283">
        <f>MCF!R75</f>
        <v>0.78500000000000003</v>
      </c>
      <c r="F76" s="67">
        <f t="shared" si="12"/>
        <v>0</v>
      </c>
      <c r="G76" s="67">
        <f t="shared" si="1"/>
        <v>0</v>
      </c>
      <c r="H76" s="67">
        <f t="shared" si="2"/>
        <v>0</v>
      </c>
      <c r="I76" s="67">
        <f t="shared" si="3"/>
        <v>0</v>
      </c>
      <c r="J76" s="67">
        <f t="shared" si="4"/>
        <v>0</v>
      </c>
      <c r="K76" s="100">
        <f t="shared" si="6"/>
        <v>0</v>
      </c>
      <c r="O76" s="96">
        <f>Amnt_Deposited!B71</f>
        <v>2057</v>
      </c>
      <c r="P76" s="99">
        <f>Amnt_Deposited!F71</f>
        <v>0</v>
      </c>
      <c r="Q76" s="283">
        <f>MCF!R75</f>
        <v>0.78500000000000003</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Amnt_Deposited!F72</f>
        <v>0</v>
      </c>
      <c r="D77" s="417">
        <f>Dry_Matter_Content!F64</f>
        <v>0.56999999999999995</v>
      </c>
      <c r="E77" s="283">
        <f>MCF!R76</f>
        <v>0.78500000000000003</v>
      </c>
      <c r="F77" s="67">
        <f t="shared" si="12"/>
        <v>0</v>
      </c>
      <c r="G77" s="67">
        <f t="shared" si="1"/>
        <v>0</v>
      </c>
      <c r="H77" s="67">
        <f t="shared" si="2"/>
        <v>0</v>
      </c>
      <c r="I77" s="67">
        <f t="shared" si="3"/>
        <v>0</v>
      </c>
      <c r="J77" s="67">
        <f t="shared" si="4"/>
        <v>0</v>
      </c>
      <c r="K77" s="100">
        <f t="shared" si="6"/>
        <v>0</v>
      </c>
      <c r="O77" s="96">
        <f>Amnt_Deposited!B72</f>
        <v>2058</v>
      </c>
      <c r="P77" s="99">
        <f>Amnt_Deposited!F72</f>
        <v>0</v>
      </c>
      <c r="Q77" s="283">
        <f>MCF!R76</f>
        <v>0.78500000000000003</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Amnt_Deposited!F73</f>
        <v>0</v>
      </c>
      <c r="D78" s="417">
        <f>Dry_Matter_Content!F65</f>
        <v>0.56999999999999995</v>
      </c>
      <c r="E78" s="283">
        <f>MCF!R77</f>
        <v>0.78500000000000003</v>
      </c>
      <c r="F78" s="67">
        <f t="shared" si="12"/>
        <v>0</v>
      </c>
      <c r="G78" s="67">
        <f t="shared" si="1"/>
        <v>0</v>
      </c>
      <c r="H78" s="67">
        <f t="shared" si="2"/>
        <v>0</v>
      </c>
      <c r="I78" s="67">
        <f t="shared" si="3"/>
        <v>0</v>
      </c>
      <c r="J78" s="67">
        <f t="shared" si="4"/>
        <v>0</v>
      </c>
      <c r="K78" s="100">
        <f t="shared" si="6"/>
        <v>0</v>
      </c>
      <c r="O78" s="96">
        <f>Amnt_Deposited!B73</f>
        <v>2059</v>
      </c>
      <c r="P78" s="99">
        <f>Amnt_Deposited!F73</f>
        <v>0</v>
      </c>
      <c r="Q78" s="283">
        <f>MCF!R77</f>
        <v>0.78500000000000003</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Amnt_Deposited!F74</f>
        <v>0</v>
      </c>
      <c r="D79" s="417">
        <f>Dry_Matter_Content!F66</f>
        <v>0.56999999999999995</v>
      </c>
      <c r="E79" s="283">
        <f>MCF!R78</f>
        <v>0.78500000000000003</v>
      </c>
      <c r="F79" s="67">
        <f t="shared" si="12"/>
        <v>0</v>
      </c>
      <c r="G79" s="67">
        <f t="shared" si="1"/>
        <v>0</v>
      </c>
      <c r="H79" s="67">
        <f t="shared" si="2"/>
        <v>0</v>
      </c>
      <c r="I79" s="67">
        <f t="shared" si="3"/>
        <v>0</v>
      </c>
      <c r="J79" s="67">
        <f t="shared" si="4"/>
        <v>0</v>
      </c>
      <c r="K79" s="100">
        <f t="shared" si="6"/>
        <v>0</v>
      </c>
      <c r="O79" s="96">
        <f>Amnt_Deposited!B74</f>
        <v>2060</v>
      </c>
      <c r="P79" s="99">
        <f>Amnt_Deposited!F74</f>
        <v>0</v>
      </c>
      <c r="Q79" s="283">
        <f>MCF!R78</f>
        <v>0.78500000000000003</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Amnt_Deposited!F75</f>
        <v>0</v>
      </c>
      <c r="D80" s="417">
        <f>Dry_Matter_Content!F67</f>
        <v>0.56999999999999995</v>
      </c>
      <c r="E80" s="283">
        <f>MCF!R79</f>
        <v>0.78500000000000003</v>
      </c>
      <c r="F80" s="67">
        <f t="shared" si="12"/>
        <v>0</v>
      </c>
      <c r="G80" s="67">
        <f t="shared" si="1"/>
        <v>0</v>
      </c>
      <c r="H80" s="67">
        <f t="shared" si="2"/>
        <v>0</v>
      </c>
      <c r="I80" s="67">
        <f t="shared" si="3"/>
        <v>0</v>
      </c>
      <c r="J80" s="67">
        <f t="shared" si="4"/>
        <v>0</v>
      </c>
      <c r="K80" s="100">
        <f t="shared" si="6"/>
        <v>0</v>
      </c>
      <c r="O80" s="96">
        <f>Amnt_Deposited!B75</f>
        <v>2061</v>
      </c>
      <c r="P80" s="99">
        <f>Amnt_Deposited!F75</f>
        <v>0</v>
      </c>
      <c r="Q80" s="283">
        <f>MCF!R79</f>
        <v>0.78500000000000003</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Amnt_Deposited!F76</f>
        <v>0</v>
      </c>
      <c r="D81" s="417">
        <f>Dry_Matter_Content!F68</f>
        <v>0.56999999999999995</v>
      </c>
      <c r="E81" s="283">
        <f>MCF!R80</f>
        <v>0.78500000000000003</v>
      </c>
      <c r="F81" s="67">
        <f t="shared" si="12"/>
        <v>0</v>
      </c>
      <c r="G81" s="67">
        <f t="shared" si="1"/>
        <v>0</v>
      </c>
      <c r="H81" s="67">
        <f t="shared" si="2"/>
        <v>0</v>
      </c>
      <c r="I81" s="67">
        <f t="shared" si="3"/>
        <v>0</v>
      </c>
      <c r="J81" s="67">
        <f t="shared" si="4"/>
        <v>0</v>
      </c>
      <c r="K81" s="100">
        <f t="shared" si="6"/>
        <v>0</v>
      </c>
      <c r="O81" s="96">
        <f>Amnt_Deposited!B76</f>
        <v>2062</v>
      </c>
      <c r="P81" s="99">
        <f>Amnt_Deposited!F76</f>
        <v>0</v>
      </c>
      <c r="Q81" s="283">
        <f>MCF!R80</f>
        <v>0.78500000000000003</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Amnt_Deposited!F77</f>
        <v>0</v>
      </c>
      <c r="D82" s="417">
        <f>Dry_Matter_Content!F69</f>
        <v>0.56999999999999995</v>
      </c>
      <c r="E82" s="283">
        <f>MCF!R81</f>
        <v>0.78500000000000003</v>
      </c>
      <c r="F82" s="67">
        <f t="shared" si="12"/>
        <v>0</v>
      </c>
      <c r="G82" s="67">
        <f t="shared" si="1"/>
        <v>0</v>
      </c>
      <c r="H82" s="67">
        <f t="shared" si="2"/>
        <v>0</v>
      </c>
      <c r="I82" s="67">
        <f t="shared" si="3"/>
        <v>0</v>
      </c>
      <c r="J82" s="67">
        <f t="shared" si="4"/>
        <v>0</v>
      </c>
      <c r="K82" s="100">
        <f t="shared" si="6"/>
        <v>0</v>
      </c>
      <c r="O82" s="96">
        <f>Amnt_Deposited!B77</f>
        <v>2063</v>
      </c>
      <c r="P82" s="99">
        <f>Amnt_Deposited!F77</f>
        <v>0</v>
      </c>
      <c r="Q82" s="283">
        <f>MCF!R81</f>
        <v>0.78500000000000003</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Amnt_Deposited!F78</f>
        <v>0</v>
      </c>
      <c r="D83" s="417">
        <f>Dry_Matter_Content!F70</f>
        <v>0.56999999999999995</v>
      </c>
      <c r="E83" s="283">
        <f>MCF!R82</f>
        <v>0.78500000000000003</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Amnt_Deposited!F78</f>
        <v>0</v>
      </c>
      <c r="Q83" s="283">
        <f>MCF!R82</f>
        <v>0.78500000000000003</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17">
        <f>Dry_Matter_Content!F71</f>
        <v>0.56999999999999995</v>
      </c>
      <c r="E84" s="283">
        <f>MCF!R83</f>
        <v>0.78500000000000003</v>
      </c>
      <c r="F84" s="67">
        <f t="shared" si="14"/>
        <v>0</v>
      </c>
      <c r="G84" s="67">
        <f t="shared" si="15"/>
        <v>0</v>
      </c>
      <c r="H84" s="67">
        <f t="shared" si="16"/>
        <v>0</v>
      </c>
      <c r="I84" s="67">
        <f t="shared" si="17"/>
        <v>0</v>
      </c>
      <c r="J84" s="67">
        <f t="shared" si="18"/>
        <v>0</v>
      </c>
      <c r="K84" s="100">
        <f t="shared" si="6"/>
        <v>0</v>
      </c>
      <c r="O84" s="96">
        <f>Amnt_Deposited!B79</f>
        <v>2065</v>
      </c>
      <c r="P84" s="99">
        <f>Amnt_Deposited!F79</f>
        <v>0</v>
      </c>
      <c r="Q84" s="283">
        <f>MCF!R83</f>
        <v>0.78500000000000003</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Amnt_Deposited!F80</f>
        <v>0</v>
      </c>
      <c r="D85" s="417">
        <f>Dry_Matter_Content!F72</f>
        <v>0.56999999999999995</v>
      </c>
      <c r="E85" s="283">
        <f>MCF!R84</f>
        <v>0.78500000000000003</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Amnt_Deposited!F80</f>
        <v>0</v>
      </c>
      <c r="Q85" s="283">
        <f>MCF!R84</f>
        <v>0.78500000000000003</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Amnt_Deposited!F81</f>
        <v>0</v>
      </c>
      <c r="D86" s="417">
        <f>Dry_Matter_Content!F73</f>
        <v>0.56999999999999995</v>
      </c>
      <c r="E86" s="283">
        <f>MCF!R85</f>
        <v>0.78500000000000003</v>
      </c>
      <c r="F86" s="67">
        <f t="shared" si="14"/>
        <v>0</v>
      </c>
      <c r="G86" s="67">
        <f t="shared" si="15"/>
        <v>0</v>
      </c>
      <c r="H86" s="67">
        <f t="shared" si="16"/>
        <v>0</v>
      </c>
      <c r="I86" s="67">
        <f t="shared" si="17"/>
        <v>0</v>
      </c>
      <c r="J86" s="67">
        <f t="shared" si="18"/>
        <v>0</v>
      </c>
      <c r="K86" s="100">
        <f t="shared" si="20"/>
        <v>0</v>
      </c>
      <c r="O86" s="96">
        <f>Amnt_Deposited!B81</f>
        <v>2067</v>
      </c>
      <c r="P86" s="99">
        <f>Amnt_Deposited!F81</f>
        <v>0</v>
      </c>
      <c r="Q86" s="283">
        <f>MCF!R85</f>
        <v>0.78500000000000003</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Amnt_Deposited!F82</f>
        <v>0</v>
      </c>
      <c r="D87" s="417">
        <f>Dry_Matter_Content!F74</f>
        <v>0.56999999999999995</v>
      </c>
      <c r="E87" s="283">
        <f>MCF!R86</f>
        <v>0.78500000000000003</v>
      </c>
      <c r="F87" s="67">
        <f t="shared" si="14"/>
        <v>0</v>
      </c>
      <c r="G87" s="67">
        <f t="shared" si="15"/>
        <v>0</v>
      </c>
      <c r="H87" s="67">
        <f t="shared" si="16"/>
        <v>0</v>
      </c>
      <c r="I87" s="67">
        <f t="shared" si="17"/>
        <v>0</v>
      </c>
      <c r="J87" s="67">
        <f t="shared" si="18"/>
        <v>0</v>
      </c>
      <c r="K87" s="100">
        <f t="shared" si="20"/>
        <v>0</v>
      </c>
      <c r="O87" s="96">
        <f>Amnt_Deposited!B82</f>
        <v>2068</v>
      </c>
      <c r="P87" s="99">
        <f>Amnt_Deposited!F82</f>
        <v>0</v>
      </c>
      <c r="Q87" s="283">
        <f>MCF!R86</f>
        <v>0.78500000000000003</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Amnt_Deposited!F83</f>
        <v>0</v>
      </c>
      <c r="D88" s="417">
        <f>Dry_Matter_Content!F75</f>
        <v>0.56999999999999995</v>
      </c>
      <c r="E88" s="283">
        <f>MCF!R87</f>
        <v>0.78500000000000003</v>
      </c>
      <c r="F88" s="67">
        <f t="shared" si="14"/>
        <v>0</v>
      </c>
      <c r="G88" s="67">
        <f t="shared" si="15"/>
        <v>0</v>
      </c>
      <c r="H88" s="67">
        <f t="shared" si="16"/>
        <v>0</v>
      </c>
      <c r="I88" s="67">
        <f t="shared" si="17"/>
        <v>0</v>
      </c>
      <c r="J88" s="67">
        <f t="shared" si="18"/>
        <v>0</v>
      </c>
      <c r="K88" s="100">
        <f t="shared" si="20"/>
        <v>0</v>
      </c>
      <c r="O88" s="96">
        <f>Amnt_Deposited!B83</f>
        <v>2069</v>
      </c>
      <c r="P88" s="99">
        <f>Amnt_Deposited!F83</f>
        <v>0</v>
      </c>
      <c r="Q88" s="283">
        <f>MCF!R87</f>
        <v>0.78500000000000003</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Amnt_Deposited!F84</f>
        <v>0</v>
      </c>
      <c r="D89" s="417">
        <f>Dry_Matter_Content!F76</f>
        <v>0.56999999999999995</v>
      </c>
      <c r="E89" s="283">
        <f>MCF!R88</f>
        <v>0.78500000000000003</v>
      </c>
      <c r="F89" s="67">
        <f t="shared" si="14"/>
        <v>0</v>
      </c>
      <c r="G89" s="67">
        <f t="shared" si="15"/>
        <v>0</v>
      </c>
      <c r="H89" s="67">
        <f t="shared" si="16"/>
        <v>0</v>
      </c>
      <c r="I89" s="67">
        <f t="shared" si="17"/>
        <v>0</v>
      </c>
      <c r="J89" s="67">
        <f t="shared" si="18"/>
        <v>0</v>
      </c>
      <c r="K89" s="100">
        <f t="shared" si="20"/>
        <v>0</v>
      </c>
      <c r="O89" s="96">
        <f>Amnt_Deposited!B84</f>
        <v>2070</v>
      </c>
      <c r="P89" s="99">
        <f>Amnt_Deposited!F84</f>
        <v>0</v>
      </c>
      <c r="Q89" s="283">
        <f>MCF!R88</f>
        <v>0.78500000000000003</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Amnt_Deposited!F85</f>
        <v>0</v>
      </c>
      <c r="D90" s="417">
        <f>Dry_Matter_Content!F77</f>
        <v>0.56999999999999995</v>
      </c>
      <c r="E90" s="283">
        <f>MCF!R89</f>
        <v>0.78500000000000003</v>
      </c>
      <c r="F90" s="67">
        <f t="shared" si="14"/>
        <v>0</v>
      </c>
      <c r="G90" s="67">
        <f t="shared" si="15"/>
        <v>0</v>
      </c>
      <c r="H90" s="67">
        <f t="shared" si="16"/>
        <v>0</v>
      </c>
      <c r="I90" s="67">
        <f t="shared" si="17"/>
        <v>0</v>
      </c>
      <c r="J90" s="67">
        <f t="shared" si="18"/>
        <v>0</v>
      </c>
      <c r="K90" s="100">
        <f t="shared" si="20"/>
        <v>0</v>
      </c>
      <c r="O90" s="96">
        <f>Amnt_Deposited!B85</f>
        <v>2071</v>
      </c>
      <c r="P90" s="99">
        <f>Amnt_Deposited!F85</f>
        <v>0</v>
      </c>
      <c r="Q90" s="283">
        <f>MCF!R89</f>
        <v>0.78500000000000003</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Amnt_Deposited!F86</f>
        <v>0</v>
      </c>
      <c r="D91" s="417">
        <f>Dry_Matter_Content!F78</f>
        <v>0.56999999999999995</v>
      </c>
      <c r="E91" s="283">
        <f>MCF!R90</f>
        <v>0.78500000000000003</v>
      </c>
      <c r="F91" s="67">
        <f t="shared" si="14"/>
        <v>0</v>
      </c>
      <c r="G91" s="67">
        <f t="shared" si="15"/>
        <v>0</v>
      </c>
      <c r="H91" s="67">
        <f t="shared" si="16"/>
        <v>0</v>
      </c>
      <c r="I91" s="67">
        <f t="shared" si="17"/>
        <v>0</v>
      </c>
      <c r="J91" s="67">
        <f t="shared" si="18"/>
        <v>0</v>
      </c>
      <c r="K91" s="100">
        <f t="shared" si="20"/>
        <v>0</v>
      </c>
      <c r="O91" s="96">
        <f>Amnt_Deposited!B86</f>
        <v>2072</v>
      </c>
      <c r="P91" s="99">
        <f>Amnt_Deposited!F86</f>
        <v>0</v>
      </c>
      <c r="Q91" s="283">
        <f>MCF!R90</f>
        <v>0.78500000000000003</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Amnt_Deposited!F87</f>
        <v>0</v>
      </c>
      <c r="D92" s="417">
        <f>Dry_Matter_Content!F79</f>
        <v>0.56999999999999995</v>
      </c>
      <c r="E92" s="283">
        <f>MCF!R91</f>
        <v>0.78500000000000003</v>
      </c>
      <c r="F92" s="67">
        <f t="shared" si="14"/>
        <v>0</v>
      </c>
      <c r="G92" s="67">
        <f t="shared" si="15"/>
        <v>0</v>
      </c>
      <c r="H92" s="67">
        <f t="shared" si="16"/>
        <v>0</v>
      </c>
      <c r="I92" s="67">
        <f t="shared" si="17"/>
        <v>0</v>
      </c>
      <c r="J92" s="67">
        <f t="shared" si="18"/>
        <v>0</v>
      </c>
      <c r="K92" s="100">
        <f t="shared" si="20"/>
        <v>0</v>
      </c>
      <c r="O92" s="96">
        <f>Amnt_Deposited!B87</f>
        <v>2073</v>
      </c>
      <c r="P92" s="99">
        <f>Amnt_Deposited!F87</f>
        <v>0</v>
      </c>
      <c r="Q92" s="283">
        <f>MCF!R91</f>
        <v>0.78500000000000003</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Amnt_Deposited!F88</f>
        <v>0</v>
      </c>
      <c r="D93" s="417">
        <f>Dry_Matter_Content!F80</f>
        <v>0.56999999999999995</v>
      </c>
      <c r="E93" s="283">
        <f>MCF!R92</f>
        <v>0.78500000000000003</v>
      </c>
      <c r="F93" s="67">
        <f t="shared" si="14"/>
        <v>0</v>
      </c>
      <c r="G93" s="67">
        <f t="shared" si="15"/>
        <v>0</v>
      </c>
      <c r="H93" s="67">
        <f t="shared" si="16"/>
        <v>0</v>
      </c>
      <c r="I93" s="67">
        <f t="shared" si="17"/>
        <v>0</v>
      </c>
      <c r="J93" s="67">
        <f t="shared" si="18"/>
        <v>0</v>
      </c>
      <c r="K93" s="100">
        <f t="shared" si="20"/>
        <v>0</v>
      </c>
      <c r="O93" s="96">
        <f>Amnt_Deposited!B88</f>
        <v>2074</v>
      </c>
      <c r="P93" s="99">
        <f>Amnt_Deposited!F88</f>
        <v>0</v>
      </c>
      <c r="Q93" s="283">
        <f>MCF!R92</f>
        <v>0.78500000000000003</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Amnt_Deposited!F89</f>
        <v>0</v>
      </c>
      <c r="D94" s="417">
        <f>Dry_Matter_Content!F81</f>
        <v>0.56999999999999995</v>
      </c>
      <c r="E94" s="283">
        <f>MCF!R93</f>
        <v>0.78500000000000003</v>
      </c>
      <c r="F94" s="67">
        <f t="shared" si="14"/>
        <v>0</v>
      </c>
      <c r="G94" s="67">
        <f t="shared" si="15"/>
        <v>0</v>
      </c>
      <c r="H94" s="67">
        <f t="shared" si="16"/>
        <v>0</v>
      </c>
      <c r="I94" s="67">
        <f t="shared" si="17"/>
        <v>0</v>
      </c>
      <c r="J94" s="67">
        <f t="shared" si="18"/>
        <v>0</v>
      </c>
      <c r="K94" s="100">
        <f t="shared" si="20"/>
        <v>0</v>
      </c>
      <c r="O94" s="96">
        <f>Amnt_Deposited!B89</f>
        <v>2075</v>
      </c>
      <c r="P94" s="99">
        <f>Amnt_Deposited!F89</f>
        <v>0</v>
      </c>
      <c r="Q94" s="283">
        <f>MCF!R93</f>
        <v>0.78500000000000003</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Amnt_Deposited!F90</f>
        <v>0</v>
      </c>
      <c r="D95" s="417">
        <f>Dry_Matter_Content!F82</f>
        <v>0.56999999999999995</v>
      </c>
      <c r="E95" s="283">
        <f>MCF!R94</f>
        <v>0.78500000000000003</v>
      </c>
      <c r="F95" s="67">
        <f t="shared" si="14"/>
        <v>0</v>
      </c>
      <c r="G95" s="67">
        <f t="shared" si="15"/>
        <v>0</v>
      </c>
      <c r="H95" s="67">
        <f t="shared" si="16"/>
        <v>0</v>
      </c>
      <c r="I95" s="67">
        <f t="shared" si="17"/>
        <v>0</v>
      </c>
      <c r="J95" s="67">
        <f t="shared" si="18"/>
        <v>0</v>
      </c>
      <c r="K95" s="100">
        <f t="shared" si="20"/>
        <v>0</v>
      </c>
      <c r="O95" s="96">
        <f>Amnt_Deposited!B90</f>
        <v>2076</v>
      </c>
      <c r="P95" s="99">
        <f>Amnt_Deposited!F90</f>
        <v>0</v>
      </c>
      <c r="Q95" s="283">
        <f>MCF!R94</f>
        <v>0.78500000000000003</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Amnt_Deposited!F91</f>
        <v>0</v>
      </c>
      <c r="D96" s="417">
        <f>Dry_Matter_Content!F83</f>
        <v>0.56999999999999995</v>
      </c>
      <c r="E96" s="283">
        <f>MCF!R95</f>
        <v>0.78500000000000003</v>
      </c>
      <c r="F96" s="67">
        <f t="shared" si="14"/>
        <v>0</v>
      </c>
      <c r="G96" s="67">
        <f t="shared" si="15"/>
        <v>0</v>
      </c>
      <c r="H96" s="67">
        <f t="shared" si="16"/>
        <v>0</v>
      </c>
      <c r="I96" s="67">
        <f t="shared" si="17"/>
        <v>0</v>
      </c>
      <c r="J96" s="67">
        <f t="shared" si="18"/>
        <v>0</v>
      </c>
      <c r="K96" s="100">
        <f t="shared" si="20"/>
        <v>0</v>
      </c>
      <c r="O96" s="96">
        <f>Amnt_Deposited!B91</f>
        <v>2077</v>
      </c>
      <c r="P96" s="99">
        <f>Amnt_Deposited!F91</f>
        <v>0</v>
      </c>
      <c r="Q96" s="283">
        <f>MCF!R95</f>
        <v>0.78500000000000003</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Amnt_Deposited!F92</f>
        <v>0</v>
      </c>
      <c r="D97" s="417">
        <f>Dry_Matter_Content!F84</f>
        <v>0.56999999999999995</v>
      </c>
      <c r="E97" s="283">
        <f>MCF!R96</f>
        <v>0.78500000000000003</v>
      </c>
      <c r="F97" s="67">
        <f t="shared" si="14"/>
        <v>0</v>
      </c>
      <c r="G97" s="67">
        <f t="shared" si="15"/>
        <v>0</v>
      </c>
      <c r="H97" s="67">
        <f t="shared" si="16"/>
        <v>0</v>
      </c>
      <c r="I97" s="67">
        <f t="shared" si="17"/>
        <v>0</v>
      </c>
      <c r="J97" s="67">
        <f t="shared" si="18"/>
        <v>0</v>
      </c>
      <c r="K97" s="100">
        <f t="shared" si="20"/>
        <v>0</v>
      </c>
      <c r="O97" s="96">
        <f>Amnt_Deposited!B92</f>
        <v>2078</v>
      </c>
      <c r="P97" s="99">
        <f>Amnt_Deposited!F92</f>
        <v>0</v>
      </c>
      <c r="Q97" s="283">
        <f>MCF!R96</f>
        <v>0.78500000000000003</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Amnt_Deposited!F93</f>
        <v>0</v>
      </c>
      <c r="D98" s="417">
        <f>Dry_Matter_Content!F85</f>
        <v>0.56999999999999995</v>
      </c>
      <c r="E98" s="283">
        <f>MCF!R97</f>
        <v>0.78500000000000003</v>
      </c>
      <c r="F98" s="67">
        <f t="shared" si="14"/>
        <v>0</v>
      </c>
      <c r="G98" s="67">
        <f t="shared" si="15"/>
        <v>0</v>
      </c>
      <c r="H98" s="67">
        <f t="shared" si="16"/>
        <v>0</v>
      </c>
      <c r="I98" s="67">
        <f t="shared" si="17"/>
        <v>0</v>
      </c>
      <c r="J98" s="67">
        <f t="shared" si="18"/>
        <v>0</v>
      </c>
      <c r="K98" s="100">
        <f t="shared" si="20"/>
        <v>0</v>
      </c>
      <c r="O98" s="96">
        <f>Amnt_Deposited!B93</f>
        <v>2079</v>
      </c>
      <c r="P98" s="99">
        <f>Amnt_Deposited!F93</f>
        <v>0</v>
      </c>
      <c r="Q98" s="283">
        <f>MCF!R97</f>
        <v>0.78500000000000003</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Amnt_Deposited!F94</f>
        <v>0</v>
      </c>
      <c r="D99" s="418">
        <f>Dry_Matter_Content!F86</f>
        <v>0.56999999999999995</v>
      </c>
      <c r="E99" s="284">
        <f>MCF!R98</f>
        <v>0.78500000000000003</v>
      </c>
      <c r="F99" s="68">
        <f t="shared" si="14"/>
        <v>0</v>
      </c>
      <c r="G99" s="68">
        <f t="shared" si="15"/>
        <v>0</v>
      </c>
      <c r="H99" s="68">
        <f t="shared" si="16"/>
        <v>0</v>
      </c>
      <c r="I99" s="68">
        <f t="shared" si="17"/>
        <v>0</v>
      </c>
      <c r="J99" s="68">
        <f t="shared" si="18"/>
        <v>0</v>
      </c>
      <c r="K99" s="102">
        <f t="shared" si="20"/>
        <v>0</v>
      </c>
      <c r="O99" s="97">
        <f>Amnt_Deposited!B94</f>
        <v>2080</v>
      </c>
      <c r="P99" s="101">
        <f>Amnt_Deposited!F94</f>
        <v>0</v>
      </c>
      <c r="Q99" s="284">
        <f>MCF!R98</f>
        <v>0.78500000000000003</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1" customWidth="1"/>
    <col min="14" max="16384" width="8.85546875" style="6"/>
  </cols>
  <sheetData>
    <row r="2" spans="1:23" ht="15.75">
      <c r="B2" s="45" t="s">
        <v>311</v>
      </c>
      <c r="C2" s="223"/>
      <c r="D2" s="223"/>
      <c r="E2" s="224"/>
      <c r="F2" s="225"/>
      <c r="G2" s="225"/>
      <c r="H2" s="225"/>
      <c r="I2" s="225"/>
      <c r="J2" s="225"/>
      <c r="K2" s="225"/>
    </row>
    <row r="3" spans="1:23" ht="15">
      <c r="B3" s="242" t="str">
        <f>IF(Select2=2,"This sheet applies only to the waste compositon option and can be deleted when the bulk waste option has been chosen","")</f>
        <v/>
      </c>
      <c r="C3" s="223"/>
      <c r="D3" s="223"/>
      <c r="E3" s="224"/>
      <c r="F3" s="225"/>
      <c r="G3" s="225"/>
      <c r="H3" s="225"/>
      <c r="I3" s="225"/>
      <c r="J3" s="225"/>
      <c r="K3" s="225"/>
    </row>
    <row r="4" spans="1:23" ht="16.5" thickBot="1">
      <c r="B4" s="226"/>
      <c r="C4" s="227"/>
      <c r="D4" s="227"/>
      <c r="E4" s="256"/>
      <c r="F4" s="228"/>
      <c r="G4" s="228"/>
      <c r="H4" s="228"/>
      <c r="I4" s="228"/>
      <c r="J4" s="228"/>
      <c r="K4" s="228"/>
    </row>
    <row r="5" spans="1:23" ht="26.25" thickBot="1">
      <c r="B5" s="229"/>
      <c r="C5" s="230"/>
      <c r="D5" s="230"/>
      <c r="F5" s="231"/>
      <c r="G5" s="216"/>
      <c r="H5" s="216"/>
      <c r="I5" s="216"/>
      <c r="J5" s="216"/>
      <c r="K5" s="115" t="s">
        <v>7</v>
      </c>
      <c r="O5" s="229"/>
      <c r="P5" s="230"/>
      <c r="Q5" s="222"/>
      <c r="R5" s="231"/>
      <c r="S5" s="216"/>
      <c r="T5" s="216"/>
      <c r="U5" s="216"/>
      <c r="V5" s="216"/>
      <c r="W5" s="115" t="s">
        <v>7</v>
      </c>
    </row>
    <row r="6" spans="1:23">
      <c r="B6" s="229"/>
      <c r="C6" s="230"/>
      <c r="D6" s="230"/>
      <c r="F6" s="108" t="s">
        <v>9</v>
      </c>
      <c r="G6" s="109"/>
      <c r="H6" s="109"/>
      <c r="I6" s="113"/>
      <c r="J6" s="120" t="s">
        <v>9</v>
      </c>
      <c r="K6" s="414">
        <f>Parameters!O20</f>
        <v>0.5</v>
      </c>
      <c r="O6" s="229"/>
      <c r="P6" s="230"/>
      <c r="Q6" s="222"/>
      <c r="R6" s="108" t="s">
        <v>9</v>
      </c>
      <c r="S6" s="109"/>
      <c r="T6" s="109"/>
      <c r="U6" s="113"/>
      <c r="V6" s="120" t="s">
        <v>9</v>
      </c>
      <c r="W6" s="260">
        <f>Parameters!R20</f>
        <v>0.43</v>
      </c>
    </row>
    <row r="7" spans="1:23" ht="13.5" thickBot="1">
      <c r="B7" s="229"/>
      <c r="C7" s="230"/>
      <c r="D7" s="230"/>
      <c r="F7" s="250" t="s">
        <v>12</v>
      </c>
      <c r="G7" s="251"/>
      <c r="H7" s="251"/>
      <c r="I7" s="252"/>
      <c r="J7" s="253" t="s">
        <v>12</v>
      </c>
      <c r="K7" s="254">
        <f>DOCF</f>
        <v>0.5</v>
      </c>
      <c r="O7" s="229"/>
      <c r="P7" s="230"/>
      <c r="Q7" s="222"/>
      <c r="R7" s="250" t="s">
        <v>12</v>
      </c>
      <c r="S7" s="251"/>
      <c r="T7" s="251"/>
      <c r="U7" s="252"/>
      <c r="V7" s="253" t="s">
        <v>12</v>
      </c>
      <c r="W7" s="254">
        <f>DOCF</f>
        <v>0.5</v>
      </c>
    </row>
    <row r="8" spans="1:23">
      <c r="F8" s="108" t="s">
        <v>192</v>
      </c>
      <c r="G8" s="109"/>
      <c r="H8" s="109"/>
      <c r="I8" s="113"/>
      <c r="J8" s="120" t="s">
        <v>188</v>
      </c>
      <c r="K8" s="114">
        <f>Parameters!O39</f>
        <v>3.5000000000000003E-2</v>
      </c>
      <c r="O8" s="47"/>
      <c r="P8" s="47"/>
      <c r="Q8" s="222"/>
      <c r="R8" s="108" t="s">
        <v>192</v>
      </c>
      <c r="S8" s="109"/>
      <c r="T8" s="109"/>
      <c r="U8" s="113"/>
      <c r="V8" s="120" t="s">
        <v>188</v>
      </c>
      <c r="W8" s="114">
        <f>Parameters!O39</f>
        <v>3.5000000000000003E-2</v>
      </c>
    </row>
    <row r="9" spans="1:23" ht="15.75">
      <c r="F9" s="246" t="s">
        <v>190</v>
      </c>
      <c r="G9" s="247"/>
      <c r="H9" s="247"/>
      <c r="I9" s="248"/>
      <c r="J9" s="249" t="s">
        <v>189</v>
      </c>
      <c r="K9" s="255">
        <f>LN(2)/$K$8</f>
        <v>19.804205158855577</v>
      </c>
      <c r="O9" s="47"/>
      <c r="P9" s="47"/>
      <c r="Q9" s="222"/>
      <c r="R9" s="246" t="s">
        <v>190</v>
      </c>
      <c r="S9" s="247"/>
      <c r="T9" s="247"/>
      <c r="U9" s="248"/>
      <c r="V9" s="249" t="s">
        <v>189</v>
      </c>
      <c r="W9" s="255">
        <f>LN(2)/$W$8</f>
        <v>19.804205158855577</v>
      </c>
    </row>
    <row r="10" spans="1:23">
      <c r="F10" s="110" t="s">
        <v>84</v>
      </c>
      <c r="G10" s="111"/>
      <c r="H10" s="111"/>
      <c r="I10" s="112"/>
      <c r="J10" s="121" t="s">
        <v>148</v>
      </c>
      <c r="K10" s="49">
        <f>EXP(-$K$8)</f>
        <v>0.96560541625756646</v>
      </c>
      <c r="O10" s="47"/>
      <c r="P10" s="47"/>
      <c r="Q10" s="222"/>
      <c r="R10" s="110" t="s">
        <v>84</v>
      </c>
      <c r="S10" s="111"/>
      <c r="T10" s="111"/>
      <c r="U10" s="112"/>
      <c r="V10" s="121" t="s">
        <v>148</v>
      </c>
      <c r="W10" s="49">
        <f>EXP(-$W$8)</f>
        <v>0.96560541625756646</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8" t="s">
        <v>239</v>
      </c>
      <c r="E15" s="53" t="s">
        <v>11</v>
      </c>
      <c r="F15" s="54" t="s">
        <v>180</v>
      </c>
      <c r="G15" s="54" t="s">
        <v>181</v>
      </c>
      <c r="H15" s="54" t="s">
        <v>182</v>
      </c>
      <c r="I15" s="54" t="s">
        <v>183</v>
      </c>
      <c r="J15" s="54" t="s">
        <v>184</v>
      </c>
      <c r="K15" s="245" t="s">
        <v>185</v>
      </c>
      <c r="O15" s="51" t="s">
        <v>1</v>
      </c>
      <c r="P15" s="52" t="s">
        <v>10</v>
      </c>
      <c r="Q15" s="53" t="s">
        <v>11</v>
      </c>
      <c r="R15" s="54" t="s">
        <v>180</v>
      </c>
      <c r="S15" s="54" t="s">
        <v>181</v>
      </c>
      <c r="T15" s="54" t="s">
        <v>182</v>
      </c>
      <c r="U15" s="54" t="s">
        <v>183</v>
      </c>
      <c r="V15" s="54" t="s">
        <v>184</v>
      </c>
      <c r="W15" s="245" t="s">
        <v>185</v>
      </c>
    </row>
    <row r="16" spans="1:23" ht="45">
      <c r="A16" s="232"/>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5">
        <f>Dry_Matter_Content!G6</f>
        <v>0.56999999999999995</v>
      </c>
      <c r="E19" s="282">
        <f>MCF!R18</f>
        <v>0.78500000000000003</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Amnt_Deposited!G14</f>
        <v>0</v>
      </c>
      <c r="Q19" s="282">
        <f>MCF!R18</f>
        <v>0.78500000000000003</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7">
        <f>Dry_Matter_Content!G7</f>
        <v>0.56999999999999995</v>
      </c>
      <c r="E20" s="283">
        <f>MCF!R19</f>
        <v>0.78500000000000003</v>
      </c>
      <c r="F20" s="67">
        <f t="shared" si="0"/>
        <v>0</v>
      </c>
      <c r="G20" s="67">
        <f t="shared" si="1"/>
        <v>0</v>
      </c>
      <c r="H20" s="67">
        <f t="shared" si="2"/>
        <v>0</v>
      </c>
      <c r="I20" s="67">
        <f t="shared" si="3"/>
        <v>0</v>
      </c>
      <c r="J20" s="67">
        <f t="shared" si="4"/>
        <v>0</v>
      </c>
      <c r="K20" s="100">
        <f>J20*CH4_fraction*conv</f>
        <v>0</v>
      </c>
      <c r="M20" s="392"/>
      <c r="O20" s="96">
        <f>Amnt_Deposited!B15</f>
        <v>2001</v>
      </c>
      <c r="P20" s="99">
        <f>Amnt_Deposited!G15</f>
        <v>0</v>
      </c>
      <c r="Q20" s="283">
        <f>MCF!R19</f>
        <v>0.78500000000000003</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7">
        <f>Dry_Matter_Content!G8</f>
        <v>0.56999999999999995</v>
      </c>
      <c r="E21" s="283">
        <f>MCF!R20</f>
        <v>0.78500000000000003</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Amnt_Deposited!G16</f>
        <v>0</v>
      </c>
      <c r="Q21" s="283">
        <f>MCF!R20</f>
        <v>0.78500000000000003</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7">
        <f>Dry_Matter_Content!G9</f>
        <v>0.56999999999999995</v>
      </c>
      <c r="E22" s="283">
        <f>MCF!R21</f>
        <v>0.78500000000000003</v>
      </c>
      <c r="F22" s="67">
        <f t="shared" si="0"/>
        <v>0</v>
      </c>
      <c r="G22" s="67">
        <f t="shared" si="1"/>
        <v>0</v>
      </c>
      <c r="H22" s="67">
        <f t="shared" si="2"/>
        <v>0</v>
      </c>
      <c r="I22" s="67">
        <f t="shared" si="3"/>
        <v>0</v>
      </c>
      <c r="J22" s="67">
        <f t="shared" si="4"/>
        <v>0</v>
      </c>
      <c r="K22" s="100">
        <f t="shared" si="6"/>
        <v>0</v>
      </c>
      <c r="N22" s="257"/>
      <c r="O22" s="96">
        <f>Amnt_Deposited!B17</f>
        <v>2003</v>
      </c>
      <c r="P22" s="99">
        <f>Amnt_Deposited!G17</f>
        <v>0</v>
      </c>
      <c r="Q22" s="283">
        <f>MCF!R21</f>
        <v>0.78500000000000003</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7">
        <f>Dry_Matter_Content!G10</f>
        <v>0.56999999999999995</v>
      </c>
      <c r="E23" s="283">
        <f>MCF!R22</f>
        <v>0.78500000000000003</v>
      </c>
      <c r="F23" s="67">
        <f t="shared" si="0"/>
        <v>0</v>
      </c>
      <c r="G23" s="67">
        <f t="shared" si="1"/>
        <v>0</v>
      </c>
      <c r="H23" s="67">
        <f t="shared" si="2"/>
        <v>0</v>
      </c>
      <c r="I23" s="67">
        <f t="shared" si="3"/>
        <v>0</v>
      </c>
      <c r="J23" s="67">
        <f t="shared" si="4"/>
        <v>0</v>
      </c>
      <c r="K23" s="100">
        <f t="shared" si="6"/>
        <v>0</v>
      </c>
      <c r="N23" s="257"/>
      <c r="O23" s="96">
        <f>Amnt_Deposited!B18</f>
        <v>2004</v>
      </c>
      <c r="P23" s="99">
        <f>Amnt_Deposited!G18</f>
        <v>0</v>
      </c>
      <c r="Q23" s="283">
        <f>MCF!R22</f>
        <v>0.78500000000000003</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7">
        <f>Dry_Matter_Content!G11</f>
        <v>0.56999999999999995</v>
      </c>
      <c r="E24" s="283">
        <f>MCF!R23</f>
        <v>0.78500000000000003</v>
      </c>
      <c r="F24" s="67">
        <f t="shared" si="0"/>
        <v>0</v>
      </c>
      <c r="G24" s="67">
        <f t="shared" si="1"/>
        <v>0</v>
      </c>
      <c r="H24" s="67">
        <f t="shared" si="2"/>
        <v>0</v>
      </c>
      <c r="I24" s="67">
        <f t="shared" si="3"/>
        <v>0</v>
      </c>
      <c r="J24" s="67">
        <f t="shared" si="4"/>
        <v>0</v>
      </c>
      <c r="K24" s="100">
        <f t="shared" si="6"/>
        <v>0</v>
      </c>
      <c r="N24" s="257"/>
      <c r="O24" s="96">
        <f>Amnt_Deposited!B19</f>
        <v>2005</v>
      </c>
      <c r="P24" s="99">
        <f>Amnt_Deposited!G19</f>
        <v>0</v>
      </c>
      <c r="Q24" s="283">
        <f>MCF!R23</f>
        <v>0.78500000000000003</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7">
        <f>Dry_Matter_Content!G12</f>
        <v>0.56999999999999995</v>
      </c>
      <c r="E25" s="283">
        <f>MCF!R24</f>
        <v>0.78500000000000003</v>
      </c>
      <c r="F25" s="67">
        <f t="shared" si="0"/>
        <v>0</v>
      </c>
      <c r="G25" s="67">
        <f t="shared" si="1"/>
        <v>0</v>
      </c>
      <c r="H25" s="67">
        <f t="shared" si="2"/>
        <v>0</v>
      </c>
      <c r="I25" s="67">
        <f t="shared" si="3"/>
        <v>0</v>
      </c>
      <c r="J25" s="67">
        <f t="shared" si="4"/>
        <v>0</v>
      </c>
      <c r="K25" s="100">
        <f t="shared" si="6"/>
        <v>0</v>
      </c>
      <c r="N25" s="257"/>
      <c r="O25" s="96">
        <f>Amnt_Deposited!B20</f>
        <v>2006</v>
      </c>
      <c r="P25" s="99">
        <f>Amnt_Deposited!G20</f>
        <v>0</v>
      </c>
      <c r="Q25" s="283">
        <f>MCF!R24</f>
        <v>0.78500000000000003</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7">
        <f>Dry_Matter_Content!G13</f>
        <v>0.56999999999999995</v>
      </c>
      <c r="E26" s="283">
        <f>MCF!R25</f>
        <v>0.78500000000000003</v>
      </c>
      <c r="F26" s="67">
        <f t="shared" si="0"/>
        <v>0</v>
      </c>
      <c r="G26" s="67">
        <f t="shared" si="1"/>
        <v>0</v>
      </c>
      <c r="H26" s="67">
        <f t="shared" si="2"/>
        <v>0</v>
      </c>
      <c r="I26" s="67">
        <f t="shared" si="3"/>
        <v>0</v>
      </c>
      <c r="J26" s="67">
        <f t="shared" si="4"/>
        <v>0</v>
      </c>
      <c r="K26" s="100">
        <f t="shared" si="6"/>
        <v>0</v>
      </c>
      <c r="N26" s="257"/>
      <c r="O26" s="96">
        <f>Amnt_Deposited!B21</f>
        <v>2007</v>
      </c>
      <c r="P26" s="99">
        <f>Amnt_Deposited!G21</f>
        <v>0</v>
      </c>
      <c r="Q26" s="283">
        <f>MCF!R25</f>
        <v>0.78500000000000003</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7">
        <f>Dry_Matter_Content!G14</f>
        <v>0.56999999999999995</v>
      </c>
      <c r="E27" s="283">
        <f>MCF!R26</f>
        <v>0.78500000000000003</v>
      </c>
      <c r="F27" s="67">
        <f t="shared" si="0"/>
        <v>0</v>
      </c>
      <c r="G27" s="67">
        <f t="shared" si="1"/>
        <v>0</v>
      </c>
      <c r="H27" s="67">
        <f t="shared" si="2"/>
        <v>0</v>
      </c>
      <c r="I27" s="67">
        <f t="shared" si="3"/>
        <v>0</v>
      </c>
      <c r="J27" s="67">
        <f t="shared" si="4"/>
        <v>0</v>
      </c>
      <c r="K27" s="100">
        <f t="shared" si="6"/>
        <v>0</v>
      </c>
      <c r="N27" s="257"/>
      <c r="O27" s="96">
        <f>Amnt_Deposited!B22</f>
        <v>2008</v>
      </c>
      <c r="P27" s="99">
        <f>Amnt_Deposited!G22</f>
        <v>0</v>
      </c>
      <c r="Q27" s="283">
        <f>MCF!R26</f>
        <v>0.78500000000000003</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7">
        <f>Dry_Matter_Content!G15</f>
        <v>0.56999999999999995</v>
      </c>
      <c r="E28" s="283">
        <f>MCF!R27</f>
        <v>0.78500000000000003</v>
      </c>
      <c r="F28" s="67">
        <f t="shared" si="0"/>
        <v>0</v>
      </c>
      <c r="G28" s="67">
        <f t="shared" si="1"/>
        <v>0</v>
      </c>
      <c r="H28" s="67">
        <f t="shared" si="2"/>
        <v>0</v>
      </c>
      <c r="I28" s="67">
        <f t="shared" si="3"/>
        <v>0</v>
      </c>
      <c r="J28" s="67">
        <f t="shared" si="4"/>
        <v>0</v>
      </c>
      <c r="K28" s="100">
        <f t="shared" si="6"/>
        <v>0</v>
      </c>
      <c r="N28" s="257"/>
      <c r="O28" s="96">
        <f>Amnt_Deposited!B23</f>
        <v>2009</v>
      </c>
      <c r="P28" s="99">
        <f>Amnt_Deposited!G23</f>
        <v>0</v>
      </c>
      <c r="Q28" s="283">
        <f>MCF!R27</f>
        <v>0.78500000000000003</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7">
        <f>Dry_Matter_Content!G16</f>
        <v>0.56999999999999995</v>
      </c>
      <c r="E29" s="283">
        <f>MCF!R28</f>
        <v>0.78500000000000003</v>
      </c>
      <c r="F29" s="67">
        <f t="shared" si="0"/>
        <v>0</v>
      </c>
      <c r="G29" s="67">
        <f t="shared" si="1"/>
        <v>0</v>
      </c>
      <c r="H29" s="67">
        <f t="shared" si="2"/>
        <v>0</v>
      </c>
      <c r="I29" s="67">
        <f t="shared" si="3"/>
        <v>0</v>
      </c>
      <c r="J29" s="67">
        <f t="shared" si="4"/>
        <v>0</v>
      </c>
      <c r="K29" s="100">
        <f t="shared" si="6"/>
        <v>0</v>
      </c>
      <c r="O29" s="96">
        <f>Amnt_Deposited!B24</f>
        <v>2010</v>
      </c>
      <c r="P29" s="99">
        <f>Amnt_Deposited!G24</f>
        <v>0</v>
      </c>
      <c r="Q29" s="283">
        <f>MCF!R28</f>
        <v>0.78500000000000003</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7">
        <f>Dry_Matter_Content!G17</f>
        <v>0.56999999999999995</v>
      </c>
      <c r="E30" s="283">
        <f>MCF!R29</f>
        <v>0.78500000000000003</v>
      </c>
      <c r="F30" s="67">
        <f t="shared" si="0"/>
        <v>0</v>
      </c>
      <c r="G30" s="67">
        <f t="shared" si="1"/>
        <v>0</v>
      </c>
      <c r="H30" s="67">
        <f t="shared" si="2"/>
        <v>0</v>
      </c>
      <c r="I30" s="67">
        <f t="shared" si="3"/>
        <v>0</v>
      </c>
      <c r="J30" s="67">
        <f t="shared" si="4"/>
        <v>0</v>
      </c>
      <c r="K30" s="100">
        <f t="shared" si="6"/>
        <v>0</v>
      </c>
      <c r="O30" s="96">
        <f>Amnt_Deposited!B25</f>
        <v>2011</v>
      </c>
      <c r="P30" s="99">
        <f>Amnt_Deposited!G25</f>
        <v>20.831771231666998</v>
      </c>
      <c r="Q30" s="283">
        <f>MCF!R29</f>
        <v>0.78500000000000003</v>
      </c>
      <c r="R30" s="67">
        <f t="shared" si="5"/>
        <v>3.5158821896245973</v>
      </c>
      <c r="S30" s="67">
        <f t="shared" si="7"/>
        <v>3.5158821896245973</v>
      </c>
      <c r="T30" s="67">
        <f t="shared" si="8"/>
        <v>0</v>
      </c>
      <c r="U30" s="67">
        <f t="shared" si="9"/>
        <v>3.5158821896245973</v>
      </c>
      <c r="V30" s="67">
        <f t="shared" si="10"/>
        <v>0</v>
      </c>
      <c r="W30" s="100">
        <f t="shared" si="11"/>
        <v>0</v>
      </c>
    </row>
    <row r="31" spans="2:23">
      <c r="B31" s="96">
        <f>Amnt_Deposited!B26</f>
        <v>2012</v>
      </c>
      <c r="C31" s="99">
        <f>Amnt_Deposited!F26</f>
        <v>0</v>
      </c>
      <c r="D31" s="417">
        <f>Dry_Matter_Content!G18</f>
        <v>0.56999999999999995</v>
      </c>
      <c r="E31" s="283">
        <f>MCF!R30</f>
        <v>0.78500000000000003</v>
      </c>
      <c r="F31" s="67">
        <f t="shared" si="0"/>
        <v>0</v>
      </c>
      <c r="G31" s="67">
        <f t="shared" si="1"/>
        <v>0</v>
      </c>
      <c r="H31" s="67">
        <f t="shared" si="2"/>
        <v>0</v>
      </c>
      <c r="I31" s="67">
        <f t="shared" si="3"/>
        <v>0</v>
      </c>
      <c r="J31" s="67">
        <f t="shared" si="4"/>
        <v>0</v>
      </c>
      <c r="K31" s="100">
        <f t="shared" si="6"/>
        <v>0</v>
      </c>
      <c r="O31" s="96">
        <f>Amnt_Deposited!B26</f>
        <v>2012</v>
      </c>
      <c r="P31" s="99">
        <f>Amnt_Deposited!G26</f>
        <v>21.278517628104002</v>
      </c>
      <c r="Q31" s="283">
        <f>MCF!R30</f>
        <v>0.78500000000000003</v>
      </c>
      <c r="R31" s="67">
        <f t="shared" si="5"/>
        <v>3.5912818126832531</v>
      </c>
      <c r="S31" s="67">
        <f t="shared" si="7"/>
        <v>3.5912818126832531</v>
      </c>
      <c r="T31" s="67">
        <f t="shared" si="8"/>
        <v>0</v>
      </c>
      <c r="U31" s="67">
        <f t="shared" si="9"/>
        <v>6.9862366979082768</v>
      </c>
      <c r="V31" s="67">
        <f t="shared" si="10"/>
        <v>0.1209273043995738</v>
      </c>
      <c r="W31" s="100">
        <f t="shared" si="11"/>
        <v>8.0618202933049193E-2</v>
      </c>
    </row>
    <row r="32" spans="2:23">
      <c r="B32" s="96">
        <f>Amnt_Deposited!B27</f>
        <v>2013</v>
      </c>
      <c r="C32" s="99">
        <f>Amnt_Deposited!F27</f>
        <v>0</v>
      </c>
      <c r="D32" s="417">
        <f>Dry_Matter_Content!G19</f>
        <v>0.56999999999999995</v>
      </c>
      <c r="E32" s="283">
        <f>MCF!R31</f>
        <v>0.78500000000000003</v>
      </c>
      <c r="F32" s="67">
        <f t="shared" si="0"/>
        <v>0</v>
      </c>
      <c r="G32" s="67">
        <f t="shared" si="1"/>
        <v>0</v>
      </c>
      <c r="H32" s="67">
        <f t="shared" si="2"/>
        <v>0</v>
      </c>
      <c r="I32" s="67">
        <f t="shared" si="3"/>
        <v>0</v>
      </c>
      <c r="J32" s="67">
        <f t="shared" si="4"/>
        <v>0</v>
      </c>
      <c r="K32" s="100">
        <f t="shared" si="6"/>
        <v>0</v>
      </c>
      <c r="O32" s="96">
        <f>Amnt_Deposited!B27</f>
        <v>2013</v>
      </c>
      <c r="P32" s="99">
        <f>Amnt_Deposited!G27</f>
        <v>21.783101097581998</v>
      </c>
      <c r="Q32" s="283">
        <f>MCF!R31</f>
        <v>0.78500000000000003</v>
      </c>
      <c r="R32" s="67">
        <f t="shared" si="5"/>
        <v>3.6764428877444018</v>
      </c>
      <c r="S32" s="67">
        <f t="shared" si="7"/>
        <v>3.6764428877444018</v>
      </c>
      <c r="T32" s="67">
        <f t="shared" si="8"/>
        <v>0</v>
      </c>
      <c r="U32" s="67">
        <f t="shared" si="9"/>
        <v>10.422390882502009</v>
      </c>
      <c r="V32" s="67">
        <f t="shared" si="10"/>
        <v>0.24028870315066858</v>
      </c>
      <c r="W32" s="100">
        <f t="shared" si="11"/>
        <v>0.16019246876711238</v>
      </c>
    </row>
    <row r="33" spans="2:23">
      <c r="B33" s="96">
        <f>Amnt_Deposited!B28</f>
        <v>2014</v>
      </c>
      <c r="C33" s="99">
        <f>Amnt_Deposited!F28</f>
        <v>0</v>
      </c>
      <c r="D33" s="417">
        <f>Dry_Matter_Content!G20</f>
        <v>0.56999999999999995</v>
      </c>
      <c r="E33" s="283">
        <f>MCF!R32</f>
        <v>0.78500000000000003</v>
      </c>
      <c r="F33" s="67">
        <f t="shared" si="0"/>
        <v>0</v>
      </c>
      <c r="G33" s="67">
        <f t="shared" si="1"/>
        <v>0</v>
      </c>
      <c r="H33" s="67">
        <f t="shared" si="2"/>
        <v>0</v>
      </c>
      <c r="I33" s="67">
        <f t="shared" si="3"/>
        <v>0</v>
      </c>
      <c r="J33" s="67">
        <f t="shared" si="4"/>
        <v>0</v>
      </c>
      <c r="K33" s="100">
        <f t="shared" si="6"/>
        <v>0</v>
      </c>
      <c r="O33" s="96">
        <f>Amnt_Deposited!B28</f>
        <v>2014</v>
      </c>
      <c r="P33" s="99">
        <f>Amnt_Deposited!G28</f>
        <v>22.283706486492001</v>
      </c>
      <c r="Q33" s="283">
        <f>MCF!R32</f>
        <v>0.78500000000000003</v>
      </c>
      <c r="R33" s="67">
        <f t="shared" si="5"/>
        <v>3.7609325622576879</v>
      </c>
      <c r="S33" s="67">
        <f t="shared" si="7"/>
        <v>3.7609325622576879</v>
      </c>
      <c r="T33" s="67">
        <f t="shared" si="8"/>
        <v>0</v>
      </c>
      <c r="U33" s="67">
        <f t="shared" si="9"/>
        <v>13.824849648755107</v>
      </c>
      <c r="V33" s="67">
        <f t="shared" si="10"/>
        <v>0.35847379600459112</v>
      </c>
      <c r="W33" s="100">
        <f t="shared" si="11"/>
        <v>0.23898253066972741</v>
      </c>
    </row>
    <row r="34" spans="2:23">
      <c r="B34" s="96">
        <f>Amnt_Deposited!B29</f>
        <v>2015</v>
      </c>
      <c r="C34" s="99">
        <f>Amnt_Deposited!F29</f>
        <v>0</v>
      </c>
      <c r="D34" s="417">
        <f>Dry_Matter_Content!G21</f>
        <v>0.56999999999999995</v>
      </c>
      <c r="E34" s="283">
        <f>MCF!R33</f>
        <v>0.78500000000000003</v>
      </c>
      <c r="F34" s="67">
        <f t="shared" si="0"/>
        <v>0</v>
      </c>
      <c r="G34" s="67">
        <f t="shared" si="1"/>
        <v>0</v>
      </c>
      <c r="H34" s="67">
        <f t="shared" si="2"/>
        <v>0</v>
      </c>
      <c r="I34" s="67">
        <f t="shared" si="3"/>
        <v>0</v>
      </c>
      <c r="J34" s="67">
        <f t="shared" si="4"/>
        <v>0</v>
      </c>
      <c r="K34" s="100">
        <f t="shared" si="6"/>
        <v>0</v>
      </c>
      <c r="O34" s="96">
        <f>Amnt_Deposited!B29</f>
        <v>2015</v>
      </c>
      <c r="P34" s="99">
        <f>Amnt_Deposited!G29</f>
        <v>22.781555508689998</v>
      </c>
      <c r="Q34" s="283">
        <f>MCF!R33</f>
        <v>0.78500000000000003</v>
      </c>
      <c r="R34" s="67">
        <f t="shared" si="5"/>
        <v>3.8449570309791543</v>
      </c>
      <c r="S34" s="67">
        <f t="shared" si="7"/>
        <v>3.8449570309791543</v>
      </c>
      <c r="T34" s="67">
        <f t="shared" si="8"/>
        <v>0</v>
      </c>
      <c r="U34" s="67">
        <f t="shared" si="9"/>
        <v>17.1943067307636</v>
      </c>
      <c r="V34" s="67">
        <f t="shared" si="10"/>
        <v>0.47549994897066039</v>
      </c>
      <c r="W34" s="100">
        <f t="shared" si="11"/>
        <v>0.31699996598044022</v>
      </c>
    </row>
    <row r="35" spans="2:23">
      <c r="B35" s="96">
        <f>Amnt_Deposited!B30</f>
        <v>2016</v>
      </c>
      <c r="C35" s="99">
        <f>Amnt_Deposited!F30</f>
        <v>0</v>
      </c>
      <c r="D35" s="417">
        <f>Dry_Matter_Content!G22</f>
        <v>0.56999999999999995</v>
      </c>
      <c r="E35" s="283">
        <f>MCF!R34</f>
        <v>0.78500000000000003</v>
      </c>
      <c r="F35" s="67">
        <f t="shared" si="0"/>
        <v>0</v>
      </c>
      <c r="G35" s="67">
        <f t="shared" si="1"/>
        <v>0</v>
      </c>
      <c r="H35" s="67">
        <f t="shared" si="2"/>
        <v>0</v>
      </c>
      <c r="I35" s="67">
        <f t="shared" si="3"/>
        <v>0</v>
      </c>
      <c r="J35" s="67">
        <f t="shared" si="4"/>
        <v>0</v>
      </c>
      <c r="K35" s="100">
        <f t="shared" si="6"/>
        <v>0</v>
      </c>
      <c r="O35" s="96">
        <f>Amnt_Deposited!B30</f>
        <v>2016</v>
      </c>
      <c r="P35" s="99">
        <f>Amnt_Deposited!G30</f>
        <v>23.275503120375003</v>
      </c>
      <c r="Q35" s="283">
        <f>MCF!R34</f>
        <v>0.78500000000000003</v>
      </c>
      <c r="R35" s="67">
        <f t="shared" si="5"/>
        <v>3.9283230391412909</v>
      </c>
      <c r="S35" s="67">
        <f t="shared" si="7"/>
        <v>3.9283230391412909</v>
      </c>
      <c r="T35" s="67">
        <f t="shared" si="8"/>
        <v>0</v>
      </c>
      <c r="U35" s="67">
        <f t="shared" si="9"/>
        <v>20.531238747160554</v>
      </c>
      <c r="V35" s="67">
        <f t="shared" si="10"/>
        <v>0.5913910227443373</v>
      </c>
      <c r="W35" s="100">
        <f t="shared" si="11"/>
        <v>0.3942606818295582</v>
      </c>
    </row>
    <row r="36" spans="2:23">
      <c r="B36" s="96">
        <f>Amnt_Deposited!B31</f>
        <v>2017</v>
      </c>
      <c r="C36" s="99">
        <f>Amnt_Deposited!F31</f>
        <v>0</v>
      </c>
      <c r="D36" s="417">
        <f>Dry_Matter_Content!G23</f>
        <v>0.56999999999999995</v>
      </c>
      <c r="E36" s="283">
        <f>MCF!R35</f>
        <v>0.78500000000000003</v>
      </c>
      <c r="F36" s="67">
        <f t="shared" si="0"/>
        <v>0</v>
      </c>
      <c r="G36" s="67">
        <f t="shared" si="1"/>
        <v>0</v>
      </c>
      <c r="H36" s="67">
        <f t="shared" si="2"/>
        <v>0</v>
      </c>
      <c r="I36" s="67">
        <f t="shared" si="3"/>
        <v>0</v>
      </c>
      <c r="J36" s="67">
        <f t="shared" si="4"/>
        <v>0</v>
      </c>
      <c r="K36" s="100">
        <f t="shared" si="6"/>
        <v>0</v>
      </c>
      <c r="O36" s="96">
        <f>Amnt_Deposited!B31</f>
        <v>2017</v>
      </c>
      <c r="P36" s="99">
        <f>Amnt_Deposited!G31</f>
        <v>24.530151901939689</v>
      </c>
      <c r="Q36" s="283">
        <f>MCF!R35</f>
        <v>0.78500000000000003</v>
      </c>
      <c r="R36" s="67">
        <f t="shared" si="5"/>
        <v>4.1400763872498709</v>
      </c>
      <c r="S36" s="67">
        <f t="shared" si="7"/>
        <v>4.1400763872498709</v>
      </c>
      <c r="T36" s="67">
        <f t="shared" si="8"/>
        <v>0</v>
      </c>
      <c r="U36" s="67">
        <f t="shared" si="9"/>
        <v>23.965151723985315</v>
      </c>
      <c r="V36" s="67">
        <f t="shared" si="10"/>
        <v>0.70616341042510988</v>
      </c>
      <c r="W36" s="100">
        <f t="shared" si="11"/>
        <v>0.47077560695007326</v>
      </c>
    </row>
    <row r="37" spans="2:23">
      <c r="B37" s="96">
        <f>Amnt_Deposited!B32</f>
        <v>2018</v>
      </c>
      <c r="C37" s="99">
        <f>Amnt_Deposited!F32</f>
        <v>0</v>
      </c>
      <c r="D37" s="417">
        <f>Dry_Matter_Content!G24</f>
        <v>0.56999999999999995</v>
      </c>
      <c r="E37" s="283">
        <f>MCF!R36</f>
        <v>0.78500000000000003</v>
      </c>
      <c r="F37" s="67">
        <f t="shared" si="0"/>
        <v>0</v>
      </c>
      <c r="G37" s="67">
        <f t="shared" si="1"/>
        <v>0</v>
      </c>
      <c r="H37" s="67">
        <f t="shared" si="2"/>
        <v>0</v>
      </c>
      <c r="I37" s="67">
        <f t="shared" si="3"/>
        <v>0</v>
      </c>
      <c r="J37" s="67">
        <f t="shared" si="4"/>
        <v>0</v>
      </c>
      <c r="K37" s="100">
        <f t="shared" si="6"/>
        <v>0</v>
      </c>
      <c r="O37" s="96">
        <f>Amnt_Deposited!B32</f>
        <v>2018</v>
      </c>
      <c r="P37" s="99">
        <f>Amnt_Deposited!G32</f>
        <v>25.798122660255778</v>
      </c>
      <c r="Q37" s="283">
        <f>MCF!R36</f>
        <v>0.78500000000000003</v>
      </c>
      <c r="R37" s="67">
        <f t="shared" si="5"/>
        <v>4.3540781519846687</v>
      </c>
      <c r="S37" s="67">
        <f t="shared" si="7"/>
        <v>4.3540781519846687</v>
      </c>
      <c r="T37" s="67">
        <f t="shared" si="8"/>
        <v>0</v>
      </c>
      <c r="U37" s="67">
        <f t="shared" si="9"/>
        <v>27.494958458099248</v>
      </c>
      <c r="V37" s="67">
        <f t="shared" si="10"/>
        <v>0.82427141787073843</v>
      </c>
      <c r="W37" s="100">
        <f t="shared" si="11"/>
        <v>0.54951427858049229</v>
      </c>
    </row>
    <row r="38" spans="2:23">
      <c r="B38" s="96">
        <f>Amnt_Deposited!B33</f>
        <v>2019</v>
      </c>
      <c r="C38" s="99">
        <f>Amnt_Deposited!F33</f>
        <v>0</v>
      </c>
      <c r="D38" s="417">
        <f>Dry_Matter_Content!G25</f>
        <v>0.56999999999999995</v>
      </c>
      <c r="E38" s="283">
        <f>MCF!R37</f>
        <v>0.78500000000000003</v>
      </c>
      <c r="F38" s="67">
        <f t="shared" si="0"/>
        <v>0</v>
      </c>
      <c r="G38" s="67">
        <f t="shared" si="1"/>
        <v>0</v>
      </c>
      <c r="H38" s="67">
        <f t="shared" si="2"/>
        <v>0</v>
      </c>
      <c r="I38" s="67">
        <f t="shared" si="3"/>
        <v>0</v>
      </c>
      <c r="J38" s="67">
        <f t="shared" si="4"/>
        <v>0</v>
      </c>
      <c r="K38" s="100">
        <f t="shared" si="6"/>
        <v>0</v>
      </c>
      <c r="O38" s="96">
        <f>Amnt_Deposited!B33</f>
        <v>2019</v>
      </c>
      <c r="P38" s="99">
        <f>Amnt_Deposited!G33</f>
        <v>27.114809195971752</v>
      </c>
      <c r="Q38" s="283">
        <f>MCF!R37</f>
        <v>0.78500000000000003</v>
      </c>
      <c r="R38" s="67">
        <f t="shared" si="5"/>
        <v>4.5763019220501331</v>
      </c>
      <c r="S38" s="67">
        <f t="shared" si="7"/>
        <v>4.5763019220501331</v>
      </c>
      <c r="T38" s="67">
        <f t="shared" si="8"/>
        <v>0</v>
      </c>
      <c r="U38" s="67">
        <f t="shared" si="9"/>
        <v>31.125582728967558</v>
      </c>
      <c r="V38" s="67">
        <f t="shared" si="10"/>
        <v>0.9456776511818259</v>
      </c>
      <c r="W38" s="100">
        <f t="shared" si="11"/>
        <v>0.63045176745455056</v>
      </c>
    </row>
    <row r="39" spans="2:23">
      <c r="B39" s="96">
        <f>Amnt_Deposited!B34</f>
        <v>2020</v>
      </c>
      <c r="C39" s="99">
        <f>Amnt_Deposited!F34</f>
        <v>0</v>
      </c>
      <c r="D39" s="417">
        <f>Dry_Matter_Content!G26</f>
        <v>0.56999999999999995</v>
      </c>
      <c r="E39" s="283">
        <f>MCF!R38</f>
        <v>0.78500000000000003</v>
      </c>
      <c r="F39" s="67">
        <f t="shared" si="0"/>
        <v>0</v>
      </c>
      <c r="G39" s="67">
        <f t="shared" si="1"/>
        <v>0</v>
      </c>
      <c r="H39" s="67">
        <f t="shared" si="2"/>
        <v>0</v>
      </c>
      <c r="I39" s="67">
        <f t="shared" si="3"/>
        <v>0</v>
      </c>
      <c r="J39" s="67">
        <f t="shared" si="4"/>
        <v>0</v>
      </c>
      <c r="K39" s="100">
        <f t="shared" si="6"/>
        <v>0</v>
      </c>
      <c r="O39" s="96">
        <f>Amnt_Deposited!B34</f>
        <v>2020</v>
      </c>
      <c r="P39" s="99">
        <f>Amnt_Deposited!G34</f>
        <v>28.481871515749411</v>
      </c>
      <c r="Q39" s="283">
        <f>MCF!R38</f>
        <v>0.78500000000000003</v>
      </c>
      <c r="R39" s="67">
        <f t="shared" si="5"/>
        <v>4.8070278650706069</v>
      </c>
      <c r="S39" s="67">
        <f t="shared" si="7"/>
        <v>4.8070278650706069</v>
      </c>
      <c r="T39" s="67">
        <f t="shared" si="8"/>
        <v>0</v>
      </c>
      <c r="U39" s="67">
        <f t="shared" si="9"/>
        <v>34.86205913233465</v>
      </c>
      <c r="V39" s="67">
        <f t="shared" si="10"/>
        <v>1.0705514617035177</v>
      </c>
      <c r="W39" s="100">
        <f t="shared" si="11"/>
        <v>0.71370097446901171</v>
      </c>
    </row>
    <row r="40" spans="2:23">
      <c r="B40" s="96">
        <f>Amnt_Deposited!B35</f>
        <v>2021</v>
      </c>
      <c r="C40" s="99">
        <f>Amnt_Deposited!F35</f>
        <v>0</v>
      </c>
      <c r="D40" s="417">
        <f>Dry_Matter_Content!G27</f>
        <v>0.56999999999999995</v>
      </c>
      <c r="E40" s="283">
        <f>MCF!R39</f>
        <v>0.78500000000000003</v>
      </c>
      <c r="F40" s="67">
        <f t="shared" si="0"/>
        <v>0</v>
      </c>
      <c r="G40" s="67">
        <f t="shared" si="1"/>
        <v>0</v>
      </c>
      <c r="H40" s="67">
        <f t="shared" si="2"/>
        <v>0</v>
      </c>
      <c r="I40" s="67">
        <f t="shared" si="3"/>
        <v>0</v>
      </c>
      <c r="J40" s="67">
        <f t="shared" si="4"/>
        <v>0</v>
      </c>
      <c r="K40" s="100">
        <f t="shared" si="6"/>
        <v>0</v>
      </c>
      <c r="O40" s="96">
        <f>Amnt_Deposited!B35</f>
        <v>2021</v>
      </c>
      <c r="P40" s="99">
        <f>Amnt_Deposited!G35</f>
        <v>29.901022609156048</v>
      </c>
      <c r="Q40" s="283">
        <f>MCF!R39</f>
        <v>0.78500000000000003</v>
      </c>
      <c r="R40" s="67">
        <f t="shared" si="5"/>
        <v>5.0465450908603122</v>
      </c>
      <c r="S40" s="67">
        <f t="shared" si="7"/>
        <v>5.0465450908603122</v>
      </c>
      <c r="T40" s="67">
        <f t="shared" si="8"/>
        <v>0</v>
      </c>
      <c r="U40" s="67">
        <f t="shared" si="9"/>
        <v>38.709538210934213</v>
      </c>
      <c r="V40" s="67">
        <f t="shared" si="10"/>
        <v>1.1990660122607539</v>
      </c>
      <c r="W40" s="100">
        <f t="shared" si="11"/>
        <v>0.79937734150716921</v>
      </c>
    </row>
    <row r="41" spans="2:23">
      <c r="B41" s="96">
        <f>Amnt_Deposited!B36</f>
        <v>2022</v>
      </c>
      <c r="C41" s="99">
        <f>Amnt_Deposited!F36</f>
        <v>0</v>
      </c>
      <c r="D41" s="417">
        <f>Dry_Matter_Content!G28</f>
        <v>0.56999999999999995</v>
      </c>
      <c r="E41" s="283">
        <f>MCF!R40</f>
        <v>0.78500000000000003</v>
      </c>
      <c r="F41" s="67">
        <f t="shared" si="0"/>
        <v>0</v>
      </c>
      <c r="G41" s="67">
        <f t="shared" si="1"/>
        <v>0</v>
      </c>
      <c r="H41" s="67">
        <f t="shared" si="2"/>
        <v>0</v>
      </c>
      <c r="I41" s="67">
        <f t="shared" si="3"/>
        <v>0</v>
      </c>
      <c r="J41" s="67">
        <f t="shared" si="4"/>
        <v>0</v>
      </c>
      <c r="K41" s="100">
        <f t="shared" si="6"/>
        <v>0</v>
      </c>
      <c r="O41" s="96">
        <f>Amnt_Deposited!B36</f>
        <v>2022</v>
      </c>
      <c r="P41" s="99">
        <f>Amnt_Deposited!G36</f>
        <v>31.374030071373308</v>
      </c>
      <c r="Q41" s="283">
        <f>MCF!R40</f>
        <v>0.78500000000000003</v>
      </c>
      <c r="R41" s="67">
        <f t="shared" si="5"/>
        <v>5.2951519252960306</v>
      </c>
      <c r="S41" s="67">
        <f t="shared" si="7"/>
        <v>5.2951519252960306</v>
      </c>
      <c r="T41" s="67">
        <f t="shared" si="8"/>
        <v>0</v>
      </c>
      <c r="U41" s="67">
        <f t="shared" si="9"/>
        <v>42.673291682603335</v>
      </c>
      <c r="V41" s="67">
        <f t="shared" si="10"/>
        <v>1.3313984536269077</v>
      </c>
      <c r="W41" s="100">
        <f t="shared" si="11"/>
        <v>0.88759896908460512</v>
      </c>
    </row>
    <row r="42" spans="2:23">
      <c r="B42" s="96">
        <f>Amnt_Deposited!B37</f>
        <v>2023</v>
      </c>
      <c r="C42" s="99">
        <f>Amnt_Deposited!F37</f>
        <v>0</v>
      </c>
      <c r="D42" s="417">
        <f>Dry_Matter_Content!G29</f>
        <v>0.56999999999999995</v>
      </c>
      <c r="E42" s="283">
        <f>MCF!R41</f>
        <v>0.78500000000000003</v>
      </c>
      <c r="F42" s="67">
        <f t="shared" si="0"/>
        <v>0</v>
      </c>
      <c r="G42" s="67">
        <f t="shared" si="1"/>
        <v>0</v>
      </c>
      <c r="H42" s="67">
        <f t="shared" si="2"/>
        <v>0</v>
      </c>
      <c r="I42" s="67">
        <f t="shared" si="3"/>
        <v>0</v>
      </c>
      <c r="J42" s="67">
        <f t="shared" si="4"/>
        <v>0</v>
      </c>
      <c r="K42" s="100">
        <f t="shared" si="6"/>
        <v>0</v>
      </c>
      <c r="O42" s="96">
        <f>Amnt_Deposited!B37</f>
        <v>2023</v>
      </c>
      <c r="P42" s="99">
        <f>Amnt_Deposited!G37</f>
        <v>32.902717774212036</v>
      </c>
      <c r="Q42" s="283">
        <f>MCF!R41</f>
        <v>0.78500000000000003</v>
      </c>
      <c r="R42" s="67">
        <f t="shared" si="5"/>
        <v>5.5531561923426365</v>
      </c>
      <c r="S42" s="67">
        <f t="shared" si="7"/>
        <v>5.5531561923426365</v>
      </c>
      <c r="T42" s="67">
        <f t="shared" si="8"/>
        <v>0</v>
      </c>
      <c r="U42" s="67">
        <f t="shared" si="9"/>
        <v>46.758717770603376</v>
      </c>
      <c r="V42" s="67">
        <f t="shared" si="10"/>
        <v>1.467730104342593</v>
      </c>
      <c r="W42" s="100">
        <f t="shared" si="11"/>
        <v>0.97848673622839533</v>
      </c>
    </row>
    <row r="43" spans="2:23">
      <c r="B43" s="96">
        <f>Amnt_Deposited!B38</f>
        <v>2024</v>
      </c>
      <c r="C43" s="99">
        <f>Amnt_Deposited!F38</f>
        <v>0</v>
      </c>
      <c r="D43" s="417">
        <f>Dry_Matter_Content!G30</f>
        <v>0.56999999999999995</v>
      </c>
      <c r="E43" s="283">
        <f>MCF!R42</f>
        <v>0.78500000000000003</v>
      </c>
      <c r="F43" s="67">
        <f t="shared" si="0"/>
        <v>0</v>
      </c>
      <c r="G43" s="67">
        <f t="shared" si="1"/>
        <v>0</v>
      </c>
      <c r="H43" s="67">
        <f t="shared" si="2"/>
        <v>0</v>
      </c>
      <c r="I43" s="67">
        <f t="shared" si="3"/>
        <v>0</v>
      </c>
      <c r="J43" s="67">
        <f t="shared" si="4"/>
        <v>0</v>
      </c>
      <c r="K43" s="100">
        <f t="shared" si="6"/>
        <v>0</v>
      </c>
      <c r="O43" s="96">
        <f>Amnt_Deposited!B38</f>
        <v>2024</v>
      </c>
      <c r="P43" s="99">
        <f>Amnt_Deposited!G38</f>
        <v>34.488967586841639</v>
      </c>
      <c r="Q43" s="283">
        <f>MCF!R42</f>
        <v>0.78500000000000003</v>
      </c>
      <c r="R43" s="67">
        <f t="shared" si="5"/>
        <v>5.820875504469198</v>
      </c>
      <c r="S43" s="67">
        <f t="shared" si="7"/>
        <v>5.820875504469198</v>
      </c>
      <c r="T43" s="67">
        <f t="shared" si="8"/>
        <v>0</v>
      </c>
      <c r="U43" s="67">
        <f t="shared" si="9"/>
        <v>50.971346641022741</v>
      </c>
      <c r="V43" s="67">
        <f t="shared" si="10"/>
        <v>1.6082466340498329</v>
      </c>
      <c r="W43" s="100">
        <f t="shared" si="11"/>
        <v>1.0721644226998885</v>
      </c>
    </row>
    <row r="44" spans="2:23">
      <c r="B44" s="96">
        <f>Amnt_Deposited!B39</f>
        <v>2025</v>
      </c>
      <c r="C44" s="99">
        <f>Amnt_Deposited!F39</f>
        <v>0</v>
      </c>
      <c r="D44" s="417">
        <f>Dry_Matter_Content!G31</f>
        <v>0.56999999999999995</v>
      </c>
      <c r="E44" s="283">
        <f>MCF!R43</f>
        <v>0.78500000000000003</v>
      </c>
      <c r="F44" s="67">
        <f t="shared" si="0"/>
        <v>0</v>
      </c>
      <c r="G44" s="67">
        <f t="shared" si="1"/>
        <v>0</v>
      </c>
      <c r="H44" s="67">
        <f t="shared" si="2"/>
        <v>0</v>
      </c>
      <c r="I44" s="67">
        <f t="shared" si="3"/>
        <v>0</v>
      </c>
      <c r="J44" s="67">
        <f t="shared" si="4"/>
        <v>0</v>
      </c>
      <c r="K44" s="100">
        <f t="shared" si="6"/>
        <v>0</v>
      </c>
      <c r="O44" s="96">
        <f>Amnt_Deposited!B39</f>
        <v>2025</v>
      </c>
      <c r="P44" s="99">
        <f>Amnt_Deposited!G39</f>
        <v>36.134721147682669</v>
      </c>
      <c r="Q44" s="283">
        <f>MCF!R43</f>
        <v>0.78500000000000003</v>
      </c>
      <c r="R44" s="67">
        <f t="shared" si="5"/>
        <v>6.0986375617001425</v>
      </c>
      <c r="S44" s="67">
        <f t="shared" si="7"/>
        <v>6.0986375617001425</v>
      </c>
      <c r="T44" s="67">
        <f t="shared" si="8"/>
        <v>0</v>
      </c>
      <c r="U44" s="67">
        <f t="shared" si="9"/>
        <v>55.316845952213619</v>
      </c>
      <c r="V44" s="67">
        <f t="shared" si="10"/>
        <v>1.753138250509265</v>
      </c>
      <c r="W44" s="100">
        <f t="shared" si="11"/>
        <v>1.1687588336728432</v>
      </c>
    </row>
    <row r="45" spans="2:23">
      <c r="B45" s="96">
        <f>Amnt_Deposited!B40</f>
        <v>2026</v>
      </c>
      <c r="C45" s="99">
        <f>Amnt_Deposited!F40</f>
        <v>0</v>
      </c>
      <c r="D45" s="417">
        <f>Dry_Matter_Content!G32</f>
        <v>0.56999999999999995</v>
      </c>
      <c r="E45" s="283">
        <f>MCF!R44</f>
        <v>0.78500000000000003</v>
      </c>
      <c r="F45" s="67">
        <f t="shared" si="0"/>
        <v>0</v>
      </c>
      <c r="G45" s="67">
        <f t="shared" si="1"/>
        <v>0</v>
      </c>
      <c r="H45" s="67">
        <f t="shared" si="2"/>
        <v>0</v>
      </c>
      <c r="I45" s="67">
        <f t="shared" si="3"/>
        <v>0</v>
      </c>
      <c r="J45" s="67">
        <f t="shared" si="4"/>
        <v>0</v>
      </c>
      <c r="K45" s="100">
        <f t="shared" si="6"/>
        <v>0</v>
      </c>
      <c r="O45" s="96">
        <f>Amnt_Deposited!B40</f>
        <v>2026</v>
      </c>
      <c r="P45" s="99">
        <f>Amnt_Deposited!G40</f>
        <v>37.84198168895324</v>
      </c>
      <c r="Q45" s="283">
        <f>MCF!R44</f>
        <v>0.78500000000000003</v>
      </c>
      <c r="R45" s="67">
        <f t="shared" si="5"/>
        <v>6.3867804595530835</v>
      </c>
      <c r="S45" s="67">
        <f t="shared" si="7"/>
        <v>6.3867804595530835</v>
      </c>
      <c r="T45" s="67">
        <f t="shared" si="8"/>
        <v>0</v>
      </c>
      <c r="U45" s="67">
        <f t="shared" si="9"/>
        <v>59.801026521295995</v>
      </c>
      <c r="V45" s="67">
        <f t="shared" si="10"/>
        <v>1.9025998904707069</v>
      </c>
      <c r="W45" s="100">
        <f t="shared" si="11"/>
        <v>1.2683999269804711</v>
      </c>
    </row>
    <row r="46" spans="2:23">
      <c r="B46" s="96">
        <f>Amnt_Deposited!B41</f>
        <v>2027</v>
      </c>
      <c r="C46" s="99">
        <f>Amnt_Deposited!F41</f>
        <v>0</v>
      </c>
      <c r="D46" s="417">
        <f>Dry_Matter_Content!G33</f>
        <v>0.56999999999999995</v>
      </c>
      <c r="E46" s="283">
        <f>MCF!R45</f>
        <v>0.78500000000000003</v>
      </c>
      <c r="F46" s="67">
        <f t="shared" si="0"/>
        <v>0</v>
      </c>
      <c r="G46" s="67">
        <f t="shared" si="1"/>
        <v>0</v>
      </c>
      <c r="H46" s="67">
        <f t="shared" si="2"/>
        <v>0</v>
      </c>
      <c r="I46" s="67">
        <f t="shared" si="3"/>
        <v>0</v>
      </c>
      <c r="J46" s="67">
        <f t="shared" si="4"/>
        <v>0</v>
      </c>
      <c r="K46" s="100">
        <f t="shared" si="6"/>
        <v>0</v>
      </c>
      <c r="O46" s="96">
        <f>Amnt_Deposited!B41</f>
        <v>2027</v>
      </c>
      <c r="P46" s="99">
        <f>Amnt_Deposited!G41</f>
        <v>39.612815915402336</v>
      </c>
      <c r="Q46" s="283">
        <f>MCF!R45</f>
        <v>0.78500000000000003</v>
      </c>
      <c r="R46" s="67">
        <f t="shared" si="5"/>
        <v>6.6856530061220303</v>
      </c>
      <c r="S46" s="67">
        <f t="shared" si="7"/>
        <v>6.6856530061220303</v>
      </c>
      <c r="T46" s="67">
        <f t="shared" si="8"/>
        <v>0</v>
      </c>
      <c r="U46" s="67">
        <f t="shared" si="9"/>
        <v>64.429848112847822</v>
      </c>
      <c r="V46" s="67">
        <f t="shared" si="10"/>
        <v>2.0568314145702042</v>
      </c>
      <c r="W46" s="100">
        <f t="shared" si="11"/>
        <v>1.3712209430468028</v>
      </c>
    </row>
    <row r="47" spans="2:23">
      <c r="B47" s="96">
        <f>Amnt_Deposited!B42</f>
        <v>2028</v>
      </c>
      <c r="C47" s="99">
        <f>Amnt_Deposited!F42</f>
        <v>0</v>
      </c>
      <c r="D47" s="417">
        <f>Dry_Matter_Content!G34</f>
        <v>0.56999999999999995</v>
      </c>
      <c r="E47" s="283">
        <f>MCF!R46</f>
        <v>0.78500000000000003</v>
      </c>
      <c r="F47" s="67">
        <f t="shared" si="0"/>
        <v>0</v>
      </c>
      <c r="G47" s="67">
        <f t="shared" si="1"/>
        <v>0</v>
      </c>
      <c r="H47" s="67">
        <f t="shared" si="2"/>
        <v>0</v>
      </c>
      <c r="I47" s="67">
        <f t="shared" si="3"/>
        <v>0</v>
      </c>
      <c r="J47" s="67">
        <f t="shared" si="4"/>
        <v>0</v>
      </c>
      <c r="K47" s="100">
        <f t="shared" si="6"/>
        <v>0</v>
      </c>
      <c r="O47" s="96">
        <f>Amnt_Deposited!B42</f>
        <v>2028</v>
      </c>
      <c r="P47" s="99">
        <f>Amnt_Deposited!G42</f>
        <v>41.449355938807102</v>
      </c>
      <c r="Q47" s="283">
        <f>MCF!R46</f>
        <v>0.78500000000000003</v>
      </c>
      <c r="R47" s="67">
        <f t="shared" si="5"/>
        <v>6.9956150485721693</v>
      </c>
      <c r="S47" s="67">
        <f t="shared" si="7"/>
        <v>6.9956150485721693</v>
      </c>
      <c r="T47" s="67">
        <f t="shared" si="8"/>
        <v>0</v>
      </c>
      <c r="U47" s="67">
        <f t="shared" si="9"/>
        <v>69.209425354990373</v>
      </c>
      <c r="V47" s="67">
        <f t="shared" si="10"/>
        <v>2.2160378064296178</v>
      </c>
      <c r="W47" s="100">
        <f t="shared" si="11"/>
        <v>1.4773585376197451</v>
      </c>
    </row>
    <row r="48" spans="2:23">
      <c r="B48" s="96">
        <f>Amnt_Deposited!B43</f>
        <v>2029</v>
      </c>
      <c r="C48" s="99">
        <f>Amnt_Deposited!F43</f>
        <v>0</v>
      </c>
      <c r="D48" s="417">
        <f>Dry_Matter_Content!G35</f>
        <v>0.56999999999999995</v>
      </c>
      <c r="E48" s="283">
        <f>MCF!R47</f>
        <v>0.78500000000000003</v>
      </c>
      <c r="F48" s="67">
        <f t="shared" si="0"/>
        <v>0</v>
      </c>
      <c r="G48" s="67">
        <f t="shared" si="1"/>
        <v>0</v>
      </c>
      <c r="H48" s="67">
        <f t="shared" si="2"/>
        <v>0</v>
      </c>
      <c r="I48" s="67">
        <f t="shared" si="3"/>
        <v>0</v>
      </c>
      <c r="J48" s="67">
        <f t="shared" si="4"/>
        <v>0</v>
      </c>
      <c r="K48" s="100">
        <f t="shared" si="6"/>
        <v>0</v>
      </c>
      <c r="O48" s="96">
        <f>Amnt_Deposited!B43</f>
        <v>2029</v>
      </c>
      <c r="P48" s="99">
        <f>Amnt_Deposited!G43</f>
        <v>43.353801269856518</v>
      </c>
      <c r="Q48" s="283">
        <f>MCF!R47</f>
        <v>0.78500000000000003</v>
      </c>
      <c r="R48" s="67">
        <f t="shared" si="5"/>
        <v>7.3170378093200341</v>
      </c>
      <c r="S48" s="67">
        <f t="shared" si="7"/>
        <v>7.3170378093200341</v>
      </c>
      <c r="T48" s="67">
        <f t="shared" si="8"/>
        <v>0</v>
      </c>
      <c r="U48" s="67">
        <f t="shared" si="9"/>
        <v>74.146033788172474</v>
      </c>
      <c r="V48" s="67">
        <f t="shared" si="10"/>
        <v>2.3804293761379194</v>
      </c>
      <c r="W48" s="100">
        <f t="shared" si="11"/>
        <v>1.5869529174252794</v>
      </c>
    </row>
    <row r="49" spans="2:23">
      <c r="B49" s="96">
        <f>Amnt_Deposited!B44</f>
        <v>2030</v>
      </c>
      <c r="C49" s="99">
        <f>Amnt_Deposited!F44</f>
        <v>0</v>
      </c>
      <c r="D49" s="417">
        <f>Dry_Matter_Content!G36</f>
        <v>0.56999999999999995</v>
      </c>
      <c r="E49" s="283">
        <f>MCF!R48</f>
        <v>0.78500000000000003</v>
      </c>
      <c r="F49" s="67">
        <f t="shared" si="0"/>
        <v>0</v>
      </c>
      <c r="G49" s="67">
        <f t="shared" si="1"/>
        <v>0</v>
      </c>
      <c r="H49" s="67">
        <f t="shared" si="2"/>
        <v>0</v>
      </c>
      <c r="I49" s="67">
        <f t="shared" si="3"/>
        <v>0</v>
      </c>
      <c r="J49" s="67">
        <f t="shared" si="4"/>
        <v>0</v>
      </c>
      <c r="K49" s="100">
        <f t="shared" si="6"/>
        <v>0</v>
      </c>
      <c r="O49" s="96">
        <f>Amnt_Deposited!B44</f>
        <v>2030</v>
      </c>
      <c r="P49" s="99">
        <f>Amnt_Deposited!G44</f>
        <v>45.358564501799997</v>
      </c>
      <c r="Q49" s="283">
        <f>MCF!R48</f>
        <v>0.78500000000000003</v>
      </c>
      <c r="R49" s="67">
        <f t="shared" si="5"/>
        <v>7.6553917237912943</v>
      </c>
      <c r="S49" s="67">
        <f t="shared" si="7"/>
        <v>7.6553917237912943</v>
      </c>
      <c r="T49" s="67">
        <f t="shared" si="8"/>
        <v>0</v>
      </c>
      <c r="U49" s="67">
        <f t="shared" si="9"/>
        <v>79.25120354366716</v>
      </c>
      <c r="V49" s="67">
        <f t="shared" si="10"/>
        <v>2.5502219682966047</v>
      </c>
      <c r="W49" s="100">
        <f t="shared" si="11"/>
        <v>1.7001479788644032</v>
      </c>
    </row>
    <row r="50" spans="2:23">
      <c r="B50" s="96">
        <f>Amnt_Deposited!B45</f>
        <v>2031</v>
      </c>
      <c r="C50" s="99">
        <f>Amnt_Deposited!F45</f>
        <v>0</v>
      </c>
      <c r="D50" s="417">
        <f>Dry_Matter_Content!G37</f>
        <v>0.56999999999999995</v>
      </c>
      <c r="E50" s="283">
        <f>MCF!R49</f>
        <v>0.78500000000000003</v>
      </c>
      <c r="F50" s="67">
        <f t="shared" si="0"/>
        <v>0</v>
      </c>
      <c r="G50" s="67">
        <f t="shared" si="1"/>
        <v>0</v>
      </c>
      <c r="H50" s="67">
        <f t="shared" si="2"/>
        <v>0</v>
      </c>
      <c r="I50" s="67">
        <f t="shared" si="3"/>
        <v>0</v>
      </c>
      <c r="J50" s="67">
        <f t="shared" si="4"/>
        <v>0</v>
      </c>
      <c r="K50" s="100">
        <f t="shared" si="6"/>
        <v>0</v>
      </c>
      <c r="O50" s="96">
        <f>Amnt_Deposited!B45</f>
        <v>2031</v>
      </c>
      <c r="P50" s="99">
        <f>Amnt_Deposited!G45</f>
        <v>0</v>
      </c>
      <c r="Q50" s="283">
        <f>MCF!R49</f>
        <v>0.78500000000000003</v>
      </c>
      <c r="R50" s="67">
        <f t="shared" si="5"/>
        <v>0</v>
      </c>
      <c r="S50" s="67">
        <f t="shared" si="7"/>
        <v>0</v>
      </c>
      <c r="T50" s="67">
        <f t="shared" si="8"/>
        <v>0</v>
      </c>
      <c r="U50" s="67">
        <f t="shared" si="9"/>
        <v>76.525391386695858</v>
      </c>
      <c r="V50" s="67">
        <f t="shared" si="10"/>
        <v>2.7258121569713056</v>
      </c>
      <c r="W50" s="100">
        <f t="shared" si="11"/>
        <v>1.817208104647537</v>
      </c>
    </row>
    <row r="51" spans="2:23">
      <c r="B51" s="96">
        <f>Amnt_Deposited!B46</f>
        <v>2032</v>
      </c>
      <c r="C51" s="99">
        <f>Amnt_Deposited!F46</f>
        <v>0</v>
      </c>
      <c r="D51" s="417">
        <f>Dry_Matter_Content!G38</f>
        <v>0.56999999999999995</v>
      </c>
      <c r="E51" s="283">
        <f>MCF!R50</f>
        <v>0.78500000000000003</v>
      </c>
      <c r="F51" s="67">
        <f t="shared" si="0"/>
        <v>0</v>
      </c>
      <c r="G51" s="67">
        <f t="shared" si="1"/>
        <v>0</v>
      </c>
      <c r="H51" s="67">
        <f t="shared" si="2"/>
        <v>0</v>
      </c>
      <c r="I51" s="67">
        <f t="shared" si="3"/>
        <v>0</v>
      </c>
      <c r="J51" s="67">
        <f t="shared" si="4"/>
        <v>0</v>
      </c>
      <c r="K51" s="100">
        <f t="shared" si="6"/>
        <v>0</v>
      </c>
      <c r="O51" s="96">
        <f>Amnt_Deposited!B46</f>
        <v>2032</v>
      </c>
      <c r="P51" s="99">
        <f>Amnt_Deposited!G46</f>
        <v>0</v>
      </c>
      <c r="Q51" s="283">
        <f>MCF!R50</f>
        <v>0.78500000000000003</v>
      </c>
      <c r="R51" s="67">
        <f t="shared" si="5"/>
        <v>0</v>
      </c>
      <c r="S51" s="67">
        <f t="shared" si="7"/>
        <v>0</v>
      </c>
      <c r="T51" s="67">
        <f t="shared" si="8"/>
        <v>0</v>
      </c>
      <c r="U51" s="67">
        <f t="shared" si="9"/>
        <v>73.893332404223642</v>
      </c>
      <c r="V51" s="67">
        <f t="shared" si="10"/>
        <v>2.6320589824722127</v>
      </c>
      <c r="W51" s="100">
        <f t="shared" si="11"/>
        <v>1.7547059883148084</v>
      </c>
    </row>
    <row r="52" spans="2:23">
      <c r="B52" s="96">
        <f>Amnt_Deposited!B47</f>
        <v>2033</v>
      </c>
      <c r="C52" s="99">
        <f>Amnt_Deposited!F47</f>
        <v>0</v>
      </c>
      <c r="D52" s="417">
        <f>Dry_Matter_Content!G39</f>
        <v>0.56999999999999995</v>
      </c>
      <c r="E52" s="283">
        <f>MCF!R51</f>
        <v>0.78500000000000003</v>
      </c>
      <c r="F52" s="67">
        <f t="shared" si="0"/>
        <v>0</v>
      </c>
      <c r="G52" s="67">
        <f t="shared" si="1"/>
        <v>0</v>
      </c>
      <c r="H52" s="67">
        <f t="shared" si="2"/>
        <v>0</v>
      </c>
      <c r="I52" s="67">
        <f t="shared" si="3"/>
        <v>0</v>
      </c>
      <c r="J52" s="67">
        <f t="shared" si="4"/>
        <v>0</v>
      </c>
      <c r="K52" s="100">
        <f t="shared" si="6"/>
        <v>0</v>
      </c>
      <c r="O52" s="96">
        <f>Amnt_Deposited!B47</f>
        <v>2033</v>
      </c>
      <c r="P52" s="99">
        <f>Amnt_Deposited!G47</f>
        <v>0</v>
      </c>
      <c r="Q52" s="283">
        <f>MCF!R51</f>
        <v>0.78500000000000003</v>
      </c>
      <c r="R52" s="67">
        <f t="shared" si="5"/>
        <v>0</v>
      </c>
      <c r="S52" s="67">
        <f t="shared" si="7"/>
        <v>0</v>
      </c>
      <c r="T52" s="67">
        <f t="shared" si="8"/>
        <v>0</v>
      </c>
      <c r="U52" s="67">
        <f t="shared" si="9"/>
        <v>71.351801994839093</v>
      </c>
      <c r="V52" s="67">
        <f t="shared" si="10"/>
        <v>2.5415304093845479</v>
      </c>
      <c r="W52" s="100">
        <f t="shared" si="11"/>
        <v>1.6943536062563651</v>
      </c>
    </row>
    <row r="53" spans="2:23">
      <c r="B53" s="96">
        <f>Amnt_Deposited!B48</f>
        <v>2034</v>
      </c>
      <c r="C53" s="99">
        <f>Amnt_Deposited!F48</f>
        <v>0</v>
      </c>
      <c r="D53" s="417">
        <f>Dry_Matter_Content!G40</f>
        <v>0.56999999999999995</v>
      </c>
      <c r="E53" s="283">
        <f>MCF!R52</f>
        <v>0.78500000000000003</v>
      </c>
      <c r="F53" s="67">
        <f t="shared" si="0"/>
        <v>0</v>
      </c>
      <c r="G53" s="67">
        <f t="shared" si="1"/>
        <v>0</v>
      </c>
      <c r="H53" s="67">
        <f t="shared" si="2"/>
        <v>0</v>
      </c>
      <c r="I53" s="67">
        <f t="shared" si="3"/>
        <v>0</v>
      </c>
      <c r="J53" s="67">
        <f t="shared" si="4"/>
        <v>0</v>
      </c>
      <c r="K53" s="100">
        <f t="shared" si="6"/>
        <v>0</v>
      </c>
      <c r="O53" s="96">
        <f>Amnt_Deposited!B48</f>
        <v>2034</v>
      </c>
      <c r="P53" s="99">
        <f>Amnt_Deposited!G48</f>
        <v>0</v>
      </c>
      <c r="Q53" s="283">
        <f>MCF!R52</f>
        <v>0.78500000000000003</v>
      </c>
      <c r="R53" s="67">
        <f t="shared" si="5"/>
        <v>0</v>
      </c>
      <c r="S53" s="67">
        <f t="shared" si="7"/>
        <v>0</v>
      </c>
      <c r="T53" s="67">
        <f t="shared" si="8"/>
        <v>0</v>
      </c>
      <c r="U53" s="67">
        <f t="shared" si="9"/>
        <v>68.897686465954067</v>
      </c>
      <c r="V53" s="67">
        <f t="shared" si="10"/>
        <v>2.4541155288850294</v>
      </c>
      <c r="W53" s="100">
        <f t="shared" si="11"/>
        <v>1.6360770192566862</v>
      </c>
    </row>
    <row r="54" spans="2:23">
      <c r="B54" s="96">
        <f>Amnt_Deposited!B49</f>
        <v>2035</v>
      </c>
      <c r="C54" s="99">
        <f>Amnt_Deposited!F49</f>
        <v>0</v>
      </c>
      <c r="D54" s="417">
        <f>Dry_Matter_Content!G41</f>
        <v>0.56999999999999995</v>
      </c>
      <c r="E54" s="283">
        <f>MCF!R53</f>
        <v>0.78500000000000003</v>
      </c>
      <c r="F54" s="67">
        <f t="shared" si="0"/>
        <v>0</v>
      </c>
      <c r="G54" s="67">
        <f t="shared" si="1"/>
        <v>0</v>
      </c>
      <c r="H54" s="67">
        <f t="shared" si="2"/>
        <v>0</v>
      </c>
      <c r="I54" s="67">
        <f t="shared" si="3"/>
        <v>0</v>
      </c>
      <c r="J54" s="67">
        <f t="shared" si="4"/>
        <v>0</v>
      </c>
      <c r="K54" s="100">
        <f t="shared" si="6"/>
        <v>0</v>
      </c>
      <c r="O54" s="96">
        <f>Amnt_Deposited!B49</f>
        <v>2035</v>
      </c>
      <c r="P54" s="99">
        <f>Amnt_Deposited!G49</f>
        <v>0</v>
      </c>
      <c r="Q54" s="283">
        <f>MCF!R53</f>
        <v>0.78500000000000003</v>
      </c>
      <c r="R54" s="67">
        <f t="shared" si="5"/>
        <v>0</v>
      </c>
      <c r="S54" s="67">
        <f t="shared" si="7"/>
        <v>0</v>
      </c>
      <c r="T54" s="67">
        <f t="shared" si="8"/>
        <v>0</v>
      </c>
      <c r="U54" s="67">
        <f t="shared" si="9"/>
        <v>66.527979219140875</v>
      </c>
      <c r="V54" s="67">
        <f t="shared" si="10"/>
        <v>2.3697072468131868</v>
      </c>
      <c r="W54" s="100">
        <f t="shared" si="11"/>
        <v>1.5798048312087911</v>
      </c>
    </row>
    <row r="55" spans="2:23">
      <c r="B55" s="96">
        <f>Amnt_Deposited!B50</f>
        <v>2036</v>
      </c>
      <c r="C55" s="99">
        <f>Amnt_Deposited!F50</f>
        <v>0</v>
      </c>
      <c r="D55" s="417">
        <f>Dry_Matter_Content!G42</f>
        <v>0.56999999999999995</v>
      </c>
      <c r="E55" s="283">
        <f>MCF!R54</f>
        <v>0.78500000000000003</v>
      </c>
      <c r="F55" s="67">
        <f t="shared" si="0"/>
        <v>0</v>
      </c>
      <c r="G55" s="67">
        <f t="shared" si="1"/>
        <v>0</v>
      </c>
      <c r="H55" s="67">
        <f t="shared" si="2"/>
        <v>0</v>
      </c>
      <c r="I55" s="67">
        <f t="shared" si="3"/>
        <v>0</v>
      </c>
      <c r="J55" s="67">
        <f t="shared" si="4"/>
        <v>0</v>
      </c>
      <c r="K55" s="100">
        <f t="shared" si="6"/>
        <v>0</v>
      </c>
      <c r="O55" s="96">
        <f>Amnt_Deposited!B50</f>
        <v>2036</v>
      </c>
      <c r="P55" s="99">
        <f>Amnt_Deposited!G50</f>
        <v>0</v>
      </c>
      <c r="Q55" s="283">
        <f>MCF!R54</f>
        <v>0.78500000000000003</v>
      </c>
      <c r="R55" s="67">
        <f t="shared" si="5"/>
        <v>0</v>
      </c>
      <c r="S55" s="67">
        <f t="shared" si="7"/>
        <v>0</v>
      </c>
      <c r="T55" s="67">
        <f t="shared" si="8"/>
        <v>0</v>
      </c>
      <c r="U55" s="67">
        <f t="shared" si="9"/>
        <v>64.239777066673255</v>
      </c>
      <c r="V55" s="67">
        <f t="shared" si="10"/>
        <v>2.288202152467619</v>
      </c>
      <c r="W55" s="100">
        <f t="shared" si="11"/>
        <v>1.5254681016450793</v>
      </c>
    </row>
    <row r="56" spans="2:23">
      <c r="B56" s="96">
        <f>Amnt_Deposited!B51</f>
        <v>2037</v>
      </c>
      <c r="C56" s="99">
        <f>Amnt_Deposited!F51</f>
        <v>0</v>
      </c>
      <c r="D56" s="417">
        <f>Dry_Matter_Content!G43</f>
        <v>0.56999999999999995</v>
      </c>
      <c r="E56" s="283">
        <f>MCF!R55</f>
        <v>0.78500000000000003</v>
      </c>
      <c r="F56" s="67">
        <f t="shared" si="0"/>
        <v>0</v>
      </c>
      <c r="G56" s="67">
        <f t="shared" si="1"/>
        <v>0</v>
      </c>
      <c r="H56" s="67">
        <f t="shared" si="2"/>
        <v>0</v>
      </c>
      <c r="I56" s="67">
        <f t="shared" si="3"/>
        <v>0</v>
      </c>
      <c r="J56" s="67">
        <f t="shared" si="4"/>
        <v>0</v>
      </c>
      <c r="K56" s="100">
        <f t="shared" si="6"/>
        <v>0</v>
      </c>
      <c r="O56" s="96">
        <f>Amnt_Deposited!B51</f>
        <v>2037</v>
      </c>
      <c r="P56" s="99">
        <f>Amnt_Deposited!G51</f>
        <v>0</v>
      </c>
      <c r="Q56" s="283">
        <f>MCF!R55</f>
        <v>0.78500000000000003</v>
      </c>
      <c r="R56" s="67">
        <f t="shared" si="5"/>
        <v>0</v>
      </c>
      <c r="S56" s="67">
        <f t="shared" si="7"/>
        <v>0</v>
      </c>
      <c r="T56" s="67">
        <f t="shared" si="8"/>
        <v>0</v>
      </c>
      <c r="U56" s="67">
        <f t="shared" si="9"/>
        <v>62.030276674758298</v>
      </c>
      <c r="V56" s="67">
        <f t="shared" si="10"/>
        <v>2.209500391914955</v>
      </c>
      <c r="W56" s="100">
        <f t="shared" si="11"/>
        <v>1.4730002612766366</v>
      </c>
    </row>
    <row r="57" spans="2:23">
      <c r="B57" s="96">
        <f>Amnt_Deposited!B52</f>
        <v>2038</v>
      </c>
      <c r="C57" s="99">
        <f>Amnt_Deposited!F52</f>
        <v>0</v>
      </c>
      <c r="D57" s="417">
        <f>Dry_Matter_Content!G44</f>
        <v>0.56999999999999995</v>
      </c>
      <c r="E57" s="283">
        <f>MCF!R56</f>
        <v>0.78500000000000003</v>
      </c>
      <c r="F57" s="67">
        <f t="shared" si="0"/>
        <v>0</v>
      </c>
      <c r="G57" s="67">
        <f t="shared" si="1"/>
        <v>0</v>
      </c>
      <c r="H57" s="67">
        <f t="shared" si="2"/>
        <v>0</v>
      </c>
      <c r="I57" s="67">
        <f t="shared" si="3"/>
        <v>0</v>
      </c>
      <c r="J57" s="67">
        <f t="shared" si="4"/>
        <v>0</v>
      </c>
      <c r="K57" s="100">
        <f t="shared" si="6"/>
        <v>0</v>
      </c>
      <c r="O57" s="96">
        <f>Amnt_Deposited!B52</f>
        <v>2038</v>
      </c>
      <c r="P57" s="99">
        <f>Amnt_Deposited!G52</f>
        <v>0</v>
      </c>
      <c r="Q57" s="283">
        <f>MCF!R56</f>
        <v>0.78500000000000003</v>
      </c>
      <c r="R57" s="67">
        <f t="shared" si="5"/>
        <v>0</v>
      </c>
      <c r="S57" s="67">
        <f t="shared" si="7"/>
        <v>0</v>
      </c>
      <c r="T57" s="67">
        <f t="shared" si="8"/>
        <v>0</v>
      </c>
      <c r="U57" s="67">
        <f t="shared" si="9"/>
        <v>59.896771129102</v>
      </c>
      <c r="V57" s="67">
        <f t="shared" si="10"/>
        <v>2.1335055456562961</v>
      </c>
      <c r="W57" s="100">
        <f t="shared" si="11"/>
        <v>1.4223370304375307</v>
      </c>
    </row>
    <row r="58" spans="2:23">
      <c r="B58" s="96">
        <f>Amnt_Deposited!B53</f>
        <v>2039</v>
      </c>
      <c r="C58" s="99">
        <f>Amnt_Deposited!F53</f>
        <v>0</v>
      </c>
      <c r="D58" s="417">
        <f>Dry_Matter_Content!G45</f>
        <v>0.56999999999999995</v>
      </c>
      <c r="E58" s="283">
        <f>MCF!R57</f>
        <v>0.78500000000000003</v>
      </c>
      <c r="F58" s="67">
        <f t="shared" si="0"/>
        <v>0</v>
      </c>
      <c r="G58" s="67">
        <f t="shared" si="1"/>
        <v>0</v>
      </c>
      <c r="H58" s="67">
        <f t="shared" si="2"/>
        <v>0</v>
      </c>
      <c r="I58" s="67">
        <f t="shared" si="3"/>
        <v>0</v>
      </c>
      <c r="J58" s="67">
        <f t="shared" si="4"/>
        <v>0</v>
      </c>
      <c r="K58" s="100">
        <f t="shared" si="6"/>
        <v>0</v>
      </c>
      <c r="O58" s="96">
        <f>Amnt_Deposited!B53</f>
        <v>2039</v>
      </c>
      <c r="P58" s="99">
        <f>Amnt_Deposited!G53</f>
        <v>0</v>
      </c>
      <c r="Q58" s="283">
        <f>MCF!R57</f>
        <v>0.78500000000000003</v>
      </c>
      <c r="R58" s="67">
        <f t="shared" si="5"/>
        <v>0</v>
      </c>
      <c r="S58" s="67">
        <f t="shared" si="7"/>
        <v>0</v>
      </c>
      <c r="T58" s="67">
        <f t="shared" si="8"/>
        <v>0</v>
      </c>
      <c r="U58" s="67">
        <f t="shared" si="9"/>
        <v>57.836646618600724</v>
      </c>
      <c r="V58" s="67">
        <f t="shared" si="10"/>
        <v>2.0601245105012742</v>
      </c>
      <c r="W58" s="100">
        <f t="shared" si="11"/>
        <v>1.3734163403341828</v>
      </c>
    </row>
    <row r="59" spans="2:23">
      <c r="B59" s="96">
        <f>Amnt_Deposited!B54</f>
        <v>2040</v>
      </c>
      <c r="C59" s="99">
        <f>Amnt_Deposited!F54</f>
        <v>0</v>
      </c>
      <c r="D59" s="417">
        <f>Dry_Matter_Content!G46</f>
        <v>0.56999999999999995</v>
      </c>
      <c r="E59" s="283">
        <f>MCF!R58</f>
        <v>0.78500000000000003</v>
      </c>
      <c r="F59" s="67">
        <f t="shared" si="0"/>
        <v>0</v>
      </c>
      <c r="G59" s="67">
        <f t="shared" si="1"/>
        <v>0</v>
      </c>
      <c r="H59" s="67">
        <f t="shared" si="2"/>
        <v>0</v>
      </c>
      <c r="I59" s="67">
        <f t="shared" si="3"/>
        <v>0</v>
      </c>
      <c r="J59" s="67">
        <f t="shared" si="4"/>
        <v>0</v>
      </c>
      <c r="K59" s="100">
        <f t="shared" si="6"/>
        <v>0</v>
      </c>
      <c r="O59" s="96">
        <f>Amnt_Deposited!B54</f>
        <v>2040</v>
      </c>
      <c r="P59" s="99">
        <f>Amnt_Deposited!G54</f>
        <v>0</v>
      </c>
      <c r="Q59" s="283">
        <f>MCF!R58</f>
        <v>0.78500000000000003</v>
      </c>
      <c r="R59" s="67">
        <f t="shared" si="5"/>
        <v>0</v>
      </c>
      <c r="S59" s="67">
        <f t="shared" si="7"/>
        <v>0</v>
      </c>
      <c r="T59" s="67">
        <f t="shared" si="8"/>
        <v>0</v>
      </c>
      <c r="U59" s="67">
        <f t="shared" si="9"/>
        <v>55.847379233095729</v>
      </c>
      <c r="V59" s="67">
        <f t="shared" si="10"/>
        <v>1.989267385504998</v>
      </c>
      <c r="W59" s="100">
        <f t="shared" si="11"/>
        <v>1.326178257003332</v>
      </c>
    </row>
    <row r="60" spans="2:23">
      <c r="B60" s="96">
        <f>Amnt_Deposited!B55</f>
        <v>2041</v>
      </c>
      <c r="C60" s="99">
        <f>Amnt_Deposited!F55</f>
        <v>0</v>
      </c>
      <c r="D60" s="417">
        <f>Dry_Matter_Content!G47</f>
        <v>0.56999999999999995</v>
      </c>
      <c r="E60" s="283">
        <f>MCF!R59</f>
        <v>0.78500000000000003</v>
      </c>
      <c r="F60" s="67">
        <f t="shared" si="0"/>
        <v>0</v>
      </c>
      <c r="G60" s="67">
        <f t="shared" si="1"/>
        <v>0</v>
      </c>
      <c r="H60" s="67">
        <f t="shared" si="2"/>
        <v>0</v>
      </c>
      <c r="I60" s="67">
        <f t="shared" si="3"/>
        <v>0</v>
      </c>
      <c r="J60" s="67">
        <f t="shared" si="4"/>
        <v>0</v>
      </c>
      <c r="K60" s="100">
        <f t="shared" si="6"/>
        <v>0</v>
      </c>
      <c r="O60" s="96">
        <f>Amnt_Deposited!B55</f>
        <v>2041</v>
      </c>
      <c r="P60" s="99">
        <f>Amnt_Deposited!G55</f>
        <v>0</v>
      </c>
      <c r="Q60" s="283">
        <f>MCF!R59</f>
        <v>0.78500000000000003</v>
      </c>
      <c r="R60" s="67">
        <f t="shared" si="5"/>
        <v>0</v>
      </c>
      <c r="S60" s="67">
        <f t="shared" si="7"/>
        <v>0</v>
      </c>
      <c r="T60" s="67">
        <f t="shared" si="8"/>
        <v>0</v>
      </c>
      <c r="U60" s="67">
        <f t="shared" si="9"/>
        <v>53.926531871267578</v>
      </c>
      <c r="V60" s="67">
        <f t="shared" si="10"/>
        <v>1.9208473618281547</v>
      </c>
      <c r="W60" s="100">
        <f t="shared" si="11"/>
        <v>1.2805649078854364</v>
      </c>
    </row>
    <row r="61" spans="2:23">
      <c r="B61" s="96">
        <f>Amnt_Deposited!B56</f>
        <v>2042</v>
      </c>
      <c r="C61" s="99">
        <f>Amnt_Deposited!F56</f>
        <v>0</v>
      </c>
      <c r="D61" s="417">
        <f>Dry_Matter_Content!G48</f>
        <v>0.56999999999999995</v>
      </c>
      <c r="E61" s="283">
        <f>MCF!R60</f>
        <v>0.78500000000000003</v>
      </c>
      <c r="F61" s="67">
        <f t="shared" si="0"/>
        <v>0</v>
      </c>
      <c r="G61" s="67">
        <f t="shared" si="1"/>
        <v>0</v>
      </c>
      <c r="H61" s="67">
        <f t="shared" si="2"/>
        <v>0</v>
      </c>
      <c r="I61" s="67">
        <f t="shared" si="3"/>
        <v>0</v>
      </c>
      <c r="J61" s="67">
        <f t="shared" si="4"/>
        <v>0</v>
      </c>
      <c r="K61" s="100">
        <f t="shared" si="6"/>
        <v>0</v>
      </c>
      <c r="O61" s="96">
        <f>Amnt_Deposited!B56</f>
        <v>2042</v>
      </c>
      <c r="P61" s="99">
        <f>Amnt_Deposited!G56</f>
        <v>0</v>
      </c>
      <c r="Q61" s="283">
        <f>MCF!R60</f>
        <v>0.78500000000000003</v>
      </c>
      <c r="R61" s="67">
        <f t="shared" si="5"/>
        <v>0</v>
      </c>
      <c r="S61" s="67">
        <f t="shared" si="7"/>
        <v>0</v>
      </c>
      <c r="T61" s="67">
        <f t="shared" si="8"/>
        <v>0</v>
      </c>
      <c r="U61" s="67">
        <f t="shared" si="9"/>
        <v>52.071751254882251</v>
      </c>
      <c r="V61" s="67">
        <f t="shared" si="10"/>
        <v>1.8547806163853238</v>
      </c>
      <c r="W61" s="100">
        <f t="shared" si="11"/>
        <v>1.236520410923549</v>
      </c>
    </row>
    <row r="62" spans="2:23">
      <c r="B62" s="96">
        <f>Amnt_Deposited!B57</f>
        <v>2043</v>
      </c>
      <c r="C62" s="99">
        <f>Amnt_Deposited!F57</f>
        <v>0</v>
      </c>
      <c r="D62" s="417">
        <f>Dry_Matter_Content!G49</f>
        <v>0.56999999999999995</v>
      </c>
      <c r="E62" s="283">
        <f>MCF!R61</f>
        <v>0.78500000000000003</v>
      </c>
      <c r="F62" s="67">
        <f t="shared" si="0"/>
        <v>0</v>
      </c>
      <c r="G62" s="67">
        <f t="shared" si="1"/>
        <v>0</v>
      </c>
      <c r="H62" s="67">
        <f t="shared" si="2"/>
        <v>0</v>
      </c>
      <c r="I62" s="67">
        <f t="shared" si="3"/>
        <v>0</v>
      </c>
      <c r="J62" s="67">
        <f t="shared" si="4"/>
        <v>0</v>
      </c>
      <c r="K62" s="100">
        <f t="shared" si="6"/>
        <v>0</v>
      </c>
      <c r="O62" s="96">
        <f>Amnt_Deposited!B57</f>
        <v>2043</v>
      </c>
      <c r="P62" s="99">
        <f>Amnt_Deposited!G57</f>
        <v>0</v>
      </c>
      <c r="Q62" s="283">
        <f>MCF!R61</f>
        <v>0.78500000000000003</v>
      </c>
      <c r="R62" s="67">
        <f t="shared" si="5"/>
        <v>0</v>
      </c>
      <c r="S62" s="67">
        <f t="shared" si="7"/>
        <v>0</v>
      </c>
      <c r="T62" s="67">
        <f t="shared" si="8"/>
        <v>0</v>
      </c>
      <c r="U62" s="67">
        <f t="shared" si="9"/>
        <v>50.280765045731037</v>
      </c>
      <c r="V62" s="67">
        <f t="shared" si="10"/>
        <v>1.7909862091512163</v>
      </c>
      <c r="W62" s="100">
        <f t="shared" si="11"/>
        <v>1.1939908061008109</v>
      </c>
    </row>
    <row r="63" spans="2:23">
      <c r="B63" s="96">
        <f>Amnt_Deposited!B58</f>
        <v>2044</v>
      </c>
      <c r="C63" s="99">
        <f>Amnt_Deposited!F58</f>
        <v>0</v>
      </c>
      <c r="D63" s="417">
        <f>Dry_Matter_Content!G50</f>
        <v>0.56999999999999995</v>
      </c>
      <c r="E63" s="283">
        <f>MCF!R62</f>
        <v>0.78500000000000003</v>
      </c>
      <c r="F63" s="67">
        <f t="shared" si="0"/>
        <v>0</v>
      </c>
      <c r="G63" s="67">
        <f t="shared" si="1"/>
        <v>0</v>
      </c>
      <c r="H63" s="67">
        <f t="shared" si="2"/>
        <v>0</v>
      </c>
      <c r="I63" s="67">
        <f t="shared" si="3"/>
        <v>0</v>
      </c>
      <c r="J63" s="67">
        <f t="shared" si="4"/>
        <v>0</v>
      </c>
      <c r="K63" s="100">
        <f t="shared" si="6"/>
        <v>0</v>
      </c>
      <c r="O63" s="96">
        <f>Amnt_Deposited!B58</f>
        <v>2044</v>
      </c>
      <c r="P63" s="99">
        <f>Amnt_Deposited!G58</f>
        <v>0</v>
      </c>
      <c r="Q63" s="283">
        <f>MCF!R62</f>
        <v>0.78500000000000003</v>
      </c>
      <c r="R63" s="67">
        <f t="shared" si="5"/>
        <v>0</v>
      </c>
      <c r="S63" s="67">
        <f t="shared" si="7"/>
        <v>0</v>
      </c>
      <c r="T63" s="67">
        <f t="shared" si="8"/>
        <v>0</v>
      </c>
      <c r="U63" s="67">
        <f t="shared" si="9"/>
        <v>48.551379061732014</v>
      </c>
      <c r="V63" s="67">
        <f t="shared" si="10"/>
        <v>1.7293859839990213</v>
      </c>
      <c r="W63" s="100">
        <f t="shared" si="11"/>
        <v>1.1529239893326808</v>
      </c>
    </row>
    <row r="64" spans="2:23">
      <c r="B64" s="96">
        <f>Amnt_Deposited!B59</f>
        <v>2045</v>
      </c>
      <c r="C64" s="99">
        <f>Amnt_Deposited!F59</f>
        <v>0</v>
      </c>
      <c r="D64" s="417">
        <f>Dry_Matter_Content!G51</f>
        <v>0.56999999999999995</v>
      </c>
      <c r="E64" s="283">
        <f>MCF!R63</f>
        <v>0.78500000000000003</v>
      </c>
      <c r="F64" s="67">
        <f t="shared" si="0"/>
        <v>0</v>
      </c>
      <c r="G64" s="67">
        <f t="shared" si="1"/>
        <v>0</v>
      </c>
      <c r="H64" s="67">
        <f t="shared" si="2"/>
        <v>0</v>
      </c>
      <c r="I64" s="67">
        <f t="shared" si="3"/>
        <v>0</v>
      </c>
      <c r="J64" s="67">
        <f t="shared" si="4"/>
        <v>0</v>
      </c>
      <c r="K64" s="100">
        <f t="shared" si="6"/>
        <v>0</v>
      </c>
      <c r="O64" s="96">
        <f>Amnt_Deposited!B59</f>
        <v>2045</v>
      </c>
      <c r="P64" s="99">
        <f>Amnt_Deposited!G59</f>
        <v>0</v>
      </c>
      <c r="Q64" s="283">
        <f>MCF!R63</f>
        <v>0.78500000000000003</v>
      </c>
      <c r="R64" s="67">
        <f t="shared" si="5"/>
        <v>0</v>
      </c>
      <c r="S64" s="67">
        <f t="shared" si="7"/>
        <v>0</v>
      </c>
      <c r="T64" s="67">
        <f t="shared" si="8"/>
        <v>0</v>
      </c>
      <c r="U64" s="67">
        <f t="shared" si="9"/>
        <v>46.881474588782638</v>
      </c>
      <c r="V64" s="67">
        <f t="shared" si="10"/>
        <v>1.6699044729493759</v>
      </c>
      <c r="W64" s="100">
        <f t="shared" si="11"/>
        <v>1.1132696486329172</v>
      </c>
    </row>
    <row r="65" spans="2:23">
      <c r="B65" s="96">
        <f>Amnt_Deposited!B60</f>
        <v>2046</v>
      </c>
      <c r="C65" s="99">
        <f>Amnt_Deposited!F60</f>
        <v>0</v>
      </c>
      <c r="D65" s="417">
        <f>Dry_Matter_Content!G52</f>
        <v>0.56999999999999995</v>
      </c>
      <c r="E65" s="283">
        <f>MCF!R64</f>
        <v>0.78500000000000003</v>
      </c>
      <c r="F65" s="67">
        <f t="shared" si="0"/>
        <v>0</v>
      </c>
      <c r="G65" s="67">
        <f t="shared" si="1"/>
        <v>0</v>
      </c>
      <c r="H65" s="67">
        <f t="shared" si="2"/>
        <v>0</v>
      </c>
      <c r="I65" s="67">
        <f t="shared" si="3"/>
        <v>0</v>
      </c>
      <c r="J65" s="67">
        <f t="shared" si="4"/>
        <v>0</v>
      </c>
      <c r="K65" s="100">
        <f t="shared" si="6"/>
        <v>0</v>
      </c>
      <c r="O65" s="96">
        <f>Amnt_Deposited!B60</f>
        <v>2046</v>
      </c>
      <c r="P65" s="99">
        <f>Amnt_Deposited!G60</f>
        <v>0</v>
      </c>
      <c r="Q65" s="283">
        <f>MCF!R64</f>
        <v>0.78500000000000003</v>
      </c>
      <c r="R65" s="67">
        <f t="shared" si="5"/>
        <v>0</v>
      </c>
      <c r="S65" s="67">
        <f t="shared" si="7"/>
        <v>0</v>
      </c>
      <c r="T65" s="67">
        <f t="shared" si="8"/>
        <v>0</v>
      </c>
      <c r="U65" s="67">
        <f t="shared" si="9"/>
        <v>45.269005785069986</v>
      </c>
      <c r="V65" s="67">
        <f t="shared" si="10"/>
        <v>1.6124688037126542</v>
      </c>
      <c r="W65" s="100">
        <f t="shared" si="11"/>
        <v>1.0749792024751028</v>
      </c>
    </row>
    <row r="66" spans="2:23">
      <c r="B66" s="96">
        <f>Amnt_Deposited!B61</f>
        <v>2047</v>
      </c>
      <c r="C66" s="99">
        <f>Amnt_Deposited!F61</f>
        <v>0</v>
      </c>
      <c r="D66" s="417">
        <f>Dry_Matter_Content!G53</f>
        <v>0.56999999999999995</v>
      </c>
      <c r="E66" s="283">
        <f>MCF!R65</f>
        <v>0.78500000000000003</v>
      </c>
      <c r="F66" s="67">
        <f t="shared" si="0"/>
        <v>0</v>
      </c>
      <c r="G66" s="67">
        <f t="shared" si="1"/>
        <v>0</v>
      </c>
      <c r="H66" s="67">
        <f t="shared" si="2"/>
        <v>0</v>
      </c>
      <c r="I66" s="67">
        <f t="shared" si="3"/>
        <v>0</v>
      </c>
      <c r="J66" s="67">
        <f t="shared" si="4"/>
        <v>0</v>
      </c>
      <c r="K66" s="100">
        <f t="shared" si="6"/>
        <v>0</v>
      </c>
      <c r="O66" s="96">
        <f>Amnt_Deposited!B61</f>
        <v>2047</v>
      </c>
      <c r="P66" s="99">
        <f>Amnt_Deposited!G61</f>
        <v>0</v>
      </c>
      <c r="Q66" s="283">
        <f>MCF!R65</f>
        <v>0.78500000000000003</v>
      </c>
      <c r="R66" s="67">
        <f t="shared" si="5"/>
        <v>0</v>
      </c>
      <c r="S66" s="67">
        <f t="shared" si="7"/>
        <v>0</v>
      </c>
      <c r="T66" s="67">
        <f t="shared" si="8"/>
        <v>0</v>
      </c>
      <c r="U66" s="67">
        <f t="shared" si="9"/>
        <v>43.711997174658691</v>
      </c>
      <c r="V66" s="67">
        <f t="shared" si="10"/>
        <v>1.5570086104112979</v>
      </c>
      <c r="W66" s="100">
        <f t="shared" si="11"/>
        <v>1.0380057402741985</v>
      </c>
    </row>
    <row r="67" spans="2:23">
      <c r="B67" s="96">
        <f>Amnt_Deposited!B62</f>
        <v>2048</v>
      </c>
      <c r="C67" s="99">
        <f>Amnt_Deposited!F62</f>
        <v>0</v>
      </c>
      <c r="D67" s="417">
        <f>Dry_Matter_Content!G54</f>
        <v>0.56999999999999995</v>
      </c>
      <c r="E67" s="283">
        <f>MCF!R66</f>
        <v>0.78500000000000003</v>
      </c>
      <c r="F67" s="67">
        <f t="shared" si="0"/>
        <v>0</v>
      </c>
      <c r="G67" s="67">
        <f t="shared" si="1"/>
        <v>0</v>
      </c>
      <c r="H67" s="67">
        <f t="shared" si="2"/>
        <v>0</v>
      </c>
      <c r="I67" s="67">
        <f t="shared" si="3"/>
        <v>0</v>
      </c>
      <c r="J67" s="67">
        <f t="shared" si="4"/>
        <v>0</v>
      </c>
      <c r="K67" s="100">
        <f t="shared" si="6"/>
        <v>0</v>
      </c>
      <c r="O67" s="96">
        <f>Amnt_Deposited!B62</f>
        <v>2048</v>
      </c>
      <c r="P67" s="99">
        <f>Amnt_Deposited!G62</f>
        <v>0</v>
      </c>
      <c r="Q67" s="283">
        <f>MCF!R66</f>
        <v>0.78500000000000003</v>
      </c>
      <c r="R67" s="67">
        <f t="shared" si="5"/>
        <v>0</v>
      </c>
      <c r="S67" s="67">
        <f t="shared" si="7"/>
        <v>0</v>
      </c>
      <c r="T67" s="67">
        <f t="shared" si="8"/>
        <v>0</v>
      </c>
      <c r="U67" s="67">
        <f t="shared" si="9"/>
        <v>42.208541227285878</v>
      </c>
      <c r="V67" s="67">
        <f t="shared" si="10"/>
        <v>1.5034559473728166</v>
      </c>
      <c r="W67" s="100">
        <f t="shared" si="11"/>
        <v>1.002303964915211</v>
      </c>
    </row>
    <row r="68" spans="2:23">
      <c r="B68" s="96">
        <f>Amnt_Deposited!B63</f>
        <v>2049</v>
      </c>
      <c r="C68" s="99">
        <f>Amnt_Deposited!F63</f>
        <v>0</v>
      </c>
      <c r="D68" s="417">
        <f>Dry_Matter_Content!G55</f>
        <v>0.56999999999999995</v>
      </c>
      <c r="E68" s="283">
        <f>MCF!R67</f>
        <v>0.78500000000000003</v>
      </c>
      <c r="F68" s="67">
        <f t="shared" si="0"/>
        <v>0</v>
      </c>
      <c r="G68" s="67">
        <f t="shared" si="1"/>
        <v>0</v>
      </c>
      <c r="H68" s="67">
        <f t="shared" si="2"/>
        <v>0</v>
      </c>
      <c r="I68" s="67">
        <f t="shared" si="3"/>
        <v>0</v>
      </c>
      <c r="J68" s="67">
        <f t="shared" si="4"/>
        <v>0</v>
      </c>
      <c r="K68" s="100">
        <f t="shared" si="6"/>
        <v>0</v>
      </c>
      <c r="O68" s="96">
        <f>Amnt_Deposited!B63</f>
        <v>2049</v>
      </c>
      <c r="P68" s="99">
        <f>Amnt_Deposited!G63</f>
        <v>0</v>
      </c>
      <c r="Q68" s="283">
        <f>MCF!R67</f>
        <v>0.78500000000000003</v>
      </c>
      <c r="R68" s="67">
        <f t="shared" si="5"/>
        <v>0</v>
      </c>
      <c r="S68" s="67">
        <f t="shared" si="7"/>
        <v>0</v>
      </c>
      <c r="T68" s="67">
        <f t="shared" si="8"/>
        <v>0</v>
      </c>
      <c r="U68" s="67">
        <f t="shared" si="9"/>
        <v>40.756796021398038</v>
      </c>
      <c r="V68" s="67">
        <f t="shared" si="10"/>
        <v>1.4517452058878426</v>
      </c>
      <c r="W68" s="100">
        <f t="shared" si="11"/>
        <v>0.96783013725856171</v>
      </c>
    </row>
    <row r="69" spans="2:23">
      <c r="B69" s="96">
        <f>Amnt_Deposited!B64</f>
        <v>2050</v>
      </c>
      <c r="C69" s="99">
        <f>Amnt_Deposited!F64</f>
        <v>0</v>
      </c>
      <c r="D69" s="417">
        <f>Dry_Matter_Content!G56</f>
        <v>0.56999999999999995</v>
      </c>
      <c r="E69" s="283">
        <f>MCF!R68</f>
        <v>0.78500000000000003</v>
      </c>
      <c r="F69" s="67">
        <f t="shared" si="0"/>
        <v>0</v>
      </c>
      <c r="G69" s="67">
        <f t="shared" si="1"/>
        <v>0</v>
      </c>
      <c r="H69" s="67">
        <f t="shared" si="2"/>
        <v>0</v>
      </c>
      <c r="I69" s="67">
        <f t="shared" si="3"/>
        <v>0</v>
      </c>
      <c r="J69" s="67">
        <f t="shared" si="4"/>
        <v>0</v>
      </c>
      <c r="K69" s="100">
        <f t="shared" si="6"/>
        <v>0</v>
      </c>
      <c r="O69" s="96">
        <f>Amnt_Deposited!B64</f>
        <v>2050</v>
      </c>
      <c r="P69" s="99">
        <f>Amnt_Deposited!G64</f>
        <v>0</v>
      </c>
      <c r="Q69" s="283">
        <f>MCF!R68</f>
        <v>0.78500000000000003</v>
      </c>
      <c r="R69" s="67">
        <f t="shared" si="5"/>
        <v>0</v>
      </c>
      <c r="S69" s="67">
        <f t="shared" si="7"/>
        <v>0</v>
      </c>
      <c r="T69" s="67">
        <f t="shared" si="8"/>
        <v>0</v>
      </c>
      <c r="U69" s="67">
        <f t="shared" si="9"/>
        <v>39.354982987566778</v>
      </c>
      <c r="V69" s="67">
        <f t="shared" si="10"/>
        <v>1.4018130338312569</v>
      </c>
      <c r="W69" s="100">
        <f t="shared" si="11"/>
        <v>0.93454202255417118</v>
      </c>
    </row>
    <row r="70" spans="2:23">
      <c r="B70" s="96">
        <f>Amnt_Deposited!B65</f>
        <v>2051</v>
      </c>
      <c r="C70" s="99">
        <f>Amnt_Deposited!F65</f>
        <v>0</v>
      </c>
      <c r="D70" s="417">
        <f>Dry_Matter_Content!G57</f>
        <v>0.56999999999999995</v>
      </c>
      <c r="E70" s="283">
        <f>MCF!R69</f>
        <v>0.78500000000000003</v>
      </c>
      <c r="F70" s="67">
        <f t="shared" si="0"/>
        <v>0</v>
      </c>
      <c r="G70" s="67">
        <f t="shared" si="1"/>
        <v>0</v>
      </c>
      <c r="H70" s="67">
        <f t="shared" si="2"/>
        <v>0</v>
      </c>
      <c r="I70" s="67">
        <f t="shared" si="3"/>
        <v>0</v>
      </c>
      <c r="J70" s="67">
        <f t="shared" si="4"/>
        <v>0</v>
      </c>
      <c r="K70" s="100">
        <f t="shared" si="6"/>
        <v>0</v>
      </c>
      <c r="O70" s="96">
        <f>Amnt_Deposited!B65</f>
        <v>2051</v>
      </c>
      <c r="P70" s="99">
        <f>Amnt_Deposited!G65</f>
        <v>0</v>
      </c>
      <c r="Q70" s="283">
        <f>MCF!R69</f>
        <v>0.78500000000000003</v>
      </c>
      <c r="R70" s="67">
        <f t="shared" si="5"/>
        <v>0</v>
      </c>
      <c r="S70" s="67">
        <f t="shared" si="7"/>
        <v>0</v>
      </c>
      <c r="T70" s="67">
        <f t="shared" si="8"/>
        <v>0</v>
      </c>
      <c r="U70" s="67">
        <f t="shared" si="9"/>
        <v>38.001384729518868</v>
      </c>
      <c r="V70" s="67">
        <f t="shared" si="10"/>
        <v>1.3535982580479127</v>
      </c>
      <c r="W70" s="100">
        <f t="shared" si="11"/>
        <v>0.90239883869860837</v>
      </c>
    </row>
    <row r="71" spans="2:23">
      <c r="B71" s="96">
        <f>Amnt_Deposited!B66</f>
        <v>2052</v>
      </c>
      <c r="C71" s="99">
        <f>Amnt_Deposited!F66</f>
        <v>0</v>
      </c>
      <c r="D71" s="417">
        <f>Dry_Matter_Content!G58</f>
        <v>0.56999999999999995</v>
      </c>
      <c r="E71" s="283">
        <f>MCF!R70</f>
        <v>0.78500000000000003</v>
      </c>
      <c r="F71" s="67">
        <f t="shared" si="0"/>
        <v>0</v>
      </c>
      <c r="G71" s="67">
        <f t="shared" si="1"/>
        <v>0</v>
      </c>
      <c r="H71" s="67">
        <f t="shared" si="2"/>
        <v>0</v>
      </c>
      <c r="I71" s="67">
        <f t="shared" si="3"/>
        <v>0</v>
      </c>
      <c r="J71" s="67">
        <f t="shared" si="4"/>
        <v>0</v>
      </c>
      <c r="K71" s="100">
        <f t="shared" si="6"/>
        <v>0</v>
      </c>
      <c r="O71" s="96">
        <f>Amnt_Deposited!B66</f>
        <v>2052</v>
      </c>
      <c r="P71" s="99">
        <f>Amnt_Deposited!G66</f>
        <v>0</v>
      </c>
      <c r="Q71" s="283">
        <f>MCF!R70</f>
        <v>0.78500000000000003</v>
      </c>
      <c r="R71" s="67">
        <f t="shared" si="5"/>
        <v>0</v>
      </c>
      <c r="S71" s="67">
        <f t="shared" si="7"/>
        <v>0</v>
      </c>
      <c r="T71" s="67">
        <f t="shared" si="8"/>
        <v>0</v>
      </c>
      <c r="U71" s="67">
        <f t="shared" si="9"/>
        <v>36.694342920110998</v>
      </c>
      <c r="V71" s="67">
        <f t="shared" si="10"/>
        <v>1.3070418094078717</v>
      </c>
      <c r="W71" s="100">
        <f t="shared" si="11"/>
        <v>0.87136120627191449</v>
      </c>
    </row>
    <row r="72" spans="2:23">
      <c r="B72" s="96">
        <f>Amnt_Deposited!B67</f>
        <v>2053</v>
      </c>
      <c r="C72" s="99">
        <f>Amnt_Deposited!F67</f>
        <v>0</v>
      </c>
      <c r="D72" s="417">
        <f>Dry_Matter_Content!G59</f>
        <v>0.56999999999999995</v>
      </c>
      <c r="E72" s="283">
        <f>MCF!R71</f>
        <v>0.78500000000000003</v>
      </c>
      <c r="F72" s="67">
        <f t="shared" si="0"/>
        <v>0</v>
      </c>
      <c r="G72" s="67">
        <f t="shared" si="1"/>
        <v>0</v>
      </c>
      <c r="H72" s="67">
        <f t="shared" si="2"/>
        <v>0</v>
      </c>
      <c r="I72" s="67">
        <f t="shared" si="3"/>
        <v>0</v>
      </c>
      <c r="J72" s="67">
        <f t="shared" si="4"/>
        <v>0</v>
      </c>
      <c r="K72" s="100">
        <f t="shared" si="6"/>
        <v>0</v>
      </c>
      <c r="O72" s="96">
        <f>Amnt_Deposited!B67</f>
        <v>2053</v>
      </c>
      <c r="P72" s="99">
        <f>Amnt_Deposited!G67</f>
        <v>0</v>
      </c>
      <c r="Q72" s="283">
        <f>MCF!R71</f>
        <v>0.78500000000000003</v>
      </c>
      <c r="R72" s="67">
        <f t="shared" si="5"/>
        <v>0</v>
      </c>
      <c r="S72" s="67">
        <f t="shared" si="7"/>
        <v>0</v>
      </c>
      <c r="T72" s="67">
        <f t="shared" si="8"/>
        <v>0</v>
      </c>
      <c r="U72" s="67">
        <f t="shared" si="9"/>
        <v>35.432256269671669</v>
      </c>
      <c r="V72" s="67">
        <f t="shared" si="10"/>
        <v>1.2620866504393309</v>
      </c>
      <c r="W72" s="100">
        <f t="shared" si="11"/>
        <v>0.84139110029288722</v>
      </c>
    </row>
    <row r="73" spans="2:23">
      <c r="B73" s="96">
        <f>Amnt_Deposited!B68</f>
        <v>2054</v>
      </c>
      <c r="C73" s="99">
        <f>Amnt_Deposited!F68</f>
        <v>0</v>
      </c>
      <c r="D73" s="417">
        <f>Dry_Matter_Content!G60</f>
        <v>0.56999999999999995</v>
      </c>
      <c r="E73" s="283">
        <f>MCF!R72</f>
        <v>0.78500000000000003</v>
      </c>
      <c r="F73" s="67">
        <f t="shared" si="0"/>
        <v>0</v>
      </c>
      <c r="G73" s="67">
        <f t="shared" si="1"/>
        <v>0</v>
      </c>
      <c r="H73" s="67">
        <f t="shared" si="2"/>
        <v>0</v>
      </c>
      <c r="I73" s="67">
        <f t="shared" si="3"/>
        <v>0</v>
      </c>
      <c r="J73" s="67">
        <f t="shared" si="4"/>
        <v>0</v>
      </c>
      <c r="K73" s="100">
        <f t="shared" si="6"/>
        <v>0</v>
      </c>
      <c r="O73" s="96">
        <f>Amnt_Deposited!B68</f>
        <v>2054</v>
      </c>
      <c r="P73" s="99">
        <f>Amnt_Deposited!G68</f>
        <v>0</v>
      </c>
      <c r="Q73" s="283">
        <f>MCF!R72</f>
        <v>0.78500000000000003</v>
      </c>
      <c r="R73" s="67">
        <f t="shared" si="5"/>
        <v>0</v>
      </c>
      <c r="S73" s="67">
        <f t="shared" si="7"/>
        <v>0</v>
      </c>
      <c r="T73" s="67">
        <f t="shared" si="8"/>
        <v>0</v>
      </c>
      <c r="U73" s="67">
        <f t="shared" si="9"/>
        <v>34.213578564221081</v>
      </c>
      <c r="V73" s="67">
        <f t="shared" si="10"/>
        <v>1.218677705450588</v>
      </c>
      <c r="W73" s="100">
        <f t="shared" si="11"/>
        <v>0.81245180363372527</v>
      </c>
    </row>
    <row r="74" spans="2:23">
      <c r="B74" s="96">
        <f>Amnt_Deposited!B69</f>
        <v>2055</v>
      </c>
      <c r="C74" s="99">
        <f>Amnt_Deposited!F69</f>
        <v>0</v>
      </c>
      <c r="D74" s="417">
        <f>Dry_Matter_Content!G61</f>
        <v>0.56999999999999995</v>
      </c>
      <c r="E74" s="283">
        <f>MCF!R73</f>
        <v>0.78500000000000003</v>
      </c>
      <c r="F74" s="67">
        <f t="shared" si="0"/>
        <v>0</v>
      </c>
      <c r="G74" s="67">
        <f t="shared" si="1"/>
        <v>0</v>
      </c>
      <c r="H74" s="67">
        <f t="shared" si="2"/>
        <v>0</v>
      </c>
      <c r="I74" s="67">
        <f t="shared" si="3"/>
        <v>0</v>
      </c>
      <c r="J74" s="67">
        <f t="shared" si="4"/>
        <v>0</v>
      </c>
      <c r="K74" s="100">
        <f t="shared" si="6"/>
        <v>0</v>
      </c>
      <c r="O74" s="96">
        <f>Amnt_Deposited!B69</f>
        <v>2055</v>
      </c>
      <c r="P74" s="99">
        <f>Amnt_Deposited!G69</f>
        <v>0</v>
      </c>
      <c r="Q74" s="283">
        <f>MCF!R73</f>
        <v>0.78500000000000003</v>
      </c>
      <c r="R74" s="67">
        <f t="shared" si="5"/>
        <v>0</v>
      </c>
      <c r="S74" s="67">
        <f t="shared" si="7"/>
        <v>0</v>
      </c>
      <c r="T74" s="67">
        <f t="shared" si="8"/>
        <v>0</v>
      </c>
      <c r="U74" s="67">
        <f t="shared" si="9"/>
        <v>33.036816771165647</v>
      </c>
      <c r="V74" s="67">
        <f t="shared" si="10"/>
        <v>1.176761793055431</v>
      </c>
      <c r="W74" s="100">
        <f t="shared" si="11"/>
        <v>0.784507862036954</v>
      </c>
    </row>
    <row r="75" spans="2:23">
      <c r="B75" s="96">
        <f>Amnt_Deposited!B70</f>
        <v>2056</v>
      </c>
      <c r="C75" s="99">
        <f>Amnt_Deposited!F70</f>
        <v>0</v>
      </c>
      <c r="D75" s="417">
        <f>Dry_Matter_Content!G62</f>
        <v>0.56999999999999995</v>
      </c>
      <c r="E75" s="283">
        <f>MCF!R74</f>
        <v>0.78500000000000003</v>
      </c>
      <c r="F75" s="67">
        <f t="shared" si="0"/>
        <v>0</v>
      </c>
      <c r="G75" s="67">
        <f t="shared" si="1"/>
        <v>0</v>
      </c>
      <c r="H75" s="67">
        <f t="shared" si="2"/>
        <v>0</v>
      </c>
      <c r="I75" s="67">
        <f t="shared" si="3"/>
        <v>0</v>
      </c>
      <c r="J75" s="67">
        <f t="shared" si="4"/>
        <v>0</v>
      </c>
      <c r="K75" s="100">
        <f t="shared" si="6"/>
        <v>0</v>
      </c>
      <c r="O75" s="96">
        <f>Amnt_Deposited!B70</f>
        <v>2056</v>
      </c>
      <c r="P75" s="99">
        <f>Amnt_Deposited!G70</f>
        <v>0</v>
      </c>
      <c r="Q75" s="283">
        <f>MCF!R74</f>
        <v>0.78500000000000003</v>
      </c>
      <c r="R75" s="67">
        <f t="shared" si="5"/>
        <v>0</v>
      </c>
      <c r="S75" s="67">
        <f t="shared" si="7"/>
        <v>0</v>
      </c>
      <c r="T75" s="67">
        <f t="shared" si="8"/>
        <v>0</v>
      </c>
      <c r="U75" s="67">
        <f t="shared" si="9"/>
        <v>31.900529210146356</v>
      </c>
      <c r="V75" s="67">
        <f t="shared" si="10"/>
        <v>1.1362875610192895</v>
      </c>
      <c r="W75" s="100">
        <f t="shared" si="11"/>
        <v>0.75752504067952631</v>
      </c>
    </row>
    <row r="76" spans="2:23">
      <c r="B76" s="96">
        <f>Amnt_Deposited!B71</f>
        <v>2057</v>
      </c>
      <c r="C76" s="99">
        <f>Amnt_Deposited!F71</f>
        <v>0</v>
      </c>
      <c r="D76" s="417">
        <f>Dry_Matter_Content!G63</f>
        <v>0.56999999999999995</v>
      </c>
      <c r="E76" s="283">
        <f>MCF!R75</f>
        <v>0.78500000000000003</v>
      </c>
      <c r="F76" s="67">
        <f t="shared" si="0"/>
        <v>0</v>
      </c>
      <c r="G76" s="67">
        <f t="shared" si="1"/>
        <v>0</v>
      </c>
      <c r="H76" s="67">
        <f t="shared" si="2"/>
        <v>0</v>
      </c>
      <c r="I76" s="67">
        <f t="shared" si="3"/>
        <v>0</v>
      </c>
      <c r="J76" s="67">
        <f t="shared" si="4"/>
        <v>0</v>
      </c>
      <c r="K76" s="100">
        <f t="shared" si="6"/>
        <v>0</v>
      </c>
      <c r="O76" s="96">
        <f>Amnt_Deposited!B71</f>
        <v>2057</v>
      </c>
      <c r="P76" s="99">
        <f>Amnt_Deposited!G71</f>
        <v>0</v>
      </c>
      <c r="Q76" s="283">
        <f>MCF!R75</f>
        <v>0.78500000000000003</v>
      </c>
      <c r="R76" s="67">
        <f t="shared" si="5"/>
        <v>0</v>
      </c>
      <c r="S76" s="67">
        <f t="shared" si="7"/>
        <v>0</v>
      </c>
      <c r="T76" s="67">
        <f t="shared" si="8"/>
        <v>0</v>
      </c>
      <c r="U76" s="67">
        <f t="shared" si="9"/>
        <v>30.803323786800028</v>
      </c>
      <c r="V76" s="67">
        <f t="shared" si="10"/>
        <v>1.097205423346326</v>
      </c>
      <c r="W76" s="100">
        <f t="shared" si="11"/>
        <v>0.73147028223088395</v>
      </c>
    </row>
    <row r="77" spans="2:23">
      <c r="B77" s="96">
        <f>Amnt_Deposited!B72</f>
        <v>2058</v>
      </c>
      <c r="C77" s="99">
        <f>Amnt_Deposited!F72</f>
        <v>0</v>
      </c>
      <c r="D77" s="417">
        <f>Dry_Matter_Content!G64</f>
        <v>0.56999999999999995</v>
      </c>
      <c r="E77" s="283">
        <f>MCF!R76</f>
        <v>0.78500000000000003</v>
      </c>
      <c r="F77" s="67">
        <f t="shared" si="0"/>
        <v>0</v>
      </c>
      <c r="G77" s="67">
        <f t="shared" si="1"/>
        <v>0</v>
      </c>
      <c r="H77" s="67">
        <f t="shared" si="2"/>
        <v>0</v>
      </c>
      <c r="I77" s="67">
        <f t="shared" si="3"/>
        <v>0</v>
      </c>
      <c r="J77" s="67">
        <f t="shared" si="4"/>
        <v>0</v>
      </c>
      <c r="K77" s="100">
        <f t="shared" si="6"/>
        <v>0</v>
      </c>
      <c r="O77" s="96">
        <f>Amnt_Deposited!B72</f>
        <v>2058</v>
      </c>
      <c r="P77" s="99">
        <f>Amnt_Deposited!G72</f>
        <v>0</v>
      </c>
      <c r="Q77" s="283">
        <f>MCF!R76</f>
        <v>0.78500000000000003</v>
      </c>
      <c r="R77" s="67">
        <f t="shared" si="5"/>
        <v>0</v>
      </c>
      <c r="S77" s="67">
        <f t="shared" si="7"/>
        <v>0</v>
      </c>
      <c r="T77" s="67">
        <f t="shared" si="8"/>
        <v>0</v>
      </c>
      <c r="U77" s="67">
        <f t="shared" si="9"/>
        <v>29.74385628726964</v>
      </c>
      <c r="V77" s="67">
        <f t="shared" si="10"/>
        <v>1.0594674995303885</v>
      </c>
      <c r="W77" s="100">
        <f t="shared" si="11"/>
        <v>0.70631166635359233</v>
      </c>
    </row>
    <row r="78" spans="2:23">
      <c r="B78" s="96">
        <f>Amnt_Deposited!B73</f>
        <v>2059</v>
      </c>
      <c r="C78" s="99">
        <f>Amnt_Deposited!F73</f>
        <v>0</v>
      </c>
      <c r="D78" s="417">
        <f>Dry_Matter_Content!G65</f>
        <v>0.56999999999999995</v>
      </c>
      <c r="E78" s="283">
        <f>MCF!R77</f>
        <v>0.78500000000000003</v>
      </c>
      <c r="F78" s="67">
        <f t="shared" si="0"/>
        <v>0</v>
      </c>
      <c r="G78" s="67">
        <f t="shared" si="1"/>
        <v>0</v>
      </c>
      <c r="H78" s="67">
        <f t="shared" si="2"/>
        <v>0</v>
      </c>
      <c r="I78" s="67">
        <f t="shared" si="3"/>
        <v>0</v>
      </c>
      <c r="J78" s="67">
        <f t="shared" si="4"/>
        <v>0</v>
      </c>
      <c r="K78" s="100">
        <f t="shared" si="6"/>
        <v>0</v>
      </c>
      <c r="O78" s="96">
        <f>Amnt_Deposited!B73</f>
        <v>2059</v>
      </c>
      <c r="P78" s="99">
        <f>Amnt_Deposited!G73</f>
        <v>0</v>
      </c>
      <c r="Q78" s="283">
        <f>MCF!R77</f>
        <v>0.78500000000000003</v>
      </c>
      <c r="R78" s="67">
        <f t="shared" si="5"/>
        <v>0</v>
      </c>
      <c r="S78" s="67">
        <f t="shared" si="7"/>
        <v>0</v>
      </c>
      <c r="T78" s="67">
        <f t="shared" si="8"/>
        <v>0</v>
      </c>
      <c r="U78" s="67">
        <f t="shared" si="9"/>
        <v>28.720828731374237</v>
      </c>
      <c r="V78" s="67">
        <f t="shared" si="10"/>
        <v>1.0230275558954038</v>
      </c>
      <c r="W78" s="100">
        <f t="shared" si="11"/>
        <v>0.68201837059693582</v>
      </c>
    </row>
    <row r="79" spans="2:23">
      <c r="B79" s="96">
        <f>Amnt_Deposited!B74</f>
        <v>2060</v>
      </c>
      <c r="C79" s="99">
        <f>Amnt_Deposited!F74</f>
        <v>0</v>
      </c>
      <c r="D79" s="417">
        <f>Dry_Matter_Content!G66</f>
        <v>0.56999999999999995</v>
      </c>
      <c r="E79" s="283">
        <f>MCF!R78</f>
        <v>0.78500000000000003</v>
      </c>
      <c r="F79" s="67">
        <f t="shared" si="0"/>
        <v>0</v>
      </c>
      <c r="G79" s="67">
        <f t="shared" si="1"/>
        <v>0</v>
      </c>
      <c r="H79" s="67">
        <f t="shared" si="2"/>
        <v>0</v>
      </c>
      <c r="I79" s="67">
        <f t="shared" si="3"/>
        <v>0</v>
      </c>
      <c r="J79" s="67">
        <f t="shared" si="4"/>
        <v>0</v>
      </c>
      <c r="K79" s="100">
        <f t="shared" si="6"/>
        <v>0</v>
      </c>
      <c r="O79" s="96">
        <f>Amnt_Deposited!B74</f>
        <v>2060</v>
      </c>
      <c r="P79" s="99">
        <f>Amnt_Deposited!G74</f>
        <v>0</v>
      </c>
      <c r="Q79" s="283">
        <f>MCF!R78</f>
        <v>0.78500000000000003</v>
      </c>
      <c r="R79" s="67">
        <f t="shared" si="5"/>
        <v>0</v>
      </c>
      <c r="S79" s="67">
        <f t="shared" si="7"/>
        <v>0</v>
      </c>
      <c r="T79" s="67">
        <f t="shared" si="8"/>
        <v>0</v>
      </c>
      <c r="U79" s="67">
        <f t="shared" si="9"/>
        <v>27.732987782420896</v>
      </c>
      <c r="V79" s="67">
        <f t="shared" si="10"/>
        <v>0.9878409489533424</v>
      </c>
      <c r="W79" s="100">
        <f t="shared" si="11"/>
        <v>0.65856063263556153</v>
      </c>
    </row>
    <row r="80" spans="2:23">
      <c r="B80" s="96">
        <f>Amnt_Deposited!B75</f>
        <v>2061</v>
      </c>
      <c r="C80" s="99">
        <f>Amnt_Deposited!F75</f>
        <v>0</v>
      </c>
      <c r="D80" s="417">
        <f>Dry_Matter_Content!G67</f>
        <v>0.56999999999999995</v>
      </c>
      <c r="E80" s="283">
        <f>MCF!R79</f>
        <v>0.78500000000000003</v>
      </c>
      <c r="F80" s="67">
        <f t="shared" si="0"/>
        <v>0</v>
      </c>
      <c r="G80" s="67">
        <f t="shared" si="1"/>
        <v>0</v>
      </c>
      <c r="H80" s="67">
        <f t="shared" si="2"/>
        <v>0</v>
      </c>
      <c r="I80" s="67">
        <f t="shared" si="3"/>
        <v>0</v>
      </c>
      <c r="J80" s="67">
        <f t="shared" si="4"/>
        <v>0</v>
      </c>
      <c r="K80" s="100">
        <f t="shared" si="6"/>
        <v>0</v>
      </c>
      <c r="O80" s="96">
        <f>Amnt_Deposited!B75</f>
        <v>2061</v>
      </c>
      <c r="P80" s="99">
        <f>Amnt_Deposited!G75</f>
        <v>0</v>
      </c>
      <c r="Q80" s="283">
        <f>MCF!R79</f>
        <v>0.78500000000000003</v>
      </c>
      <c r="R80" s="67">
        <f t="shared" si="5"/>
        <v>0</v>
      </c>
      <c r="S80" s="67">
        <f t="shared" si="7"/>
        <v>0</v>
      </c>
      <c r="T80" s="67">
        <f t="shared" si="8"/>
        <v>0</v>
      </c>
      <c r="U80" s="67">
        <f t="shared" si="9"/>
        <v>26.779123211710534</v>
      </c>
      <c r="V80" s="67">
        <f t="shared" si="10"/>
        <v>0.95386457071036168</v>
      </c>
      <c r="W80" s="100">
        <f t="shared" si="11"/>
        <v>0.63590971380690775</v>
      </c>
    </row>
    <row r="81" spans="2:23">
      <c r="B81" s="96">
        <f>Amnt_Deposited!B76</f>
        <v>2062</v>
      </c>
      <c r="C81" s="99">
        <f>Amnt_Deposited!F76</f>
        <v>0</v>
      </c>
      <c r="D81" s="417">
        <f>Dry_Matter_Content!G68</f>
        <v>0.56999999999999995</v>
      </c>
      <c r="E81" s="283">
        <f>MCF!R80</f>
        <v>0.78500000000000003</v>
      </c>
      <c r="F81" s="67">
        <f t="shared" si="0"/>
        <v>0</v>
      </c>
      <c r="G81" s="67">
        <f t="shared" si="1"/>
        <v>0</v>
      </c>
      <c r="H81" s="67">
        <f t="shared" si="2"/>
        <v>0</v>
      </c>
      <c r="I81" s="67">
        <f t="shared" si="3"/>
        <v>0</v>
      </c>
      <c r="J81" s="67">
        <f t="shared" si="4"/>
        <v>0</v>
      </c>
      <c r="K81" s="100">
        <f t="shared" si="6"/>
        <v>0</v>
      </c>
      <c r="O81" s="96">
        <f>Amnt_Deposited!B76</f>
        <v>2062</v>
      </c>
      <c r="P81" s="99">
        <f>Amnt_Deposited!G76</f>
        <v>0</v>
      </c>
      <c r="Q81" s="283">
        <f>MCF!R80</f>
        <v>0.78500000000000003</v>
      </c>
      <c r="R81" s="67">
        <f t="shared" si="5"/>
        <v>0</v>
      </c>
      <c r="S81" s="67">
        <f t="shared" si="7"/>
        <v>0</v>
      </c>
      <c r="T81" s="67">
        <f t="shared" si="8"/>
        <v>0</v>
      </c>
      <c r="U81" s="67">
        <f t="shared" si="9"/>
        <v>25.85806641585641</v>
      </c>
      <c r="V81" s="67">
        <f t="shared" si="10"/>
        <v>0.9210567958541237</v>
      </c>
      <c r="W81" s="100">
        <f t="shared" si="11"/>
        <v>0.61403786390274906</v>
      </c>
    </row>
    <row r="82" spans="2:23">
      <c r="B82" s="96">
        <f>Amnt_Deposited!B77</f>
        <v>2063</v>
      </c>
      <c r="C82" s="99">
        <f>Amnt_Deposited!F77</f>
        <v>0</v>
      </c>
      <c r="D82" s="417">
        <f>Dry_Matter_Content!G69</f>
        <v>0.56999999999999995</v>
      </c>
      <c r="E82" s="283">
        <f>MCF!R81</f>
        <v>0.78500000000000003</v>
      </c>
      <c r="F82" s="67">
        <f t="shared" si="0"/>
        <v>0</v>
      </c>
      <c r="G82" s="67">
        <f t="shared" si="1"/>
        <v>0</v>
      </c>
      <c r="H82" s="67">
        <f t="shared" si="2"/>
        <v>0</v>
      </c>
      <c r="I82" s="67">
        <f t="shared" si="3"/>
        <v>0</v>
      </c>
      <c r="J82" s="67">
        <f t="shared" si="4"/>
        <v>0</v>
      </c>
      <c r="K82" s="100">
        <f t="shared" si="6"/>
        <v>0</v>
      </c>
      <c r="O82" s="96">
        <f>Amnt_Deposited!B77</f>
        <v>2063</v>
      </c>
      <c r="P82" s="99">
        <f>Amnt_Deposited!G77</f>
        <v>0</v>
      </c>
      <c r="Q82" s="283">
        <f>MCF!R81</f>
        <v>0.78500000000000003</v>
      </c>
      <c r="R82" s="67">
        <f t="shared" si="5"/>
        <v>0</v>
      </c>
      <c r="S82" s="67">
        <f t="shared" si="7"/>
        <v>0</v>
      </c>
      <c r="T82" s="67">
        <f t="shared" si="8"/>
        <v>0</v>
      </c>
      <c r="U82" s="67">
        <f t="shared" si="9"/>
        <v>24.968688985098829</v>
      </c>
      <c r="V82" s="67">
        <f t="shared" si="10"/>
        <v>0.88937743075758158</v>
      </c>
      <c r="W82" s="100">
        <f t="shared" si="11"/>
        <v>0.59291828717172101</v>
      </c>
    </row>
    <row r="83" spans="2:23">
      <c r="B83" s="96">
        <f>Amnt_Deposited!B78</f>
        <v>2064</v>
      </c>
      <c r="C83" s="99">
        <f>Amnt_Deposited!F78</f>
        <v>0</v>
      </c>
      <c r="D83" s="417">
        <f>Dry_Matter_Content!G70</f>
        <v>0.56999999999999995</v>
      </c>
      <c r="E83" s="283">
        <f>MCF!R82</f>
        <v>0.78500000000000003</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Amnt_Deposited!G78</f>
        <v>0</v>
      </c>
      <c r="Q83" s="283">
        <f>MCF!R82</f>
        <v>0.78500000000000003</v>
      </c>
      <c r="R83" s="67">
        <f t="shared" ref="R83:R99" si="17">P83*$W$6*DOCF*Q83</f>
        <v>0</v>
      </c>
      <c r="S83" s="67">
        <f t="shared" si="7"/>
        <v>0</v>
      </c>
      <c r="T83" s="67">
        <f t="shared" si="8"/>
        <v>0</v>
      </c>
      <c r="U83" s="67">
        <f t="shared" si="9"/>
        <v>24.109901320862068</v>
      </c>
      <c r="V83" s="67">
        <f t="shared" si="10"/>
        <v>0.85878766423675956</v>
      </c>
      <c r="W83" s="100">
        <f t="shared" si="11"/>
        <v>0.57252510949117297</v>
      </c>
    </row>
    <row r="84" spans="2:23">
      <c r="B84" s="96">
        <f>Amnt_Deposited!B79</f>
        <v>2065</v>
      </c>
      <c r="C84" s="99">
        <f>Amnt_Deposited!F79</f>
        <v>0</v>
      </c>
      <c r="D84" s="417">
        <f>Dry_Matter_Content!G71</f>
        <v>0.56999999999999995</v>
      </c>
      <c r="E84" s="283">
        <f>MCF!R83</f>
        <v>0.78500000000000003</v>
      </c>
      <c r="F84" s="67">
        <f t="shared" si="12"/>
        <v>0</v>
      </c>
      <c r="G84" s="67">
        <f t="shared" si="13"/>
        <v>0</v>
      </c>
      <c r="H84" s="67">
        <f t="shared" si="14"/>
        <v>0</v>
      </c>
      <c r="I84" s="67">
        <f t="shared" si="15"/>
        <v>0</v>
      </c>
      <c r="J84" s="67">
        <f t="shared" si="16"/>
        <v>0</v>
      </c>
      <c r="K84" s="100">
        <f t="shared" si="6"/>
        <v>0</v>
      </c>
      <c r="O84" s="96">
        <f>Amnt_Deposited!B79</f>
        <v>2065</v>
      </c>
      <c r="P84" s="99">
        <f>Amnt_Deposited!G79</f>
        <v>0</v>
      </c>
      <c r="Q84" s="283">
        <f>MCF!R83</f>
        <v>0.78500000000000003</v>
      </c>
      <c r="R84" s="67">
        <f t="shared" si="17"/>
        <v>0</v>
      </c>
      <c r="S84" s="67">
        <f t="shared" si="7"/>
        <v>0</v>
      </c>
      <c r="T84" s="67">
        <f t="shared" si="8"/>
        <v>0</v>
      </c>
      <c r="U84" s="67">
        <f t="shared" si="9"/>
        <v>23.280651300859869</v>
      </c>
      <c r="V84" s="67">
        <f t="shared" si="10"/>
        <v>0.82925002000219938</v>
      </c>
      <c r="W84" s="100">
        <f t="shared" si="11"/>
        <v>0.55283334666813289</v>
      </c>
    </row>
    <row r="85" spans="2:23">
      <c r="B85" s="96">
        <f>Amnt_Deposited!B80</f>
        <v>2066</v>
      </c>
      <c r="C85" s="99">
        <f>Amnt_Deposited!F80</f>
        <v>0</v>
      </c>
      <c r="D85" s="417">
        <f>Dry_Matter_Content!G72</f>
        <v>0.56999999999999995</v>
      </c>
      <c r="E85" s="283">
        <f>MCF!R84</f>
        <v>0.78500000000000003</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Amnt_Deposited!G80</f>
        <v>0</v>
      </c>
      <c r="Q85" s="283">
        <f>MCF!R84</f>
        <v>0.78500000000000003</v>
      </c>
      <c r="R85" s="67">
        <f t="shared" si="17"/>
        <v>0</v>
      </c>
      <c r="S85" s="67">
        <f t="shared" ref="S85:S98" si="19">R85*$W$12</f>
        <v>0</v>
      </c>
      <c r="T85" s="67">
        <f t="shared" ref="T85:T98" si="20">R85*(1-$W$12)</f>
        <v>0</v>
      </c>
      <c r="U85" s="67">
        <f t="shared" ref="U85:U98" si="21">S85+U84*$W$10</f>
        <v>22.479922990114051</v>
      </c>
      <c r="V85" s="67">
        <f t="shared" ref="V85:V98" si="22">U84*(1-$W$10)+T85</f>
        <v>0.80072831074581907</v>
      </c>
      <c r="W85" s="100">
        <f t="shared" ref="W85:W99" si="23">V85*CH4_fraction*conv</f>
        <v>0.53381887383054605</v>
      </c>
    </row>
    <row r="86" spans="2:23">
      <c r="B86" s="96">
        <f>Amnt_Deposited!B81</f>
        <v>2067</v>
      </c>
      <c r="C86" s="99">
        <f>Amnt_Deposited!F81</f>
        <v>0</v>
      </c>
      <c r="D86" s="417">
        <f>Dry_Matter_Content!G73</f>
        <v>0.56999999999999995</v>
      </c>
      <c r="E86" s="283">
        <f>MCF!R85</f>
        <v>0.78500000000000003</v>
      </c>
      <c r="F86" s="67">
        <f t="shared" si="12"/>
        <v>0</v>
      </c>
      <c r="G86" s="67">
        <f t="shared" si="13"/>
        <v>0</v>
      </c>
      <c r="H86" s="67">
        <f t="shared" si="14"/>
        <v>0</v>
      </c>
      <c r="I86" s="67">
        <f t="shared" si="15"/>
        <v>0</v>
      </c>
      <c r="J86" s="67">
        <f t="shared" si="16"/>
        <v>0</v>
      </c>
      <c r="K86" s="100">
        <f t="shared" si="18"/>
        <v>0</v>
      </c>
      <c r="O86" s="96">
        <f>Amnt_Deposited!B81</f>
        <v>2067</v>
      </c>
      <c r="P86" s="99">
        <f>Amnt_Deposited!G81</f>
        <v>0</v>
      </c>
      <c r="Q86" s="283">
        <f>MCF!R85</f>
        <v>0.78500000000000003</v>
      </c>
      <c r="R86" s="67">
        <f t="shared" si="17"/>
        <v>0</v>
      </c>
      <c r="S86" s="67">
        <f t="shared" si="19"/>
        <v>0</v>
      </c>
      <c r="T86" s="67">
        <f t="shared" si="20"/>
        <v>0</v>
      </c>
      <c r="U86" s="67">
        <f t="shared" si="21"/>
        <v>21.706735396307117</v>
      </c>
      <c r="V86" s="67">
        <f t="shared" si="22"/>
        <v>0.77318759380693469</v>
      </c>
      <c r="W86" s="100">
        <f t="shared" si="23"/>
        <v>0.51545839587128972</v>
      </c>
    </row>
    <row r="87" spans="2:23">
      <c r="B87" s="96">
        <f>Amnt_Deposited!B82</f>
        <v>2068</v>
      </c>
      <c r="C87" s="99">
        <f>Amnt_Deposited!F82</f>
        <v>0</v>
      </c>
      <c r="D87" s="417">
        <f>Dry_Matter_Content!G74</f>
        <v>0.56999999999999995</v>
      </c>
      <c r="E87" s="283">
        <f>MCF!R86</f>
        <v>0.78500000000000003</v>
      </c>
      <c r="F87" s="67">
        <f t="shared" si="12"/>
        <v>0</v>
      </c>
      <c r="G87" s="67">
        <f t="shared" si="13"/>
        <v>0</v>
      </c>
      <c r="H87" s="67">
        <f t="shared" si="14"/>
        <v>0</v>
      </c>
      <c r="I87" s="67">
        <f t="shared" si="15"/>
        <v>0</v>
      </c>
      <c r="J87" s="67">
        <f t="shared" si="16"/>
        <v>0</v>
      </c>
      <c r="K87" s="100">
        <f t="shared" si="18"/>
        <v>0</v>
      </c>
      <c r="O87" s="96">
        <f>Amnt_Deposited!B82</f>
        <v>2068</v>
      </c>
      <c r="P87" s="99">
        <f>Amnt_Deposited!G82</f>
        <v>0</v>
      </c>
      <c r="Q87" s="283">
        <f>MCF!R86</f>
        <v>0.78500000000000003</v>
      </c>
      <c r="R87" s="67">
        <f t="shared" si="17"/>
        <v>0</v>
      </c>
      <c r="S87" s="67">
        <f t="shared" si="19"/>
        <v>0</v>
      </c>
      <c r="T87" s="67">
        <f t="shared" si="20"/>
        <v>0</v>
      </c>
      <c r="U87" s="67">
        <f t="shared" si="21"/>
        <v>20.960141267943985</v>
      </c>
      <c r="V87" s="67">
        <f t="shared" si="22"/>
        <v>0.74659412836313133</v>
      </c>
      <c r="W87" s="100">
        <f t="shared" si="23"/>
        <v>0.49772941890875422</v>
      </c>
    </row>
    <row r="88" spans="2:23">
      <c r="B88" s="96">
        <f>Amnt_Deposited!B83</f>
        <v>2069</v>
      </c>
      <c r="C88" s="99">
        <f>Amnt_Deposited!F83</f>
        <v>0</v>
      </c>
      <c r="D88" s="417">
        <f>Dry_Matter_Content!G75</f>
        <v>0.56999999999999995</v>
      </c>
      <c r="E88" s="283">
        <f>MCF!R87</f>
        <v>0.78500000000000003</v>
      </c>
      <c r="F88" s="67">
        <f t="shared" si="12"/>
        <v>0</v>
      </c>
      <c r="G88" s="67">
        <f t="shared" si="13"/>
        <v>0</v>
      </c>
      <c r="H88" s="67">
        <f t="shared" si="14"/>
        <v>0</v>
      </c>
      <c r="I88" s="67">
        <f t="shared" si="15"/>
        <v>0</v>
      </c>
      <c r="J88" s="67">
        <f t="shared" si="16"/>
        <v>0</v>
      </c>
      <c r="K88" s="100">
        <f t="shared" si="18"/>
        <v>0</v>
      </c>
      <c r="O88" s="96">
        <f>Amnt_Deposited!B83</f>
        <v>2069</v>
      </c>
      <c r="P88" s="99">
        <f>Amnt_Deposited!G83</f>
        <v>0</v>
      </c>
      <c r="Q88" s="283">
        <f>MCF!R87</f>
        <v>0.78500000000000003</v>
      </c>
      <c r="R88" s="67">
        <f t="shared" si="17"/>
        <v>0</v>
      </c>
      <c r="S88" s="67">
        <f t="shared" si="19"/>
        <v>0</v>
      </c>
      <c r="T88" s="67">
        <f t="shared" si="20"/>
        <v>0</v>
      </c>
      <c r="U88" s="67">
        <f t="shared" si="21"/>
        <v>20.239225933850449</v>
      </c>
      <c r="V88" s="67">
        <f t="shared" si="22"/>
        <v>0.72091533409353648</v>
      </c>
      <c r="W88" s="100">
        <f t="shared" si="23"/>
        <v>0.48061022272902432</v>
      </c>
    </row>
    <row r="89" spans="2:23">
      <c r="B89" s="96">
        <f>Amnt_Deposited!B84</f>
        <v>2070</v>
      </c>
      <c r="C89" s="99">
        <f>Amnt_Deposited!F84</f>
        <v>0</v>
      </c>
      <c r="D89" s="417">
        <f>Dry_Matter_Content!G76</f>
        <v>0.56999999999999995</v>
      </c>
      <c r="E89" s="283">
        <f>MCF!R88</f>
        <v>0.78500000000000003</v>
      </c>
      <c r="F89" s="67">
        <f t="shared" si="12"/>
        <v>0</v>
      </c>
      <c r="G89" s="67">
        <f t="shared" si="13"/>
        <v>0</v>
      </c>
      <c r="H89" s="67">
        <f t="shared" si="14"/>
        <v>0</v>
      </c>
      <c r="I89" s="67">
        <f t="shared" si="15"/>
        <v>0</v>
      </c>
      <c r="J89" s="67">
        <f t="shared" si="16"/>
        <v>0</v>
      </c>
      <c r="K89" s="100">
        <f t="shared" si="18"/>
        <v>0</v>
      </c>
      <c r="O89" s="96">
        <f>Amnt_Deposited!B84</f>
        <v>2070</v>
      </c>
      <c r="P89" s="99">
        <f>Amnt_Deposited!G84</f>
        <v>0</v>
      </c>
      <c r="Q89" s="283">
        <f>MCF!R88</f>
        <v>0.78500000000000003</v>
      </c>
      <c r="R89" s="67">
        <f t="shared" si="17"/>
        <v>0</v>
      </c>
      <c r="S89" s="67">
        <f t="shared" si="19"/>
        <v>0</v>
      </c>
      <c r="T89" s="67">
        <f t="shared" si="20"/>
        <v>0</v>
      </c>
      <c r="U89" s="67">
        <f t="shared" si="21"/>
        <v>19.543106182586598</v>
      </c>
      <c r="V89" s="67">
        <f t="shared" si="22"/>
        <v>0.69611975126385184</v>
      </c>
      <c r="W89" s="100">
        <f t="shared" si="23"/>
        <v>0.46407983417590121</v>
      </c>
    </row>
    <row r="90" spans="2:23">
      <c r="B90" s="96">
        <f>Amnt_Deposited!B85</f>
        <v>2071</v>
      </c>
      <c r="C90" s="99">
        <f>Amnt_Deposited!F85</f>
        <v>0</v>
      </c>
      <c r="D90" s="417">
        <f>Dry_Matter_Content!G77</f>
        <v>0.56999999999999995</v>
      </c>
      <c r="E90" s="283">
        <f>MCF!R89</f>
        <v>0.78500000000000003</v>
      </c>
      <c r="F90" s="67">
        <f t="shared" si="12"/>
        <v>0</v>
      </c>
      <c r="G90" s="67">
        <f t="shared" si="13"/>
        <v>0</v>
      </c>
      <c r="H90" s="67">
        <f t="shared" si="14"/>
        <v>0</v>
      </c>
      <c r="I90" s="67">
        <f t="shared" si="15"/>
        <v>0</v>
      </c>
      <c r="J90" s="67">
        <f t="shared" si="16"/>
        <v>0</v>
      </c>
      <c r="K90" s="100">
        <f t="shared" si="18"/>
        <v>0</v>
      </c>
      <c r="O90" s="96">
        <f>Amnt_Deposited!B85</f>
        <v>2071</v>
      </c>
      <c r="P90" s="99">
        <f>Amnt_Deposited!G85</f>
        <v>0</v>
      </c>
      <c r="Q90" s="283">
        <f>MCF!R89</f>
        <v>0.78500000000000003</v>
      </c>
      <c r="R90" s="67">
        <f t="shared" si="17"/>
        <v>0</v>
      </c>
      <c r="S90" s="67">
        <f t="shared" si="19"/>
        <v>0</v>
      </c>
      <c r="T90" s="67">
        <f t="shared" si="20"/>
        <v>0</v>
      </c>
      <c r="U90" s="67">
        <f t="shared" si="21"/>
        <v>18.870929180402353</v>
      </c>
      <c r="V90" s="67">
        <f t="shared" si="22"/>
        <v>0.67217700218424536</v>
      </c>
      <c r="W90" s="100">
        <f t="shared" si="23"/>
        <v>0.44811800145616354</v>
      </c>
    </row>
    <row r="91" spans="2:23">
      <c r="B91" s="96">
        <f>Amnt_Deposited!B86</f>
        <v>2072</v>
      </c>
      <c r="C91" s="99">
        <f>Amnt_Deposited!F86</f>
        <v>0</v>
      </c>
      <c r="D91" s="417">
        <f>Dry_Matter_Content!G78</f>
        <v>0.56999999999999995</v>
      </c>
      <c r="E91" s="283">
        <f>MCF!R90</f>
        <v>0.78500000000000003</v>
      </c>
      <c r="F91" s="67">
        <f t="shared" si="12"/>
        <v>0</v>
      </c>
      <c r="G91" s="67">
        <f t="shared" si="13"/>
        <v>0</v>
      </c>
      <c r="H91" s="67">
        <f t="shared" si="14"/>
        <v>0</v>
      </c>
      <c r="I91" s="67">
        <f t="shared" si="15"/>
        <v>0</v>
      </c>
      <c r="J91" s="67">
        <f t="shared" si="16"/>
        <v>0</v>
      </c>
      <c r="K91" s="100">
        <f t="shared" si="18"/>
        <v>0</v>
      </c>
      <c r="O91" s="96">
        <f>Amnt_Deposited!B86</f>
        <v>2072</v>
      </c>
      <c r="P91" s="99">
        <f>Amnt_Deposited!G86</f>
        <v>0</v>
      </c>
      <c r="Q91" s="283">
        <f>MCF!R90</f>
        <v>0.78500000000000003</v>
      </c>
      <c r="R91" s="67">
        <f t="shared" si="17"/>
        <v>0</v>
      </c>
      <c r="S91" s="67">
        <f t="shared" si="19"/>
        <v>0</v>
      </c>
      <c r="T91" s="67">
        <f t="shared" si="20"/>
        <v>0</v>
      </c>
      <c r="U91" s="67">
        <f t="shared" si="21"/>
        <v>18.221871426409471</v>
      </c>
      <c r="V91" s="67">
        <f t="shared" si="22"/>
        <v>0.64905775399288146</v>
      </c>
      <c r="W91" s="100">
        <f t="shared" si="23"/>
        <v>0.4327051693285876</v>
      </c>
    </row>
    <row r="92" spans="2:23">
      <c r="B92" s="96">
        <f>Amnt_Deposited!B87</f>
        <v>2073</v>
      </c>
      <c r="C92" s="99">
        <f>Amnt_Deposited!F87</f>
        <v>0</v>
      </c>
      <c r="D92" s="417">
        <f>Dry_Matter_Content!G79</f>
        <v>0.56999999999999995</v>
      </c>
      <c r="E92" s="283">
        <f>MCF!R91</f>
        <v>0.78500000000000003</v>
      </c>
      <c r="F92" s="67">
        <f t="shared" si="12"/>
        <v>0</v>
      </c>
      <c r="G92" s="67">
        <f t="shared" si="13"/>
        <v>0</v>
      </c>
      <c r="H92" s="67">
        <f t="shared" si="14"/>
        <v>0</v>
      </c>
      <c r="I92" s="67">
        <f t="shared" si="15"/>
        <v>0</v>
      </c>
      <c r="J92" s="67">
        <f t="shared" si="16"/>
        <v>0</v>
      </c>
      <c r="K92" s="100">
        <f t="shared" si="18"/>
        <v>0</v>
      </c>
      <c r="O92" s="96">
        <f>Amnt_Deposited!B87</f>
        <v>2073</v>
      </c>
      <c r="P92" s="99">
        <f>Amnt_Deposited!G87</f>
        <v>0</v>
      </c>
      <c r="Q92" s="283">
        <f>MCF!R91</f>
        <v>0.78500000000000003</v>
      </c>
      <c r="R92" s="67">
        <f t="shared" si="17"/>
        <v>0</v>
      </c>
      <c r="S92" s="67">
        <f t="shared" si="19"/>
        <v>0</v>
      </c>
      <c r="T92" s="67">
        <f t="shared" si="20"/>
        <v>0</v>
      </c>
      <c r="U92" s="67">
        <f t="shared" si="21"/>
        <v>17.595137743689975</v>
      </c>
      <c r="V92" s="67">
        <f t="shared" si="22"/>
        <v>0.62673368271949748</v>
      </c>
      <c r="W92" s="100">
        <f t="shared" si="23"/>
        <v>0.41782245514633165</v>
      </c>
    </row>
    <row r="93" spans="2:23">
      <c r="B93" s="96">
        <f>Amnt_Deposited!B88</f>
        <v>2074</v>
      </c>
      <c r="C93" s="99">
        <f>Amnt_Deposited!F88</f>
        <v>0</v>
      </c>
      <c r="D93" s="417">
        <f>Dry_Matter_Content!G80</f>
        <v>0.56999999999999995</v>
      </c>
      <c r="E93" s="283">
        <f>MCF!R92</f>
        <v>0.78500000000000003</v>
      </c>
      <c r="F93" s="67">
        <f t="shared" si="12"/>
        <v>0</v>
      </c>
      <c r="G93" s="67">
        <f t="shared" si="13"/>
        <v>0</v>
      </c>
      <c r="H93" s="67">
        <f t="shared" si="14"/>
        <v>0</v>
      </c>
      <c r="I93" s="67">
        <f t="shared" si="15"/>
        <v>0</v>
      </c>
      <c r="J93" s="67">
        <f t="shared" si="16"/>
        <v>0</v>
      </c>
      <c r="K93" s="100">
        <f t="shared" si="18"/>
        <v>0</v>
      </c>
      <c r="O93" s="96">
        <f>Amnt_Deposited!B88</f>
        <v>2074</v>
      </c>
      <c r="P93" s="99">
        <f>Amnt_Deposited!G88</f>
        <v>0</v>
      </c>
      <c r="Q93" s="283">
        <f>MCF!R92</f>
        <v>0.78500000000000003</v>
      </c>
      <c r="R93" s="67">
        <f t="shared" si="17"/>
        <v>0</v>
      </c>
      <c r="S93" s="67">
        <f t="shared" si="19"/>
        <v>0</v>
      </c>
      <c r="T93" s="67">
        <f t="shared" si="20"/>
        <v>0</v>
      </c>
      <c r="U93" s="67">
        <f t="shared" si="21"/>
        <v>16.989960305104976</v>
      </c>
      <c r="V93" s="67">
        <f t="shared" si="22"/>
        <v>0.60517743858499795</v>
      </c>
      <c r="W93" s="100">
        <f t="shared" si="23"/>
        <v>0.40345162572333193</v>
      </c>
    </row>
    <row r="94" spans="2:23">
      <c r="B94" s="96">
        <f>Amnt_Deposited!B89</f>
        <v>2075</v>
      </c>
      <c r="C94" s="99">
        <f>Amnt_Deposited!F89</f>
        <v>0</v>
      </c>
      <c r="D94" s="417">
        <f>Dry_Matter_Content!G81</f>
        <v>0.56999999999999995</v>
      </c>
      <c r="E94" s="283">
        <f>MCF!R93</f>
        <v>0.78500000000000003</v>
      </c>
      <c r="F94" s="67">
        <f t="shared" si="12"/>
        <v>0</v>
      </c>
      <c r="G94" s="67">
        <f t="shared" si="13"/>
        <v>0</v>
      </c>
      <c r="H94" s="67">
        <f t="shared" si="14"/>
        <v>0</v>
      </c>
      <c r="I94" s="67">
        <f t="shared" si="15"/>
        <v>0</v>
      </c>
      <c r="J94" s="67">
        <f t="shared" si="16"/>
        <v>0</v>
      </c>
      <c r="K94" s="100">
        <f t="shared" si="18"/>
        <v>0</v>
      </c>
      <c r="O94" s="96">
        <f>Amnt_Deposited!B89</f>
        <v>2075</v>
      </c>
      <c r="P94" s="99">
        <f>Amnt_Deposited!G89</f>
        <v>0</v>
      </c>
      <c r="Q94" s="283">
        <f>MCF!R93</f>
        <v>0.78500000000000003</v>
      </c>
      <c r="R94" s="67">
        <f t="shared" si="17"/>
        <v>0</v>
      </c>
      <c r="S94" s="67">
        <f t="shared" si="19"/>
        <v>0</v>
      </c>
      <c r="T94" s="67">
        <f t="shared" si="20"/>
        <v>0</v>
      </c>
      <c r="U94" s="67">
        <f t="shared" si="21"/>
        <v>16.405597692610421</v>
      </c>
      <c r="V94" s="67">
        <f t="shared" si="22"/>
        <v>0.58436261249455479</v>
      </c>
      <c r="W94" s="100">
        <f t="shared" si="23"/>
        <v>0.38957507499636984</v>
      </c>
    </row>
    <row r="95" spans="2:23">
      <c r="B95" s="96">
        <f>Amnt_Deposited!B90</f>
        <v>2076</v>
      </c>
      <c r="C95" s="99">
        <f>Amnt_Deposited!F90</f>
        <v>0</v>
      </c>
      <c r="D95" s="417">
        <f>Dry_Matter_Content!G82</f>
        <v>0.56999999999999995</v>
      </c>
      <c r="E95" s="283">
        <f>MCF!R94</f>
        <v>0.78500000000000003</v>
      </c>
      <c r="F95" s="67">
        <f t="shared" si="12"/>
        <v>0</v>
      </c>
      <c r="G95" s="67">
        <f t="shared" si="13"/>
        <v>0</v>
      </c>
      <c r="H95" s="67">
        <f t="shared" si="14"/>
        <v>0</v>
      </c>
      <c r="I95" s="67">
        <f t="shared" si="15"/>
        <v>0</v>
      </c>
      <c r="J95" s="67">
        <f t="shared" si="16"/>
        <v>0</v>
      </c>
      <c r="K95" s="100">
        <f t="shared" si="18"/>
        <v>0</v>
      </c>
      <c r="O95" s="96">
        <f>Amnt_Deposited!B90</f>
        <v>2076</v>
      </c>
      <c r="P95" s="99">
        <f>Amnt_Deposited!G90</f>
        <v>0</v>
      </c>
      <c r="Q95" s="283">
        <f>MCF!R94</f>
        <v>0.78500000000000003</v>
      </c>
      <c r="R95" s="67">
        <f t="shared" si="17"/>
        <v>0</v>
      </c>
      <c r="S95" s="67">
        <f t="shared" si="19"/>
        <v>0</v>
      </c>
      <c r="T95" s="67">
        <f t="shared" si="20"/>
        <v>0</v>
      </c>
      <c r="U95" s="67">
        <f t="shared" si="21"/>
        <v>15.841333988927257</v>
      </c>
      <c r="V95" s="67">
        <f t="shared" si="22"/>
        <v>0.56426370368316359</v>
      </c>
      <c r="W95" s="100">
        <f t="shared" si="23"/>
        <v>0.37617580245544235</v>
      </c>
    </row>
    <row r="96" spans="2:23">
      <c r="B96" s="96">
        <f>Amnt_Deposited!B91</f>
        <v>2077</v>
      </c>
      <c r="C96" s="99">
        <f>Amnt_Deposited!F91</f>
        <v>0</v>
      </c>
      <c r="D96" s="417">
        <f>Dry_Matter_Content!G83</f>
        <v>0.56999999999999995</v>
      </c>
      <c r="E96" s="283">
        <f>MCF!R95</f>
        <v>0.78500000000000003</v>
      </c>
      <c r="F96" s="67">
        <f t="shared" si="12"/>
        <v>0</v>
      </c>
      <c r="G96" s="67">
        <f t="shared" si="13"/>
        <v>0</v>
      </c>
      <c r="H96" s="67">
        <f t="shared" si="14"/>
        <v>0</v>
      </c>
      <c r="I96" s="67">
        <f t="shared" si="15"/>
        <v>0</v>
      </c>
      <c r="J96" s="67">
        <f t="shared" si="16"/>
        <v>0</v>
      </c>
      <c r="K96" s="100">
        <f t="shared" si="18"/>
        <v>0</v>
      </c>
      <c r="O96" s="96">
        <f>Amnt_Deposited!B91</f>
        <v>2077</v>
      </c>
      <c r="P96" s="99">
        <f>Amnt_Deposited!G91</f>
        <v>0</v>
      </c>
      <c r="Q96" s="283">
        <f>MCF!R95</f>
        <v>0.78500000000000003</v>
      </c>
      <c r="R96" s="67">
        <f t="shared" si="17"/>
        <v>0</v>
      </c>
      <c r="S96" s="67">
        <f t="shared" si="19"/>
        <v>0</v>
      </c>
      <c r="T96" s="67">
        <f t="shared" si="20"/>
        <v>0</v>
      </c>
      <c r="U96" s="67">
        <f t="shared" si="21"/>
        <v>15.29647790045324</v>
      </c>
      <c r="V96" s="67">
        <f t="shared" si="22"/>
        <v>0.54485608847401723</v>
      </c>
      <c r="W96" s="100">
        <f t="shared" si="23"/>
        <v>0.36323739231601149</v>
      </c>
    </row>
    <row r="97" spans="2:23">
      <c r="B97" s="96">
        <f>Amnt_Deposited!B92</f>
        <v>2078</v>
      </c>
      <c r="C97" s="99">
        <f>Amnt_Deposited!F92</f>
        <v>0</v>
      </c>
      <c r="D97" s="417">
        <f>Dry_Matter_Content!G84</f>
        <v>0.56999999999999995</v>
      </c>
      <c r="E97" s="283">
        <f>MCF!R96</f>
        <v>0.78500000000000003</v>
      </c>
      <c r="F97" s="67">
        <f t="shared" si="12"/>
        <v>0</v>
      </c>
      <c r="G97" s="67">
        <f t="shared" si="13"/>
        <v>0</v>
      </c>
      <c r="H97" s="67">
        <f t="shared" si="14"/>
        <v>0</v>
      </c>
      <c r="I97" s="67">
        <f t="shared" si="15"/>
        <v>0</v>
      </c>
      <c r="J97" s="67">
        <f t="shared" si="16"/>
        <v>0</v>
      </c>
      <c r="K97" s="100">
        <f t="shared" si="18"/>
        <v>0</v>
      </c>
      <c r="O97" s="96">
        <f>Amnt_Deposited!B92</f>
        <v>2078</v>
      </c>
      <c r="P97" s="99">
        <f>Amnt_Deposited!G92</f>
        <v>0</v>
      </c>
      <c r="Q97" s="283">
        <f>MCF!R96</f>
        <v>0.78500000000000003</v>
      </c>
      <c r="R97" s="67">
        <f t="shared" si="17"/>
        <v>0</v>
      </c>
      <c r="S97" s="67">
        <f t="shared" si="19"/>
        <v>0</v>
      </c>
      <c r="T97" s="67">
        <f t="shared" si="20"/>
        <v>0</v>
      </c>
      <c r="U97" s="67">
        <f t="shared" si="21"/>
        <v>14.770361910341817</v>
      </c>
      <c r="V97" s="67">
        <f t="shared" si="22"/>
        <v>0.52611599011142296</v>
      </c>
      <c r="W97" s="100">
        <f t="shared" si="23"/>
        <v>0.35074399340761531</v>
      </c>
    </row>
    <row r="98" spans="2:23">
      <c r="B98" s="96">
        <f>Amnt_Deposited!B93</f>
        <v>2079</v>
      </c>
      <c r="C98" s="99">
        <f>Amnt_Deposited!F93</f>
        <v>0</v>
      </c>
      <c r="D98" s="417">
        <f>Dry_Matter_Content!G85</f>
        <v>0.56999999999999995</v>
      </c>
      <c r="E98" s="283">
        <f>MCF!R97</f>
        <v>0.78500000000000003</v>
      </c>
      <c r="F98" s="67">
        <f t="shared" si="12"/>
        <v>0</v>
      </c>
      <c r="G98" s="67">
        <f t="shared" si="13"/>
        <v>0</v>
      </c>
      <c r="H98" s="67">
        <f t="shared" si="14"/>
        <v>0</v>
      </c>
      <c r="I98" s="67">
        <f t="shared" si="15"/>
        <v>0</v>
      </c>
      <c r="J98" s="67">
        <f t="shared" si="16"/>
        <v>0</v>
      </c>
      <c r="K98" s="100">
        <f t="shared" si="18"/>
        <v>0</v>
      </c>
      <c r="O98" s="96">
        <f>Amnt_Deposited!B93</f>
        <v>2079</v>
      </c>
      <c r="P98" s="99">
        <f>Amnt_Deposited!G93</f>
        <v>0</v>
      </c>
      <c r="Q98" s="283">
        <f>MCF!R97</f>
        <v>0.78500000000000003</v>
      </c>
      <c r="R98" s="67">
        <f t="shared" si="17"/>
        <v>0</v>
      </c>
      <c r="S98" s="67">
        <f t="shared" si="19"/>
        <v>0</v>
      </c>
      <c r="T98" s="67">
        <f t="shared" si="20"/>
        <v>0</v>
      </c>
      <c r="U98" s="67">
        <f t="shared" si="21"/>
        <v>14.262341460710514</v>
      </c>
      <c r="V98" s="67">
        <f t="shared" si="22"/>
        <v>0.50802044963130222</v>
      </c>
      <c r="W98" s="100">
        <f t="shared" si="23"/>
        <v>0.33868029975420144</v>
      </c>
    </row>
    <row r="99" spans="2:23" ht="13.5" thickBot="1">
      <c r="B99" s="97">
        <f>Amnt_Deposited!B94</f>
        <v>2080</v>
      </c>
      <c r="C99" s="101">
        <f>Amnt_Deposited!F94</f>
        <v>0</v>
      </c>
      <c r="D99" s="417">
        <f>Dry_Matter_Content!G86</f>
        <v>0.56999999999999995</v>
      </c>
      <c r="E99" s="284">
        <f>MCF!R98</f>
        <v>0.78500000000000003</v>
      </c>
      <c r="F99" s="68">
        <f t="shared" si="12"/>
        <v>0</v>
      </c>
      <c r="G99" s="68">
        <f t="shared" si="13"/>
        <v>0</v>
      </c>
      <c r="H99" s="68">
        <f t="shared" si="14"/>
        <v>0</v>
      </c>
      <c r="I99" s="68">
        <f t="shared" si="15"/>
        <v>0</v>
      </c>
      <c r="J99" s="68">
        <f t="shared" si="16"/>
        <v>0</v>
      </c>
      <c r="K99" s="102">
        <f t="shared" si="18"/>
        <v>0</v>
      </c>
      <c r="O99" s="97">
        <f>Amnt_Deposited!B94</f>
        <v>2080</v>
      </c>
      <c r="P99" s="99">
        <f>Amnt_Deposited!G94</f>
        <v>0</v>
      </c>
      <c r="Q99" s="284">
        <f>MCF!R98</f>
        <v>0.78500000000000003</v>
      </c>
      <c r="R99" s="68">
        <f t="shared" si="17"/>
        <v>0</v>
      </c>
      <c r="S99" s="68">
        <f>R99*$W$12</f>
        <v>0</v>
      </c>
      <c r="T99" s="68">
        <f>R99*(1-$W$12)</f>
        <v>0</v>
      </c>
      <c r="U99" s="68">
        <f>S99+U98*$W$10</f>
        <v>13.771794162976924</v>
      </c>
      <c r="V99" s="68">
        <f>U98*(1-$W$10)+T99</f>
        <v>0.49054729773358963</v>
      </c>
      <c r="W99" s="102">
        <f t="shared" si="23"/>
        <v>0.32703153182239308</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1" customWidth="1"/>
    <col min="14" max="16384" width="8.85546875" style="6"/>
  </cols>
  <sheetData>
    <row r="2" spans="1:23" ht="15.75">
      <c r="B2" s="45" t="s">
        <v>153</v>
      </c>
      <c r="C2" s="223"/>
      <c r="D2" s="223"/>
      <c r="E2" s="224"/>
      <c r="F2" s="225"/>
      <c r="G2" s="225"/>
      <c r="H2" s="225"/>
      <c r="I2" s="225"/>
      <c r="J2" s="225"/>
      <c r="K2" s="225"/>
    </row>
    <row r="3" spans="1:23" ht="15">
      <c r="B3" s="242" t="str">
        <f>IF(Select2=2,"This sheet applies only to the waste compositon option and can be deleted when the bulk waste option has been chosen","")</f>
        <v/>
      </c>
      <c r="C3" s="223"/>
      <c r="D3" s="223"/>
      <c r="E3" s="224"/>
      <c r="F3" s="225"/>
      <c r="G3" s="225"/>
      <c r="H3" s="225"/>
      <c r="I3" s="225"/>
      <c r="J3" s="225"/>
      <c r="K3" s="225"/>
    </row>
    <row r="4" spans="1:23" ht="16.5" thickBot="1">
      <c r="B4" s="226"/>
      <c r="C4" s="227"/>
      <c r="D4" s="227"/>
      <c r="E4" s="256"/>
      <c r="F4" s="228"/>
      <c r="G4" s="228"/>
      <c r="H4" s="228"/>
      <c r="I4" s="228"/>
      <c r="J4" s="228"/>
      <c r="K4" s="228"/>
    </row>
    <row r="5" spans="1:23" ht="26.25" thickBot="1">
      <c r="B5" s="229"/>
      <c r="C5" s="230"/>
      <c r="D5" s="230"/>
      <c r="F5" s="231"/>
      <c r="G5" s="216"/>
      <c r="H5" s="216"/>
      <c r="I5" s="216"/>
      <c r="J5" s="216"/>
      <c r="K5" s="115" t="s">
        <v>7</v>
      </c>
      <c r="O5" s="229"/>
      <c r="P5" s="230"/>
      <c r="Q5" s="222"/>
      <c r="R5" s="231"/>
      <c r="S5" s="216"/>
      <c r="T5" s="216"/>
      <c r="U5" s="216"/>
      <c r="V5" s="216"/>
      <c r="W5" s="115" t="s">
        <v>7</v>
      </c>
    </row>
    <row r="6" spans="1:23">
      <c r="B6" s="229"/>
      <c r="C6" s="230"/>
      <c r="D6" s="230"/>
      <c r="F6" s="108" t="s">
        <v>9</v>
      </c>
      <c r="G6" s="109"/>
      <c r="H6" s="109"/>
      <c r="I6" s="113"/>
      <c r="J6" s="120" t="s">
        <v>9</v>
      </c>
      <c r="K6" s="260">
        <f>Parameters!O18</f>
        <v>0.3</v>
      </c>
      <c r="O6" s="229"/>
      <c r="P6" s="230"/>
      <c r="Q6" s="222"/>
      <c r="R6" s="108" t="s">
        <v>9</v>
      </c>
      <c r="S6" s="109"/>
      <c r="T6" s="109"/>
      <c r="U6" s="113"/>
      <c r="V6" s="120" t="s">
        <v>9</v>
      </c>
      <c r="W6" s="260">
        <f>Parameters!R18</f>
        <v>0.24</v>
      </c>
    </row>
    <row r="7" spans="1:23" ht="13.5" thickBot="1">
      <c r="B7" s="229"/>
      <c r="C7" s="230"/>
      <c r="D7" s="230"/>
      <c r="F7" s="250" t="s">
        <v>12</v>
      </c>
      <c r="G7" s="251"/>
      <c r="H7" s="251"/>
      <c r="I7" s="252"/>
      <c r="J7" s="253" t="s">
        <v>12</v>
      </c>
      <c r="K7" s="254">
        <f>DOCF</f>
        <v>0.5</v>
      </c>
      <c r="O7" s="229"/>
      <c r="P7" s="230"/>
      <c r="Q7" s="222"/>
      <c r="R7" s="250" t="s">
        <v>12</v>
      </c>
      <c r="S7" s="251"/>
      <c r="T7" s="251"/>
      <c r="U7" s="252"/>
      <c r="V7" s="253" t="s">
        <v>12</v>
      </c>
      <c r="W7" s="254">
        <f>DOCF</f>
        <v>0.5</v>
      </c>
    </row>
    <row r="8" spans="1:23">
      <c r="F8" s="108" t="s">
        <v>192</v>
      </c>
      <c r="G8" s="109"/>
      <c r="H8" s="109"/>
      <c r="I8" s="113"/>
      <c r="J8" s="120" t="s">
        <v>188</v>
      </c>
      <c r="K8" s="114">
        <f>Parameters!O37</f>
        <v>7.0000000000000007E-2</v>
      </c>
      <c r="O8" s="47"/>
      <c r="P8" s="47"/>
      <c r="Q8" s="222"/>
      <c r="R8" s="108" t="s">
        <v>192</v>
      </c>
      <c r="S8" s="109"/>
      <c r="T8" s="109"/>
      <c r="U8" s="113"/>
      <c r="V8" s="120" t="s">
        <v>188</v>
      </c>
      <c r="W8" s="114">
        <f>Parameters!O37</f>
        <v>7.0000000000000007E-2</v>
      </c>
    </row>
    <row r="9" spans="1:23" ht="15.75">
      <c r="F9" s="246" t="s">
        <v>190</v>
      </c>
      <c r="G9" s="247"/>
      <c r="H9" s="247"/>
      <c r="I9" s="248"/>
      <c r="J9" s="249" t="s">
        <v>189</v>
      </c>
      <c r="K9" s="255">
        <f>LN(2)/$K$8</f>
        <v>9.9021025794277886</v>
      </c>
      <c r="O9" s="47"/>
      <c r="P9" s="47"/>
      <c r="Q9" s="222"/>
      <c r="R9" s="246" t="s">
        <v>190</v>
      </c>
      <c r="S9" s="247"/>
      <c r="T9" s="247"/>
      <c r="U9" s="248"/>
      <c r="V9" s="249" t="s">
        <v>189</v>
      </c>
      <c r="W9" s="255">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8" t="s">
        <v>239</v>
      </c>
      <c r="E15" s="53" t="s">
        <v>11</v>
      </c>
      <c r="F15" s="54" t="s">
        <v>180</v>
      </c>
      <c r="G15" s="54" t="s">
        <v>181</v>
      </c>
      <c r="H15" s="54" t="s">
        <v>182</v>
      </c>
      <c r="I15" s="54" t="s">
        <v>183</v>
      </c>
      <c r="J15" s="54" t="s">
        <v>184</v>
      </c>
      <c r="K15" s="245" t="s">
        <v>185</v>
      </c>
      <c r="O15" s="51" t="s">
        <v>1</v>
      </c>
      <c r="P15" s="52" t="s">
        <v>10</v>
      </c>
      <c r="Q15" s="53" t="s">
        <v>11</v>
      </c>
      <c r="R15" s="54" t="s">
        <v>180</v>
      </c>
      <c r="S15" s="54" t="s">
        <v>181</v>
      </c>
      <c r="T15" s="54" t="s">
        <v>182</v>
      </c>
      <c r="U15" s="54" t="s">
        <v>183</v>
      </c>
      <c r="V15" s="54" t="s">
        <v>184</v>
      </c>
      <c r="W15" s="245" t="s">
        <v>185</v>
      </c>
    </row>
    <row r="16" spans="1:23" ht="45">
      <c r="A16" s="232"/>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Amnt_Deposited!H14</f>
        <v>0</v>
      </c>
      <c r="D19" s="415">
        <f>Dry_Matter_Content!H6</f>
        <v>0.73</v>
      </c>
      <c r="E19" s="282">
        <f>MCF!R18</f>
        <v>0.78500000000000003</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Amnt_Deposited!H14</f>
        <v>0</v>
      </c>
      <c r="Q19" s="282">
        <f>MCF!R18</f>
        <v>0.78500000000000003</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Amnt_Deposited!H15</f>
        <v>0</v>
      </c>
      <c r="D20" s="417">
        <f>Dry_Matter_Content!H7</f>
        <v>0.73</v>
      </c>
      <c r="E20" s="283">
        <f>MCF!R19</f>
        <v>0.78500000000000003</v>
      </c>
      <c r="F20" s="67">
        <f t="shared" si="0"/>
        <v>0</v>
      </c>
      <c r="G20" s="67">
        <f t="shared" si="1"/>
        <v>0</v>
      </c>
      <c r="H20" s="67">
        <f t="shared" si="2"/>
        <v>0</v>
      </c>
      <c r="I20" s="67">
        <f t="shared" si="3"/>
        <v>0</v>
      </c>
      <c r="J20" s="67">
        <f t="shared" si="4"/>
        <v>0</v>
      </c>
      <c r="K20" s="100">
        <f>J20*CH4_fraction*conv</f>
        <v>0</v>
      </c>
      <c r="M20" s="392"/>
      <c r="O20" s="96">
        <f>Amnt_Deposited!B15</f>
        <v>2001</v>
      </c>
      <c r="P20" s="99">
        <f>Amnt_Deposited!H15</f>
        <v>0</v>
      </c>
      <c r="Q20" s="283">
        <f>MCF!R19</f>
        <v>0.78500000000000003</v>
      </c>
      <c r="R20" s="67">
        <f t="shared" si="5"/>
        <v>0</v>
      </c>
      <c r="S20" s="67">
        <f>R20*$W$12</f>
        <v>0</v>
      </c>
      <c r="T20" s="67">
        <f>R20*(1-$W$12)</f>
        <v>0</v>
      </c>
      <c r="U20" s="67">
        <f>S20+U19*$W$10</f>
        <v>0</v>
      </c>
      <c r="V20" s="67">
        <f>U19*(1-$W$10)+T20</f>
        <v>0</v>
      </c>
      <c r="W20" s="100">
        <f>V20*CH4_fraction*conv</f>
        <v>0</v>
      </c>
    </row>
    <row r="21" spans="2:23">
      <c r="B21" s="96">
        <f>Amnt_Deposited!B16</f>
        <v>2002</v>
      </c>
      <c r="C21" s="99">
        <f>Amnt_Deposited!H16</f>
        <v>0</v>
      </c>
      <c r="D21" s="417">
        <f>Dry_Matter_Content!H8</f>
        <v>0.73</v>
      </c>
      <c r="E21" s="283">
        <f>MCF!R20</f>
        <v>0.78500000000000003</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Amnt_Deposited!H16</f>
        <v>0</v>
      </c>
      <c r="Q21" s="283">
        <f>MCF!R20</f>
        <v>0.78500000000000003</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Amnt_Deposited!H17</f>
        <v>0</v>
      </c>
      <c r="D22" s="417">
        <f>Dry_Matter_Content!H9</f>
        <v>0.73</v>
      </c>
      <c r="E22" s="283">
        <f>MCF!R21</f>
        <v>0.78500000000000003</v>
      </c>
      <c r="F22" s="67">
        <f t="shared" si="0"/>
        <v>0</v>
      </c>
      <c r="G22" s="67">
        <f t="shared" si="1"/>
        <v>0</v>
      </c>
      <c r="H22" s="67">
        <f t="shared" si="2"/>
        <v>0</v>
      </c>
      <c r="I22" s="67">
        <f t="shared" si="3"/>
        <v>0</v>
      </c>
      <c r="J22" s="67">
        <f t="shared" si="4"/>
        <v>0</v>
      </c>
      <c r="K22" s="100">
        <f t="shared" si="6"/>
        <v>0</v>
      </c>
      <c r="N22" s="257"/>
      <c r="O22" s="96">
        <f>Amnt_Deposited!B17</f>
        <v>2003</v>
      </c>
      <c r="P22" s="99">
        <f>Amnt_Deposited!H17</f>
        <v>0</v>
      </c>
      <c r="Q22" s="283">
        <f>MCF!R21</f>
        <v>0.78500000000000003</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Amnt_Deposited!H18</f>
        <v>0</v>
      </c>
      <c r="D23" s="417">
        <f>Dry_Matter_Content!H10</f>
        <v>0.73</v>
      </c>
      <c r="E23" s="283">
        <f>MCF!R22</f>
        <v>0.78500000000000003</v>
      </c>
      <c r="F23" s="67">
        <f t="shared" si="0"/>
        <v>0</v>
      </c>
      <c r="G23" s="67">
        <f t="shared" si="1"/>
        <v>0</v>
      </c>
      <c r="H23" s="67">
        <f t="shared" si="2"/>
        <v>0</v>
      </c>
      <c r="I23" s="67">
        <f t="shared" si="3"/>
        <v>0</v>
      </c>
      <c r="J23" s="67">
        <f t="shared" si="4"/>
        <v>0</v>
      </c>
      <c r="K23" s="100">
        <f t="shared" si="6"/>
        <v>0</v>
      </c>
      <c r="N23" s="257"/>
      <c r="O23" s="96">
        <f>Amnt_Deposited!B18</f>
        <v>2004</v>
      </c>
      <c r="P23" s="99">
        <f>Amnt_Deposited!H18</f>
        <v>0</v>
      </c>
      <c r="Q23" s="283">
        <f>MCF!R22</f>
        <v>0.78500000000000003</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Amnt_Deposited!H19</f>
        <v>0</v>
      </c>
      <c r="D24" s="417">
        <f>Dry_Matter_Content!H11</f>
        <v>0.73</v>
      </c>
      <c r="E24" s="283">
        <f>MCF!R23</f>
        <v>0.78500000000000003</v>
      </c>
      <c r="F24" s="67">
        <f t="shared" si="0"/>
        <v>0</v>
      </c>
      <c r="G24" s="67">
        <f t="shared" si="1"/>
        <v>0</v>
      </c>
      <c r="H24" s="67">
        <f t="shared" si="2"/>
        <v>0</v>
      </c>
      <c r="I24" s="67">
        <f t="shared" si="3"/>
        <v>0</v>
      </c>
      <c r="J24" s="67">
        <f t="shared" si="4"/>
        <v>0</v>
      </c>
      <c r="K24" s="100">
        <f t="shared" si="6"/>
        <v>0</v>
      </c>
      <c r="N24" s="257"/>
      <c r="O24" s="96">
        <f>Amnt_Deposited!B19</f>
        <v>2005</v>
      </c>
      <c r="P24" s="99">
        <f>Amnt_Deposited!H19</f>
        <v>0</v>
      </c>
      <c r="Q24" s="283">
        <f>MCF!R23</f>
        <v>0.78500000000000003</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Amnt_Deposited!H20</f>
        <v>0</v>
      </c>
      <c r="D25" s="417">
        <f>Dry_Matter_Content!H12</f>
        <v>0.73</v>
      </c>
      <c r="E25" s="283">
        <f>MCF!R24</f>
        <v>0.78500000000000003</v>
      </c>
      <c r="F25" s="67">
        <f t="shared" si="0"/>
        <v>0</v>
      </c>
      <c r="G25" s="67">
        <f t="shared" si="1"/>
        <v>0</v>
      </c>
      <c r="H25" s="67">
        <f t="shared" si="2"/>
        <v>0</v>
      </c>
      <c r="I25" s="67">
        <f t="shared" si="3"/>
        <v>0</v>
      </c>
      <c r="J25" s="67">
        <f t="shared" si="4"/>
        <v>0</v>
      </c>
      <c r="K25" s="100">
        <f t="shared" si="6"/>
        <v>0</v>
      </c>
      <c r="N25" s="257"/>
      <c r="O25" s="96">
        <f>Amnt_Deposited!B20</f>
        <v>2006</v>
      </c>
      <c r="P25" s="99">
        <f>Amnt_Deposited!H20</f>
        <v>0</v>
      </c>
      <c r="Q25" s="283">
        <f>MCF!R24</f>
        <v>0.78500000000000003</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Amnt_Deposited!H21</f>
        <v>0</v>
      </c>
      <c r="D26" s="417">
        <f>Dry_Matter_Content!H13</f>
        <v>0.73</v>
      </c>
      <c r="E26" s="283">
        <f>MCF!R25</f>
        <v>0.78500000000000003</v>
      </c>
      <c r="F26" s="67">
        <f t="shared" si="0"/>
        <v>0</v>
      </c>
      <c r="G26" s="67">
        <f t="shared" si="1"/>
        <v>0</v>
      </c>
      <c r="H26" s="67">
        <f t="shared" si="2"/>
        <v>0</v>
      </c>
      <c r="I26" s="67">
        <f t="shared" si="3"/>
        <v>0</v>
      </c>
      <c r="J26" s="67">
        <f t="shared" si="4"/>
        <v>0</v>
      </c>
      <c r="K26" s="100">
        <f t="shared" si="6"/>
        <v>0</v>
      </c>
      <c r="N26" s="257"/>
      <c r="O26" s="96">
        <f>Amnt_Deposited!B21</f>
        <v>2007</v>
      </c>
      <c r="P26" s="99">
        <f>Amnt_Deposited!H21</f>
        <v>0</v>
      </c>
      <c r="Q26" s="283">
        <f>MCF!R25</f>
        <v>0.78500000000000003</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Amnt_Deposited!H22</f>
        <v>0</v>
      </c>
      <c r="D27" s="417">
        <f>Dry_Matter_Content!H14</f>
        <v>0.73</v>
      </c>
      <c r="E27" s="283">
        <f>MCF!R26</f>
        <v>0.78500000000000003</v>
      </c>
      <c r="F27" s="67">
        <f t="shared" si="0"/>
        <v>0</v>
      </c>
      <c r="G27" s="67">
        <f t="shared" si="1"/>
        <v>0</v>
      </c>
      <c r="H27" s="67">
        <f t="shared" si="2"/>
        <v>0</v>
      </c>
      <c r="I27" s="67">
        <f t="shared" si="3"/>
        <v>0</v>
      </c>
      <c r="J27" s="67">
        <f t="shared" si="4"/>
        <v>0</v>
      </c>
      <c r="K27" s="100">
        <f t="shared" si="6"/>
        <v>0</v>
      </c>
      <c r="N27" s="257"/>
      <c r="O27" s="96">
        <f>Amnt_Deposited!B22</f>
        <v>2008</v>
      </c>
      <c r="P27" s="99">
        <f>Amnt_Deposited!H22</f>
        <v>0</v>
      </c>
      <c r="Q27" s="283">
        <f>MCF!R26</f>
        <v>0.78500000000000003</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Amnt_Deposited!H23</f>
        <v>0</v>
      </c>
      <c r="D28" s="417">
        <f>Dry_Matter_Content!H15</f>
        <v>0.73</v>
      </c>
      <c r="E28" s="283">
        <f>MCF!R27</f>
        <v>0.78500000000000003</v>
      </c>
      <c r="F28" s="67">
        <f t="shared" si="0"/>
        <v>0</v>
      </c>
      <c r="G28" s="67">
        <f t="shared" si="1"/>
        <v>0</v>
      </c>
      <c r="H28" s="67">
        <f t="shared" si="2"/>
        <v>0</v>
      </c>
      <c r="I28" s="67">
        <f t="shared" si="3"/>
        <v>0</v>
      </c>
      <c r="J28" s="67">
        <f t="shared" si="4"/>
        <v>0</v>
      </c>
      <c r="K28" s="100">
        <f t="shared" si="6"/>
        <v>0</v>
      </c>
      <c r="N28" s="257"/>
      <c r="O28" s="96">
        <f>Amnt_Deposited!B23</f>
        <v>2009</v>
      </c>
      <c r="P28" s="99">
        <f>Amnt_Deposited!H23</f>
        <v>0</v>
      </c>
      <c r="Q28" s="283">
        <f>MCF!R27</f>
        <v>0.78500000000000003</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Amnt_Deposited!H24</f>
        <v>0</v>
      </c>
      <c r="D29" s="417">
        <f>Dry_Matter_Content!H16</f>
        <v>0.73</v>
      </c>
      <c r="E29" s="283">
        <f>MCF!R28</f>
        <v>0.78500000000000003</v>
      </c>
      <c r="F29" s="67">
        <f t="shared" si="0"/>
        <v>0</v>
      </c>
      <c r="G29" s="67">
        <f t="shared" si="1"/>
        <v>0</v>
      </c>
      <c r="H29" s="67">
        <f t="shared" si="2"/>
        <v>0</v>
      </c>
      <c r="I29" s="67">
        <f t="shared" si="3"/>
        <v>0</v>
      </c>
      <c r="J29" s="67">
        <f t="shared" si="4"/>
        <v>0</v>
      </c>
      <c r="K29" s="100">
        <f t="shared" si="6"/>
        <v>0</v>
      </c>
      <c r="O29" s="96">
        <f>Amnt_Deposited!B24</f>
        <v>2010</v>
      </c>
      <c r="P29" s="99">
        <f>Amnt_Deposited!H24</f>
        <v>0</v>
      </c>
      <c r="Q29" s="283">
        <f>MCF!R28</f>
        <v>0.78500000000000003</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Amnt_Deposited!H25</f>
        <v>5.6813921540909993</v>
      </c>
      <c r="D30" s="417">
        <f>Dry_Matter_Content!H17</f>
        <v>0.73</v>
      </c>
      <c r="E30" s="283">
        <f>MCF!R29</f>
        <v>0.78500000000000003</v>
      </c>
      <c r="F30" s="67">
        <f t="shared" si="0"/>
        <v>0.4883582660852771</v>
      </c>
      <c r="G30" s="67">
        <f t="shared" si="1"/>
        <v>0.4883582660852771</v>
      </c>
      <c r="H30" s="67">
        <f t="shared" si="2"/>
        <v>0</v>
      </c>
      <c r="I30" s="67">
        <f t="shared" si="3"/>
        <v>0.4883582660852771</v>
      </c>
      <c r="J30" s="67">
        <f t="shared" si="4"/>
        <v>0</v>
      </c>
      <c r="K30" s="100">
        <f t="shared" si="6"/>
        <v>0</v>
      </c>
      <c r="O30" s="96">
        <f>Amnt_Deposited!B25</f>
        <v>2011</v>
      </c>
      <c r="P30" s="99">
        <f>Amnt_Deposited!H25</f>
        <v>5.6813921540909993</v>
      </c>
      <c r="Q30" s="283">
        <f>MCF!R29</f>
        <v>0.78500000000000003</v>
      </c>
      <c r="R30" s="67">
        <f t="shared" si="5"/>
        <v>0.53518714091537212</v>
      </c>
      <c r="S30" s="67">
        <f t="shared" si="7"/>
        <v>0.53518714091537212</v>
      </c>
      <c r="T30" s="67">
        <f t="shared" si="8"/>
        <v>0</v>
      </c>
      <c r="U30" s="67">
        <f t="shared" si="9"/>
        <v>0.53518714091537212</v>
      </c>
      <c r="V30" s="67">
        <f t="shared" si="10"/>
        <v>0</v>
      </c>
      <c r="W30" s="100">
        <f t="shared" si="11"/>
        <v>0</v>
      </c>
    </row>
    <row r="31" spans="2:23">
      <c r="B31" s="96">
        <f>Amnt_Deposited!B26</f>
        <v>2012</v>
      </c>
      <c r="C31" s="99">
        <f>Amnt_Deposited!H26</f>
        <v>5.8032320803920001</v>
      </c>
      <c r="D31" s="417">
        <f>Dry_Matter_Content!H18</f>
        <v>0.73</v>
      </c>
      <c r="E31" s="283">
        <f>MCF!R30</f>
        <v>0.78500000000000003</v>
      </c>
      <c r="F31" s="67">
        <f t="shared" si="0"/>
        <v>0.4988313215502953</v>
      </c>
      <c r="G31" s="67">
        <f t="shared" si="1"/>
        <v>0.4988313215502953</v>
      </c>
      <c r="H31" s="67">
        <f t="shared" si="2"/>
        <v>0</v>
      </c>
      <c r="I31" s="67">
        <f t="shared" si="3"/>
        <v>0.95417355074819232</v>
      </c>
      <c r="J31" s="67">
        <f t="shared" si="4"/>
        <v>3.3016036887380078E-2</v>
      </c>
      <c r="K31" s="100">
        <f t="shared" si="6"/>
        <v>2.2010691258253383E-2</v>
      </c>
      <c r="O31" s="96">
        <f>Amnt_Deposited!B26</f>
        <v>2012</v>
      </c>
      <c r="P31" s="99">
        <f>Amnt_Deposited!H26</f>
        <v>5.8032320803920001</v>
      </c>
      <c r="Q31" s="283">
        <f>MCF!R30</f>
        <v>0.78500000000000003</v>
      </c>
      <c r="R31" s="67">
        <f t="shared" si="5"/>
        <v>0.5466644619729264</v>
      </c>
      <c r="S31" s="67">
        <f t="shared" si="7"/>
        <v>0.5466644619729264</v>
      </c>
      <c r="T31" s="67">
        <f t="shared" si="8"/>
        <v>0</v>
      </c>
      <c r="U31" s="67">
        <f t="shared" si="9"/>
        <v>1.0456696446555531</v>
      </c>
      <c r="V31" s="67">
        <f t="shared" si="10"/>
        <v>3.6181958232745288E-2</v>
      </c>
      <c r="W31" s="100">
        <f t="shared" si="11"/>
        <v>2.4121305488496857E-2</v>
      </c>
    </row>
    <row r="32" spans="2:23">
      <c r="B32" s="96">
        <f>Amnt_Deposited!B27</f>
        <v>2013</v>
      </c>
      <c r="C32" s="99">
        <f>Amnt_Deposited!H27</f>
        <v>5.9408457538859993</v>
      </c>
      <c r="D32" s="417">
        <f>Dry_Matter_Content!H19</f>
        <v>0.73</v>
      </c>
      <c r="E32" s="283">
        <f>MCF!R31</f>
        <v>0.78500000000000003</v>
      </c>
      <c r="F32" s="67">
        <f t="shared" si="0"/>
        <v>0.51066024888965578</v>
      </c>
      <c r="G32" s="67">
        <f t="shared" si="1"/>
        <v>0.51066024888965578</v>
      </c>
      <c r="H32" s="67">
        <f t="shared" si="2"/>
        <v>0</v>
      </c>
      <c r="I32" s="67">
        <f t="shared" si="3"/>
        <v>1.400325770724985</v>
      </c>
      <c r="J32" s="67">
        <f t="shared" si="4"/>
        <v>6.45080289128631E-2</v>
      </c>
      <c r="K32" s="100">
        <f t="shared" si="6"/>
        <v>4.3005352608575395E-2</v>
      </c>
      <c r="O32" s="96">
        <f>Amnt_Deposited!B27</f>
        <v>2013</v>
      </c>
      <c r="P32" s="99">
        <f>Amnt_Deposited!H27</f>
        <v>5.9408457538859993</v>
      </c>
      <c r="Q32" s="283">
        <f>MCF!R31</f>
        <v>0.78500000000000003</v>
      </c>
      <c r="R32" s="67">
        <f t="shared" si="5"/>
        <v>0.55962767001606117</v>
      </c>
      <c r="S32" s="67">
        <f t="shared" si="7"/>
        <v>0.55962767001606117</v>
      </c>
      <c r="T32" s="67">
        <f t="shared" si="8"/>
        <v>0</v>
      </c>
      <c r="U32" s="67">
        <f t="shared" si="9"/>
        <v>1.5346035843561479</v>
      </c>
      <c r="V32" s="67">
        <f t="shared" si="10"/>
        <v>7.0693730315466399E-2</v>
      </c>
      <c r="W32" s="100">
        <f t="shared" si="11"/>
        <v>4.7129153543644262E-2</v>
      </c>
    </row>
    <row r="33" spans="2:23">
      <c r="B33" s="96">
        <f>Amnt_Deposited!B28</f>
        <v>2014</v>
      </c>
      <c r="C33" s="99">
        <f>Amnt_Deposited!H28</f>
        <v>6.0773744963159997</v>
      </c>
      <c r="D33" s="417">
        <f>Dry_Matter_Content!H20</f>
        <v>0.73</v>
      </c>
      <c r="E33" s="283">
        <f>MCF!R32</f>
        <v>0.78500000000000003</v>
      </c>
      <c r="F33" s="67">
        <f t="shared" si="0"/>
        <v>0.52239591826708265</v>
      </c>
      <c r="G33" s="67">
        <f t="shared" si="1"/>
        <v>0.52239591826708265</v>
      </c>
      <c r="H33" s="67">
        <f t="shared" si="2"/>
        <v>0</v>
      </c>
      <c r="I33" s="67">
        <f t="shared" si="3"/>
        <v>1.8280510127460925</v>
      </c>
      <c r="J33" s="67">
        <f t="shared" si="4"/>
        <v>9.4670676245975124E-2</v>
      </c>
      <c r="K33" s="100">
        <f t="shared" si="6"/>
        <v>6.3113784163983416E-2</v>
      </c>
      <c r="O33" s="96">
        <f>Amnt_Deposited!B28</f>
        <v>2014</v>
      </c>
      <c r="P33" s="99">
        <f>Amnt_Deposited!H28</f>
        <v>6.0773744963159997</v>
      </c>
      <c r="Q33" s="283">
        <f>MCF!R32</f>
        <v>0.78500000000000003</v>
      </c>
      <c r="R33" s="67">
        <f t="shared" si="5"/>
        <v>0.57248867755296717</v>
      </c>
      <c r="S33" s="67">
        <f t="shared" si="7"/>
        <v>0.57248867755296717</v>
      </c>
      <c r="T33" s="67">
        <f t="shared" si="8"/>
        <v>0</v>
      </c>
      <c r="U33" s="67">
        <f t="shared" si="9"/>
        <v>2.0033435756121563</v>
      </c>
      <c r="V33" s="67">
        <f t="shared" si="10"/>
        <v>0.10374868629695903</v>
      </c>
      <c r="W33" s="100">
        <f t="shared" si="11"/>
        <v>6.9165790864639351E-2</v>
      </c>
    </row>
    <row r="34" spans="2:23">
      <c r="B34" s="96">
        <f>Amnt_Deposited!B29</f>
        <v>2015</v>
      </c>
      <c r="C34" s="99">
        <f>Amnt_Deposited!H29</f>
        <v>6.2131515023699988</v>
      </c>
      <c r="D34" s="417">
        <f>Dry_Matter_Content!H21</f>
        <v>0.73</v>
      </c>
      <c r="E34" s="283">
        <f>MCF!R33</f>
        <v>0.78500000000000003</v>
      </c>
      <c r="F34" s="67">
        <f t="shared" si="0"/>
        <v>0.53406697026496908</v>
      </c>
      <c r="G34" s="67">
        <f t="shared" si="1"/>
        <v>0.53406697026496908</v>
      </c>
      <c r="H34" s="67">
        <f t="shared" si="2"/>
        <v>0</v>
      </c>
      <c r="I34" s="67">
        <f t="shared" si="3"/>
        <v>2.2385304370222356</v>
      </c>
      <c r="J34" s="67">
        <f t="shared" si="4"/>
        <v>0.12358754598882597</v>
      </c>
      <c r="K34" s="100">
        <f t="shared" si="6"/>
        <v>8.2391697325883972E-2</v>
      </c>
      <c r="O34" s="96">
        <f>Amnt_Deposited!B29</f>
        <v>2015</v>
      </c>
      <c r="P34" s="99">
        <f>Amnt_Deposited!H29</f>
        <v>6.2131515023699988</v>
      </c>
      <c r="Q34" s="283">
        <f>MCF!R33</f>
        <v>0.78500000000000003</v>
      </c>
      <c r="R34" s="67">
        <f t="shared" si="5"/>
        <v>0.58527887152325386</v>
      </c>
      <c r="S34" s="67">
        <f t="shared" si="7"/>
        <v>0.58527887152325386</v>
      </c>
      <c r="T34" s="67">
        <f t="shared" si="8"/>
        <v>0</v>
      </c>
      <c r="U34" s="67">
        <f t="shared" si="9"/>
        <v>2.4531840405723133</v>
      </c>
      <c r="V34" s="67">
        <f t="shared" si="10"/>
        <v>0.13543840656309697</v>
      </c>
      <c r="W34" s="100">
        <f t="shared" si="11"/>
        <v>9.0292271042064637E-2</v>
      </c>
    </row>
    <row r="35" spans="2:23">
      <c r="B35" s="96">
        <f>Amnt_Deposited!B30</f>
        <v>2016</v>
      </c>
      <c r="C35" s="99">
        <f>Amnt_Deposited!H30</f>
        <v>6.3478644873750003</v>
      </c>
      <c r="D35" s="417">
        <f>Dry_Matter_Content!H22</f>
        <v>0.73</v>
      </c>
      <c r="E35" s="283">
        <f>MCF!R34</f>
        <v>0.78500000000000003</v>
      </c>
      <c r="F35" s="67">
        <f t="shared" si="0"/>
        <v>0.54564656167353653</v>
      </c>
      <c r="G35" s="67">
        <f t="shared" si="1"/>
        <v>0.54564656167353653</v>
      </c>
      <c r="H35" s="67">
        <f t="shared" si="2"/>
        <v>0</v>
      </c>
      <c r="I35" s="67">
        <f t="shared" si="3"/>
        <v>2.6328385068244309</v>
      </c>
      <c r="J35" s="67">
        <f t="shared" si="4"/>
        <v>0.15133849187134157</v>
      </c>
      <c r="K35" s="100">
        <f t="shared" si="6"/>
        <v>0.10089232791422771</v>
      </c>
      <c r="O35" s="96">
        <f>Amnt_Deposited!B30</f>
        <v>2016</v>
      </c>
      <c r="P35" s="99">
        <f>Amnt_Deposited!H30</f>
        <v>6.3478644873750003</v>
      </c>
      <c r="Q35" s="283">
        <f>MCF!R34</f>
        <v>0.78500000000000003</v>
      </c>
      <c r="R35" s="67">
        <f t="shared" si="5"/>
        <v>0.59796883471072504</v>
      </c>
      <c r="S35" s="67">
        <f t="shared" si="7"/>
        <v>0.59796883471072504</v>
      </c>
      <c r="T35" s="67">
        <f t="shared" si="8"/>
        <v>0</v>
      </c>
      <c r="U35" s="67">
        <f t="shared" si="9"/>
        <v>2.8853024732322528</v>
      </c>
      <c r="V35" s="67">
        <f t="shared" si="10"/>
        <v>0.1658504020507853</v>
      </c>
      <c r="W35" s="100">
        <f t="shared" si="11"/>
        <v>0.11056693470052353</v>
      </c>
    </row>
    <row r="36" spans="2:23">
      <c r="B36" s="96">
        <f>Amnt_Deposited!B31</f>
        <v>2017</v>
      </c>
      <c r="C36" s="99">
        <f>Amnt_Deposited!H31</f>
        <v>6.6900414278017335</v>
      </c>
      <c r="D36" s="417">
        <f>Dry_Matter_Content!H23</f>
        <v>0.73</v>
      </c>
      <c r="E36" s="283">
        <f>MCF!R35</f>
        <v>0.78500000000000003</v>
      </c>
      <c r="F36" s="67">
        <f t="shared" si="0"/>
        <v>0.57505923603026754</v>
      </c>
      <c r="G36" s="67">
        <f t="shared" si="1"/>
        <v>0.57505923603026754</v>
      </c>
      <c r="H36" s="67">
        <f t="shared" si="2"/>
        <v>0</v>
      </c>
      <c r="I36" s="67">
        <f t="shared" si="3"/>
        <v>3.0299015886037717</v>
      </c>
      <c r="J36" s="67">
        <f t="shared" si="4"/>
        <v>0.17799615425092671</v>
      </c>
      <c r="K36" s="100">
        <f t="shared" si="6"/>
        <v>0.11866410283395114</v>
      </c>
      <c r="O36" s="96">
        <f>Amnt_Deposited!B31</f>
        <v>2017</v>
      </c>
      <c r="P36" s="99">
        <f>Amnt_Deposited!H31</f>
        <v>6.6900414278017335</v>
      </c>
      <c r="Q36" s="283">
        <f>MCF!R35</f>
        <v>0.78500000000000003</v>
      </c>
      <c r="R36" s="67">
        <f t="shared" si="5"/>
        <v>0.63020190249892327</v>
      </c>
      <c r="S36" s="67">
        <f t="shared" si="7"/>
        <v>0.63020190249892327</v>
      </c>
      <c r="T36" s="67">
        <f t="shared" si="8"/>
        <v>0</v>
      </c>
      <c r="U36" s="67">
        <f t="shared" si="9"/>
        <v>3.3204400971000232</v>
      </c>
      <c r="V36" s="67">
        <f t="shared" si="10"/>
        <v>0.19506427863115253</v>
      </c>
      <c r="W36" s="100">
        <f t="shared" si="11"/>
        <v>0.13004285242076835</v>
      </c>
    </row>
    <row r="37" spans="2:23">
      <c r="B37" s="96">
        <f>Amnt_Deposited!B32</f>
        <v>2018</v>
      </c>
      <c r="C37" s="99">
        <f>Amnt_Deposited!H32</f>
        <v>7.035851634615212</v>
      </c>
      <c r="D37" s="417">
        <f>Dry_Matter_Content!H24</f>
        <v>0.73</v>
      </c>
      <c r="E37" s="283">
        <f>MCF!R36</f>
        <v>0.78500000000000003</v>
      </c>
      <c r="F37" s="67">
        <f t="shared" si="0"/>
        <v>0.604784216882437</v>
      </c>
      <c r="G37" s="67">
        <f t="shared" si="1"/>
        <v>0.604784216882437</v>
      </c>
      <c r="H37" s="67">
        <f t="shared" si="2"/>
        <v>0</v>
      </c>
      <c r="I37" s="67">
        <f t="shared" si="3"/>
        <v>3.4298457330198087</v>
      </c>
      <c r="J37" s="67">
        <f t="shared" si="4"/>
        <v>0.20484007246640001</v>
      </c>
      <c r="K37" s="100">
        <f t="shared" si="6"/>
        <v>0.13656004831093332</v>
      </c>
      <c r="O37" s="96">
        <f>Amnt_Deposited!B32</f>
        <v>2018</v>
      </c>
      <c r="P37" s="99">
        <f>Amnt_Deposited!H32</f>
        <v>7.035851634615212</v>
      </c>
      <c r="Q37" s="283">
        <f>MCF!R36</f>
        <v>0.78500000000000003</v>
      </c>
      <c r="R37" s="67">
        <f t="shared" si="5"/>
        <v>0.66277722398075301</v>
      </c>
      <c r="S37" s="67">
        <f t="shared" si="7"/>
        <v>0.66277722398075301</v>
      </c>
      <c r="T37" s="67">
        <f t="shared" si="8"/>
        <v>0</v>
      </c>
      <c r="U37" s="67">
        <f t="shared" si="9"/>
        <v>3.7587350498847218</v>
      </c>
      <c r="V37" s="67">
        <f t="shared" si="10"/>
        <v>0.22448227119605477</v>
      </c>
      <c r="W37" s="100">
        <f t="shared" si="11"/>
        <v>0.14965484746403651</v>
      </c>
    </row>
    <row r="38" spans="2:23">
      <c r="B38" s="96">
        <f>Amnt_Deposited!B33</f>
        <v>2019</v>
      </c>
      <c r="C38" s="99">
        <f>Amnt_Deposited!H33</f>
        <v>7.3949479625377501</v>
      </c>
      <c r="D38" s="417">
        <f>Dry_Matter_Content!H25</f>
        <v>0.73</v>
      </c>
      <c r="E38" s="283">
        <f>MCF!R37</f>
        <v>0.78500000000000003</v>
      </c>
      <c r="F38" s="67">
        <f t="shared" si="0"/>
        <v>0.6356512394898387</v>
      </c>
      <c r="G38" s="67">
        <f t="shared" si="1"/>
        <v>0.6356512394898387</v>
      </c>
      <c r="H38" s="67">
        <f t="shared" si="2"/>
        <v>0</v>
      </c>
      <c r="I38" s="67">
        <f t="shared" si="3"/>
        <v>3.8336182041882956</v>
      </c>
      <c r="J38" s="67">
        <f t="shared" si="4"/>
        <v>0.23187876832135204</v>
      </c>
      <c r="K38" s="100">
        <f t="shared" si="6"/>
        <v>0.15458584554756802</v>
      </c>
      <c r="O38" s="96">
        <f>Amnt_Deposited!B33</f>
        <v>2019</v>
      </c>
      <c r="P38" s="99">
        <f>Amnt_Deposited!H33</f>
        <v>7.3949479625377501</v>
      </c>
      <c r="Q38" s="283">
        <f>MCF!R37</f>
        <v>0.78500000000000003</v>
      </c>
      <c r="R38" s="67">
        <f t="shared" si="5"/>
        <v>0.69660409807105605</v>
      </c>
      <c r="S38" s="67">
        <f t="shared" si="7"/>
        <v>0.69660409807105605</v>
      </c>
      <c r="T38" s="67">
        <f t="shared" si="8"/>
        <v>0</v>
      </c>
      <c r="U38" s="67">
        <f t="shared" si="9"/>
        <v>4.2012254292474474</v>
      </c>
      <c r="V38" s="67">
        <f t="shared" si="10"/>
        <v>0.25411371870833099</v>
      </c>
      <c r="W38" s="100">
        <f t="shared" si="11"/>
        <v>0.169409145805554</v>
      </c>
    </row>
    <row r="39" spans="2:23">
      <c r="B39" s="96">
        <f>Amnt_Deposited!B34</f>
        <v>2020</v>
      </c>
      <c r="C39" s="99">
        <f>Amnt_Deposited!H34</f>
        <v>7.7677831406589295</v>
      </c>
      <c r="D39" s="417">
        <f>Dry_Matter_Content!H26</f>
        <v>0.73</v>
      </c>
      <c r="E39" s="283">
        <f>MCF!R38</f>
        <v>0.78500000000000003</v>
      </c>
      <c r="F39" s="67">
        <f t="shared" si="0"/>
        <v>0.66769921931318987</v>
      </c>
      <c r="G39" s="67">
        <f t="shared" si="1"/>
        <v>0.66769921931318987</v>
      </c>
      <c r="H39" s="67">
        <f t="shared" si="2"/>
        <v>0</v>
      </c>
      <c r="I39" s="67">
        <f t="shared" si="3"/>
        <v>4.2421411407772966</v>
      </c>
      <c r="J39" s="67">
        <f t="shared" si="4"/>
        <v>0.25917628272418908</v>
      </c>
      <c r="K39" s="100">
        <f t="shared" si="6"/>
        <v>0.1727841884827927</v>
      </c>
      <c r="O39" s="96">
        <f>Amnt_Deposited!B34</f>
        <v>2020</v>
      </c>
      <c r="P39" s="99">
        <f>Amnt_Deposited!H34</f>
        <v>7.7677831406589295</v>
      </c>
      <c r="Q39" s="283">
        <f>MCF!R38</f>
        <v>0.78500000000000003</v>
      </c>
      <c r="R39" s="67">
        <f t="shared" si="5"/>
        <v>0.73172517185007113</v>
      </c>
      <c r="S39" s="67">
        <f t="shared" si="7"/>
        <v>0.73172517185007113</v>
      </c>
      <c r="T39" s="67">
        <f t="shared" si="8"/>
        <v>0</v>
      </c>
      <c r="U39" s="67">
        <f t="shared" si="9"/>
        <v>4.6489217981121058</v>
      </c>
      <c r="V39" s="67">
        <f t="shared" si="10"/>
        <v>0.28402880298541272</v>
      </c>
      <c r="W39" s="100">
        <f t="shared" si="11"/>
        <v>0.18935253532360846</v>
      </c>
    </row>
    <row r="40" spans="2:23">
      <c r="B40" s="96">
        <f>Amnt_Deposited!B35</f>
        <v>2021</v>
      </c>
      <c r="C40" s="99">
        <f>Amnt_Deposited!H35</f>
        <v>8.1548243479516493</v>
      </c>
      <c r="D40" s="417">
        <f>Dry_Matter_Content!H27</f>
        <v>0.73</v>
      </c>
      <c r="E40" s="283">
        <f>MCF!R39</f>
        <v>0.78500000000000003</v>
      </c>
      <c r="F40" s="67">
        <f t="shared" si="0"/>
        <v>0.70096831388905378</v>
      </c>
      <c r="G40" s="67">
        <f t="shared" si="1"/>
        <v>0.70096831388905378</v>
      </c>
      <c r="H40" s="67">
        <f t="shared" si="2"/>
        <v>0</v>
      </c>
      <c r="I40" s="67">
        <f t="shared" si="3"/>
        <v>4.6563144967185748</v>
      </c>
      <c r="J40" s="67">
        <f t="shared" si="4"/>
        <v>0.28679495794777593</v>
      </c>
      <c r="K40" s="100">
        <f t="shared" si="6"/>
        <v>0.1911966386318506</v>
      </c>
      <c r="O40" s="96">
        <f>Amnt_Deposited!B35</f>
        <v>2021</v>
      </c>
      <c r="P40" s="99">
        <f>Amnt_Deposited!H35</f>
        <v>8.1548243479516493</v>
      </c>
      <c r="Q40" s="283">
        <f>MCF!R39</f>
        <v>0.78500000000000003</v>
      </c>
      <c r="R40" s="67">
        <f t="shared" si="5"/>
        <v>0.76818445357704535</v>
      </c>
      <c r="S40" s="67">
        <f t="shared" si="7"/>
        <v>0.76818445357704535</v>
      </c>
      <c r="T40" s="67">
        <f t="shared" si="8"/>
        <v>0</v>
      </c>
      <c r="U40" s="67">
        <f t="shared" si="9"/>
        <v>5.1028104073628207</v>
      </c>
      <c r="V40" s="67">
        <f t="shared" si="10"/>
        <v>0.31429584432632979</v>
      </c>
      <c r="W40" s="100">
        <f t="shared" si="11"/>
        <v>0.20953056288421984</v>
      </c>
    </row>
    <row r="41" spans="2:23">
      <c r="B41" s="96">
        <f>Amnt_Deposited!B36</f>
        <v>2022</v>
      </c>
      <c r="C41" s="99">
        <f>Amnt_Deposited!H36</f>
        <v>8.5565536558290827</v>
      </c>
      <c r="D41" s="417">
        <f>Dry_Matter_Content!H28</f>
        <v>0.73</v>
      </c>
      <c r="E41" s="283">
        <f>MCF!R40</f>
        <v>0.78500000000000003</v>
      </c>
      <c r="F41" s="67">
        <f t="shared" si="0"/>
        <v>0.73549996087092839</v>
      </c>
      <c r="G41" s="67">
        <f t="shared" si="1"/>
        <v>0.73549996087092839</v>
      </c>
      <c r="H41" s="67">
        <f t="shared" si="2"/>
        <v>0</v>
      </c>
      <c r="I41" s="67">
        <f t="shared" si="3"/>
        <v>5.0770188211498031</v>
      </c>
      <c r="J41" s="67">
        <f t="shared" si="4"/>
        <v>0.31479563643969977</v>
      </c>
      <c r="K41" s="100">
        <f t="shared" si="6"/>
        <v>0.2098637576264665</v>
      </c>
      <c r="O41" s="96">
        <f>Amnt_Deposited!B36</f>
        <v>2022</v>
      </c>
      <c r="P41" s="99">
        <f>Amnt_Deposited!H36</f>
        <v>8.5565536558290827</v>
      </c>
      <c r="Q41" s="283">
        <f>MCF!R40</f>
        <v>0.78500000000000003</v>
      </c>
      <c r="R41" s="67">
        <f t="shared" si="5"/>
        <v>0.80602735437909956</v>
      </c>
      <c r="S41" s="67">
        <f t="shared" si="7"/>
        <v>0.80602735437909956</v>
      </c>
      <c r="T41" s="67">
        <f t="shared" si="8"/>
        <v>0</v>
      </c>
      <c r="U41" s="67">
        <f t="shared" si="9"/>
        <v>5.5638562423559481</v>
      </c>
      <c r="V41" s="67">
        <f t="shared" si="10"/>
        <v>0.34498151938597232</v>
      </c>
      <c r="W41" s="100">
        <f t="shared" si="11"/>
        <v>0.2299876795906482</v>
      </c>
    </row>
    <row r="42" spans="2:23">
      <c r="B42" s="96">
        <f>Amnt_Deposited!B37</f>
        <v>2023</v>
      </c>
      <c r="C42" s="99">
        <f>Amnt_Deposited!H37</f>
        <v>8.9734684838760099</v>
      </c>
      <c r="D42" s="417">
        <f>Dry_Matter_Content!H29</f>
        <v>0.73</v>
      </c>
      <c r="E42" s="283">
        <f>MCF!R41</f>
        <v>0.78500000000000003</v>
      </c>
      <c r="F42" s="67">
        <f t="shared" si="0"/>
        <v>0.77133691720277209</v>
      </c>
      <c r="G42" s="67">
        <f t="shared" si="1"/>
        <v>0.77133691720277209</v>
      </c>
      <c r="H42" s="67">
        <f t="shared" si="2"/>
        <v>0</v>
      </c>
      <c r="I42" s="67">
        <f t="shared" si="3"/>
        <v>5.5051178895890311</v>
      </c>
      <c r="J42" s="67">
        <f t="shared" si="4"/>
        <v>0.3432378487635438</v>
      </c>
      <c r="K42" s="100">
        <f t="shared" si="6"/>
        <v>0.2288252325090292</v>
      </c>
      <c r="O42" s="96">
        <f>Amnt_Deposited!B37</f>
        <v>2023</v>
      </c>
      <c r="P42" s="99">
        <f>Amnt_Deposited!H37</f>
        <v>8.9734684838760099</v>
      </c>
      <c r="Q42" s="283">
        <f>MCF!R41</f>
        <v>0.78500000000000003</v>
      </c>
      <c r="R42" s="67">
        <f t="shared" si="5"/>
        <v>0.84530073118112004</v>
      </c>
      <c r="S42" s="67">
        <f t="shared" si="7"/>
        <v>0.84530073118112004</v>
      </c>
      <c r="T42" s="67">
        <f t="shared" si="8"/>
        <v>0</v>
      </c>
      <c r="U42" s="67">
        <f t="shared" si="9"/>
        <v>6.0330059063989383</v>
      </c>
      <c r="V42" s="67">
        <f t="shared" si="10"/>
        <v>0.37615106713813012</v>
      </c>
      <c r="W42" s="100">
        <f t="shared" si="11"/>
        <v>0.25076737809208671</v>
      </c>
    </row>
    <row r="43" spans="2:23">
      <c r="B43" s="96">
        <f>Amnt_Deposited!B38</f>
        <v>2024</v>
      </c>
      <c r="C43" s="99">
        <f>Amnt_Deposited!H38</f>
        <v>9.4060820691386287</v>
      </c>
      <c r="D43" s="417">
        <f>Dry_Matter_Content!H30</f>
        <v>0.73</v>
      </c>
      <c r="E43" s="283">
        <f>MCF!R42</f>
        <v>0.78500000000000003</v>
      </c>
      <c r="F43" s="67">
        <f t="shared" si="0"/>
        <v>0.80852329945798374</v>
      </c>
      <c r="G43" s="67">
        <f t="shared" si="1"/>
        <v>0.80852329945798374</v>
      </c>
      <c r="H43" s="67">
        <f t="shared" si="2"/>
        <v>0</v>
      </c>
      <c r="I43" s="67">
        <f t="shared" si="3"/>
        <v>5.9414611975644727</v>
      </c>
      <c r="J43" s="67">
        <f t="shared" si="4"/>
        <v>0.37217999148254199</v>
      </c>
      <c r="K43" s="100">
        <f t="shared" si="6"/>
        <v>0.24811999432169465</v>
      </c>
      <c r="O43" s="96">
        <f>Amnt_Deposited!B38</f>
        <v>2024</v>
      </c>
      <c r="P43" s="99">
        <f>Amnt_Deposited!H38</f>
        <v>9.4060820691386287</v>
      </c>
      <c r="Q43" s="283">
        <f>MCF!R42</f>
        <v>0.78500000000000003</v>
      </c>
      <c r="R43" s="67">
        <f t="shared" si="5"/>
        <v>0.88605293091285886</v>
      </c>
      <c r="S43" s="67">
        <f t="shared" si="7"/>
        <v>0.88605293091285886</v>
      </c>
      <c r="T43" s="67">
        <f t="shared" si="8"/>
        <v>0</v>
      </c>
      <c r="U43" s="67">
        <f t="shared" si="9"/>
        <v>6.5111903534953131</v>
      </c>
      <c r="V43" s="67">
        <f t="shared" si="10"/>
        <v>0.40786848381648438</v>
      </c>
      <c r="W43" s="100">
        <f t="shared" si="11"/>
        <v>0.2719123225443229</v>
      </c>
    </row>
    <row r="44" spans="2:23">
      <c r="B44" s="96">
        <f>Amnt_Deposited!B39</f>
        <v>2025</v>
      </c>
      <c r="C44" s="99">
        <f>Amnt_Deposited!H39</f>
        <v>9.8549239493679988</v>
      </c>
      <c r="D44" s="417">
        <f>Dry_Matter_Content!H31</f>
        <v>0.73</v>
      </c>
      <c r="E44" s="283">
        <f>MCF!R43</f>
        <v>0.78500000000000003</v>
      </c>
      <c r="F44" s="67">
        <f t="shared" si="0"/>
        <v>0.84710462537779974</v>
      </c>
      <c r="G44" s="67">
        <f t="shared" si="1"/>
        <v>0.84710462537779974</v>
      </c>
      <c r="H44" s="67">
        <f t="shared" si="2"/>
        <v>0</v>
      </c>
      <c r="I44" s="67">
        <f t="shared" si="3"/>
        <v>6.3868863271979084</v>
      </c>
      <c r="J44" s="67">
        <f t="shared" si="4"/>
        <v>0.40167949574436396</v>
      </c>
      <c r="K44" s="100">
        <f t="shared" si="6"/>
        <v>0.26778633049624262</v>
      </c>
      <c r="O44" s="96">
        <f>Amnt_Deposited!B39</f>
        <v>2025</v>
      </c>
      <c r="P44" s="99">
        <f>Amnt_Deposited!H39</f>
        <v>9.8549239493679988</v>
      </c>
      <c r="Q44" s="283">
        <f>MCF!R43</f>
        <v>0.78500000000000003</v>
      </c>
      <c r="R44" s="67">
        <f t="shared" si="5"/>
        <v>0.92833383603046538</v>
      </c>
      <c r="S44" s="67">
        <f t="shared" si="7"/>
        <v>0.92833383603046538</v>
      </c>
      <c r="T44" s="67">
        <f t="shared" si="8"/>
        <v>0</v>
      </c>
      <c r="U44" s="67">
        <f t="shared" si="9"/>
        <v>6.9993274818607221</v>
      </c>
      <c r="V44" s="67">
        <f t="shared" si="10"/>
        <v>0.44019670766505647</v>
      </c>
      <c r="W44" s="100">
        <f t="shared" si="11"/>
        <v>0.29346447177670432</v>
      </c>
    </row>
    <row r="45" spans="2:23">
      <c r="B45" s="96">
        <f>Amnt_Deposited!B40</f>
        <v>2026</v>
      </c>
      <c r="C45" s="99">
        <f>Amnt_Deposited!H40</f>
        <v>10.32054046062361</v>
      </c>
      <c r="D45" s="417">
        <f>Dry_Matter_Content!H32</f>
        <v>0.73</v>
      </c>
      <c r="E45" s="283">
        <f>MCF!R44</f>
        <v>0.78500000000000003</v>
      </c>
      <c r="F45" s="67">
        <f t="shared" si="0"/>
        <v>0.88712785664405391</v>
      </c>
      <c r="G45" s="67">
        <f t="shared" si="1"/>
        <v>0.88712785664405391</v>
      </c>
      <c r="H45" s="67">
        <f t="shared" si="2"/>
        <v>0</v>
      </c>
      <c r="I45" s="67">
        <f t="shared" si="3"/>
        <v>6.842221196565184</v>
      </c>
      <c r="J45" s="67">
        <f t="shared" si="4"/>
        <v>0.43179298727677839</v>
      </c>
      <c r="K45" s="100">
        <f t="shared" si="6"/>
        <v>0.28786199151785224</v>
      </c>
      <c r="O45" s="96">
        <f>Amnt_Deposited!B40</f>
        <v>2026</v>
      </c>
      <c r="P45" s="99">
        <f>Amnt_Deposited!H40</f>
        <v>10.32054046062361</v>
      </c>
      <c r="Q45" s="283">
        <f>MCF!R44</f>
        <v>0.78500000000000003</v>
      </c>
      <c r="R45" s="67">
        <f t="shared" si="5"/>
        <v>0.9721949113907441</v>
      </c>
      <c r="S45" s="67">
        <f t="shared" si="7"/>
        <v>0.9721949113907441</v>
      </c>
      <c r="T45" s="67">
        <f t="shared" si="8"/>
        <v>0</v>
      </c>
      <c r="U45" s="67">
        <f t="shared" si="9"/>
        <v>7.4983245989755449</v>
      </c>
      <c r="V45" s="67">
        <f t="shared" si="10"/>
        <v>0.47319779427592157</v>
      </c>
      <c r="W45" s="100">
        <f t="shared" si="11"/>
        <v>0.31546519618394769</v>
      </c>
    </row>
    <row r="46" spans="2:23">
      <c r="B46" s="96">
        <f>Amnt_Deposited!B41</f>
        <v>2027</v>
      </c>
      <c r="C46" s="99">
        <f>Amnt_Deposited!H41</f>
        <v>10.803495249655182</v>
      </c>
      <c r="D46" s="417">
        <f>Dry_Matter_Content!H33</f>
        <v>0.73</v>
      </c>
      <c r="E46" s="283">
        <f>MCF!R45</f>
        <v>0.78500000000000003</v>
      </c>
      <c r="F46" s="67">
        <f t="shared" si="0"/>
        <v>0.92864144292223527</v>
      </c>
      <c r="G46" s="67">
        <f t="shared" si="1"/>
        <v>0.92864144292223527</v>
      </c>
      <c r="H46" s="67">
        <f t="shared" si="2"/>
        <v>0</v>
      </c>
      <c r="I46" s="67">
        <f t="shared" si="3"/>
        <v>7.3082862010290954</v>
      </c>
      <c r="J46" s="67">
        <f t="shared" si="4"/>
        <v>0.46257643845832391</v>
      </c>
      <c r="K46" s="100">
        <f t="shared" si="6"/>
        <v>0.30838429230554926</v>
      </c>
      <c r="O46" s="96">
        <f>Amnt_Deposited!B41</f>
        <v>2027</v>
      </c>
      <c r="P46" s="99">
        <f>Amnt_Deposited!H41</f>
        <v>10.803495249655182</v>
      </c>
      <c r="Q46" s="283">
        <f>MCF!R45</f>
        <v>0.78500000000000003</v>
      </c>
      <c r="R46" s="67">
        <f t="shared" si="5"/>
        <v>1.0176892525175181</v>
      </c>
      <c r="S46" s="67">
        <f t="shared" si="7"/>
        <v>1.0176892525175181</v>
      </c>
      <c r="T46" s="67">
        <f t="shared" si="8"/>
        <v>0</v>
      </c>
      <c r="U46" s="67">
        <f t="shared" si="9"/>
        <v>8.0090807682510636</v>
      </c>
      <c r="V46" s="67">
        <f t="shared" si="10"/>
        <v>0.50693308324199893</v>
      </c>
      <c r="W46" s="100">
        <f t="shared" si="11"/>
        <v>0.33795538882799925</v>
      </c>
    </row>
    <row r="47" spans="2:23">
      <c r="B47" s="96">
        <f>Amnt_Deposited!B42</f>
        <v>2028</v>
      </c>
      <c r="C47" s="99">
        <f>Amnt_Deposited!H42</f>
        <v>11.304369801492845</v>
      </c>
      <c r="D47" s="417">
        <f>Dry_Matter_Content!H34</f>
        <v>0.73</v>
      </c>
      <c r="E47" s="283">
        <f>MCF!R46</f>
        <v>0.78500000000000003</v>
      </c>
      <c r="F47" s="67">
        <f t="shared" si="0"/>
        <v>0.97169536721182104</v>
      </c>
      <c r="G47" s="67">
        <f t="shared" si="1"/>
        <v>0.97169536721182104</v>
      </c>
      <c r="H47" s="67">
        <f t="shared" si="2"/>
        <v>0</v>
      </c>
      <c r="I47" s="67">
        <f t="shared" si="3"/>
        <v>7.7858962551552704</v>
      </c>
      <c r="J47" s="67">
        <f t="shared" si="4"/>
        <v>0.49408531308564613</v>
      </c>
      <c r="K47" s="100">
        <f t="shared" si="6"/>
        <v>0.32939020872376407</v>
      </c>
      <c r="O47" s="96">
        <f>Amnt_Deposited!B42</f>
        <v>2028</v>
      </c>
      <c r="P47" s="99">
        <f>Amnt_Deposited!H42</f>
        <v>11.304369801492845</v>
      </c>
      <c r="Q47" s="283">
        <f>MCF!R46</f>
        <v>0.78500000000000003</v>
      </c>
      <c r="R47" s="67">
        <f t="shared" si="5"/>
        <v>1.064871635300626</v>
      </c>
      <c r="S47" s="67">
        <f t="shared" si="7"/>
        <v>1.064871635300626</v>
      </c>
      <c r="T47" s="67">
        <f t="shared" si="8"/>
        <v>0</v>
      </c>
      <c r="U47" s="67">
        <f t="shared" si="9"/>
        <v>8.5324890467455017</v>
      </c>
      <c r="V47" s="67">
        <f t="shared" si="10"/>
        <v>0.54146335680618751</v>
      </c>
      <c r="W47" s="100">
        <f t="shared" si="11"/>
        <v>0.36097557120412499</v>
      </c>
    </row>
    <row r="48" spans="2:23">
      <c r="B48" s="96">
        <f>Amnt_Deposited!B43</f>
        <v>2029</v>
      </c>
      <c r="C48" s="99">
        <f>Amnt_Deposited!H43</f>
        <v>11.82376398268814</v>
      </c>
      <c r="D48" s="417">
        <f>Dry_Matter_Content!H35</f>
        <v>0.73</v>
      </c>
      <c r="E48" s="283">
        <f>MCF!R47</f>
        <v>0.78500000000000003</v>
      </c>
      <c r="F48" s="67">
        <f t="shared" si="0"/>
        <v>1.0163411925419159</v>
      </c>
      <c r="G48" s="67">
        <f t="shared" si="1"/>
        <v>1.0163411925419159</v>
      </c>
      <c r="H48" s="67">
        <f t="shared" si="2"/>
        <v>0</v>
      </c>
      <c r="I48" s="67">
        <f t="shared" si="3"/>
        <v>8.2758627432775569</v>
      </c>
      <c r="J48" s="67">
        <f t="shared" si="4"/>
        <v>0.52637470441963008</v>
      </c>
      <c r="K48" s="100">
        <f t="shared" si="6"/>
        <v>0.3509164696130867</v>
      </c>
      <c r="O48" s="96">
        <f>Amnt_Deposited!B43</f>
        <v>2029</v>
      </c>
      <c r="P48" s="99">
        <f>Amnt_Deposited!H43</f>
        <v>11.82376398268814</v>
      </c>
      <c r="Q48" s="283">
        <f>MCF!R47</f>
        <v>0.78500000000000003</v>
      </c>
      <c r="R48" s="67">
        <f t="shared" si="5"/>
        <v>1.1137985671692228</v>
      </c>
      <c r="S48" s="67">
        <f t="shared" si="7"/>
        <v>1.1137985671692228</v>
      </c>
      <c r="T48" s="67">
        <f t="shared" si="8"/>
        <v>0</v>
      </c>
      <c r="U48" s="67">
        <f t="shared" si="9"/>
        <v>9.0694386227699244</v>
      </c>
      <c r="V48" s="67">
        <f t="shared" si="10"/>
        <v>0.57684899114480015</v>
      </c>
      <c r="W48" s="100">
        <f t="shared" si="11"/>
        <v>0.38456599409653341</v>
      </c>
    </row>
    <row r="49" spans="2:23">
      <c r="B49" s="96">
        <f>Amnt_Deposited!B44</f>
        <v>2030</v>
      </c>
      <c r="C49" s="99">
        <f>Amnt_Deposited!H44</f>
        <v>12.370517591399999</v>
      </c>
      <c r="D49" s="417">
        <f>Dry_Matter_Content!H36</f>
        <v>0.73</v>
      </c>
      <c r="E49" s="283">
        <f>MCF!R48</f>
        <v>0.78500000000000003</v>
      </c>
      <c r="F49" s="67">
        <f t="shared" si="0"/>
        <v>1.0633387658627653</v>
      </c>
      <c r="G49" s="67">
        <f t="shared" si="1"/>
        <v>1.0633387658627653</v>
      </c>
      <c r="H49" s="67">
        <f t="shared" si="2"/>
        <v>0</v>
      </c>
      <c r="I49" s="67">
        <f t="shared" si="3"/>
        <v>8.7797020420846472</v>
      </c>
      <c r="J49" s="67">
        <f t="shared" si="4"/>
        <v>0.55949946705567544</v>
      </c>
      <c r="K49" s="100">
        <f t="shared" si="6"/>
        <v>0.37299964470378361</v>
      </c>
      <c r="O49" s="96">
        <f>Amnt_Deposited!B44</f>
        <v>2030</v>
      </c>
      <c r="P49" s="99">
        <f>Amnt_Deposited!H44</f>
        <v>12.370517591399999</v>
      </c>
      <c r="Q49" s="283">
        <f>MCF!R48</f>
        <v>0.78500000000000003</v>
      </c>
      <c r="R49" s="67">
        <f t="shared" si="5"/>
        <v>1.16530275710988</v>
      </c>
      <c r="S49" s="67">
        <f t="shared" si="7"/>
        <v>1.16530275710988</v>
      </c>
      <c r="T49" s="67">
        <f t="shared" si="8"/>
        <v>0</v>
      </c>
      <c r="U49" s="67">
        <f t="shared" si="9"/>
        <v>9.6215912789968723</v>
      </c>
      <c r="V49" s="67">
        <f t="shared" si="10"/>
        <v>0.61315010088293198</v>
      </c>
      <c r="W49" s="100">
        <f t="shared" si="11"/>
        <v>0.40876673392195462</v>
      </c>
    </row>
    <row r="50" spans="2:23">
      <c r="B50" s="96">
        <f>Amnt_Deposited!B45</f>
        <v>2031</v>
      </c>
      <c r="C50" s="99">
        <f>Amnt_Deposited!H45</f>
        <v>0</v>
      </c>
      <c r="D50" s="417">
        <f>Dry_Matter_Content!H37</f>
        <v>0.73</v>
      </c>
      <c r="E50" s="283">
        <f>MCF!R49</f>
        <v>0.78500000000000003</v>
      </c>
      <c r="F50" s="67">
        <f t="shared" si="0"/>
        <v>0</v>
      </c>
      <c r="G50" s="67">
        <f t="shared" si="1"/>
        <v>0</v>
      </c>
      <c r="H50" s="67">
        <f t="shared" si="2"/>
        <v>0</v>
      </c>
      <c r="I50" s="67">
        <f t="shared" si="3"/>
        <v>8.1861399246553592</v>
      </c>
      <c r="J50" s="67">
        <f t="shared" si="4"/>
        <v>0.59356211742928833</v>
      </c>
      <c r="K50" s="100">
        <f t="shared" si="6"/>
        <v>0.3957080782861922</v>
      </c>
      <c r="O50" s="96">
        <f>Amnt_Deposited!B45</f>
        <v>2031</v>
      </c>
      <c r="P50" s="99">
        <f>Amnt_Deposited!H45</f>
        <v>0</v>
      </c>
      <c r="Q50" s="283">
        <f>MCF!R49</f>
        <v>0.78500000000000003</v>
      </c>
      <c r="R50" s="67">
        <f t="shared" si="5"/>
        <v>0</v>
      </c>
      <c r="S50" s="67">
        <f t="shared" si="7"/>
        <v>0</v>
      </c>
      <c r="T50" s="67">
        <f t="shared" si="8"/>
        <v>0</v>
      </c>
      <c r="U50" s="67">
        <f t="shared" si="9"/>
        <v>8.9711122461976522</v>
      </c>
      <c r="V50" s="67">
        <f t="shared" si="10"/>
        <v>0.65047903279922004</v>
      </c>
      <c r="W50" s="100">
        <f t="shared" si="11"/>
        <v>0.43365268853281336</v>
      </c>
    </row>
    <row r="51" spans="2:23">
      <c r="B51" s="96">
        <f>Amnt_Deposited!B46</f>
        <v>2032</v>
      </c>
      <c r="C51" s="99">
        <f>Amnt_Deposited!H46</f>
        <v>0</v>
      </c>
      <c r="D51" s="417">
        <f>Dry_Matter_Content!H38</f>
        <v>0.73</v>
      </c>
      <c r="E51" s="283">
        <f>MCF!R50</f>
        <v>0.78500000000000003</v>
      </c>
      <c r="F51" s="67">
        <f t="shared" ref="F51:F82" si="12">C51*D51*$K$6*DOCF*E51</f>
        <v>0</v>
      </c>
      <c r="G51" s="67">
        <f t="shared" si="1"/>
        <v>0</v>
      </c>
      <c r="H51" s="67">
        <f t="shared" si="2"/>
        <v>0</v>
      </c>
      <c r="I51" s="67">
        <f t="shared" si="3"/>
        <v>7.6327062746340024</v>
      </c>
      <c r="J51" s="67">
        <f t="shared" si="4"/>
        <v>0.55343365002135725</v>
      </c>
      <c r="K51" s="100">
        <f t="shared" si="6"/>
        <v>0.3689557666809048</v>
      </c>
      <c r="O51" s="96">
        <f>Amnt_Deposited!B46</f>
        <v>2032</v>
      </c>
      <c r="P51" s="99">
        <f>Amnt_Deposited!H46</f>
        <v>0</v>
      </c>
      <c r="Q51" s="283">
        <f>MCF!R50</f>
        <v>0.78500000000000003</v>
      </c>
      <c r="R51" s="67">
        <f t="shared" ref="R51:R82" si="13">P51*$W$6*DOCF*Q51</f>
        <v>0</v>
      </c>
      <c r="S51" s="67">
        <f t="shared" si="7"/>
        <v>0</v>
      </c>
      <c r="T51" s="67">
        <f t="shared" si="8"/>
        <v>0</v>
      </c>
      <c r="U51" s="67">
        <f t="shared" si="9"/>
        <v>8.3646096160372601</v>
      </c>
      <c r="V51" s="67">
        <f t="shared" si="10"/>
        <v>0.60650263016039141</v>
      </c>
      <c r="W51" s="100">
        <f t="shared" si="11"/>
        <v>0.40433508677359425</v>
      </c>
    </row>
    <row r="52" spans="2:23">
      <c r="B52" s="96">
        <f>Amnt_Deposited!B47</f>
        <v>2033</v>
      </c>
      <c r="C52" s="99">
        <f>Amnt_Deposited!H47</f>
        <v>0</v>
      </c>
      <c r="D52" s="417">
        <f>Dry_Matter_Content!H39</f>
        <v>0.73</v>
      </c>
      <c r="E52" s="283">
        <f>MCF!R51</f>
        <v>0.78500000000000003</v>
      </c>
      <c r="F52" s="67">
        <f t="shared" si="12"/>
        <v>0</v>
      </c>
      <c r="G52" s="67">
        <f t="shared" si="1"/>
        <v>0</v>
      </c>
      <c r="H52" s="67">
        <f t="shared" si="2"/>
        <v>0</v>
      </c>
      <c r="I52" s="67">
        <f t="shared" si="3"/>
        <v>7.1166881596260971</v>
      </c>
      <c r="J52" s="67">
        <f t="shared" si="4"/>
        <v>0.51601811500790495</v>
      </c>
      <c r="K52" s="100">
        <f t="shared" si="6"/>
        <v>0.34401207667193662</v>
      </c>
      <c r="O52" s="96">
        <f>Amnt_Deposited!B47</f>
        <v>2033</v>
      </c>
      <c r="P52" s="99">
        <f>Amnt_Deposited!H47</f>
        <v>0</v>
      </c>
      <c r="Q52" s="283">
        <f>MCF!R51</f>
        <v>0.78500000000000003</v>
      </c>
      <c r="R52" s="67">
        <f t="shared" si="13"/>
        <v>0</v>
      </c>
      <c r="S52" s="67">
        <f t="shared" si="7"/>
        <v>0</v>
      </c>
      <c r="T52" s="67">
        <f t="shared" si="8"/>
        <v>0</v>
      </c>
      <c r="U52" s="67">
        <f t="shared" si="9"/>
        <v>7.7991103119190086</v>
      </c>
      <c r="V52" s="67">
        <f t="shared" si="10"/>
        <v>0.56549930411825189</v>
      </c>
      <c r="W52" s="100">
        <f t="shared" si="11"/>
        <v>0.37699953607883457</v>
      </c>
    </row>
    <row r="53" spans="2:23">
      <c r="B53" s="96">
        <f>Amnt_Deposited!B48</f>
        <v>2034</v>
      </c>
      <c r="C53" s="99">
        <f>Amnt_Deposited!H48</f>
        <v>0</v>
      </c>
      <c r="D53" s="417">
        <f>Dry_Matter_Content!H40</f>
        <v>0.73</v>
      </c>
      <c r="E53" s="283">
        <f>MCF!R52</f>
        <v>0.78500000000000003</v>
      </c>
      <c r="F53" s="67">
        <f t="shared" si="12"/>
        <v>0</v>
      </c>
      <c r="G53" s="67">
        <f t="shared" si="1"/>
        <v>0</v>
      </c>
      <c r="H53" s="67">
        <f t="shared" si="2"/>
        <v>0</v>
      </c>
      <c r="I53" s="67">
        <f t="shared" si="3"/>
        <v>6.6355560582332096</v>
      </c>
      <c r="J53" s="67">
        <f t="shared" si="4"/>
        <v>0.48113210139288748</v>
      </c>
      <c r="K53" s="100">
        <f t="shared" si="6"/>
        <v>0.32075473426192497</v>
      </c>
      <c r="O53" s="96">
        <f>Amnt_Deposited!B48</f>
        <v>2034</v>
      </c>
      <c r="P53" s="99">
        <f>Amnt_Deposited!H48</f>
        <v>0</v>
      </c>
      <c r="Q53" s="283">
        <f>MCF!R52</f>
        <v>0.78500000000000003</v>
      </c>
      <c r="R53" s="67">
        <f t="shared" si="13"/>
        <v>0</v>
      </c>
      <c r="S53" s="67">
        <f t="shared" si="7"/>
        <v>0</v>
      </c>
      <c r="T53" s="67">
        <f t="shared" si="8"/>
        <v>0</v>
      </c>
      <c r="U53" s="67">
        <f t="shared" si="9"/>
        <v>7.2718422555980364</v>
      </c>
      <c r="V53" s="67">
        <f t="shared" si="10"/>
        <v>0.5272680563209724</v>
      </c>
      <c r="W53" s="100">
        <f t="shared" si="11"/>
        <v>0.35151203754731492</v>
      </c>
    </row>
    <row r="54" spans="2:23">
      <c r="B54" s="96">
        <f>Amnt_Deposited!B49</f>
        <v>2035</v>
      </c>
      <c r="C54" s="99">
        <f>Amnt_Deposited!H49</f>
        <v>0</v>
      </c>
      <c r="D54" s="417">
        <f>Dry_Matter_Content!H41</f>
        <v>0.73</v>
      </c>
      <c r="E54" s="283">
        <f>MCF!R53</f>
        <v>0.78500000000000003</v>
      </c>
      <c r="F54" s="67">
        <f t="shared" si="12"/>
        <v>0</v>
      </c>
      <c r="G54" s="67">
        <f t="shared" si="1"/>
        <v>0</v>
      </c>
      <c r="H54" s="67">
        <f t="shared" si="2"/>
        <v>0</v>
      </c>
      <c r="I54" s="67">
        <f t="shared" si="3"/>
        <v>6.1869514603361191</v>
      </c>
      <c r="J54" s="67">
        <f t="shared" si="4"/>
        <v>0.44860459789709034</v>
      </c>
      <c r="K54" s="100">
        <f t="shared" si="6"/>
        <v>0.29906973193139352</v>
      </c>
      <c r="O54" s="96">
        <f>Amnt_Deposited!B49</f>
        <v>2035</v>
      </c>
      <c r="P54" s="99">
        <f>Amnt_Deposited!H49</f>
        <v>0</v>
      </c>
      <c r="Q54" s="283">
        <f>MCF!R53</f>
        <v>0.78500000000000003</v>
      </c>
      <c r="R54" s="67">
        <f t="shared" si="13"/>
        <v>0</v>
      </c>
      <c r="S54" s="67">
        <f t="shared" si="7"/>
        <v>0</v>
      </c>
      <c r="T54" s="67">
        <f t="shared" si="8"/>
        <v>0</v>
      </c>
      <c r="U54" s="67">
        <f t="shared" si="9"/>
        <v>6.7802207784505404</v>
      </c>
      <c r="V54" s="67">
        <f t="shared" si="10"/>
        <v>0.49162147714749616</v>
      </c>
      <c r="W54" s="100">
        <f t="shared" si="11"/>
        <v>0.32774765143166407</v>
      </c>
    </row>
    <row r="55" spans="2:23">
      <c r="B55" s="96">
        <f>Amnt_Deposited!B50</f>
        <v>2036</v>
      </c>
      <c r="C55" s="99">
        <f>Amnt_Deposited!H50</f>
        <v>0</v>
      </c>
      <c r="D55" s="417">
        <f>Dry_Matter_Content!H42</f>
        <v>0.73</v>
      </c>
      <c r="E55" s="283">
        <f>MCF!R54</f>
        <v>0.78500000000000003</v>
      </c>
      <c r="F55" s="67">
        <f t="shared" si="12"/>
        <v>0</v>
      </c>
      <c r="G55" s="67">
        <f t="shared" si="1"/>
        <v>0</v>
      </c>
      <c r="H55" s="67">
        <f t="shared" si="2"/>
        <v>0</v>
      </c>
      <c r="I55" s="67">
        <f t="shared" si="3"/>
        <v>5.7686753056754787</v>
      </c>
      <c r="J55" s="67">
        <f t="shared" si="4"/>
        <v>0.41827615466064</v>
      </c>
      <c r="K55" s="100">
        <f t="shared" si="6"/>
        <v>0.27885076977376</v>
      </c>
      <c r="O55" s="96">
        <f>Amnt_Deposited!B50</f>
        <v>2036</v>
      </c>
      <c r="P55" s="99">
        <f>Amnt_Deposited!H50</f>
        <v>0</v>
      </c>
      <c r="Q55" s="283">
        <f>MCF!R54</f>
        <v>0.78500000000000003</v>
      </c>
      <c r="R55" s="67">
        <f t="shared" si="13"/>
        <v>0</v>
      </c>
      <c r="S55" s="67">
        <f t="shared" si="7"/>
        <v>0</v>
      </c>
      <c r="T55" s="67">
        <f t="shared" si="8"/>
        <v>0</v>
      </c>
      <c r="U55" s="67">
        <f t="shared" si="9"/>
        <v>6.3218359514251814</v>
      </c>
      <c r="V55" s="67">
        <f t="shared" si="10"/>
        <v>0.45838482702535882</v>
      </c>
      <c r="W55" s="100">
        <f t="shared" si="11"/>
        <v>0.30558988468357251</v>
      </c>
    </row>
    <row r="56" spans="2:23">
      <c r="B56" s="96">
        <f>Amnt_Deposited!B51</f>
        <v>2037</v>
      </c>
      <c r="C56" s="99">
        <f>Amnt_Deposited!H51</f>
        <v>0</v>
      </c>
      <c r="D56" s="417">
        <f>Dry_Matter_Content!H43</f>
        <v>0.73</v>
      </c>
      <c r="E56" s="283">
        <f>MCF!R55</f>
        <v>0.78500000000000003</v>
      </c>
      <c r="F56" s="67">
        <f t="shared" si="12"/>
        <v>0</v>
      </c>
      <c r="G56" s="67">
        <f t="shared" si="1"/>
        <v>0</v>
      </c>
      <c r="H56" s="67">
        <f t="shared" si="2"/>
        <v>0</v>
      </c>
      <c r="I56" s="67">
        <f t="shared" si="3"/>
        <v>5.3786772040558732</v>
      </c>
      <c r="J56" s="67">
        <f t="shared" si="4"/>
        <v>0.3899981016196053</v>
      </c>
      <c r="K56" s="100">
        <f t="shared" si="6"/>
        <v>0.2599987344130702</v>
      </c>
      <c r="O56" s="96">
        <f>Amnt_Deposited!B51</f>
        <v>2037</v>
      </c>
      <c r="P56" s="99">
        <f>Amnt_Deposited!H51</f>
        <v>0</v>
      </c>
      <c r="Q56" s="283">
        <f>MCF!R55</f>
        <v>0.78500000000000003</v>
      </c>
      <c r="R56" s="67">
        <f t="shared" si="13"/>
        <v>0</v>
      </c>
      <c r="S56" s="67">
        <f t="shared" si="7"/>
        <v>0</v>
      </c>
      <c r="T56" s="67">
        <f t="shared" si="8"/>
        <v>0</v>
      </c>
      <c r="U56" s="67">
        <f t="shared" si="9"/>
        <v>5.89444077156808</v>
      </c>
      <c r="V56" s="67">
        <f t="shared" si="10"/>
        <v>0.42739517985710168</v>
      </c>
      <c r="W56" s="100">
        <f t="shared" si="11"/>
        <v>0.28493011990473444</v>
      </c>
    </row>
    <row r="57" spans="2:23">
      <c r="B57" s="96">
        <f>Amnt_Deposited!B52</f>
        <v>2038</v>
      </c>
      <c r="C57" s="99">
        <f>Amnt_Deposited!H52</f>
        <v>0</v>
      </c>
      <c r="D57" s="417">
        <f>Dry_Matter_Content!H44</f>
        <v>0.73</v>
      </c>
      <c r="E57" s="283">
        <f>MCF!R56</f>
        <v>0.78500000000000003</v>
      </c>
      <c r="F57" s="67">
        <f t="shared" si="12"/>
        <v>0</v>
      </c>
      <c r="G57" s="67">
        <f t="shared" si="1"/>
        <v>0</v>
      </c>
      <c r="H57" s="67">
        <f t="shared" si="2"/>
        <v>0</v>
      </c>
      <c r="I57" s="67">
        <f t="shared" si="3"/>
        <v>5.0150453843307012</v>
      </c>
      <c r="J57" s="67">
        <f t="shared" si="4"/>
        <v>0.363631819725172</v>
      </c>
      <c r="K57" s="100">
        <f t="shared" si="6"/>
        <v>0.24242121315011467</v>
      </c>
      <c r="O57" s="96">
        <f>Amnt_Deposited!B52</f>
        <v>2038</v>
      </c>
      <c r="P57" s="99">
        <f>Amnt_Deposited!H52</f>
        <v>0</v>
      </c>
      <c r="Q57" s="283">
        <f>MCF!R56</f>
        <v>0.78500000000000003</v>
      </c>
      <c r="R57" s="67">
        <f t="shared" si="13"/>
        <v>0</v>
      </c>
      <c r="S57" s="67">
        <f t="shared" si="7"/>
        <v>0</v>
      </c>
      <c r="T57" s="67">
        <f t="shared" si="8"/>
        <v>0</v>
      </c>
      <c r="U57" s="67">
        <f t="shared" si="9"/>
        <v>5.4959401472117273</v>
      </c>
      <c r="V57" s="67">
        <f t="shared" si="10"/>
        <v>0.39850062435635281</v>
      </c>
      <c r="W57" s="100">
        <f t="shared" si="11"/>
        <v>0.26566708290423519</v>
      </c>
    </row>
    <row r="58" spans="2:23">
      <c r="B58" s="96">
        <f>Amnt_Deposited!B53</f>
        <v>2039</v>
      </c>
      <c r="C58" s="99">
        <f>Amnt_Deposited!H53</f>
        <v>0</v>
      </c>
      <c r="D58" s="417">
        <f>Dry_Matter_Content!H45</f>
        <v>0.73</v>
      </c>
      <c r="E58" s="283">
        <f>MCF!R57</f>
        <v>0.78500000000000003</v>
      </c>
      <c r="F58" s="67">
        <f t="shared" si="12"/>
        <v>0</v>
      </c>
      <c r="G58" s="67">
        <f t="shared" si="1"/>
        <v>0</v>
      </c>
      <c r="H58" s="67">
        <f t="shared" si="2"/>
        <v>0</v>
      </c>
      <c r="I58" s="67">
        <f t="shared" si="3"/>
        <v>4.6759973228977971</v>
      </c>
      <c r="J58" s="67">
        <f t="shared" si="4"/>
        <v>0.33904806143290422</v>
      </c>
      <c r="K58" s="100">
        <f t="shared" si="6"/>
        <v>0.22603204095526946</v>
      </c>
      <c r="O58" s="96">
        <f>Amnt_Deposited!B53</f>
        <v>2039</v>
      </c>
      <c r="P58" s="99">
        <f>Amnt_Deposited!H53</f>
        <v>0</v>
      </c>
      <c r="Q58" s="283">
        <f>MCF!R57</f>
        <v>0.78500000000000003</v>
      </c>
      <c r="R58" s="67">
        <f t="shared" si="13"/>
        <v>0</v>
      </c>
      <c r="S58" s="67">
        <f t="shared" si="7"/>
        <v>0</v>
      </c>
      <c r="T58" s="67">
        <f t="shared" si="8"/>
        <v>0</v>
      </c>
      <c r="U58" s="67">
        <f t="shared" si="9"/>
        <v>5.1243806278332018</v>
      </c>
      <c r="V58" s="67">
        <f t="shared" si="10"/>
        <v>0.37155951937852522</v>
      </c>
      <c r="W58" s="100">
        <f t="shared" si="11"/>
        <v>0.24770634625235013</v>
      </c>
    </row>
    <row r="59" spans="2:23">
      <c r="B59" s="96">
        <f>Amnt_Deposited!B54</f>
        <v>2040</v>
      </c>
      <c r="C59" s="99">
        <f>Amnt_Deposited!H54</f>
        <v>0</v>
      </c>
      <c r="D59" s="417">
        <f>Dry_Matter_Content!H46</f>
        <v>0.73</v>
      </c>
      <c r="E59" s="283">
        <f>MCF!R58</f>
        <v>0.78500000000000003</v>
      </c>
      <c r="F59" s="67">
        <f t="shared" si="12"/>
        <v>0</v>
      </c>
      <c r="G59" s="67">
        <f t="shared" si="1"/>
        <v>0</v>
      </c>
      <c r="H59" s="67">
        <f t="shared" si="2"/>
        <v>0</v>
      </c>
      <c r="I59" s="67">
        <f t="shared" si="3"/>
        <v>4.3598710057666645</v>
      </c>
      <c r="J59" s="67">
        <f t="shared" si="4"/>
        <v>0.31612631713113221</v>
      </c>
      <c r="K59" s="100">
        <f t="shared" si="6"/>
        <v>0.21075087808742146</v>
      </c>
      <c r="O59" s="96">
        <f>Amnt_Deposited!B54</f>
        <v>2040</v>
      </c>
      <c r="P59" s="99">
        <f>Amnt_Deposited!H54</f>
        <v>0</v>
      </c>
      <c r="Q59" s="283">
        <f>MCF!R58</f>
        <v>0.78500000000000003</v>
      </c>
      <c r="R59" s="67">
        <f t="shared" si="13"/>
        <v>0</v>
      </c>
      <c r="S59" s="67">
        <f t="shared" si="7"/>
        <v>0</v>
      </c>
      <c r="T59" s="67">
        <f t="shared" si="8"/>
        <v>0</v>
      </c>
      <c r="U59" s="67">
        <f t="shared" si="9"/>
        <v>4.7779408282374405</v>
      </c>
      <c r="V59" s="67">
        <f t="shared" si="10"/>
        <v>0.34643979959576132</v>
      </c>
      <c r="W59" s="100">
        <f t="shared" si="11"/>
        <v>0.2309598663971742</v>
      </c>
    </row>
    <row r="60" spans="2:23">
      <c r="B60" s="96">
        <f>Amnt_Deposited!B55</f>
        <v>2041</v>
      </c>
      <c r="C60" s="99">
        <f>Amnt_Deposited!H55</f>
        <v>0</v>
      </c>
      <c r="D60" s="417">
        <f>Dry_Matter_Content!H47</f>
        <v>0.73</v>
      </c>
      <c r="E60" s="283">
        <f>MCF!R59</f>
        <v>0.78500000000000003</v>
      </c>
      <c r="F60" s="67">
        <f t="shared" si="12"/>
        <v>0</v>
      </c>
      <c r="G60" s="67">
        <f t="shared" si="1"/>
        <v>0</v>
      </c>
      <c r="H60" s="67">
        <f t="shared" si="2"/>
        <v>0</v>
      </c>
      <c r="I60" s="67">
        <f t="shared" si="3"/>
        <v>4.0651167813639688</v>
      </c>
      <c r="J60" s="67">
        <f t="shared" si="4"/>
        <v>0.29475422440269555</v>
      </c>
      <c r="K60" s="100">
        <f t="shared" si="6"/>
        <v>0.19650281626846369</v>
      </c>
      <c r="O60" s="96">
        <f>Amnt_Deposited!B55</f>
        <v>2041</v>
      </c>
      <c r="P60" s="99">
        <f>Amnt_Deposited!H55</f>
        <v>0</v>
      </c>
      <c r="Q60" s="283">
        <f>MCF!R59</f>
        <v>0.78500000000000003</v>
      </c>
      <c r="R60" s="67">
        <f t="shared" si="13"/>
        <v>0</v>
      </c>
      <c r="S60" s="67">
        <f t="shared" si="7"/>
        <v>0</v>
      </c>
      <c r="T60" s="67">
        <f t="shared" si="8"/>
        <v>0</v>
      </c>
      <c r="U60" s="67">
        <f t="shared" si="9"/>
        <v>4.4549225001248978</v>
      </c>
      <c r="V60" s="67">
        <f t="shared" si="10"/>
        <v>0.32301832811254305</v>
      </c>
      <c r="W60" s="100">
        <f t="shared" si="11"/>
        <v>0.2153455520750287</v>
      </c>
    </row>
    <row r="61" spans="2:23">
      <c r="B61" s="96">
        <f>Amnt_Deposited!B56</f>
        <v>2042</v>
      </c>
      <c r="C61" s="99">
        <f>Amnt_Deposited!H56</f>
        <v>0</v>
      </c>
      <c r="D61" s="417">
        <f>Dry_Matter_Content!H48</f>
        <v>0.73</v>
      </c>
      <c r="E61" s="283">
        <f>MCF!R60</f>
        <v>0.78500000000000003</v>
      </c>
      <c r="F61" s="67">
        <f t="shared" si="12"/>
        <v>0</v>
      </c>
      <c r="G61" s="67">
        <f t="shared" si="1"/>
        <v>0</v>
      </c>
      <c r="H61" s="67">
        <f t="shared" si="2"/>
        <v>0</v>
      </c>
      <c r="I61" s="67">
        <f t="shared" si="3"/>
        <v>3.7902897641397244</v>
      </c>
      <c r="J61" s="67">
        <f t="shared" si="4"/>
        <v>0.27482701722424435</v>
      </c>
      <c r="K61" s="100">
        <f t="shared" si="6"/>
        <v>0.18321801148282957</v>
      </c>
      <c r="O61" s="96">
        <f>Amnt_Deposited!B56</f>
        <v>2042</v>
      </c>
      <c r="P61" s="99">
        <f>Amnt_Deposited!H56</f>
        <v>0</v>
      </c>
      <c r="Q61" s="283">
        <f>MCF!R60</f>
        <v>0.78500000000000003</v>
      </c>
      <c r="R61" s="67">
        <f t="shared" si="13"/>
        <v>0</v>
      </c>
      <c r="S61" s="67">
        <f t="shared" si="7"/>
        <v>0</v>
      </c>
      <c r="T61" s="67">
        <f t="shared" si="8"/>
        <v>0</v>
      </c>
      <c r="U61" s="67">
        <f t="shared" si="9"/>
        <v>4.1537422072764105</v>
      </c>
      <c r="V61" s="67">
        <f t="shared" si="10"/>
        <v>0.30118029284848702</v>
      </c>
      <c r="W61" s="100">
        <f t="shared" si="11"/>
        <v>0.20078686189899134</v>
      </c>
    </row>
    <row r="62" spans="2:23">
      <c r="B62" s="96">
        <f>Amnt_Deposited!B57</f>
        <v>2043</v>
      </c>
      <c r="C62" s="99">
        <f>Amnt_Deposited!H57</f>
        <v>0</v>
      </c>
      <c r="D62" s="417">
        <f>Dry_Matter_Content!H49</f>
        <v>0.73</v>
      </c>
      <c r="E62" s="283">
        <f>MCF!R61</f>
        <v>0.78500000000000003</v>
      </c>
      <c r="F62" s="67">
        <f t="shared" si="12"/>
        <v>0</v>
      </c>
      <c r="G62" s="67">
        <f t="shared" si="1"/>
        <v>0</v>
      </c>
      <c r="H62" s="67">
        <f t="shared" si="2"/>
        <v>0</v>
      </c>
      <c r="I62" s="67">
        <f t="shared" si="3"/>
        <v>3.5340427517366533</v>
      </c>
      <c r="J62" s="67">
        <f t="shared" si="4"/>
        <v>0.25624701240307107</v>
      </c>
      <c r="K62" s="100">
        <f t="shared" si="6"/>
        <v>0.17083134160204738</v>
      </c>
      <c r="O62" s="96">
        <f>Amnt_Deposited!B57</f>
        <v>2043</v>
      </c>
      <c r="P62" s="99">
        <f>Amnt_Deposited!H57</f>
        <v>0</v>
      </c>
      <c r="Q62" s="283">
        <f>MCF!R61</f>
        <v>0.78500000000000003</v>
      </c>
      <c r="R62" s="67">
        <f t="shared" si="13"/>
        <v>0</v>
      </c>
      <c r="S62" s="67">
        <f t="shared" si="7"/>
        <v>0</v>
      </c>
      <c r="T62" s="67">
        <f t="shared" si="8"/>
        <v>0</v>
      </c>
      <c r="U62" s="67">
        <f t="shared" si="9"/>
        <v>3.8729235635470176</v>
      </c>
      <c r="V62" s="67">
        <f t="shared" si="10"/>
        <v>0.28081864372939297</v>
      </c>
      <c r="W62" s="100">
        <f t="shared" si="11"/>
        <v>0.18721242915292863</v>
      </c>
    </row>
    <row r="63" spans="2:23">
      <c r="B63" s="96">
        <f>Amnt_Deposited!B58</f>
        <v>2044</v>
      </c>
      <c r="C63" s="99">
        <f>Amnt_Deposited!H58</f>
        <v>0</v>
      </c>
      <c r="D63" s="417">
        <f>Dry_Matter_Content!H50</f>
        <v>0.73</v>
      </c>
      <c r="E63" s="283">
        <f>MCF!R62</f>
        <v>0.78500000000000003</v>
      </c>
      <c r="F63" s="67">
        <f t="shared" si="12"/>
        <v>0</v>
      </c>
      <c r="G63" s="67">
        <f t="shared" si="1"/>
        <v>0</v>
      </c>
      <c r="H63" s="67">
        <f t="shared" si="2"/>
        <v>0</v>
      </c>
      <c r="I63" s="67">
        <f t="shared" si="3"/>
        <v>3.2951196210026668</v>
      </c>
      <c r="J63" s="67">
        <f t="shared" si="4"/>
        <v>0.23892313073398633</v>
      </c>
      <c r="K63" s="100">
        <f t="shared" si="6"/>
        <v>0.15928208715599088</v>
      </c>
      <c r="O63" s="96">
        <f>Amnt_Deposited!B58</f>
        <v>2044</v>
      </c>
      <c r="P63" s="99">
        <f>Amnt_Deposited!H58</f>
        <v>0</v>
      </c>
      <c r="Q63" s="283">
        <f>MCF!R62</f>
        <v>0.78500000000000003</v>
      </c>
      <c r="R63" s="67">
        <f t="shared" si="13"/>
        <v>0</v>
      </c>
      <c r="S63" s="67">
        <f t="shared" si="7"/>
        <v>0</v>
      </c>
      <c r="T63" s="67">
        <f t="shared" si="8"/>
        <v>0</v>
      </c>
      <c r="U63" s="67">
        <f t="shared" si="9"/>
        <v>3.6110899956193614</v>
      </c>
      <c r="V63" s="67">
        <f t="shared" si="10"/>
        <v>0.26183356792765627</v>
      </c>
      <c r="W63" s="100">
        <f t="shared" si="11"/>
        <v>0.17455571195177083</v>
      </c>
    </row>
    <row r="64" spans="2:23">
      <c r="B64" s="96">
        <f>Amnt_Deposited!B59</f>
        <v>2045</v>
      </c>
      <c r="C64" s="99">
        <f>Amnt_Deposited!H59</f>
        <v>0</v>
      </c>
      <c r="D64" s="417">
        <f>Dry_Matter_Content!H51</f>
        <v>0.73</v>
      </c>
      <c r="E64" s="283">
        <f>MCF!R63</f>
        <v>0.78500000000000003</v>
      </c>
      <c r="F64" s="67">
        <f t="shared" si="12"/>
        <v>0</v>
      </c>
      <c r="G64" s="67">
        <f t="shared" si="1"/>
        <v>0</v>
      </c>
      <c r="H64" s="67">
        <f t="shared" si="2"/>
        <v>0</v>
      </c>
      <c r="I64" s="67">
        <f t="shared" si="3"/>
        <v>3.0723491704737169</v>
      </c>
      <c r="J64" s="67">
        <f t="shared" si="4"/>
        <v>0.22277045052894975</v>
      </c>
      <c r="K64" s="100">
        <f t="shared" si="6"/>
        <v>0.14851363368596648</v>
      </c>
      <c r="O64" s="96">
        <f>Amnt_Deposited!B59</f>
        <v>2045</v>
      </c>
      <c r="P64" s="99">
        <f>Amnt_Deposited!H59</f>
        <v>0</v>
      </c>
      <c r="Q64" s="283">
        <f>MCF!R63</f>
        <v>0.78500000000000003</v>
      </c>
      <c r="R64" s="67">
        <f t="shared" si="13"/>
        <v>0</v>
      </c>
      <c r="S64" s="67">
        <f t="shared" si="7"/>
        <v>0</v>
      </c>
      <c r="T64" s="67">
        <f t="shared" si="8"/>
        <v>0</v>
      </c>
      <c r="U64" s="67">
        <f t="shared" si="9"/>
        <v>3.3669579950396904</v>
      </c>
      <c r="V64" s="67">
        <f t="shared" si="10"/>
        <v>0.24413200057967099</v>
      </c>
      <c r="W64" s="100">
        <f t="shared" si="11"/>
        <v>0.16275466705311398</v>
      </c>
    </row>
    <row r="65" spans="2:23">
      <c r="B65" s="96">
        <f>Amnt_Deposited!B60</f>
        <v>2046</v>
      </c>
      <c r="C65" s="99">
        <f>Amnt_Deposited!H60</f>
        <v>0</v>
      </c>
      <c r="D65" s="417">
        <f>Dry_Matter_Content!H52</f>
        <v>0.73</v>
      </c>
      <c r="E65" s="283">
        <f>MCF!R64</f>
        <v>0.78500000000000003</v>
      </c>
      <c r="F65" s="67">
        <f t="shared" si="12"/>
        <v>0</v>
      </c>
      <c r="G65" s="67">
        <f t="shared" si="1"/>
        <v>0</v>
      </c>
      <c r="H65" s="67">
        <f t="shared" si="2"/>
        <v>0</v>
      </c>
      <c r="I65" s="67">
        <f t="shared" si="3"/>
        <v>2.8646393791428606</v>
      </c>
      <c r="J65" s="67">
        <f t="shared" si="4"/>
        <v>0.20770979133085654</v>
      </c>
      <c r="K65" s="100">
        <f t="shared" si="6"/>
        <v>0.13847319422057103</v>
      </c>
      <c r="O65" s="96">
        <f>Amnt_Deposited!B60</f>
        <v>2046</v>
      </c>
      <c r="P65" s="99">
        <f>Amnt_Deposited!H60</f>
        <v>0</v>
      </c>
      <c r="Q65" s="283">
        <f>MCF!R64</f>
        <v>0.78500000000000003</v>
      </c>
      <c r="R65" s="67">
        <f t="shared" si="13"/>
        <v>0</v>
      </c>
      <c r="S65" s="67">
        <f t="shared" si="7"/>
        <v>0</v>
      </c>
      <c r="T65" s="67">
        <f t="shared" si="8"/>
        <v>0</v>
      </c>
      <c r="U65" s="67">
        <f t="shared" si="9"/>
        <v>3.1393308264579298</v>
      </c>
      <c r="V65" s="67">
        <f t="shared" si="10"/>
        <v>0.22762716858176063</v>
      </c>
      <c r="W65" s="100">
        <f t="shared" si="11"/>
        <v>0.15175144572117374</v>
      </c>
    </row>
    <row r="66" spans="2:23">
      <c r="B66" s="96">
        <f>Amnt_Deposited!B61</f>
        <v>2047</v>
      </c>
      <c r="C66" s="99">
        <f>Amnt_Deposited!H61</f>
        <v>0</v>
      </c>
      <c r="D66" s="417">
        <f>Dry_Matter_Content!H53</f>
        <v>0.73</v>
      </c>
      <c r="E66" s="283">
        <f>MCF!R65</f>
        <v>0.78500000000000003</v>
      </c>
      <c r="F66" s="67">
        <f t="shared" si="12"/>
        <v>0</v>
      </c>
      <c r="G66" s="67">
        <f t="shared" si="1"/>
        <v>0</v>
      </c>
      <c r="H66" s="67">
        <f t="shared" si="2"/>
        <v>0</v>
      </c>
      <c r="I66" s="67">
        <f t="shared" si="3"/>
        <v>2.670972053372016</v>
      </c>
      <c r="J66" s="67">
        <f t="shared" si="4"/>
        <v>0.19366732577084475</v>
      </c>
      <c r="K66" s="100">
        <f t="shared" si="6"/>
        <v>0.1291115505138965</v>
      </c>
      <c r="O66" s="96">
        <f>Amnt_Deposited!B61</f>
        <v>2047</v>
      </c>
      <c r="P66" s="99">
        <f>Amnt_Deposited!H61</f>
        <v>0</v>
      </c>
      <c r="Q66" s="283">
        <f>MCF!R65</f>
        <v>0.78500000000000003</v>
      </c>
      <c r="R66" s="67">
        <f t="shared" si="13"/>
        <v>0</v>
      </c>
      <c r="S66" s="67">
        <f t="shared" si="7"/>
        <v>0</v>
      </c>
      <c r="T66" s="67">
        <f t="shared" si="8"/>
        <v>0</v>
      </c>
      <c r="U66" s="67">
        <f t="shared" si="9"/>
        <v>2.9270926612296067</v>
      </c>
      <c r="V66" s="67">
        <f t="shared" si="10"/>
        <v>0.21223816522832306</v>
      </c>
      <c r="W66" s="100">
        <f t="shared" si="11"/>
        <v>0.14149211015221536</v>
      </c>
    </row>
    <row r="67" spans="2:23">
      <c r="B67" s="96">
        <f>Amnt_Deposited!B62</f>
        <v>2048</v>
      </c>
      <c r="C67" s="99">
        <f>Amnt_Deposited!H62</f>
        <v>0</v>
      </c>
      <c r="D67" s="417">
        <f>Dry_Matter_Content!H54</f>
        <v>0.73</v>
      </c>
      <c r="E67" s="283">
        <f>MCF!R66</f>
        <v>0.78500000000000003</v>
      </c>
      <c r="F67" s="67">
        <f t="shared" si="12"/>
        <v>0</v>
      </c>
      <c r="G67" s="67">
        <f t="shared" si="1"/>
        <v>0</v>
      </c>
      <c r="H67" s="67">
        <f t="shared" si="2"/>
        <v>0</v>
      </c>
      <c r="I67" s="67">
        <f t="shared" si="3"/>
        <v>2.4903978357055685</v>
      </c>
      <c r="J67" s="67">
        <f t="shared" si="4"/>
        <v>0.18057421766644766</v>
      </c>
      <c r="K67" s="100">
        <f t="shared" si="6"/>
        <v>0.12038281177763177</v>
      </c>
      <c r="O67" s="96">
        <f>Amnt_Deposited!B62</f>
        <v>2048</v>
      </c>
      <c r="P67" s="99">
        <f>Amnt_Deposited!H62</f>
        <v>0</v>
      </c>
      <c r="Q67" s="283">
        <f>MCF!R66</f>
        <v>0.78500000000000003</v>
      </c>
      <c r="R67" s="67">
        <f t="shared" si="13"/>
        <v>0</v>
      </c>
      <c r="S67" s="67">
        <f t="shared" si="7"/>
        <v>0</v>
      </c>
      <c r="T67" s="67">
        <f t="shared" si="8"/>
        <v>0</v>
      </c>
      <c r="U67" s="67">
        <f t="shared" si="9"/>
        <v>2.7292031076225407</v>
      </c>
      <c r="V67" s="67">
        <f t="shared" si="10"/>
        <v>0.19788955360706592</v>
      </c>
      <c r="W67" s="100">
        <f t="shared" si="11"/>
        <v>0.13192636907137728</v>
      </c>
    </row>
    <row r="68" spans="2:23">
      <c r="B68" s="96">
        <f>Amnt_Deposited!B63</f>
        <v>2049</v>
      </c>
      <c r="C68" s="99">
        <f>Amnt_Deposited!H63</f>
        <v>0</v>
      </c>
      <c r="D68" s="417">
        <f>Dry_Matter_Content!H55</f>
        <v>0.73</v>
      </c>
      <c r="E68" s="283">
        <f>MCF!R67</f>
        <v>0.78500000000000003</v>
      </c>
      <c r="F68" s="67">
        <f t="shared" si="12"/>
        <v>0</v>
      </c>
      <c r="G68" s="67">
        <f t="shared" si="1"/>
        <v>0</v>
      </c>
      <c r="H68" s="67">
        <f t="shared" si="2"/>
        <v>0</v>
      </c>
      <c r="I68" s="67">
        <f t="shared" si="3"/>
        <v>2.322031551119021</v>
      </c>
      <c r="J68" s="67">
        <f t="shared" si="4"/>
        <v>0.16836628458654732</v>
      </c>
      <c r="K68" s="100">
        <f t="shared" si="6"/>
        <v>0.11224418972436487</v>
      </c>
      <c r="O68" s="96">
        <f>Amnt_Deposited!B63</f>
        <v>2049</v>
      </c>
      <c r="P68" s="99">
        <f>Amnt_Deposited!H63</f>
        <v>0</v>
      </c>
      <c r="Q68" s="283">
        <f>MCF!R67</f>
        <v>0.78500000000000003</v>
      </c>
      <c r="R68" s="67">
        <f t="shared" si="13"/>
        <v>0</v>
      </c>
      <c r="S68" s="67">
        <f t="shared" si="7"/>
        <v>0</v>
      </c>
      <c r="T68" s="67">
        <f t="shared" si="8"/>
        <v>0</v>
      </c>
      <c r="U68" s="67">
        <f t="shared" si="9"/>
        <v>2.5446921108153657</v>
      </c>
      <c r="V68" s="67">
        <f t="shared" si="10"/>
        <v>0.18451099680717511</v>
      </c>
      <c r="W68" s="100">
        <f t="shared" si="11"/>
        <v>0.12300733120478341</v>
      </c>
    </row>
    <row r="69" spans="2:23">
      <c r="B69" s="96">
        <f>Amnt_Deposited!B64</f>
        <v>2050</v>
      </c>
      <c r="C69" s="99">
        <f>Amnt_Deposited!H64</f>
        <v>0</v>
      </c>
      <c r="D69" s="417">
        <f>Dry_Matter_Content!H56</f>
        <v>0.73</v>
      </c>
      <c r="E69" s="283">
        <f>MCF!R68</f>
        <v>0.78500000000000003</v>
      </c>
      <c r="F69" s="67">
        <f t="shared" si="12"/>
        <v>0</v>
      </c>
      <c r="G69" s="67">
        <f t="shared" si="1"/>
        <v>0</v>
      </c>
      <c r="H69" s="67">
        <f t="shared" si="2"/>
        <v>0</v>
      </c>
      <c r="I69" s="67">
        <f t="shared" si="3"/>
        <v>2.165047867889998</v>
      </c>
      <c r="J69" s="67">
        <f t="shared" si="4"/>
        <v>0.15698368322902281</v>
      </c>
      <c r="K69" s="100">
        <f t="shared" si="6"/>
        <v>0.10465578881934853</v>
      </c>
      <c r="O69" s="96">
        <f>Amnt_Deposited!B64</f>
        <v>2050</v>
      </c>
      <c r="P69" s="99">
        <f>Amnt_Deposited!H64</f>
        <v>0</v>
      </c>
      <c r="Q69" s="283">
        <f>MCF!R68</f>
        <v>0.78500000000000003</v>
      </c>
      <c r="R69" s="67">
        <f t="shared" si="13"/>
        <v>0</v>
      </c>
      <c r="S69" s="67">
        <f t="shared" si="7"/>
        <v>0</v>
      </c>
      <c r="T69" s="67">
        <f t="shared" si="8"/>
        <v>0</v>
      </c>
      <c r="U69" s="67">
        <f t="shared" si="9"/>
        <v>2.3726551976876693</v>
      </c>
      <c r="V69" s="67">
        <f t="shared" si="10"/>
        <v>0.17203691312769626</v>
      </c>
      <c r="W69" s="100">
        <f t="shared" si="11"/>
        <v>0.11469127541846416</v>
      </c>
    </row>
    <row r="70" spans="2:23">
      <c r="B70" s="96">
        <f>Amnt_Deposited!B65</f>
        <v>2051</v>
      </c>
      <c r="C70" s="99">
        <f>Amnt_Deposited!H65</f>
        <v>0</v>
      </c>
      <c r="D70" s="417">
        <f>Dry_Matter_Content!H57</f>
        <v>0.73</v>
      </c>
      <c r="E70" s="283">
        <f>MCF!R69</f>
        <v>0.78500000000000003</v>
      </c>
      <c r="F70" s="67">
        <f t="shared" si="12"/>
        <v>0</v>
      </c>
      <c r="G70" s="67">
        <f t="shared" si="1"/>
        <v>0</v>
      </c>
      <c r="H70" s="67">
        <f t="shared" si="2"/>
        <v>0</v>
      </c>
      <c r="I70" s="67">
        <f t="shared" si="3"/>
        <v>2.0186772518211842</v>
      </c>
      <c r="J70" s="67">
        <f t="shared" si="4"/>
        <v>0.14637061606881391</v>
      </c>
      <c r="K70" s="100">
        <f t="shared" si="6"/>
        <v>9.7580410712542601E-2</v>
      </c>
      <c r="O70" s="96">
        <f>Amnt_Deposited!B65</f>
        <v>2051</v>
      </c>
      <c r="P70" s="99">
        <f>Amnt_Deposited!H65</f>
        <v>0</v>
      </c>
      <c r="Q70" s="283">
        <f>MCF!R69</f>
        <v>0.78500000000000003</v>
      </c>
      <c r="R70" s="67">
        <f t="shared" si="13"/>
        <v>0</v>
      </c>
      <c r="S70" s="67">
        <f t="shared" si="7"/>
        <v>0</v>
      </c>
      <c r="T70" s="67">
        <f t="shared" si="8"/>
        <v>0</v>
      </c>
      <c r="U70" s="67">
        <f t="shared" si="9"/>
        <v>2.2122490430917088</v>
      </c>
      <c r="V70" s="67">
        <f t="shared" si="10"/>
        <v>0.16040615459596047</v>
      </c>
      <c r="W70" s="100">
        <f t="shared" si="11"/>
        <v>0.10693743639730698</v>
      </c>
    </row>
    <row r="71" spans="2:23">
      <c r="B71" s="96">
        <f>Amnt_Deposited!B66</f>
        <v>2052</v>
      </c>
      <c r="C71" s="99">
        <f>Amnt_Deposited!H66</f>
        <v>0</v>
      </c>
      <c r="D71" s="417">
        <f>Dry_Matter_Content!H58</f>
        <v>0.73</v>
      </c>
      <c r="E71" s="283">
        <f>MCF!R70</f>
        <v>0.78500000000000003</v>
      </c>
      <c r="F71" s="67">
        <f t="shared" si="12"/>
        <v>0</v>
      </c>
      <c r="G71" s="67">
        <f t="shared" si="1"/>
        <v>0</v>
      </c>
      <c r="H71" s="67">
        <f t="shared" si="2"/>
        <v>0</v>
      </c>
      <c r="I71" s="67">
        <f t="shared" si="3"/>
        <v>1.8822021939827958</v>
      </c>
      <c r="J71" s="67">
        <f t="shared" si="4"/>
        <v>0.1364750578383884</v>
      </c>
      <c r="K71" s="100">
        <f t="shared" si="6"/>
        <v>9.0983371892258927E-2</v>
      </c>
      <c r="O71" s="96">
        <f>Amnt_Deposited!B66</f>
        <v>2052</v>
      </c>
      <c r="P71" s="99">
        <f>Amnt_Deposited!H66</f>
        <v>0</v>
      </c>
      <c r="Q71" s="283">
        <f>MCF!R70</f>
        <v>0.78500000000000003</v>
      </c>
      <c r="R71" s="67">
        <f t="shared" si="13"/>
        <v>0</v>
      </c>
      <c r="S71" s="67">
        <f t="shared" si="7"/>
        <v>0</v>
      </c>
      <c r="T71" s="67">
        <f t="shared" si="8"/>
        <v>0</v>
      </c>
      <c r="U71" s="67">
        <f t="shared" si="9"/>
        <v>2.0626873358715572</v>
      </c>
      <c r="V71" s="67">
        <f t="shared" si="10"/>
        <v>0.14956170722015166</v>
      </c>
      <c r="W71" s="100">
        <f t="shared" si="11"/>
        <v>9.9707804813434442E-2</v>
      </c>
    </row>
    <row r="72" spans="2:23">
      <c r="B72" s="96">
        <f>Amnt_Deposited!B67</f>
        <v>2053</v>
      </c>
      <c r="C72" s="99">
        <f>Amnt_Deposited!H67</f>
        <v>0</v>
      </c>
      <c r="D72" s="417">
        <f>Dry_Matter_Content!H59</f>
        <v>0.73</v>
      </c>
      <c r="E72" s="283">
        <f>MCF!R71</f>
        <v>0.78500000000000003</v>
      </c>
      <c r="F72" s="67">
        <f t="shared" si="12"/>
        <v>0</v>
      </c>
      <c r="G72" s="67">
        <f t="shared" si="1"/>
        <v>0</v>
      </c>
      <c r="H72" s="67">
        <f t="shared" si="2"/>
        <v>0</v>
      </c>
      <c r="I72" s="67">
        <f t="shared" si="3"/>
        <v>1.7549536934829755</v>
      </c>
      <c r="J72" s="67">
        <f t="shared" si="4"/>
        <v>0.12724850049982017</v>
      </c>
      <c r="K72" s="100">
        <f t="shared" si="6"/>
        <v>8.4832333666546772E-2</v>
      </c>
      <c r="O72" s="96">
        <f>Amnt_Deposited!B67</f>
        <v>2053</v>
      </c>
      <c r="P72" s="99">
        <f>Amnt_Deposited!H67</f>
        <v>0</v>
      </c>
      <c r="Q72" s="283">
        <f>MCF!R71</f>
        <v>0.78500000000000003</v>
      </c>
      <c r="R72" s="67">
        <f t="shared" si="13"/>
        <v>0</v>
      </c>
      <c r="S72" s="67">
        <f t="shared" si="7"/>
        <v>0</v>
      </c>
      <c r="T72" s="67">
        <f t="shared" si="8"/>
        <v>0</v>
      </c>
      <c r="U72" s="67">
        <f t="shared" si="9"/>
        <v>1.923236924364905</v>
      </c>
      <c r="V72" s="67">
        <f t="shared" si="10"/>
        <v>0.13945041150665224</v>
      </c>
      <c r="W72" s="100">
        <f t="shared" si="11"/>
        <v>9.2966941004434825E-2</v>
      </c>
    </row>
    <row r="73" spans="2:23">
      <c r="B73" s="96">
        <f>Amnt_Deposited!B68</f>
        <v>2054</v>
      </c>
      <c r="C73" s="99">
        <f>Amnt_Deposited!H68</f>
        <v>0</v>
      </c>
      <c r="D73" s="417">
        <f>Dry_Matter_Content!H60</f>
        <v>0.73</v>
      </c>
      <c r="E73" s="283">
        <f>MCF!R72</f>
        <v>0.78500000000000003</v>
      </c>
      <c r="F73" s="67">
        <f t="shared" si="12"/>
        <v>0</v>
      </c>
      <c r="G73" s="67">
        <f t="shared" si="1"/>
        <v>0</v>
      </c>
      <c r="H73" s="67">
        <f t="shared" si="2"/>
        <v>0</v>
      </c>
      <c r="I73" s="67">
        <f t="shared" si="3"/>
        <v>1.6363079780246441</v>
      </c>
      <c r="J73" s="67">
        <f t="shared" si="4"/>
        <v>0.11864571545833129</v>
      </c>
      <c r="K73" s="100">
        <f t="shared" si="6"/>
        <v>7.9097143638887521E-2</v>
      </c>
      <c r="O73" s="96">
        <f>Amnt_Deposited!B68</f>
        <v>2054</v>
      </c>
      <c r="P73" s="99">
        <f>Amnt_Deposited!H68</f>
        <v>0</v>
      </c>
      <c r="Q73" s="283">
        <f>MCF!R72</f>
        <v>0.78500000000000003</v>
      </c>
      <c r="R73" s="67">
        <f t="shared" si="13"/>
        <v>0</v>
      </c>
      <c r="S73" s="67">
        <f t="shared" si="7"/>
        <v>0</v>
      </c>
      <c r="T73" s="67">
        <f t="shared" si="8"/>
        <v>0</v>
      </c>
      <c r="U73" s="67">
        <f t="shared" si="9"/>
        <v>1.7932142224927612</v>
      </c>
      <c r="V73" s="67">
        <f t="shared" si="10"/>
        <v>0.1300227018721439</v>
      </c>
      <c r="W73" s="100">
        <f t="shared" si="11"/>
        <v>8.6681801248095935E-2</v>
      </c>
    </row>
    <row r="74" spans="2:23">
      <c r="B74" s="96">
        <f>Amnt_Deposited!B69</f>
        <v>2055</v>
      </c>
      <c r="C74" s="99">
        <f>Amnt_Deposited!H69</f>
        <v>0</v>
      </c>
      <c r="D74" s="417">
        <f>Dry_Matter_Content!H61</f>
        <v>0.73</v>
      </c>
      <c r="E74" s="283">
        <f>MCF!R73</f>
        <v>0.78500000000000003</v>
      </c>
      <c r="F74" s="67">
        <f t="shared" si="12"/>
        <v>0</v>
      </c>
      <c r="G74" s="67">
        <f t="shared" si="1"/>
        <v>0</v>
      </c>
      <c r="H74" s="67">
        <f t="shared" si="2"/>
        <v>0</v>
      </c>
      <c r="I74" s="67">
        <f t="shared" si="3"/>
        <v>1.5256834461729765</v>
      </c>
      <c r="J74" s="67">
        <f t="shared" si="4"/>
        <v>0.11062453185166772</v>
      </c>
      <c r="K74" s="100">
        <f t="shared" si="6"/>
        <v>7.3749687901111804E-2</v>
      </c>
      <c r="O74" s="96">
        <f>Amnt_Deposited!B69</f>
        <v>2055</v>
      </c>
      <c r="P74" s="99">
        <f>Amnt_Deposited!H69</f>
        <v>0</v>
      </c>
      <c r="Q74" s="283">
        <f>MCF!R73</f>
        <v>0.78500000000000003</v>
      </c>
      <c r="R74" s="67">
        <f t="shared" si="13"/>
        <v>0</v>
      </c>
      <c r="S74" s="67">
        <f t="shared" si="7"/>
        <v>0</v>
      </c>
      <c r="T74" s="67">
        <f t="shared" si="8"/>
        <v>0</v>
      </c>
      <c r="U74" s="67">
        <f t="shared" si="9"/>
        <v>1.6719818588197006</v>
      </c>
      <c r="V74" s="67">
        <f t="shared" si="10"/>
        <v>0.12123236367306056</v>
      </c>
      <c r="W74" s="100">
        <f t="shared" si="11"/>
        <v>8.082157578204037E-2</v>
      </c>
    </row>
    <row r="75" spans="2:23">
      <c r="B75" s="96">
        <f>Amnt_Deposited!B70</f>
        <v>2056</v>
      </c>
      <c r="C75" s="99">
        <f>Amnt_Deposited!H70</f>
        <v>0</v>
      </c>
      <c r="D75" s="417">
        <f>Dry_Matter_Content!H62</f>
        <v>0.73</v>
      </c>
      <c r="E75" s="283">
        <f>MCF!R74</f>
        <v>0.78500000000000003</v>
      </c>
      <c r="F75" s="67">
        <f t="shared" si="12"/>
        <v>0</v>
      </c>
      <c r="G75" s="67">
        <f t="shared" si="1"/>
        <v>0</v>
      </c>
      <c r="H75" s="67">
        <f t="shared" si="2"/>
        <v>0</v>
      </c>
      <c r="I75" s="67">
        <f t="shared" si="3"/>
        <v>1.4225378163444928</v>
      </c>
      <c r="J75" s="67">
        <f t="shared" si="4"/>
        <v>0.10314562982848371</v>
      </c>
      <c r="K75" s="100">
        <f t="shared" si="6"/>
        <v>6.8763753218989143E-2</v>
      </c>
      <c r="O75" s="96">
        <f>Amnt_Deposited!B70</f>
        <v>2056</v>
      </c>
      <c r="P75" s="99">
        <f>Amnt_Deposited!H70</f>
        <v>0</v>
      </c>
      <c r="Q75" s="283">
        <f>MCF!R74</f>
        <v>0.78500000000000003</v>
      </c>
      <c r="R75" s="67">
        <f t="shared" si="13"/>
        <v>0</v>
      </c>
      <c r="S75" s="67">
        <f t="shared" si="7"/>
        <v>0</v>
      </c>
      <c r="T75" s="67">
        <f t="shared" si="8"/>
        <v>0</v>
      </c>
      <c r="U75" s="67">
        <f t="shared" si="9"/>
        <v>1.5589455521583486</v>
      </c>
      <c r="V75" s="67">
        <f t="shared" si="10"/>
        <v>0.11303630666135205</v>
      </c>
      <c r="W75" s="100">
        <f t="shared" si="11"/>
        <v>7.5357537774234692E-2</v>
      </c>
    </row>
    <row r="76" spans="2:23">
      <c r="B76" s="96">
        <f>Amnt_Deposited!B71</f>
        <v>2057</v>
      </c>
      <c r="C76" s="99">
        <f>Amnt_Deposited!H71</f>
        <v>0</v>
      </c>
      <c r="D76" s="417">
        <f>Dry_Matter_Content!H63</f>
        <v>0.73</v>
      </c>
      <c r="E76" s="283">
        <f>MCF!R75</f>
        <v>0.78500000000000003</v>
      </c>
      <c r="F76" s="67">
        <f t="shared" si="12"/>
        <v>0</v>
      </c>
      <c r="G76" s="67">
        <f t="shared" si="1"/>
        <v>0</v>
      </c>
      <c r="H76" s="67">
        <f t="shared" si="2"/>
        <v>0</v>
      </c>
      <c r="I76" s="67">
        <f t="shared" si="3"/>
        <v>1.326365468542108</v>
      </c>
      <c r="J76" s="67">
        <f t="shared" si="4"/>
        <v>9.6172347802384858E-2</v>
      </c>
      <c r="K76" s="100">
        <f t="shared" si="6"/>
        <v>6.4114898534923234E-2</v>
      </c>
      <c r="O76" s="96">
        <f>Amnt_Deposited!B71</f>
        <v>2057</v>
      </c>
      <c r="P76" s="99">
        <f>Amnt_Deposited!H71</f>
        <v>0</v>
      </c>
      <c r="Q76" s="283">
        <f>MCF!R75</f>
        <v>0.78500000000000003</v>
      </c>
      <c r="R76" s="67">
        <f t="shared" si="13"/>
        <v>0</v>
      </c>
      <c r="S76" s="67">
        <f t="shared" si="7"/>
        <v>0</v>
      </c>
      <c r="T76" s="67">
        <f t="shared" si="8"/>
        <v>0</v>
      </c>
      <c r="U76" s="67">
        <f t="shared" si="9"/>
        <v>1.4535511984023104</v>
      </c>
      <c r="V76" s="67">
        <f t="shared" si="10"/>
        <v>0.10539435375603823</v>
      </c>
      <c r="W76" s="100">
        <f t="shared" si="11"/>
        <v>7.0262902504025476E-2</v>
      </c>
    </row>
    <row r="77" spans="2:23">
      <c r="B77" s="96">
        <f>Amnt_Deposited!B72</f>
        <v>2058</v>
      </c>
      <c r="C77" s="99">
        <f>Amnt_Deposited!H72</f>
        <v>0</v>
      </c>
      <c r="D77" s="417">
        <f>Dry_Matter_Content!H64</f>
        <v>0.73</v>
      </c>
      <c r="E77" s="283">
        <f>MCF!R76</f>
        <v>0.78500000000000003</v>
      </c>
      <c r="F77" s="67">
        <f t="shared" si="12"/>
        <v>0</v>
      </c>
      <c r="G77" s="67">
        <f t="shared" si="1"/>
        <v>0</v>
      </c>
      <c r="H77" s="67">
        <f t="shared" si="2"/>
        <v>0</v>
      </c>
      <c r="I77" s="67">
        <f t="shared" si="3"/>
        <v>1.236694965805319</v>
      </c>
      <c r="J77" s="67">
        <f t="shared" si="4"/>
        <v>8.9670502736789059E-2</v>
      </c>
      <c r="K77" s="100">
        <f t="shared" si="6"/>
        <v>5.9780335157859368E-2</v>
      </c>
      <c r="O77" s="96">
        <f>Amnt_Deposited!B72</f>
        <v>2058</v>
      </c>
      <c r="P77" s="99">
        <f>Amnt_Deposited!H72</f>
        <v>0</v>
      </c>
      <c r="Q77" s="283">
        <f>MCF!R76</f>
        <v>0.78500000000000003</v>
      </c>
      <c r="R77" s="67">
        <f t="shared" si="13"/>
        <v>0</v>
      </c>
      <c r="S77" s="67">
        <f t="shared" si="7"/>
        <v>0</v>
      </c>
      <c r="T77" s="67">
        <f t="shared" si="8"/>
        <v>0</v>
      </c>
      <c r="U77" s="67">
        <f t="shared" si="9"/>
        <v>1.3552821543071991</v>
      </c>
      <c r="V77" s="67">
        <f t="shared" si="10"/>
        <v>9.8269044095111308E-2</v>
      </c>
      <c r="W77" s="100">
        <f t="shared" si="11"/>
        <v>6.5512696063407538E-2</v>
      </c>
    </row>
    <row r="78" spans="2:23">
      <c r="B78" s="96">
        <f>Amnt_Deposited!B73</f>
        <v>2059</v>
      </c>
      <c r="C78" s="99">
        <f>Amnt_Deposited!H73</f>
        <v>0</v>
      </c>
      <c r="D78" s="417">
        <f>Dry_Matter_Content!H65</f>
        <v>0.73</v>
      </c>
      <c r="E78" s="283">
        <f>MCF!R77</f>
        <v>0.78500000000000003</v>
      </c>
      <c r="F78" s="67">
        <f t="shared" si="12"/>
        <v>0</v>
      </c>
      <c r="G78" s="67">
        <f t="shared" si="1"/>
        <v>0</v>
      </c>
      <c r="H78" s="67">
        <f t="shared" si="2"/>
        <v>0</v>
      </c>
      <c r="I78" s="67">
        <f t="shared" si="3"/>
        <v>1.1530867432256775</v>
      </c>
      <c r="J78" s="67">
        <f t="shared" si="4"/>
        <v>8.3608222579641539E-2</v>
      </c>
      <c r="K78" s="100">
        <f t="shared" si="6"/>
        <v>5.5738815053094359E-2</v>
      </c>
      <c r="O78" s="96">
        <f>Amnt_Deposited!B73</f>
        <v>2059</v>
      </c>
      <c r="P78" s="99">
        <f>Amnt_Deposited!H73</f>
        <v>0</v>
      </c>
      <c r="Q78" s="283">
        <f>MCF!R77</f>
        <v>0.78500000000000003</v>
      </c>
      <c r="R78" s="67">
        <f t="shared" si="13"/>
        <v>0</v>
      </c>
      <c r="S78" s="67">
        <f t="shared" si="7"/>
        <v>0</v>
      </c>
      <c r="T78" s="67">
        <f t="shared" si="8"/>
        <v>0</v>
      </c>
      <c r="U78" s="67">
        <f t="shared" si="9"/>
        <v>1.2636567049048522</v>
      </c>
      <c r="V78" s="67">
        <f t="shared" si="10"/>
        <v>9.1625449402346903E-2</v>
      </c>
      <c r="W78" s="100">
        <f t="shared" si="11"/>
        <v>6.1083632934897936E-2</v>
      </c>
    </row>
    <row r="79" spans="2:23">
      <c r="B79" s="96">
        <f>Amnt_Deposited!B74</f>
        <v>2060</v>
      </c>
      <c r="C79" s="99">
        <f>Amnt_Deposited!H74</f>
        <v>0</v>
      </c>
      <c r="D79" s="417">
        <f>Dry_Matter_Content!H66</f>
        <v>0.73</v>
      </c>
      <c r="E79" s="283">
        <f>MCF!R78</f>
        <v>0.78500000000000003</v>
      </c>
      <c r="F79" s="67">
        <f t="shared" si="12"/>
        <v>0</v>
      </c>
      <c r="G79" s="67">
        <f t="shared" si="1"/>
        <v>0</v>
      </c>
      <c r="H79" s="67">
        <f t="shared" si="2"/>
        <v>0</v>
      </c>
      <c r="I79" s="67">
        <f t="shared" si="3"/>
        <v>1.0751309531990987</v>
      </c>
      <c r="J79" s="67">
        <f t="shared" si="4"/>
        <v>7.7955790026578736E-2</v>
      </c>
      <c r="K79" s="100">
        <f t="shared" si="6"/>
        <v>5.1970526684385822E-2</v>
      </c>
      <c r="O79" s="96">
        <f>Amnt_Deposited!B74</f>
        <v>2060</v>
      </c>
      <c r="P79" s="99">
        <f>Amnt_Deposited!H74</f>
        <v>0</v>
      </c>
      <c r="Q79" s="283">
        <f>MCF!R78</f>
        <v>0.78500000000000003</v>
      </c>
      <c r="R79" s="67">
        <f t="shared" si="13"/>
        <v>0</v>
      </c>
      <c r="S79" s="67">
        <f t="shared" si="7"/>
        <v>0</v>
      </c>
      <c r="T79" s="67">
        <f t="shared" si="8"/>
        <v>0</v>
      </c>
      <c r="U79" s="67">
        <f t="shared" si="9"/>
        <v>1.1782257021359988</v>
      </c>
      <c r="V79" s="67">
        <f t="shared" si="10"/>
        <v>8.5431002768853417E-2</v>
      </c>
      <c r="W79" s="100">
        <f t="shared" si="11"/>
        <v>5.6954001845902276E-2</v>
      </c>
    </row>
    <row r="80" spans="2:23">
      <c r="B80" s="96">
        <f>Amnt_Deposited!B75</f>
        <v>2061</v>
      </c>
      <c r="C80" s="99">
        <f>Amnt_Deposited!H75</f>
        <v>0</v>
      </c>
      <c r="D80" s="417">
        <f>Dry_Matter_Content!H67</f>
        <v>0.73</v>
      </c>
      <c r="E80" s="283">
        <f>MCF!R79</f>
        <v>0.78500000000000003</v>
      </c>
      <c r="F80" s="67">
        <f t="shared" si="12"/>
        <v>0</v>
      </c>
      <c r="G80" s="67">
        <f t="shared" si="1"/>
        <v>0</v>
      </c>
      <c r="H80" s="67">
        <f t="shared" si="2"/>
        <v>0</v>
      </c>
      <c r="I80" s="67">
        <f t="shared" si="3"/>
        <v>1.002445456352431</v>
      </c>
      <c r="J80" s="67">
        <f t="shared" si="4"/>
        <v>7.2685496846667766E-2</v>
      </c>
      <c r="K80" s="100">
        <f t="shared" si="6"/>
        <v>4.8456997897778506E-2</v>
      </c>
      <c r="O80" s="96">
        <f>Amnt_Deposited!B75</f>
        <v>2061</v>
      </c>
      <c r="P80" s="99">
        <f>Amnt_Deposited!H75</f>
        <v>0</v>
      </c>
      <c r="Q80" s="283">
        <f>MCF!R79</f>
        <v>0.78500000000000003</v>
      </c>
      <c r="R80" s="67">
        <f t="shared" si="13"/>
        <v>0</v>
      </c>
      <c r="S80" s="67">
        <f t="shared" si="7"/>
        <v>0</v>
      </c>
      <c r="T80" s="67">
        <f t="shared" si="8"/>
        <v>0</v>
      </c>
      <c r="U80" s="67">
        <f t="shared" si="9"/>
        <v>1.0985703631259518</v>
      </c>
      <c r="V80" s="67">
        <f t="shared" si="10"/>
        <v>7.9655339010046872E-2</v>
      </c>
      <c r="W80" s="100">
        <f t="shared" si="11"/>
        <v>5.3103559340031248E-2</v>
      </c>
    </row>
    <row r="81" spans="2:23">
      <c r="B81" s="96">
        <f>Amnt_Deposited!B76</f>
        <v>2062</v>
      </c>
      <c r="C81" s="99">
        <f>Amnt_Deposited!H76</f>
        <v>0</v>
      </c>
      <c r="D81" s="417">
        <f>Dry_Matter_Content!H68</f>
        <v>0.73</v>
      </c>
      <c r="E81" s="283">
        <f>MCF!R80</f>
        <v>0.78500000000000003</v>
      </c>
      <c r="F81" s="67">
        <f t="shared" si="12"/>
        <v>0</v>
      </c>
      <c r="G81" s="67">
        <f t="shared" si="1"/>
        <v>0</v>
      </c>
      <c r="H81" s="67">
        <f t="shared" si="2"/>
        <v>0</v>
      </c>
      <c r="I81" s="67">
        <f t="shared" si="3"/>
        <v>0.93467394829580464</v>
      </c>
      <c r="J81" s="67">
        <f t="shared" si="4"/>
        <v>6.7771508056626323E-2</v>
      </c>
      <c r="K81" s="100">
        <f t="shared" si="6"/>
        <v>4.5181005371084215E-2</v>
      </c>
      <c r="O81" s="96">
        <f>Amnt_Deposited!B76</f>
        <v>2062</v>
      </c>
      <c r="P81" s="99">
        <f>Amnt_Deposited!H76</f>
        <v>0</v>
      </c>
      <c r="Q81" s="283">
        <f>MCF!R80</f>
        <v>0.78500000000000003</v>
      </c>
      <c r="R81" s="67">
        <f t="shared" si="13"/>
        <v>0</v>
      </c>
      <c r="S81" s="67">
        <f t="shared" si="7"/>
        <v>0</v>
      </c>
      <c r="T81" s="67">
        <f t="shared" si="8"/>
        <v>0</v>
      </c>
      <c r="U81" s="67">
        <f t="shared" si="9"/>
        <v>1.0243002173104709</v>
      </c>
      <c r="V81" s="67">
        <f t="shared" si="10"/>
        <v>7.4270145815480901E-2</v>
      </c>
      <c r="W81" s="100">
        <f t="shared" si="11"/>
        <v>4.9513430543653932E-2</v>
      </c>
    </row>
    <row r="82" spans="2:23">
      <c r="B82" s="96">
        <f>Amnt_Deposited!B77</f>
        <v>2063</v>
      </c>
      <c r="C82" s="99">
        <f>Amnt_Deposited!H77</f>
        <v>0</v>
      </c>
      <c r="D82" s="417">
        <f>Dry_Matter_Content!H69</f>
        <v>0.73</v>
      </c>
      <c r="E82" s="283">
        <f>MCF!R81</f>
        <v>0.78500000000000003</v>
      </c>
      <c r="F82" s="67">
        <f t="shared" si="12"/>
        <v>0</v>
      </c>
      <c r="G82" s="67">
        <f t="shared" si="1"/>
        <v>0</v>
      </c>
      <c r="H82" s="67">
        <f t="shared" si="2"/>
        <v>0</v>
      </c>
      <c r="I82" s="67">
        <f t="shared" si="3"/>
        <v>0.87148421301810008</v>
      </c>
      <c r="J82" s="67">
        <f t="shared" si="4"/>
        <v>6.3189735277704565E-2</v>
      </c>
      <c r="K82" s="100">
        <f t="shared" si="6"/>
        <v>4.2126490185136374E-2</v>
      </c>
      <c r="O82" s="96">
        <f>Amnt_Deposited!B77</f>
        <v>2063</v>
      </c>
      <c r="P82" s="99">
        <f>Amnt_Deposited!H77</f>
        <v>0</v>
      </c>
      <c r="Q82" s="283">
        <f>MCF!R81</f>
        <v>0.78500000000000003</v>
      </c>
      <c r="R82" s="67">
        <f t="shared" si="13"/>
        <v>0</v>
      </c>
      <c r="S82" s="67">
        <f t="shared" si="7"/>
        <v>0</v>
      </c>
      <c r="T82" s="67">
        <f t="shared" si="8"/>
        <v>0</v>
      </c>
      <c r="U82" s="67">
        <f t="shared" si="9"/>
        <v>0.95505119234860292</v>
      </c>
      <c r="V82" s="67">
        <f t="shared" si="10"/>
        <v>6.9249024961868022E-2</v>
      </c>
      <c r="W82" s="100">
        <f t="shared" si="11"/>
        <v>4.6166016641245346E-2</v>
      </c>
    </row>
    <row r="83" spans="2:23">
      <c r="B83" s="96">
        <f>Amnt_Deposited!B78</f>
        <v>2064</v>
      </c>
      <c r="C83" s="99">
        <f>Amnt_Deposited!H78</f>
        <v>0</v>
      </c>
      <c r="D83" s="417">
        <f>Dry_Matter_Content!H70</f>
        <v>0.73</v>
      </c>
      <c r="E83" s="283">
        <f>MCF!R82</f>
        <v>0.78500000000000003</v>
      </c>
      <c r="F83" s="67">
        <f t="shared" ref="F83:F99" si="14">C83*D83*$K$6*DOCF*E83</f>
        <v>0</v>
      </c>
      <c r="G83" s="67">
        <f t="shared" ref="G83:G99" si="15">F83*$K$12</f>
        <v>0</v>
      </c>
      <c r="H83" s="67">
        <f t="shared" ref="H83:H99" si="16">F83*(1-$K$12)</f>
        <v>0</v>
      </c>
      <c r="I83" s="67">
        <f t="shared" ref="I83:I99" si="17">G83+I82*$K$10</f>
        <v>0.81256649436367545</v>
      </c>
      <c r="J83" s="67">
        <f t="shared" ref="J83:J99" si="18">I82*(1-$K$10)+H83</f>
        <v>5.8917718654424613E-2</v>
      </c>
      <c r="K83" s="100">
        <f t="shared" si="6"/>
        <v>3.9278479102949737E-2</v>
      </c>
      <c r="O83" s="96">
        <f>Amnt_Deposited!B78</f>
        <v>2064</v>
      </c>
      <c r="P83" s="99">
        <f>Amnt_Deposited!H78</f>
        <v>0</v>
      </c>
      <c r="Q83" s="283">
        <f>MCF!R82</f>
        <v>0.78500000000000003</v>
      </c>
      <c r="R83" s="67">
        <f t="shared" ref="R83:R99" si="19">P83*$W$6*DOCF*Q83</f>
        <v>0</v>
      </c>
      <c r="S83" s="67">
        <f t="shared" si="7"/>
        <v>0</v>
      </c>
      <c r="T83" s="67">
        <f t="shared" si="8"/>
        <v>0</v>
      </c>
      <c r="U83" s="67">
        <f t="shared" si="9"/>
        <v>0.89048382943964444</v>
      </c>
      <c r="V83" s="67">
        <f t="shared" si="10"/>
        <v>6.4567362908958481E-2</v>
      </c>
      <c r="W83" s="100">
        <f t="shared" si="11"/>
        <v>4.3044908605972321E-2</v>
      </c>
    </row>
    <row r="84" spans="2:23">
      <c r="B84" s="96">
        <f>Amnt_Deposited!B79</f>
        <v>2065</v>
      </c>
      <c r="C84" s="99">
        <f>Amnt_Deposited!H79</f>
        <v>0</v>
      </c>
      <c r="D84" s="417">
        <f>Dry_Matter_Content!H71</f>
        <v>0.73</v>
      </c>
      <c r="E84" s="283">
        <f>MCF!R83</f>
        <v>0.78500000000000003</v>
      </c>
      <c r="F84" s="67">
        <f t="shared" si="14"/>
        <v>0</v>
      </c>
      <c r="G84" s="67">
        <f t="shared" si="15"/>
        <v>0</v>
      </c>
      <c r="H84" s="67">
        <f t="shared" si="16"/>
        <v>0</v>
      </c>
      <c r="I84" s="67">
        <f t="shared" si="17"/>
        <v>0.75763197760733259</v>
      </c>
      <c r="J84" s="67">
        <f t="shared" si="18"/>
        <v>5.4934516756342908E-2</v>
      </c>
      <c r="K84" s="100">
        <f t="shared" si="6"/>
        <v>3.6623011170895267E-2</v>
      </c>
      <c r="O84" s="96">
        <f>Amnt_Deposited!B79</f>
        <v>2065</v>
      </c>
      <c r="P84" s="99">
        <f>Amnt_Deposited!H79</f>
        <v>0</v>
      </c>
      <c r="Q84" s="283">
        <f>MCF!R83</f>
        <v>0.78500000000000003</v>
      </c>
      <c r="R84" s="67">
        <f t="shared" si="19"/>
        <v>0</v>
      </c>
      <c r="S84" s="67">
        <f t="shared" si="7"/>
        <v>0</v>
      </c>
      <c r="T84" s="67">
        <f t="shared" si="8"/>
        <v>0</v>
      </c>
      <c r="U84" s="67">
        <f t="shared" si="9"/>
        <v>0.83028161929570699</v>
      </c>
      <c r="V84" s="67">
        <f t="shared" si="10"/>
        <v>6.0202210143937444E-2</v>
      </c>
      <c r="W84" s="100">
        <f t="shared" si="11"/>
        <v>4.0134806762624958E-2</v>
      </c>
    </row>
    <row r="85" spans="2:23">
      <c r="B85" s="96">
        <f>Amnt_Deposited!B80</f>
        <v>2066</v>
      </c>
      <c r="C85" s="99">
        <f>Amnt_Deposited!H80</f>
        <v>0</v>
      </c>
      <c r="D85" s="417">
        <f>Dry_Matter_Content!H72</f>
        <v>0.73</v>
      </c>
      <c r="E85" s="283">
        <f>MCF!R84</f>
        <v>0.78500000000000003</v>
      </c>
      <c r="F85" s="67">
        <f t="shared" si="14"/>
        <v>0</v>
      </c>
      <c r="G85" s="67">
        <f t="shared" si="15"/>
        <v>0</v>
      </c>
      <c r="H85" s="67">
        <f t="shared" si="16"/>
        <v>0</v>
      </c>
      <c r="I85" s="67">
        <f t="shared" si="17"/>
        <v>0.70641137368419871</v>
      </c>
      <c r="J85" s="67">
        <f t="shared" si="18"/>
        <v>5.1220603923133892E-2</v>
      </c>
      <c r="K85" s="100">
        <f t="shared" ref="K85:K99" si="20">J85*CH4_fraction*conv</f>
        <v>3.4147069282089257E-2</v>
      </c>
      <c r="O85" s="96">
        <f>Amnt_Deposited!B80</f>
        <v>2066</v>
      </c>
      <c r="P85" s="99">
        <f>Amnt_Deposited!H80</f>
        <v>0</v>
      </c>
      <c r="Q85" s="283">
        <f>MCF!R84</f>
        <v>0.78500000000000003</v>
      </c>
      <c r="R85" s="67">
        <f t="shared" si="19"/>
        <v>0</v>
      </c>
      <c r="S85" s="67">
        <f t="shared" ref="S85:S98" si="21">R85*$W$12</f>
        <v>0</v>
      </c>
      <c r="T85" s="67">
        <f t="shared" ref="T85:T98" si="22">R85*(1-$W$12)</f>
        <v>0</v>
      </c>
      <c r="U85" s="67">
        <f t="shared" ref="U85:U98" si="23">S85+U84*$W$10</f>
        <v>0.77414945061282048</v>
      </c>
      <c r="V85" s="67">
        <f t="shared" ref="V85:V98" si="24">U84*(1-$W$10)+T85</f>
        <v>5.6132168682886459E-2</v>
      </c>
      <c r="W85" s="100">
        <f t="shared" ref="W85:W99" si="25">V85*CH4_fraction*conv</f>
        <v>3.7421445788590968E-2</v>
      </c>
    </row>
    <row r="86" spans="2:23">
      <c r="B86" s="96">
        <f>Amnt_Deposited!B81</f>
        <v>2067</v>
      </c>
      <c r="C86" s="99">
        <f>Amnt_Deposited!H81</f>
        <v>0</v>
      </c>
      <c r="D86" s="417">
        <f>Dry_Matter_Content!H73</f>
        <v>0.73</v>
      </c>
      <c r="E86" s="283">
        <f>MCF!R85</f>
        <v>0.78500000000000003</v>
      </c>
      <c r="F86" s="67">
        <f t="shared" si="14"/>
        <v>0</v>
      </c>
      <c r="G86" s="67">
        <f t="shared" si="15"/>
        <v>0</v>
      </c>
      <c r="H86" s="67">
        <f t="shared" si="16"/>
        <v>0</v>
      </c>
      <c r="I86" s="67">
        <f t="shared" si="17"/>
        <v>0.65865359913441834</v>
      </c>
      <c r="J86" s="67">
        <f t="shared" si="18"/>
        <v>4.7757774549780412E-2</v>
      </c>
      <c r="K86" s="100">
        <f t="shared" si="20"/>
        <v>3.183851636652027E-2</v>
      </c>
      <c r="O86" s="96">
        <f>Amnt_Deposited!B81</f>
        <v>2067</v>
      </c>
      <c r="P86" s="99">
        <f>Amnt_Deposited!H81</f>
        <v>0</v>
      </c>
      <c r="Q86" s="283">
        <f>MCF!R85</f>
        <v>0.78500000000000003</v>
      </c>
      <c r="R86" s="67">
        <f t="shared" si="19"/>
        <v>0</v>
      </c>
      <c r="S86" s="67">
        <f t="shared" si="21"/>
        <v>0</v>
      </c>
      <c r="T86" s="67">
        <f t="shared" si="22"/>
        <v>0</v>
      </c>
      <c r="U86" s="67">
        <f t="shared" si="23"/>
        <v>0.72181216343497889</v>
      </c>
      <c r="V86" s="67">
        <f t="shared" si="24"/>
        <v>5.2337287177841543E-2</v>
      </c>
      <c r="W86" s="100">
        <f t="shared" si="25"/>
        <v>3.4891524785227696E-2</v>
      </c>
    </row>
    <row r="87" spans="2:23">
      <c r="B87" s="96">
        <f>Amnt_Deposited!B82</f>
        <v>2068</v>
      </c>
      <c r="C87" s="99">
        <f>Amnt_Deposited!H82</f>
        <v>0</v>
      </c>
      <c r="D87" s="417">
        <f>Dry_Matter_Content!H74</f>
        <v>0.73</v>
      </c>
      <c r="E87" s="283">
        <f>MCF!R86</f>
        <v>0.78500000000000003</v>
      </c>
      <c r="F87" s="67">
        <f t="shared" si="14"/>
        <v>0</v>
      </c>
      <c r="G87" s="67">
        <f t="shared" si="15"/>
        <v>0</v>
      </c>
      <c r="H87" s="67">
        <f t="shared" si="16"/>
        <v>0</v>
      </c>
      <c r="I87" s="67">
        <f t="shared" si="17"/>
        <v>0.61412454529174154</v>
      </c>
      <c r="J87" s="67">
        <f t="shared" si="18"/>
        <v>4.4529053842676837E-2</v>
      </c>
      <c r="K87" s="100">
        <f t="shared" si="20"/>
        <v>2.9686035895117889E-2</v>
      </c>
      <c r="O87" s="96">
        <f>Amnt_Deposited!B82</f>
        <v>2068</v>
      </c>
      <c r="P87" s="99">
        <f>Amnt_Deposited!H82</f>
        <v>0</v>
      </c>
      <c r="Q87" s="283">
        <f>MCF!R86</f>
        <v>0.78500000000000003</v>
      </c>
      <c r="R87" s="67">
        <f t="shared" si="19"/>
        <v>0</v>
      </c>
      <c r="S87" s="67">
        <f t="shared" si="21"/>
        <v>0</v>
      </c>
      <c r="T87" s="67">
        <f t="shared" si="22"/>
        <v>0</v>
      </c>
      <c r="U87" s="67">
        <f t="shared" si="23"/>
        <v>0.67301320031971656</v>
      </c>
      <c r="V87" s="67">
        <f t="shared" si="24"/>
        <v>4.879896311526228E-2</v>
      </c>
      <c r="W87" s="100">
        <f t="shared" si="25"/>
        <v>3.253264207684152E-2</v>
      </c>
    </row>
    <row r="88" spans="2:23">
      <c r="B88" s="96">
        <f>Amnt_Deposited!B83</f>
        <v>2069</v>
      </c>
      <c r="C88" s="99">
        <f>Amnt_Deposited!H83</f>
        <v>0</v>
      </c>
      <c r="D88" s="417">
        <f>Dry_Matter_Content!H75</f>
        <v>0.73</v>
      </c>
      <c r="E88" s="283">
        <f>MCF!R87</f>
        <v>0.78500000000000003</v>
      </c>
      <c r="F88" s="67">
        <f t="shared" si="14"/>
        <v>0</v>
      </c>
      <c r="G88" s="67">
        <f t="shared" si="15"/>
        <v>0</v>
      </c>
      <c r="H88" s="67">
        <f t="shared" si="16"/>
        <v>0</v>
      </c>
      <c r="I88" s="67">
        <f t="shared" si="17"/>
        <v>0.57260593068257049</v>
      </c>
      <c r="J88" s="67">
        <f t="shared" si="18"/>
        <v>4.1518614609171105E-2</v>
      </c>
      <c r="K88" s="100">
        <f t="shared" si="20"/>
        <v>2.767907640611407E-2</v>
      </c>
      <c r="O88" s="96">
        <f>Amnt_Deposited!B83</f>
        <v>2069</v>
      </c>
      <c r="P88" s="99">
        <f>Amnt_Deposited!H83</f>
        <v>0</v>
      </c>
      <c r="Q88" s="283">
        <f>MCF!R87</f>
        <v>0.78500000000000003</v>
      </c>
      <c r="R88" s="67">
        <f t="shared" si="19"/>
        <v>0</v>
      </c>
      <c r="S88" s="67">
        <f t="shared" si="21"/>
        <v>0</v>
      </c>
      <c r="T88" s="67">
        <f t="shared" si="22"/>
        <v>0</v>
      </c>
      <c r="U88" s="67">
        <f t="shared" si="23"/>
        <v>0.62751334869322772</v>
      </c>
      <c r="V88" s="67">
        <f t="shared" si="24"/>
        <v>4.5499851626488869E-2</v>
      </c>
      <c r="W88" s="100">
        <f t="shared" si="25"/>
        <v>3.0333234417659245E-2</v>
      </c>
    </row>
    <row r="89" spans="2:23">
      <c r="B89" s="96">
        <f>Amnt_Deposited!B84</f>
        <v>2070</v>
      </c>
      <c r="C89" s="99">
        <f>Amnt_Deposited!H84</f>
        <v>0</v>
      </c>
      <c r="D89" s="417">
        <f>Dry_Matter_Content!H76</f>
        <v>0.73</v>
      </c>
      <c r="E89" s="283">
        <f>MCF!R88</f>
        <v>0.78500000000000003</v>
      </c>
      <c r="F89" s="67">
        <f t="shared" si="14"/>
        <v>0</v>
      </c>
      <c r="G89" s="67">
        <f t="shared" si="15"/>
        <v>0</v>
      </c>
      <c r="H89" s="67">
        <f t="shared" si="16"/>
        <v>0</v>
      </c>
      <c r="I89" s="67">
        <f t="shared" si="17"/>
        <v>0.5338942310099225</v>
      </c>
      <c r="J89" s="67">
        <f t="shared" si="18"/>
        <v>3.871169967264796E-2</v>
      </c>
      <c r="K89" s="100">
        <f t="shared" si="20"/>
        <v>2.5807799781765305E-2</v>
      </c>
      <c r="O89" s="96">
        <f>Amnt_Deposited!B84</f>
        <v>2070</v>
      </c>
      <c r="P89" s="99">
        <f>Amnt_Deposited!H84</f>
        <v>0</v>
      </c>
      <c r="Q89" s="283">
        <f>MCF!R88</f>
        <v>0.78500000000000003</v>
      </c>
      <c r="R89" s="67">
        <f t="shared" si="19"/>
        <v>0</v>
      </c>
      <c r="S89" s="67">
        <f t="shared" si="21"/>
        <v>0</v>
      </c>
      <c r="T89" s="67">
        <f t="shared" si="22"/>
        <v>0</v>
      </c>
      <c r="U89" s="67">
        <f t="shared" si="23"/>
        <v>0.58508956823005187</v>
      </c>
      <c r="V89" s="67">
        <f t="shared" si="24"/>
        <v>4.2423780463175832E-2</v>
      </c>
      <c r="W89" s="100">
        <f t="shared" si="25"/>
        <v>2.8282520308783886E-2</v>
      </c>
    </row>
    <row r="90" spans="2:23">
      <c r="B90" s="96">
        <f>Amnt_Deposited!B85</f>
        <v>2071</v>
      </c>
      <c r="C90" s="99">
        <f>Amnt_Deposited!H85</f>
        <v>0</v>
      </c>
      <c r="D90" s="417">
        <f>Dry_Matter_Content!H77</f>
        <v>0.73</v>
      </c>
      <c r="E90" s="283">
        <f>MCF!R89</f>
        <v>0.78500000000000003</v>
      </c>
      <c r="F90" s="67">
        <f t="shared" si="14"/>
        <v>0</v>
      </c>
      <c r="G90" s="67">
        <f t="shared" si="15"/>
        <v>0</v>
      </c>
      <c r="H90" s="67">
        <f t="shared" si="16"/>
        <v>0</v>
      </c>
      <c r="I90" s="67">
        <f t="shared" si="17"/>
        <v>0.49779968147709042</v>
      </c>
      <c r="J90" s="67">
        <f t="shared" si="18"/>
        <v>3.6094549532832074E-2</v>
      </c>
      <c r="K90" s="100">
        <f t="shared" si="20"/>
        <v>2.4063033021888048E-2</v>
      </c>
      <c r="O90" s="96">
        <f>Amnt_Deposited!B85</f>
        <v>2071</v>
      </c>
      <c r="P90" s="99">
        <f>Amnt_Deposited!H85</f>
        <v>0</v>
      </c>
      <c r="Q90" s="283">
        <f>MCF!R89</f>
        <v>0.78500000000000003</v>
      </c>
      <c r="R90" s="67">
        <f t="shared" si="19"/>
        <v>0</v>
      </c>
      <c r="S90" s="67">
        <f t="shared" si="21"/>
        <v>0</v>
      </c>
      <c r="T90" s="67">
        <f t="shared" si="22"/>
        <v>0</v>
      </c>
      <c r="U90" s="67">
        <f t="shared" si="23"/>
        <v>0.54553389750914005</v>
      </c>
      <c r="V90" s="67">
        <f t="shared" si="24"/>
        <v>3.9555670720911852E-2</v>
      </c>
      <c r="W90" s="100">
        <f t="shared" si="25"/>
        <v>2.6370447147274566E-2</v>
      </c>
    </row>
    <row r="91" spans="2:23">
      <c r="B91" s="96">
        <f>Amnt_Deposited!B86</f>
        <v>2072</v>
      </c>
      <c r="C91" s="99">
        <f>Amnt_Deposited!H86</f>
        <v>0</v>
      </c>
      <c r="D91" s="417">
        <f>Dry_Matter_Content!H78</f>
        <v>0.73</v>
      </c>
      <c r="E91" s="283">
        <f>MCF!R90</f>
        <v>0.78500000000000003</v>
      </c>
      <c r="F91" s="67">
        <f t="shared" si="14"/>
        <v>0</v>
      </c>
      <c r="G91" s="67">
        <f t="shared" si="15"/>
        <v>0</v>
      </c>
      <c r="H91" s="67">
        <f t="shared" si="16"/>
        <v>0</v>
      </c>
      <c r="I91" s="67">
        <f t="shared" si="17"/>
        <v>0.46414534656038864</v>
      </c>
      <c r="J91" s="67">
        <f t="shared" si="18"/>
        <v>3.3654334916701757E-2</v>
      </c>
      <c r="K91" s="100">
        <f t="shared" si="20"/>
        <v>2.2436223277801169E-2</v>
      </c>
      <c r="O91" s="96">
        <f>Amnt_Deposited!B86</f>
        <v>2072</v>
      </c>
      <c r="P91" s="99">
        <f>Amnt_Deposited!H86</f>
        <v>0</v>
      </c>
      <c r="Q91" s="283">
        <f>MCF!R90</f>
        <v>0.78500000000000003</v>
      </c>
      <c r="R91" s="67">
        <f t="shared" si="19"/>
        <v>0</v>
      </c>
      <c r="S91" s="67">
        <f t="shared" si="21"/>
        <v>0</v>
      </c>
      <c r="T91" s="67">
        <f t="shared" si="22"/>
        <v>0</v>
      </c>
      <c r="U91" s="67">
        <f t="shared" si="23"/>
        <v>0.50865243458672715</v>
      </c>
      <c r="V91" s="67">
        <f t="shared" si="24"/>
        <v>3.6881462922412879E-2</v>
      </c>
      <c r="W91" s="100">
        <f t="shared" si="25"/>
        <v>2.458764194827525E-2</v>
      </c>
    </row>
    <row r="92" spans="2:23">
      <c r="B92" s="96">
        <f>Amnt_Deposited!B87</f>
        <v>2073</v>
      </c>
      <c r="C92" s="99">
        <f>Amnt_Deposited!H87</f>
        <v>0</v>
      </c>
      <c r="D92" s="417">
        <f>Dry_Matter_Content!H79</f>
        <v>0.73</v>
      </c>
      <c r="E92" s="283">
        <f>MCF!R91</f>
        <v>0.78500000000000003</v>
      </c>
      <c r="F92" s="67">
        <f t="shared" si="14"/>
        <v>0</v>
      </c>
      <c r="G92" s="67">
        <f t="shared" si="15"/>
        <v>0</v>
      </c>
      <c r="H92" s="67">
        <f t="shared" si="16"/>
        <v>0</v>
      </c>
      <c r="I92" s="67">
        <f t="shared" si="17"/>
        <v>0.43276625267101093</v>
      </c>
      <c r="J92" s="67">
        <f t="shared" si="18"/>
        <v>3.1379093889377686E-2</v>
      </c>
      <c r="K92" s="100">
        <f t="shared" si="20"/>
        <v>2.0919395926251791E-2</v>
      </c>
      <c r="O92" s="96">
        <f>Amnt_Deposited!B87</f>
        <v>2073</v>
      </c>
      <c r="P92" s="99">
        <f>Amnt_Deposited!H87</f>
        <v>0</v>
      </c>
      <c r="Q92" s="283">
        <f>MCF!R91</f>
        <v>0.78500000000000003</v>
      </c>
      <c r="R92" s="67">
        <f t="shared" si="19"/>
        <v>0</v>
      </c>
      <c r="S92" s="67">
        <f t="shared" si="21"/>
        <v>0</v>
      </c>
      <c r="T92" s="67">
        <f t="shared" si="22"/>
        <v>0</v>
      </c>
      <c r="U92" s="67">
        <f t="shared" si="23"/>
        <v>0.474264386488779</v>
      </c>
      <c r="V92" s="67">
        <f t="shared" si="24"/>
        <v>3.438804809794814E-2</v>
      </c>
      <c r="W92" s="100">
        <f t="shared" si="25"/>
        <v>2.2925365398632092E-2</v>
      </c>
    </row>
    <row r="93" spans="2:23">
      <c r="B93" s="96">
        <f>Amnt_Deposited!B88</f>
        <v>2074</v>
      </c>
      <c r="C93" s="99">
        <f>Amnt_Deposited!H88</f>
        <v>0</v>
      </c>
      <c r="D93" s="417">
        <f>Dry_Matter_Content!H80</f>
        <v>0.73</v>
      </c>
      <c r="E93" s="283">
        <f>MCF!R92</f>
        <v>0.78500000000000003</v>
      </c>
      <c r="F93" s="67">
        <f t="shared" si="14"/>
        <v>0</v>
      </c>
      <c r="G93" s="67">
        <f t="shared" si="15"/>
        <v>0</v>
      </c>
      <c r="H93" s="67">
        <f t="shared" si="16"/>
        <v>0</v>
      </c>
      <c r="I93" s="67">
        <f t="shared" si="17"/>
        <v>0.40350857945430668</v>
      </c>
      <c r="J93" s="67">
        <f t="shared" si="18"/>
        <v>2.925767321670426E-2</v>
      </c>
      <c r="K93" s="100">
        <f t="shared" si="20"/>
        <v>1.9505115477802839E-2</v>
      </c>
      <c r="O93" s="96">
        <f>Amnt_Deposited!B88</f>
        <v>2074</v>
      </c>
      <c r="P93" s="99">
        <f>Amnt_Deposited!H88</f>
        <v>0</v>
      </c>
      <c r="Q93" s="283">
        <f>MCF!R92</f>
        <v>0.78500000000000003</v>
      </c>
      <c r="R93" s="67">
        <f t="shared" si="19"/>
        <v>0</v>
      </c>
      <c r="S93" s="67">
        <f t="shared" si="21"/>
        <v>0</v>
      </c>
      <c r="T93" s="67">
        <f t="shared" si="22"/>
        <v>0</v>
      </c>
      <c r="U93" s="67">
        <f t="shared" si="23"/>
        <v>0.44220118296362365</v>
      </c>
      <c r="V93" s="67">
        <f t="shared" si="24"/>
        <v>3.2063203525155348E-2</v>
      </c>
      <c r="W93" s="100">
        <f t="shared" si="25"/>
        <v>2.1375469016770232E-2</v>
      </c>
    </row>
    <row r="94" spans="2:23">
      <c r="B94" s="96">
        <f>Amnt_Deposited!B89</f>
        <v>2075</v>
      </c>
      <c r="C94" s="99">
        <f>Amnt_Deposited!H89</f>
        <v>0</v>
      </c>
      <c r="D94" s="417">
        <f>Dry_Matter_Content!H81</f>
        <v>0.73</v>
      </c>
      <c r="E94" s="283">
        <f>MCF!R93</f>
        <v>0.78500000000000003</v>
      </c>
      <c r="F94" s="67">
        <f t="shared" si="14"/>
        <v>0</v>
      </c>
      <c r="G94" s="67">
        <f t="shared" si="15"/>
        <v>0</v>
      </c>
      <c r="H94" s="67">
        <f t="shared" si="16"/>
        <v>0</v>
      </c>
      <c r="I94" s="67">
        <f t="shared" si="17"/>
        <v>0.37622890576222384</v>
      </c>
      <c r="J94" s="67">
        <f t="shared" si="18"/>
        <v>2.7279673692082836E-2</v>
      </c>
      <c r="K94" s="100">
        <f t="shared" si="20"/>
        <v>1.8186449128055223E-2</v>
      </c>
      <c r="O94" s="96">
        <f>Amnt_Deposited!B89</f>
        <v>2075</v>
      </c>
      <c r="P94" s="99">
        <f>Amnt_Deposited!H89</f>
        <v>0</v>
      </c>
      <c r="Q94" s="283">
        <f>MCF!R93</f>
        <v>0.78500000000000003</v>
      </c>
      <c r="R94" s="67">
        <f t="shared" si="19"/>
        <v>0</v>
      </c>
      <c r="S94" s="67">
        <f t="shared" si="21"/>
        <v>0</v>
      </c>
      <c r="T94" s="67">
        <f t="shared" si="22"/>
        <v>0</v>
      </c>
      <c r="U94" s="67">
        <f t="shared" si="23"/>
        <v>0.41230565015038217</v>
      </c>
      <c r="V94" s="67">
        <f t="shared" si="24"/>
        <v>2.9895532813241459E-2</v>
      </c>
      <c r="W94" s="100">
        <f t="shared" si="25"/>
        <v>1.993035520882764E-2</v>
      </c>
    </row>
    <row r="95" spans="2:23">
      <c r="B95" s="96">
        <f>Amnt_Deposited!B90</f>
        <v>2076</v>
      </c>
      <c r="C95" s="99">
        <f>Amnt_Deposited!H90</f>
        <v>0</v>
      </c>
      <c r="D95" s="417">
        <f>Dry_Matter_Content!H82</f>
        <v>0.73</v>
      </c>
      <c r="E95" s="283">
        <f>MCF!R94</f>
        <v>0.78500000000000003</v>
      </c>
      <c r="F95" s="67">
        <f t="shared" si="14"/>
        <v>0</v>
      </c>
      <c r="G95" s="67">
        <f t="shared" si="15"/>
        <v>0</v>
      </c>
      <c r="H95" s="67">
        <f t="shared" si="16"/>
        <v>0</v>
      </c>
      <c r="I95" s="67">
        <f t="shared" si="17"/>
        <v>0.35079350660267494</v>
      </c>
      <c r="J95" s="67">
        <f t="shared" si="18"/>
        <v>2.543539915954892E-2</v>
      </c>
      <c r="K95" s="100">
        <f t="shared" si="20"/>
        <v>1.6956932773032611E-2</v>
      </c>
      <c r="O95" s="96">
        <f>Amnt_Deposited!B90</f>
        <v>2076</v>
      </c>
      <c r="P95" s="99">
        <f>Amnt_Deposited!H90</f>
        <v>0</v>
      </c>
      <c r="Q95" s="283">
        <f>MCF!R94</f>
        <v>0.78500000000000003</v>
      </c>
      <c r="R95" s="67">
        <f t="shared" si="19"/>
        <v>0</v>
      </c>
      <c r="S95" s="67">
        <f t="shared" si="21"/>
        <v>0</v>
      </c>
      <c r="T95" s="67">
        <f t="shared" si="22"/>
        <v>0</v>
      </c>
      <c r="U95" s="67">
        <f t="shared" si="23"/>
        <v>0.38443124011252033</v>
      </c>
      <c r="V95" s="67">
        <f t="shared" si="24"/>
        <v>2.7874410037861824E-2</v>
      </c>
      <c r="W95" s="100">
        <f t="shared" si="25"/>
        <v>1.8582940025241215E-2</v>
      </c>
    </row>
    <row r="96" spans="2:23">
      <c r="B96" s="96">
        <f>Amnt_Deposited!B91</f>
        <v>2077</v>
      </c>
      <c r="C96" s="99">
        <f>Amnt_Deposited!H91</f>
        <v>0</v>
      </c>
      <c r="D96" s="417">
        <f>Dry_Matter_Content!H83</f>
        <v>0.73</v>
      </c>
      <c r="E96" s="283">
        <f>MCF!R95</f>
        <v>0.78500000000000003</v>
      </c>
      <c r="F96" s="67">
        <f t="shared" si="14"/>
        <v>0</v>
      </c>
      <c r="G96" s="67">
        <f t="shared" si="15"/>
        <v>0</v>
      </c>
      <c r="H96" s="67">
        <f t="shared" si="16"/>
        <v>0</v>
      </c>
      <c r="I96" s="67">
        <f t="shared" si="17"/>
        <v>0.32707769761947059</v>
      </c>
      <c r="J96" s="67">
        <f t="shared" si="18"/>
        <v>2.3715808983204367E-2</v>
      </c>
      <c r="K96" s="100">
        <f t="shared" si="20"/>
        <v>1.5810539322136243E-2</v>
      </c>
      <c r="O96" s="96">
        <f>Amnt_Deposited!B91</f>
        <v>2077</v>
      </c>
      <c r="P96" s="99">
        <f>Amnt_Deposited!H91</f>
        <v>0</v>
      </c>
      <c r="Q96" s="283">
        <f>MCF!R95</f>
        <v>0.78500000000000003</v>
      </c>
      <c r="R96" s="67">
        <f t="shared" si="19"/>
        <v>0</v>
      </c>
      <c r="S96" s="67">
        <f t="shared" si="21"/>
        <v>0</v>
      </c>
      <c r="T96" s="67">
        <f t="shared" si="22"/>
        <v>0</v>
      </c>
      <c r="U96" s="67">
        <f t="shared" si="23"/>
        <v>0.35844131245969363</v>
      </c>
      <c r="V96" s="67">
        <f t="shared" si="24"/>
        <v>2.5989927652826691E-2</v>
      </c>
      <c r="W96" s="100">
        <f t="shared" si="25"/>
        <v>1.7326618435217794E-2</v>
      </c>
    </row>
    <row r="97" spans="2:23">
      <c r="B97" s="96">
        <f>Amnt_Deposited!B92</f>
        <v>2078</v>
      </c>
      <c r="C97" s="99">
        <f>Amnt_Deposited!H92</f>
        <v>0</v>
      </c>
      <c r="D97" s="417">
        <f>Dry_Matter_Content!H84</f>
        <v>0.73</v>
      </c>
      <c r="E97" s="283">
        <f>MCF!R96</f>
        <v>0.78500000000000003</v>
      </c>
      <c r="F97" s="67">
        <f t="shared" si="14"/>
        <v>0</v>
      </c>
      <c r="G97" s="67">
        <f t="shared" si="15"/>
        <v>0</v>
      </c>
      <c r="H97" s="67">
        <f t="shared" si="16"/>
        <v>0</v>
      </c>
      <c r="I97" s="67">
        <f t="shared" si="17"/>
        <v>0.30496522388946085</v>
      </c>
      <c r="J97" s="67">
        <f t="shared" si="18"/>
        <v>2.2112473730009723E-2</v>
      </c>
      <c r="K97" s="100">
        <f t="shared" si="20"/>
        <v>1.4741649153339816E-2</v>
      </c>
      <c r="O97" s="96">
        <f>Amnt_Deposited!B92</f>
        <v>2078</v>
      </c>
      <c r="P97" s="99">
        <f>Amnt_Deposited!H92</f>
        <v>0</v>
      </c>
      <c r="Q97" s="283">
        <f>MCF!R96</f>
        <v>0.78500000000000003</v>
      </c>
      <c r="R97" s="67">
        <f t="shared" si="19"/>
        <v>0</v>
      </c>
      <c r="S97" s="67">
        <f t="shared" si="21"/>
        <v>0</v>
      </c>
      <c r="T97" s="67">
        <f t="shared" si="22"/>
        <v>0</v>
      </c>
      <c r="U97" s="67">
        <f t="shared" si="23"/>
        <v>0.3342084645363953</v>
      </c>
      <c r="V97" s="67">
        <f t="shared" si="24"/>
        <v>2.4232847923298315E-2</v>
      </c>
      <c r="W97" s="100">
        <f t="shared" si="25"/>
        <v>1.6155231948865541E-2</v>
      </c>
    </row>
    <row r="98" spans="2:23">
      <c r="B98" s="96">
        <f>Amnt_Deposited!B93</f>
        <v>2079</v>
      </c>
      <c r="C98" s="99">
        <f>Amnt_Deposited!H93</f>
        <v>0</v>
      </c>
      <c r="D98" s="417">
        <f>Dry_Matter_Content!H85</f>
        <v>0.73</v>
      </c>
      <c r="E98" s="283">
        <f>MCF!R97</f>
        <v>0.78500000000000003</v>
      </c>
      <c r="F98" s="67">
        <f t="shared" si="14"/>
        <v>0</v>
      </c>
      <c r="G98" s="67">
        <f t="shared" si="15"/>
        <v>0</v>
      </c>
      <c r="H98" s="67">
        <f t="shared" si="16"/>
        <v>0</v>
      </c>
      <c r="I98" s="67">
        <f t="shared" si="17"/>
        <v>0.28434769004076715</v>
      </c>
      <c r="J98" s="67">
        <f t="shared" si="18"/>
        <v>2.0617533848693696E-2</v>
      </c>
      <c r="K98" s="100">
        <f t="shared" si="20"/>
        <v>1.3745022565795796E-2</v>
      </c>
      <c r="O98" s="96">
        <f>Amnt_Deposited!B93</f>
        <v>2079</v>
      </c>
      <c r="P98" s="99">
        <f>Amnt_Deposited!H93</f>
        <v>0</v>
      </c>
      <c r="Q98" s="283">
        <f>MCF!R97</f>
        <v>0.78500000000000003</v>
      </c>
      <c r="R98" s="67">
        <f t="shared" si="19"/>
        <v>0</v>
      </c>
      <c r="S98" s="67">
        <f t="shared" si="21"/>
        <v>0</v>
      </c>
      <c r="T98" s="67">
        <f t="shared" si="22"/>
        <v>0</v>
      </c>
      <c r="U98" s="67">
        <f t="shared" si="23"/>
        <v>0.31161390689399127</v>
      </c>
      <c r="V98" s="67">
        <f t="shared" si="24"/>
        <v>2.2594557642404041E-2</v>
      </c>
      <c r="W98" s="100">
        <f t="shared" si="25"/>
        <v>1.506303842826936E-2</v>
      </c>
    </row>
    <row r="99" spans="2:23" ht="13.5" thickBot="1">
      <c r="B99" s="97">
        <f>Amnt_Deposited!B94</f>
        <v>2080</v>
      </c>
      <c r="C99" s="101">
        <f>Amnt_Deposited!H94</f>
        <v>0</v>
      </c>
      <c r="D99" s="418">
        <f>Dry_Matter_Content!H86</f>
        <v>0.73</v>
      </c>
      <c r="E99" s="284">
        <f>MCF!R98</f>
        <v>0.78500000000000003</v>
      </c>
      <c r="F99" s="68">
        <f t="shared" si="14"/>
        <v>0</v>
      </c>
      <c r="G99" s="68">
        <f t="shared" si="15"/>
        <v>0</v>
      </c>
      <c r="H99" s="68">
        <f t="shared" si="16"/>
        <v>0</v>
      </c>
      <c r="I99" s="68">
        <f t="shared" si="17"/>
        <v>0.26512402889854347</v>
      </c>
      <c r="J99" s="68">
        <f t="shared" si="18"/>
        <v>1.9223661142223701E-2</v>
      </c>
      <c r="K99" s="102">
        <f t="shared" si="20"/>
        <v>1.28157740948158E-2</v>
      </c>
      <c r="O99" s="97">
        <f>Amnt_Deposited!B94</f>
        <v>2080</v>
      </c>
      <c r="P99" s="101">
        <f>Amnt_Deposited!H94</f>
        <v>0</v>
      </c>
      <c r="Q99" s="284">
        <f>MCF!R98</f>
        <v>0.78500000000000003</v>
      </c>
      <c r="R99" s="68">
        <f t="shared" si="19"/>
        <v>0</v>
      </c>
      <c r="S99" s="68">
        <f>R99*$W$12</f>
        <v>0</v>
      </c>
      <c r="T99" s="68">
        <f>R99*(1-$W$12)</f>
        <v>0</v>
      </c>
      <c r="U99" s="68">
        <f>S99+U98*$W$10</f>
        <v>0.29054688098470505</v>
      </c>
      <c r="V99" s="68">
        <f>U98*(1-$W$10)+T99</f>
        <v>2.106702590928624E-2</v>
      </c>
      <c r="W99" s="102">
        <f t="shared" si="25"/>
        <v>1.4044683939524159E-2</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0" workbookViewId="0">
      <selection activeCell="C19" sqref="C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1" customWidth="1"/>
    <col min="14" max="16384" width="8.85546875" style="6"/>
  </cols>
  <sheetData>
    <row r="2" spans="1:23" ht="15.75">
      <c r="B2" s="45" t="s">
        <v>310</v>
      </c>
      <c r="C2" s="223"/>
      <c r="D2" s="223"/>
      <c r="E2" s="224"/>
      <c r="F2" s="225"/>
      <c r="G2" s="225"/>
      <c r="H2" s="225"/>
      <c r="I2" s="225"/>
      <c r="J2" s="225"/>
      <c r="K2" s="225"/>
    </row>
    <row r="3" spans="1:23" ht="15">
      <c r="B3" s="242"/>
      <c r="C3" s="223"/>
      <c r="D3" s="223"/>
      <c r="E3" s="224"/>
      <c r="F3" s="225"/>
      <c r="G3" s="225"/>
      <c r="H3" s="225"/>
      <c r="I3" s="225"/>
      <c r="J3" s="225"/>
      <c r="K3" s="225"/>
    </row>
    <row r="4" spans="1:23" ht="16.5" thickBot="1">
      <c r="B4" s="226"/>
      <c r="C4" s="227"/>
      <c r="D4" s="227"/>
      <c r="E4" s="256"/>
      <c r="F4" s="228"/>
      <c r="G4" s="228"/>
      <c r="H4" s="228"/>
      <c r="I4" s="228"/>
      <c r="J4" s="228"/>
      <c r="K4" s="228"/>
    </row>
    <row r="5" spans="1:23" ht="26.25" thickBot="1">
      <c r="B5" s="229"/>
      <c r="C5" s="230"/>
      <c r="D5" s="230"/>
      <c r="F5" s="231"/>
      <c r="G5" s="216"/>
      <c r="H5" s="216"/>
      <c r="I5" s="216"/>
      <c r="J5" s="216"/>
      <c r="K5" s="115" t="s">
        <v>7</v>
      </c>
      <c r="O5" s="229"/>
      <c r="P5" s="230"/>
      <c r="Q5" s="222"/>
      <c r="R5" s="231"/>
      <c r="S5" s="216"/>
      <c r="T5" s="216"/>
      <c r="U5" s="216"/>
      <c r="V5" s="216"/>
      <c r="W5" s="115" t="s">
        <v>7</v>
      </c>
    </row>
    <row r="6" spans="1:23">
      <c r="B6" s="229"/>
      <c r="C6" s="230"/>
      <c r="D6" s="230"/>
      <c r="F6" s="108" t="s">
        <v>9</v>
      </c>
      <c r="G6" s="109"/>
      <c r="H6" s="109"/>
      <c r="I6" s="113"/>
      <c r="J6" s="120" t="s">
        <v>9</v>
      </c>
      <c r="K6" s="260">
        <f>Parameters!O27</f>
        <v>0</v>
      </c>
      <c r="O6" s="229"/>
      <c r="P6" s="230"/>
      <c r="Q6" s="222"/>
      <c r="R6" s="108" t="s">
        <v>9</v>
      </c>
      <c r="S6" s="109"/>
      <c r="T6" s="109"/>
      <c r="U6" s="113"/>
      <c r="V6" s="120" t="s">
        <v>9</v>
      </c>
      <c r="W6" s="260">
        <f>Parameters!R27</f>
        <v>0.05</v>
      </c>
    </row>
    <row r="7" spans="1:23" ht="13.5" thickBot="1">
      <c r="B7" s="229"/>
      <c r="C7" s="230"/>
      <c r="D7" s="230"/>
      <c r="F7" s="250" t="s">
        <v>12</v>
      </c>
      <c r="G7" s="251"/>
      <c r="H7" s="251"/>
      <c r="I7" s="252"/>
      <c r="J7" s="253" t="s">
        <v>12</v>
      </c>
      <c r="K7" s="254">
        <f>DOCF</f>
        <v>0.5</v>
      </c>
      <c r="O7" s="229"/>
      <c r="P7" s="230"/>
      <c r="Q7" s="222"/>
      <c r="R7" s="250" t="s">
        <v>12</v>
      </c>
      <c r="S7" s="251"/>
      <c r="T7" s="251"/>
      <c r="U7" s="252"/>
      <c r="V7" s="253" t="s">
        <v>12</v>
      </c>
      <c r="W7" s="254">
        <f>DOCF</f>
        <v>0.5</v>
      </c>
    </row>
    <row r="8" spans="1:23">
      <c r="F8" s="108" t="s">
        <v>192</v>
      </c>
      <c r="G8" s="109"/>
      <c r="H8" s="109"/>
      <c r="I8" s="113"/>
      <c r="J8" s="120" t="s">
        <v>188</v>
      </c>
      <c r="K8" s="114">
        <f>Parameters!O46</f>
        <v>0.4</v>
      </c>
      <c r="O8" s="47"/>
      <c r="P8" s="47"/>
      <c r="Q8" s="222"/>
      <c r="R8" s="108" t="s">
        <v>192</v>
      </c>
      <c r="S8" s="109"/>
      <c r="T8" s="109"/>
      <c r="U8" s="113"/>
      <c r="V8" s="120" t="s">
        <v>188</v>
      </c>
      <c r="W8" s="114">
        <f>Parameters!O46</f>
        <v>0.4</v>
      </c>
    </row>
    <row r="9" spans="1:23" ht="15.75">
      <c r="F9" s="246" t="s">
        <v>190</v>
      </c>
      <c r="G9" s="247"/>
      <c r="H9" s="247"/>
      <c r="I9" s="248"/>
      <c r="J9" s="249" t="s">
        <v>189</v>
      </c>
      <c r="K9" s="255">
        <f>LN(2)/$K$8</f>
        <v>1.732867951399863</v>
      </c>
      <c r="O9" s="47"/>
      <c r="P9" s="47"/>
      <c r="Q9" s="222"/>
      <c r="R9" s="246" t="s">
        <v>190</v>
      </c>
      <c r="S9" s="247"/>
      <c r="T9" s="247"/>
      <c r="U9" s="248"/>
      <c r="V9" s="249" t="s">
        <v>189</v>
      </c>
      <c r="W9" s="255">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8" t="s">
        <v>239</v>
      </c>
      <c r="E15" s="53" t="s">
        <v>11</v>
      </c>
      <c r="F15" s="54" t="s">
        <v>180</v>
      </c>
      <c r="G15" s="54" t="s">
        <v>181</v>
      </c>
      <c r="H15" s="54" t="s">
        <v>182</v>
      </c>
      <c r="I15" s="54" t="s">
        <v>183</v>
      </c>
      <c r="J15" s="54" t="s">
        <v>184</v>
      </c>
      <c r="K15" s="245" t="s">
        <v>185</v>
      </c>
      <c r="O15" s="51" t="s">
        <v>1</v>
      </c>
      <c r="P15" s="52" t="s">
        <v>10</v>
      </c>
      <c r="Q15" s="53" t="s">
        <v>11</v>
      </c>
      <c r="R15" s="54" t="s">
        <v>180</v>
      </c>
      <c r="S15" s="54" t="s">
        <v>181</v>
      </c>
      <c r="T15" s="54" t="s">
        <v>182</v>
      </c>
      <c r="U15" s="54" t="s">
        <v>183</v>
      </c>
      <c r="V15" s="54" t="s">
        <v>184</v>
      </c>
      <c r="W15" s="245" t="s">
        <v>185</v>
      </c>
    </row>
    <row r="16" spans="1:23" ht="45">
      <c r="A16" s="232"/>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Amnt_Deposited!N14</f>
        <v>0</v>
      </c>
      <c r="D19" s="415">
        <f>Dry_Matter_Content!N6</f>
        <v>0</v>
      </c>
      <c r="E19" s="282">
        <f>MCF!R18</f>
        <v>0.78500000000000003</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Amnt_Deposited!N14</f>
        <v>0</v>
      </c>
      <c r="Q19" s="282">
        <f>MCF!R18</f>
        <v>0.78500000000000003</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Amnt_Deposited!N15</f>
        <v>0</v>
      </c>
      <c r="D20" s="417">
        <f>Dry_Matter_Content!N7</f>
        <v>0</v>
      </c>
      <c r="E20" s="283">
        <f>MCF!R19</f>
        <v>0.78500000000000003</v>
      </c>
      <c r="F20" s="67">
        <f t="shared" si="0"/>
        <v>0</v>
      </c>
      <c r="G20" s="67">
        <f t="shared" si="1"/>
        <v>0</v>
      </c>
      <c r="H20" s="67">
        <f t="shared" si="2"/>
        <v>0</v>
      </c>
      <c r="I20" s="67">
        <f t="shared" si="3"/>
        <v>0</v>
      </c>
      <c r="J20" s="67">
        <f t="shared" si="4"/>
        <v>0</v>
      </c>
      <c r="K20" s="100">
        <f>J20*CH4_fraction*conv</f>
        <v>0</v>
      </c>
      <c r="M20" s="392"/>
      <c r="O20" s="96">
        <f>Amnt_Deposited!B15</f>
        <v>2001</v>
      </c>
      <c r="P20" s="99">
        <f>Amnt_Deposited!N15</f>
        <v>0</v>
      </c>
      <c r="Q20" s="283">
        <f>MCF!R19</f>
        <v>0.78500000000000003</v>
      </c>
      <c r="R20" s="67">
        <f t="shared" si="5"/>
        <v>0</v>
      </c>
      <c r="S20" s="67">
        <f>R20*$W$12</f>
        <v>0</v>
      </c>
      <c r="T20" s="67">
        <f>R20*(1-$W$12)</f>
        <v>0</v>
      </c>
      <c r="U20" s="67">
        <f>S20+U19*$W$10</f>
        <v>0</v>
      </c>
      <c r="V20" s="67">
        <f>U19*(1-$W$10)+T20</f>
        <v>0</v>
      </c>
      <c r="W20" s="100">
        <f>V20*CH4_fraction*conv</f>
        <v>0</v>
      </c>
    </row>
    <row r="21" spans="2:23">
      <c r="B21" s="96">
        <f>Amnt_Deposited!B16</f>
        <v>2002</v>
      </c>
      <c r="C21" s="99">
        <f>Amnt_Deposited!N16</f>
        <v>0</v>
      </c>
      <c r="D21" s="417">
        <f>Dry_Matter_Content!N8</f>
        <v>0</v>
      </c>
      <c r="E21" s="283">
        <f>MCF!R20</f>
        <v>0.78500000000000003</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Amnt_Deposited!N16</f>
        <v>0</v>
      </c>
      <c r="Q21" s="283">
        <f>MCF!R20</f>
        <v>0.78500000000000003</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Amnt_Deposited!N17</f>
        <v>0</v>
      </c>
      <c r="D22" s="417">
        <f>Dry_Matter_Content!N9</f>
        <v>0</v>
      </c>
      <c r="E22" s="283">
        <f>MCF!R21</f>
        <v>0.78500000000000003</v>
      </c>
      <c r="F22" s="67">
        <f t="shared" si="0"/>
        <v>0</v>
      </c>
      <c r="G22" s="67">
        <f t="shared" si="1"/>
        <v>0</v>
      </c>
      <c r="H22" s="67">
        <f t="shared" si="2"/>
        <v>0</v>
      </c>
      <c r="I22" s="67">
        <f t="shared" si="3"/>
        <v>0</v>
      </c>
      <c r="J22" s="67">
        <f t="shared" si="4"/>
        <v>0</v>
      </c>
      <c r="K22" s="100">
        <f t="shared" si="6"/>
        <v>0</v>
      </c>
      <c r="N22" s="257"/>
      <c r="O22" s="96">
        <f>Amnt_Deposited!B17</f>
        <v>2003</v>
      </c>
      <c r="P22" s="99">
        <f>Amnt_Deposited!N17</f>
        <v>0</v>
      </c>
      <c r="Q22" s="283">
        <f>MCF!R21</f>
        <v>0.78500000000000003</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Amnt_Deposited!N18</f>
        <v>0</v>
      </c>
      <c r="D23" s="417">
        <f>Dry_Matter_Content!N10</f>
        <v>0</v>
      </c>
      <c r="E23" s="283">
        <f>MCF!R22</f>
        <v>0.78500000000000003</v>
      </c>
      <c r="F23" s="67">
        <f t="shared" si="0"/>
        <v>0</v>
      </c>
      <c r="G23" s="67">
        <f t="shared" si="1"/>
        <v>0</v>
      </c>
      <c r="H23" s="67">
        <f t="shared" si="2"/>
        <v>0</v>
      </c>
      <c r="I23" s="67">
        <f t="shared" si="3"/>
        <v>0</v>
      </c>
      <c r="J23" s="67">
        <f t="shared" si="4"/>
        <v>0</v>
      </c>
      <c r="K23" s="100">
        <f t="shared" si="6"/>
        <v>0</v>
      </c>
      <c r="N23" s="257"/>
      <c r="O23" s="96">
        <f>Amnt_Deposited!B18</f>
        <v>2004</v>
      </c>
      <c r="P23" s="99">
        <f>Amnt_Deposited!N18</f>
        <v>0</v>
      </c>
      <c r="Q23" s="283">
        <f>MCF!R22</f>
        <v>0.78500000000000003</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Amnt_Deposited!N19</f>
        <v>0</v>
      </c>
      <c r="D24" s="417">
        <f>Dry_Matter_Content!N11</f>
        <v>0</v>
      </c>
      <c r="E24" s="283">
        <f>MCF!R23</f>
        <v>0.78500000000000003</v>
      </c>
      <c r="F24" s="67">
        <f t="shared" si="0"/>
        <v>0</v>
      </c>
      <c r="G24" s="67">
        <f t="shared" si="1"/>
        <v>0</v>
      </c>
      <c r="H24" s="67">
        <f t="shared" si="2"/>
        <v>0</v>
      </c>
      <c r="I24" s="67">
        <f t="shared" si="3"/>
        <v>0</v>
      </c>
      <c r="J24" s="67">
        <f t="shared" si="4"/>
        <v>0</v>
      </c>
      <c r="K24" s="100">
        <f t="shared" si="6"/>
        <v>0</v>
      </c>
      <c r="N24" s="257"/>
      <c r="O24" s="96">
        <f>Amnt_Deposited!B19</f>
        <v>2005</v>
      </c>
      <c r="P24" s="99">
        <f>Amnt_Deposited!N19</f>
        <v>0</v>
      </c>
      <c r="Q24" s="283">
        <f>MCF!R23</f>
        <v>0.78500000000000003</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Amnt_Deposited!N20</f>
        <v>0</v>
      </c>
      <c r="D25" s="417">
        <f>Dry_Matter_Content!N12</f>
        <v>0</v>
      </c>
      <c r="E25" s="283">
        <f>MCF!R24</f>
        <v>0.78500000000000003</v>
      </c>
      <c r="F25" s="67">
        <f t="shared" si="0"/>
        <v>0</v>
      </c>
      <c r="G25" s="67">
        <f t="shared" si="1"/>
        <v>0</v>
      </c>
      <c r="H25" s="67">
        <f t="shared" si="2"/>
        <v>0</v>
      </c>
      <c r="I25" s="67">
        <f t="shared" si="3"/>
        <v>0</v>
      </c>
      <c r="J25" s="67">
        <f t="shared" si="4"/>
        <v>0</v>
      </c>
      <c r="K25" s="100">
        <f t="shared" si="6"/>
        <v>0</v>
      </c>
      <c r="N25" s="257"/>
      <c r="O25" s="96">
        <f>Amnt_Deposited!B20</f>
        <v>2006</v>
      </c>
      <c r="P25" s="99">
        <f>Amnt_Deposited!N20</f>
        <v>0</v>
      </c>
      <c r="Q25" s="283">
        <f>MCF!R24</f>
        <v>0.78500000000000003</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Amnt_Deposited!N21</f>
        <v>0</v>
      </c>
      <c r="D26" s="417">
        <f>Dry_Matter_Content!N13</f>
        <v>0</v>
      </c>
      <c r="E26" s="283">
        <f>MCF!R25</f>
        <v>0.78500000000000003</v>
      </c>
      <c r="F26" s="67">
        <f t="shared" si="0"/>
        <v>0</v>
      </c>
      <c r="G26" s="67">
        <f t="shared" si="1"/>
        <v>0</v>
      </c>
      <c r="H26" s="67">
        <f t="shared" si="2"/>
        <v>0</v>
      </c>
      <c r="I26" s="67">
        <f t="shared" si="3"/>
        <v>0</v>
      </c>
      <c r="J26" s="67">
        <f t="shared" si="4"/>
        <v>0</v>
      </c>
      <c r="K26" s="100">
        <f t="shared" si="6"/>
        <v>0</v>
      </c>
      <c r="N26" s="257"/>
      <c r="O26" s="96">
        <f>Amnt_Deposited!B21</f>
        <v>2007</v>
      </c>
      <c r="P26" s="99">
        <f>Amnt_Deposited!N21</f>
        <v>0</v>
      </c>
      <c r="Q26" s="283">
        <f>MCF!R25</f>
        <v>0.78500000000000003</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Amnt_Deposited!N22</f>
        <v>0</v>
      </c>
      <c r="D27" s="417">
        <f>Dry_Matter_Content!N14</f>
        <v>0</v>
      </c>
      <c r="E27" s="283">
        <f>MCF!R26</f>
        <v>0.78500000000000003</v>
      </c>
      <c r="F27" s="67">
        <f t="shared" si="0"/>
        <v>0</v>
      </c>
      <c r="G27" s="67">
        <f t="shared" si="1"/>
        <v>0</v>
      </c>
      <c r="H27" s="67">
        <f t="shared" si="2"/>
        <v>0</v>
      </c>
      <c r="I27" s="67">
        <f t="shared" si="3"/>
        <v>0</v>
      </c>
      <c r="J27" s="67">
        <f t="shared" si="4"/>
        <v>0</v>
      </c>
      <c r="K27" s="100">
        <f t="shared" si="6"/>
        <v>0</v>
      </c>
      <c r="N27" s="257"/>
      <c r="O27" s="96">
        <f>Amnt_Deposited!B22</f>
        <v>2008</v>
      </c>
      <c r="P27" s="99">
        <f>Amnt_Deposited!N22</f>
        <v>0</v>
      </c>
      <c r="Q27" s="283">
        <f>MCF!R26</f>
        <v>0.78500000000000003</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Amnt_Deposited!N23</f>
        <v>0</v>
      </c>
      <c r="D28" s="417">
        <f>Dry_Matter_Content!N15</f>
        <v>0</v>
      </c>
      <c r="E28" s="283">
        <f>MCF!R27</f>
        <v>0.78500000000000003</v>
      </c>
      <c r="F28" s="67">
        <f t="shared" si="0"/>
        <v>0</v>
      </c>
      <c r="G28" s="67">
        <f t="shared" si="1"/>
        <v>0</v>
      </c>
      <c r="H28" s="67">
        <f t="shared" si="2"/>
        <v>0</v>
      </c>
      <c r="I28" s="67">
        <f t="shared" si="3"/>
        <v>0</v>
      </c>
      <c r="J28" s="67">
        <f t="shared" si="4"/>
        <v>0</v>
      </c>
      <c r="K28" s="100">
        <f t="shared" si="6"/>
        <v>0</v>
      </c>
      <c r="N28" s="257"/>
      <c r="O28" s="96">
        <f>Amnt_Deposited!B23</f>
        <v>2009</v>
      </c>
      <c r="P28" s="99">
        <f>Amnt_Deposited!N23</f>
        <v>0</v>
      </c>
      <c r="Q28" s="283">
        <f>MCF!R27</f>
        <v>0.78500000000000003</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Amnt_Deposited!N24</f>
        <v>0</v>
      </c>
      <c r="D29" s="417">
        <f>Dry_Matter_Content!N16</f>
        <v>0</v>
      </c>
      <c r="E29" s="283">
        <f>MCF!R28</f>
        <v>0.78500000000000003</v>
      </c>
      <c r="F29" s="67">
        <f t="shared" si="0"/>
        <v>0</v>
      </c>
      <c r="G29" s="67">
        <f t="shared" si="1"/>
        <v>0</v>
      </c>
      <c r="H29" s="67">
        <f t="shared" si="2"/>
        <v>0</v>
      </c>
      <c r="I29" s="67">
        <f t="shared" si="3"/>
        <v>0</v>
      </c>
      <c r="J29" s="67">
        <f t="shared" si="4"/>
        <v>0</v>
      </c>
      <c r="K29" s="100">
        <f t="shared" si="6"/>
        <v>0</v>
      </c>
      <c r="O29" s="96">
        <f>Amnt_Deposited!B24</f>
        <v>2010</v>
      </c>
      <c r="P29" s="99">
        <f>Amnt_Deposited!N24</f>
        <v>0</v>
      </c>
      <c r="Q29" s="283">
        <f>MCF!R28</f>
        <v>0.78500000000000003</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Amnt_Deposited!N25</f>
        <v>0</v>
      </c>
      <c r="D30" s="417">
        <f>Dry_Matter_Content!N17</f>
        <v>0</v>
      </c>
      <c r="E30" s="283">
        <f>MCF!R29</f>
        <v>0.78500000000000003</v>
      </c>
      <c r="F30" s="67">
        <f t="shared" si="0"/>
        <v>0</v>
      </c>
      <c r="G30" s="67">
        <f t="shared" si="1"/>
        <v>0</v>
      </c>
      <c r="H30" s="67">
        <f t="shared" si="2"/>
        <v>0</v>
      </c>
      <c r="I30" s="67">
        <f t="shared" si="3"/>
        <v>0</v>
      </c>
      <c r="J30" s="67">
        <f t="shared" si="4"/>
        <v>0</v>
      </c>
      <c r="K30" s="100">
        <f t="shared" si="6"/>
        <v>0</v>
      </c>
      <c r="O30" s="96">
        <f>Amnt_Deposited!B25</f>
        <v>2011</v>
      </c>
      <c r="P30" s="99">
        <f>Amnt_Deposited!N25</f>
        <v>0</v>
      </c>
      <c r="Q30" s="283">
        <f>MCF!R29</f>
        <v>0.78500000000000003</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Amnt_Deposited!N26</f>
        <v>0</v>
      </c>
      <c r="D31" s="417">
        <f>Dry_Matter_Content!N18</f>
        <v>0</v>
      </c>
      <c r="E31" s="283">
        <f>MCF!R30</f>
        <v>0.78500000000000003</v>
      </c>
      <c r="F31" s="67">
        <f t="shared" si="0"/>
        <v>0</v>
      </c>
      <c r="G31" s="67">
        <f t="shared" si="1"/>
        <v>0</v>
      </c>
      <c r="H31" s="67">
        <f t="shared" si="2"/>
        <v>0</v>
      </c>
      <c r="I31" s="67">
        <f t="shared" si="3"/>
        <v>0</v>
      </c>
      <c r="J31" s="67">
        <f t="shared" si="4"/>
        <v>0</v>
      </c>
      <c r="K31" s="100">
        <f t="shared" si="6"/>
        <v>0</v>
      </c>
      <c r="O31" s="96">
        <f>Amnt_Deposited!B26</f>
        <v>2012</v>
      </c>
      <c r="P31" s="99">
        <f>Amnt_Deposited!N26</f>
        <v>0</v>
      </c>
      <c r="Q31" s="283">
        <f>MCF!R30</f>
        <v>0.78500000000000003</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Amnt_Deposited!N27</f>
        <v>0</v>
      </c>
      <c r="D32" s="417">
        <f>Dry_Matter_Content!N19</f>
        <v>0</v>
      </c>
      <c r="E32" s="283">
        <f>MCF!R31</f>
        <v>0.78500000000000003</v>
      </c>
      <c r="F32" s="67">
        <f t="shared" si="0"/>
        <v>0</v>
      </c>
      <c r="G32" s="67">
        <f t="shared" si="1"/>
        <v>0</v>
      </c>
      <c r="H32" s="67">
        <f t="shared" si="2"/>
        <v>0</v>
      </c>
      <c r="I32" s="67">
        <f t="shared" si="3"/>
        <v>0</v>
      </c>
      <c r="J32" s="67">
        <f t="shared" si="4"/>
        <v>0</v>
      </c>
      <c r="K32" s="100">
        <f t="shared" si="6"/>
        <v>0</v>
      </c>
      <c r="O32" s="96">
        <f>Amnt_Deposited!B27</f>
        <v>2013</v>
      </c>
      <c r="P32" s="99">
        <f>Amnt_Deposited!N27</f>
        <v>0</v>
      </c>
      <c r="Q32" s="283">
        <f>MCF!R31</f>
        <v>0.78500000000000003</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Amnt_Deposited!N28</f>
        <v>0</v>
      </c>
      <c r="D33" s="417">
        <f>Dry_Matter_Content!N20</f>
        <v>0</v>
      </c>
      <c r="E33" s="283">
        <f>MCF!R32</f>
        <v>0.78500000000000003</v>
      </c>
      <c r="F33" s="67">
        <f t="shared" si="0"/>
        <v>0</v>
      </c>
      <c r="G33" s="67">
        <f t="shared" si="1"/>
        <v>0</v>
      </c>
      <c r="H33" s="67">
        <f t="shared" si="2"/>
        <v>0</v>
      </c>
      <c r="I33" s="67">
        <f t="shared" si="3"/>
        <v>0</v>
      </c>
      <c r="J33" s="67">
        <f t="shared" si="4"/>
        <v>0</v>
      </c>
      <c r="K33" s="100">
        <f t="shared" si="6"/>
        <v>0</v>
      </c>
      <c r="O33" s="96">
        <f>Amnt_Deposited!B28</f>
        <v>2014</v>
      </c>
      <c r="P33" s="99">
        <f>Amnt_Deposited!N28</f>
        <v>0</v>
      </c>
      <c r="Q33" s="283">
        <f>MCF!R32</f>
        <v>0.78500000000000003</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Amnt_Deposited!N29</f>
        <v>0</v>
      </c>
      <c r="D34" s="417">
        <f>Dry_Matter_Content!N21</f>
        <v>0</v>
      </c>
      <c r="E34" s="283">
        <f>MCF!R33</f>
        <v>0.78500000000000003</v>
      </c>
      <c r="F34" s="67">
        <f t="shared" si="0"/>
        <v>0</v>
      </c>
      <c r="G34" s="67">
        <f t="shared" si="1"/>
        <v>0</v>
      </c>
      <c r="H34" s="67">
        <f t="shared" si="2"/>
        <v>0</v>
      </c>
      <c r="I34" s="67">
        <f t="shared" si="3"/>
        <v>0</v>
      </c>
      <c r="J34" s="67">
        <f t="shared" si="4"/>
        <v>0</v>
      </c>
      <c r="K34" s="100">
        <f t="shared" si="6"/>
        <v>0</v>
      </c>
      <c r="O34" s="96">
        <f>Amnt_Deposited!B29</f>
        <v>2015</v>
      </c>
      <c r="P34" s="99">
        <f>Amnt_Deposited!N29</f>
        <v>0</v>
      </c>
      <c r="Q34" s="283">
        <f>MCF!R33</f>
        <v>0.78500000000000003</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Amnt_Deposited!N30</f>
        <v>0</v>
      </c>
      <c r="D35" s="417">
        <f>Dry_Matter_Content!N22</f>
        <v>0</v>
      </c>
      <c r="E35" s="283">
        <f>MCF!R34</f>
        <v>0.78500000000000003</v>
      </c>
      <c r="F35" s="67">
        <f t="shared" si="0"/>
        <v>0</v>
      </c>
      <c r="G35" s="67">
        <f t="shared" si="1"/>
        <v>0</v>
      </c>
      <c r="H35" s="67">
        <f t="shared" si="2"/>
        <v>0</v>
      </c>
      <c r="I35" s="67">
        <f t="shared" si="3"/>
        <v>0</v>
      </c>
      <c r="J35" s="67">
        <f t="shared" si="4"/>
        <v>0</v>
      </c>
      <c r="K35" s="100">
        <f t="shared" si="6"/>
        <v>0</v>
      </c>
      <c r="O35" s="96">
        <f>Amnt_Deposited!B30</f>
        <v>2016</v>
      </c>
      <c r="P35" s="99">
        <f>Amnt_Deposited!N30</f>
        <v>0</v>
      </c>
      <c r="Q35" s="283">
        <f>MCF!R34</f>
        <v>0.78500000000000003</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Amnt_Deposited!N31</f>
        <v>0</v>
      </c>
      <c r="D36" s="417">
        <f>Dry_Matter_Content!N23</f>
        <v>0</v>
      </c>
      <c r="E36" s="283">
        <f>MCF!R35</f>
        <v>0.78500000000000003</v>
      </c>
      <c r="F36" s="67">
        <f t="shared" si="0"/>
        <v>0</v>
      </c>
      <c r="G36" s="67">
        <f t="shared" si="1"/>
        <v>0</v>
      </c>
      <c r="H36" s="67">
        <f t="shared" si="2"/>
        <v>0</v>
      </c>
      <c r="I36" s="67">
        <f t="shared" si="3"/>
        <v>0</v>
      </c>
      <c r="J36" s="67">
        <f t="shared" si="4"/>
        <v>0</v>
      </c>
      <c r="K36" s="100">
        <f t="shared" si="6"/>
        <v>0</v>
      </c>
      <c r="O36" s="96">
        <f>Amnt_Deposited!B31</f>
        <v>2017</v>
      </c>
      <c r="P36" s="99">
        <f>Amnt_Deposited!N31</f>
        <v>0</v>
      </c>
      <c r="Q36" s="283">
        <f>MCF!R35</f>
        <v>0.78500000000000003</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Amnt_Deposited!N32</f>
        <v>0</v>
      </c>
      <c r="D37" s="417">
        <f>Dry_Matter_Content!N24</f>
        <v>0</v>
      </c>
      <c r="E37" s="283">
        <f>MCF!R36</f>
        <v>0.78500000000000003</v>
      </c>
      <c r="F37" s="67">
        <f t="shared" si="0"/>
        <v>0</v>
      </c>
      <c r="G37" s="67">
        <f t="shared" si="1"/>
        <v>0</v>
      </c>
      <c r="H37" s="67">
        <f t="shared" si="2"/>
        <v>0</v>
      </c>
      <c r="I37" s="67">
        <f t="shared" si="3"/>
        <v>0</v>
      </c>
      <c r="J37" s="67">
        <f t="shared" si="4"/>
        <v>0</v>
      </c>
      <c r="K37" s="100">
        <f t="shared" si="6"/>
        <v>0</v>
      </c>
      <c r="O37" s="96">
        <f>Amnt_Deposited!B32</f>
        <v>2018</v>
      </c>
      <c r="P37" s="99">
        <f>Amnt_Deposited!N32</f>
        <v>0</v>
      </c>
      <c r="Q37" s="283">
        <f>MCF!R36</f>
        <v>0.78500000000000003</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Amnt_Deposited!N33</f>
        <v>0</v>
      </c>
      <c r="D38" s="417">
        <f>Dry_Matter_Content!N25</f>
        <v>0</v>
      </c>
      <c r="E38" s="283">
        <f>MCF!R37</f>
        <v>0.78500000000000003</v>
      </c>
      <c r="F38" s="67">
        <f t="shared" si="0"/>
        <v>0</v>
      </c>
      <c r="G38" s="67">
        <f t="shared" si="1"/>
        <v>0</v>
      </c>
      <c r="H38" s="67">
        <f t="shared" si="2"/>
        <v>0</v>
      </c>
      <c r="I38" s="67">
        <f t="shared" si="3"/>
        <v>0</v>
      </c>
      <c r="J38" s="67">
        <f t="shared" si="4"/>
        <v>0</v>
      </c>
      <c r="K38" s="100">
        <f t="shared" si="6"/>
        <v>0</v>
      </c>
      <c r="O38" s="96">
        <f>Amnt_Deposited!B33</f>
        <v>2019</v>
      </c>
      <c r="P38" s="99">
        <f>Amnt_Deposited!N33</f>
        <v>0</v>
      </c>
      <c r="Q38" s="283">
        <f>MCF!R37</f>
        <v>0.78500000000000003</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Amnt_Deposited!N34</f>
        <v>0</v>
      </c>
      <c r="D39" s="417">
        <f>Dry_Matter_Content!N26</f>
        <v>0</v>
      </c>
      <c r="E39" s="283">
        <f>MCF!R38</f>
        <v>0.78500000000000003</v>
      </c>
      <c r="F39" s="67">
        <f t="shared" si="0"/>
        <v>0</v>
      </c>
      <c r="G39" s="67">
        <f t="shared" si="1"/>
        <v>0</v>
      </c>
      <c r="H39" s="67">
        <f t="shared" si="2"/>
        <v>0</v>
      </c>
      <c r="I39" s="67">
        <f t="shared" si="3"/>
        <v>0</v>
      </c>
      <c r="J39" s="67">
        <f t="shared" si="4"/>
        <v>0</v>
      </c>
      <c r="K39" s="100">
        <f t="shared" si="6"/>
        <v>0</v>
      </c>
      <c r="O39" s="96">
        <f>Amnt_Deposited!B34</f>
        <v>2020</v>
      </c>
      <c r="P39" s="99">
        <f>Amnt_Deposited!N34</f>
        <v>0</v>
      </c>
      <c r="Q39" s="283">
        <f>MCF!R38</f>
        <v>0.78500000000000003</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Amnt_Deposited!N35</f>
        <v>0</v>
      </c>
      <c r="D40" s="417">
        <f>Dry_Matter_Content!N27</f>
        <v>0</v>
      </c>
      <c r="E40" s="283">
        <f>MCF!R39</f>
        <v>0.78500000000000003</v>
      </c>
      <c r="F40" s="67">
        <f t="shared" si="0"/>
        <v>0</v>
      </c>
      <c r="G40" s="67">
        <f t="shared" si="1"/>
        <v>0</v>
      </c>
      <c r="H40" s="67">
        <f t="shared" si="2"/>
        <v>0</v>
      </c>
      <c r="I40" s="67">
        <f t="shared" si="3"/>
        <v>0</v>
      </c>
      <c r="J40" s="67">
        <f t="shared" si="4"/>
        <v>0</v>
      </c>
      <c r="K40" s="100">
        <f t="shared" si="6"/>
        <v>0</v>
      </c>
      <c r="O40" s="96">
        <f>Amnt_Deposited!B35</f>
        <v>2021</v>
      </c>
      <c r="P40" s="99">
        <f>Amnt_Deposited!N35</f>
        <v>0</v>
      </c>
      <c r="Q40" s="283">
        <f>MCF!R39</f>
        <v>0.78500000000000003</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Amnt_Deposited!N36</f>
        <v>0</v>
      </c>
      <c r="D41" s="417">
        <f>Dry_Matter_Content!N28</f>
        <v>0</v>
      </c>
      <c r="E41" s="283">
        <f>MCF!R40</f>
        <v>0.78500000000000003</v>
      </c>
      <c r="F41" s="67">
        <f t="shared" si="0"/>
        <v>0</v>
      </c>
      <c r="G41" s="67">
        <f t="shared" si="1"/>
        <v>0</v>
      </c>
      <c r="H41" s="67">
        <f t="shared" si="2"/>
        <v>0</v>
      </c>
      <c r="I41" s="67">
        <f t="shared" si="3"/>
        <v>0</v>
      </c>
      <c r="J41" s="67">
        <f t="shared" si="4"/>
        <v>0</v>
      </c>
      <c r="K41" s="100">
        <f t="shared" si="6"/>
        <v>0</v>
      </c>
      <c r="O41" s="96">
        <f>Amnt_Deposited!B36</f>
        <v>2022</v>
      </c>
      <c r="P41" s="99">
        <f>Amnt_Deposited!N36</f>
        <v>0</v>
      </c>
      <c r="Q41" s="283">
        <f>MCF!R40</f>
        <v>0.78500000000000003</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Amnt_Deposited!N37</f>
        <v>0</v>
      </c>
      <c r="D42" s="417">
        <f>Dry_Matter_Content!N29</f>
        <v>0</v>
      </c>
      <c r="E42" s="283">
        <f>MCF!R41</f>
        <v>0.78500000000000003</v>
      </c>
      <c r="F42" s="67">
        <f t="shared" si="0"/>
        <v>0</v>
      </c>
      <c r="G42" s="67">
        <f t="shared" si="1"/>
        <v>0</v>
      </c>
      <c r="H42" s="67">
        <f t="shared" si="2"/>
        <v>0</v>
      </c>
      <c r="I42" s="67">
        <f t="shared" si="3"/>
        <v>0</v>
      </c>
      <c r="J42" s="67">
        <f t="shared" si="4"/>
        <v>0</v>
      </c>
      <c r="K42" s="100">
        <f t="shared" si="6"/>
        <v>0</v>
      </c>
      <c r="O42" s="96">
        <f>Amnt_Deposited!B37</f>
        <v>2023</v>
      </c>
      <c r="P42" s="99">
        <f>Amnt_Deposited!N37</f>
        <v>0</v>
      </c>
      <c r="Q42" s="283">
        <f>MCF!R41</f>
        <v>0.78500000000000003</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Amnt_Deposited!N38</f>
        <v>0</v>
      </c>
      <c r="D43" s="417">
        <f>Dry_Matter_Content!N30</f>
        <v>0</v>
      </c>
      <c r="E43" s="283">
        <f>MCF!R42</f>
        <v>0.78500000000000003</v>
      </c>
      <c r="F43" s="67">
        <f t="shared" si="0"/>
        <v>0</v>
      </c>
      <c r="G43" s="67">
        <f t="shared" si="1"/>
        <v>0</v>
      </c>
      <c r="H43" s="67">
        <f t="shared" si="2"/>
        <v>0</v>
      </c>
      <c r="I43" s="67">
        <f t="shared" si="3"/>
        <v>0</v>
      </c>
      <c r="J43" s="67">
        <f t="shared" si="4"/>
        <v>0</v>
      </c>
      <c r="K43" s="100">
        <f t="shared" si="6"/>
        <v>0</v>
      </c>
      <c r="O43" s="96">
        <f>Amnt_Deposited!B38</f>
        <v>2024</v>
      </c>
      <c r="P43" s="99">
        <f>Amnt_Deposited!N38</f>
        <v>0</v>
      </c>
      <c r="Q43" s="283">
        <f>MCF!R42</f>
        <v>0.78500000000000003</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Amnt_Deposited!N39</f>
        <v>0</v>
      </c>
      <c r="D44" s="417">
        <f>Dry_Matter_Content!N31</f>
        <v>0</v>
      </c>
      <c r="E44" s="283">
        <f>MCF!R43</f>
        <v>0.78500000000000003</v>
      </c>
      <c r="F44" s="67">
        <f t="shared" si="0"/>
        <v>0</v>
      </c>
      <c r="G44" s="67">
        <f t="shared" si="1"/>
        <v>0</v>
      </c>
      <c r="H44" s="67">
        <f t="shared" si="2"/>
        <v>0</v>
      </c>
      <c r="I44" s="67">
        <f t="shared" si="3"/>
        <v>0</v>
      </c>
      <c r="J44" s="67">
        <f t="shared" si="4"/>
        <v>0</v>
      </c>
      <c r="K44" s="100">
        <f t="shared" si="6"/>
        <v>0</v>
      </c>
      <c r="O44" s="96">
        <f>Amnt_Deposited!B39</f>
        <v>2025</v>
      </c>
      <c r="P44" s="99">
        <f>Amnt_Deposited!N39</f>
        <v>0</v>
      </c>
      <c r="Q44" s="283">
        <f>MCF!R43</f>
        <v>0.78500000000000003</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Amnt_Deposited!N40</f>
        <v>0</v>
      </c>
      <c r="D45" s="417">
        <f>Dry_Matter_Content!N32</f>
        <v>0</v>
      </c>
      <c r="E45" s="283">
        <f>MCF!R44</f>
        <v>0.78500000000000003</v>
      </c>
      <c r="F45" s="67">
        <f t="shared" si="0"/>
        <v>0</v>
      </c>
      <c r="G45" s="67">
        <f t="shared" si="1"/>
        <v>0</v>
      </c>
      <c r="H45" s="67">
        <f t="shared" si="2"/>
        <v>0</v>
      </c>
      <c r="I45" s="67">
        <f t="shared" si="3"/>
        <v>0</v>
      </c>
      <c r="J45" s="67">
        <f t="shared" si="4"/>
        <v>0</v>
      </c>
      <c r="K45" s="100">
        <f t="shared" si="6"/>
        <v>0</v>
      </c>
      <c r="O45" s="96">
        <f>Amnt_Deposited!B40</f>
        <v>2026</v>
      </c>
      <c r="P45" s="99">
        <f>Amnt_Deposited!N40</f>
        <v>0</v>
      </c>
      <c r="Q45" s="283">
        <f>MCF!R44</f>
        <v>0.78500000000000003</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Amnt_Deposited!N41</f>
        <v>0</v>
      </c>
      <c r="D46" s="417">
        <f>Dry_Matter_Content!N33</f>
        <v>0</v>
      </c>
      <c r="E46" s="283">
        <f>MCF!R45</f>
        <v>0.78500000000000003</v>
      </c>
      <c r="F46" s="67">
        <f t="shared" si="0"/>
        <v>0</v>
      </c>
      <c r="G46" s="67">
        <f t="shared" si="1"/>
        <v>0</v>
      </c>
      <c r="H46" s="67">
        <f t="shared" si="2"/>
        <v>0</v>
      </c>
      <c r="I46" s="67">
        <f t="shared" si="3"/>
        <v>0</v>
      </c>
      <c r="J46" s="67">
        <f t="shared" si="4"/>
        <v>0</v>
      </c>
      <c r="K46" s="100">
        <f t="shared" si="6"/>
        <v>0</v>
      </c>
      <c r="O46" s="96">
        <f>Amnt_Deposited!B41</f>
        <v>2027</v>
      </c>
      <c r="P46" s="99">
        <f>Amnt_Deposited!N41</f>
        <v>0</v>
      </c>
      <c r="Q46" s="283">
        <f>MCF!R45</f>
        <v>0.78500000000000003</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Amnt_Deposited!N42</f>
        <v>0</v>
      </c>
      <c r="D47" s="417">
        <f>Dry_Matter_Content!N34</f>
        <v>0</v>
      </c>
      <c r="E47" s="283">
        <f>MCF!R46</f>
        <v>0.78500000000000003</v>
      </c>
      <c r="F47" s="67">
        <f t="shared" si="0"/>
        <v>0</v>
      </c>
      <c r="G47" s="67">
        <f t="shared" si="1"/>
        <v>0</v>
      </c>
      <c r="H47" s="67">
        <f t="shared" si="2"/>
        <v>0</v>
      </c>
      <c r="I47" s="67">
        <f t="shared" si="3"/>
        <v>0</v>
      </c>
      <c r="J47" s="67">
        <f t="shared" si="4"/>
        <v>0</v>
      </c>
      <c r="K47" s="100">
        <f t="shared" si="6"/>
        <v>0</v>
      </c>
      <c r="O47" s="96">
        <f>Amnt_Deposited!B42</f>
        <v>2028</v>
      </c>
      <c r="P47" s="99">
        <f>Amnt_Deposited!N42</f>
        <v>0</v>
      </c>
      <c r="Q47" s="283">
        <f>MCF!R46</f>
        <v>0.78500000000000003</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Amnt_Deposited!N43</f>
        <v>0</v>
      </c>
      <c r="D48" s="417">
        <f>Dry_Matter_Content!N35</f>
        <v>0</v>
      </c>
      <c r="E48" s="283">
        <f>MCF!R47</f>
        <v>0.78500000000000003</v>
      </c>
      <c r="F48" s="67">
        <f t="shared" si="0"/>
        <v>0</v>
      </c>
      <c r="G48" s="67">
        <f t="shared" si="1"/>
        <v>0</v>
      </c>
      <c r="H48" s="67">
        <f t="shared" si="2"/>
        <v>0</v>
      </c>
      <c r="I48" s="67">
        <f t="shared" si="3"/>
        <v>0</v>
      </c>
      <c r="J48" s="67">
        <f t="shared" si="4"/>
        <v>0</v>
      </c>
      <c r="K48" s="100">
        <f t="shared" si="6"/>
        <v>0</v>
      </c>
      <c r="O48" s="96">
        <f>Amnt_Deposited!B43</f>
        <v>2029</v>
      </c>
      <c r="P48" s="99">
        <f>Amnt_Deposited!N43</f>
        <v>0</v>
      </c>
      <c r="Q48" s="283">
        <f>MCF!R47</f>
        <v>0.78500000000000003</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Amnt_Deposited!N44</f>
        <v>0</v>
      </c>
      <c r="D49" s="417">
        <f>Dry_Matter_Content!N36</f>
        <v>0</v>
      </c>
      <c r="E49" s="283">
        <f>MCF!R48</f>
        <v>0.78500000000000003</v>
      </c>
      <c r="F49" s="67">
        <f t="shared" si="0"/>
        <v>0</v>
      </c>
      <c r="G49" s="67">
        <f t="shared" si="1"/>
        <v>0</v>
      </c>
      <c r="H49" s="67">
        <f t="shared" si="2"/>
        <v>0</v>
      </c>
      <c r="I49" s="67">
        <f t="shared" si="3"/>
        <v>0</v>
      </c>
      <c r="J49" s="67">
        <f t="shared" si="4"/>
        <v>0</v>
      </c>
      <c r="K49" s="100">
        <f t="shared" si="6"/>
        <v>0</v>
      </c>
      <c r="O49" s="96">
        <f>Amnt_Deposited!B44</f>
        <v>2030</v>
      </c>
      <c r="P49" s="99">
        <f>Amnt_Deposited!N44</f>
        <v>0</v>
      </c>
      <c r="Q49" s="283">
        <f>MCF!R48</f>
        <v>0.78500000000000003</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Amnt_Deposited!N45</f>
        <v>0</v>
      </c>
      <c r="D50" s="417">
        <f>Dry_Matter_Content!N37</f>
        <v>0</v>
      </c>
      <c r="E50" s="283">
        <f>MCF!R49</f>
        <v>0.78500000000000003</v>
      </c>
      <c r="F50" s="67">
        <f t="shared" si="0"/>
        <v>0</v>
      </c>
      <c r="G50" s="67">
        <f t="shared" si="1"/>
        <v>0</v>
      </c>
      <c r="H50" s="67">
        <f t="shared" si="2"/>
        <v>0</v>
      </c>
      <c r="I50" s="67">
        <f t="shared" si="3"/>
        <v>0</v>
      </c>
      <c r="J50" s="67">
        <f t="shared" si="4"/>
        <v>0</v>
      </c>
      <c r="K50" s="100">
        <f t="shared" si="6"/>
        <v>0</v>
      </c>
      <c r="O50" s="96">
        <f>Amnt_Deposited!B45</f>
        <v>2031</v>
      </c>
      <c r="P50" s="99">
        <f>Amnt_Deposited!N45</f>
        <v>0</v>
      </c>
      <c r="Q50" s="283">
        <f>MCF!R49</f>
        <v>0.78500000000000003</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Amnt_Deposited!N46</f>
        <v>0</v>
      </c>
      <c r="D51" s="417">
        <f>Dry_Matter_Content!N38</f>
        <v>0</v>
      </c>
      <c r="E51" s="283">
        <f>MCF!R50</f>
        <v>0.78500000000000003</v>
      </c>
      <c r="F51" s="67">
        <f t="shared" si="0"/>
        <v>0</v>
      </c>
      <c r="G51" s="67">
        <f t="shared" si="1"/>
        <v>0</v>
      </c>
      <c r="H51" s="67">
        <f t="shared" si="2"/>
        <v>0</v>
      </c>
      <c r="I51" s="67">
        <f t="shared" si="3"/>
        <v>0</v>
      </c>
      <c r="J51" s="67">
        <f t="shared" si="4"/>
        <v>0</v>
      </c>
      <c r="K51" s="100">
        <f t="shared" si="6"/>
        <v>0</v>
      </c>
      <c r="O51" s="96">
        <f>Amnt_Deposited!B46</f>
        <v>2032</v>
      </c>
      <c r="P51" s="99">
        <f>Amnt_Deposited!N46</f>
        <v>0</v>
      </c>
      <c r="Q51" s="283">
        <f>MCF!R50</f>
        <v>0.78500000000000003</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Amnt_Deposited!N47</f>
        <v>0</v>
      </c>
      <c r="D52" s="417">
        <f>Dry_Matter_Content!N39</f>
        <v>0</v>
      </c>
      <c r="E52" s="283">
        <f>MCF!R51</f>
        <v>0.78500000000000003</v>
      </c>
      <c r="F52" s="67">
        <f t="shared" si="0"/>
        <v>0</v>
      </c>
      <c r="G52" s="67">
        <f t="shared" si="1"/>
        <v>0</v>
      </c>
      <c r="H52" s="67">
        <f t="shared" si="2"/>
        <v>0</v>
      </c>
      <c r="I52" s="67">
        <f t="shared" si="3"/>
        <v>0</v>
      </c>
      <c r="J52" s="67">
        <f t="shared" si="4"/>
        <v>0</v>
      </c>
      <c r="K52" s="100">
        <f t="shared" si="6"/>
        <v>0</v>
      </c>
      <c r="O52" s="96">
        <f>Amnt_Deposited!B47</f>
        <v>2033</v>
      </c>
      <c r="P52" s="99">
        <f>Amnt_Deposited!N47</f>
        <v>0</v>
      </c>
      <c r="Q52" s="283">
        <f>MCF!R51</f>
        <v>0.78500000000000003</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Amnt_Deposited!N48</f>
        <v>0</v>
      </c>
      <c r="D53" s="417">
        <f>Dry_Matter_Content!N40</f>
        <v>0</v>
      </c>
      <c r="E53" s="283">
        <f>MCF!R52</f>
        <v>0.78500000000000003</v>
      </c>
      <c r="F53" s="67">
        <f t="shared" si="0"/>
        <v>0</v>
      </c>
      <c r="G53" s="67">
        <f t="shared" si="1"/>
        <v>0</v>
      </c>
      <c r="H53" s="67">
        <f t="shared" si="2"/>
        <v>0</v>
      </c>
      <c r="I53" s="67">
        <f t="shared" si="3"/>
        <v>0</v>
      </c>
      <c r="J53" s="67">
        <f t="shared" si="4"/>
        <v>0</v>
      </c>
      <c r="K53" s="100">
        <f t="shared" si="6"/>
        <v>0</v>
      </c>
      <c r="O53" s="96">
        <f>Amnt_Deposited!B48</f>
        <v>2034</v>
      </c>
      <c r="P53" s="99">
        <f>Amnt_Deposited!N48</f>
        <v>0</v>
      </c>
      <c r="Q53" s="283">
        <f>MCF!R52</f>
        <v>0.78500000000000003</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Amnt_Deposited!N49</f>
        <v>0</v>
      </c>
      <c r="D54" s="417">
        <f>Dry_Matter_Content!N41</f>
        <v>0</v>
      </c>
      <c r="E54" s="283">
        <f>MCF!R53</f>
        <v>0.78500000000000003</v>
      </c>
      <c r="F54" s="67">
        <f t="shared" si="0"/>
        <v>0</v>
      </c>
      <c r="G54" s="67">
        <f t="shared" si="1"/>
        <v>0</v>
      </c>
      <c r="H54" s="67">
        <f t="shared" si="2"/>
        <v>0</v>
      </c>
      <c r="I54" s="67">
        <f t="shared" si="3"/>
        <v>0</v>
      </c>
      <c r="J54" s="67">
        <f t="shared" si="4"/>
        <v>0</v>
      </c>
      <c r="K54" s="100">
        <f t="shared" si="6"/>
        <v>0</v>
      </c>
      <c r="O54" s="96">
        <f>Amnt_Deposited!B49</f>
        <v>2035</v>
      </c>
      <c r="P54" s="99">
        <f>Amnt_Deposited!N49</f>
        <v>0</v>
      </c>
      <c r="Q54" s="283">
        <f>MCF!R53</f>
        <v>0.78500000000000003</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Amnt_Deposited!N50</f>
        <v>0</v>
      </c>
      <c r="D55" s="417">
        <f>Dry_Matter_Content!N42</f>
        <v>0</v>
      </c>
      <c r="E55" s="283">
        <f>MCF!R54</f>
        <v>0.78500000000000003</v>
      </c>
      <c r="F55" s="67">
        <f t="shared" si="0"/>
        <v>0</v>
      </c>
      <c r="G55" s="67">
        <f t="shared" si="1"/>
        <v>0</v>
      </c>
      <c r="H55" s="67">
        <f t="shared" si="2"/>
        <v>0</v>
      </c>
      <c r="I55" s="67">
        <f t="shared" si="3"/>
        <v>0</v>
      </c>
      <c r="J55" s="67">
        <f t="shared" si="4"/>
        <v>0</v>
      </c>
      <c r="K55" s="100">
        <f t="shared" si="6"/>
        <v>0</v>
      </c>
      <c r="O55" s="96">
        <f>Amnt_Deposited!B50</f>
        <v>2036</v>
      </c>
      <c r="P55" s="99">
        <f>Amnt_Deposited!N50</f>
        <v>0</v>
      </c>
      <c r="Q55" s="283">
        <f>MCF!R54</f>
        <v>0.78500000000000003</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Amnt_Deposited!N51</f>
        <v>0</v>
      </c>
      <c r="D56" s="417">
        <f>Dry_Matter_Content!N43</f>
        <v>0</v>
      </c>
      <c r="E56" s="283">
        <f>MCF!R55</f>
        <v>0.78500000000000003</v>
      </c>
      <c r="F56" s="67">
        <f t="shared" si="0"/>
        <v>0</v>
      </c>
      <c r="G56" s="67">
        <f t="shared" si="1"/>
        <v>0</v>
      </c>
      <c r="H56" s="67">
        <f t="shared" si="2"/>
        <v>0</v>
      </c>
      <c r="I56" s="67">
        <f t="shared" si="3"/>
        <v>0</v>
      </c>
      <c r="J56" s="67">
        <f t="shared" si="4"/>
        <v>0</v>
      </c>
      <c r="K56" s="100">
        <f t="shared" si="6"/>
        <v>0</v>
      </c>
      <c r="O56" s="96">
        <f>Amnt_Deposited!B51</f>
        <v>2037</v>
      </c>
      <c r="P56" s="99">
        <f>Amnt_Deposited!N51</f>
        <v>0</v>
      </c>
      <c r="Q56" s="283">
        <f>MCF!R55</f>
        <v>0.78500000000000003</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Amnt_Deposited!N52</f>
        <v>0</v>
      </c>
      <c r="D57" s="417">
        <f>Dry_Matter_Content!N44</f>
        <v>0</v>
      </c>
      <c r="E57" s="283">
        <f>MCF!R56</f>
        <v>0.78500000000000003</v>
      </c>
      <c r="F57" s="67">
        <f t="shared" si="0"/>
        <v>0</v>
      </c>
      <c r="G57" s="67">
        <f t="shared" si="1"/>
        <v>0</v>
      </c>
      <c r="H57" s="67">
        <f t="shared" si="2"/>
        <v>0</v>
      </c>
      <c r="I57" s="67">
        <f t="shared" si="3"/>
        <v>0</v>
      </c>
      <c r="J57" s="67">
        <f t="shared" si="4"/>
        <v>0</v>
      </c>
      <c r="K57" s="100">
        <f t="shared" si="6"/>
        <v>0</v>
      </c>
      <c r="O57" s="96">
        <f>Amnt_Deposited!B52</f>
        <v>2038</v>
      </c>
      <c r="P57" s="99">
        <f>Amnt_Deposited!N52</f>
        <v>0</v>
      </c>
      <c r="Q57" s="283">
        <f>MCF!R56</f>
        <v>0.78500000000000003</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Amnt_Deposited!N53</f>
        <v>0</v>
      </c>
      <c r="D58" s="417">
        <f>Dry_Matter_Content!N45</f>
        <v>0</v>
      </c>
      <c r="E58" s="283">
        <f>MCF!R57</f>
        <v>0.78500000000000003</v>
      </c>
      <c r="F58" s="67">
        <f t="shared" si="0"/>
        <v>0</v>
      </c>
      <c r="G58" s="67">
        <f t="shared" si="1"/>
        <v>0</v>
      </c>
      <c r="H58" s="67">
        <f t="shared" si="2"/>
        <v>0</v>
      </c>
      <c r="I58" s="67">
        <f t="shared" si="3"/>
        <v>0</v>
      </c>
      <c r="J58" s="67">
        <f t="shared" si="4"/>
        <v>0</v>
      </c>
      <c r="K58" s="100">
        <f t="shared" si="6"/>
        <v>0</v>
      </c>
      <c r="O58" s="96">
        <f>Amnt_Deposited!B53</f>
        <v>2039</v>
      </c>
      <c r="P58" s="99">
        <f>Amnt_Deposited!N53</f>
        <v>0</v>
      </c>
      <c r="Q58" s="283">
        <f>MCF!R57</f>
        <v>0.78500000000000003</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Amnt_Deposited!N54</f>
        <v>0</v>
      </c>
      <c r="D59" s="417">
        <f>Dry_Matter_Content!N46</f>
        <v>0</v>
      </c>
      <c r="E59" s="283">
        <f>MCF!R58</f>
        <v>0.78500000000000003</v>
      </c>
      <c r="F59" s="67">
        <f t="shared" si="0"/>
        <v>0</v>
      </c>
      <c r="G59" s="67">
        <f t="shared" si="1"/>
        <v>0</v>
      </c>
      <c r="H59" s="67">
        <f t="shared" si="2"/>
        <v>0</v>
      </c>
      <c r="I59" s="67">
        <f t="shared" si="3"/>
        <v>0</v>
      </c>
      <c r="J59" s="67">
        <f t="shared" si="4"/>
        <v>0</v>
      </c>
      <c r="K59" s="100">
        <f t="shared" si="6"/>
        <v>0</v>
      </c>
      <c r="O59" s="96">
        <f>Amnt_Deposited!B54</f>
        <v>2040</v>
      </c>
      <c r="P59" s="99">
        <f>Amnt_Deposited!N54</f>
        <v>0</v>
      </c>
      <c r="Q59" s="283">
        <f>MCF!R58</f>
        <v>0.78500000000000003</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Amnt_Deposited!N55</f>
        <v>0</v>
      </c>
      <c r="D60" s="417">
        <f>Dry_Matter_Content!N47</f>
        <v>0</v>
      </c>
      <c r="E60" s="283">
        <f>MCF!R59</f>
        <v>0.78500000000000003</v>
      </c>
      <c r="F60" s="67">
        <f t="shared" si="0"/>
        <v>0</v>
      </c>
      <c r="G60" s="67">
        <f t="shared" si="1"/>
        <v>0</v>
      </c>
      <c r="H60" s="67">
        <f t="shared" si="2"/>
        <v>0</v>
      </c>
      <c r="I60" s="67">
        <f t="shared" si="3"/>
        <v>0</v>
      </c>
      <c r="J60" s="67">
        <f t="shared" si="4"/>
        <v>0</v>
      </c>
      <c r="K60" s="100">
        <f t="shared" si="6"/>
        <v>0</v>
      </c>
      <c r="O60" s="96">
        <f>Amnt_Deposited!B55</f>
        <v>2041</v>
      </c>
      <c r="P60" s="99">
        <f>Amnt_Deposited!N55</f>
        <v>0</v>
      </c>
      <c r="Q60" s="283">
        <f>MCF!R59</f>
        <v>0.78500000000000003</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Amnt_Deposited!N56</f>
        <v>0</v>
      </c>
      <c r="D61" s="417">
        <f>Dry_Matter_Content!N48</f>
        <v>0</v>
      </c>
      <c r="E61" s="283">
        <f>MCF!R60</f>
        <v>0.78500000000000003</v>
      </c>
      <c r="F61" s="67">
        <f t="shared" si="0"/>
        <v>0</v>
      </c>
      <c r="G61" s="67">
        <f t="shared" si="1"/>
        <v>0</v>
      </c>
      <c r="H61" s="67">
        <f t="shared" si="2"/>
        <v>0</v>
      </c>
      <c r="I61" s="67">
        <f t="shared" si="3"/>
        <v>0</v>
      </c>
      <c r="J61" s="67">
        <f t="shared" si="4"/>
        <v>0</v>
      </c>
      <c r="K61" s="100">
        <f t="shared" si="6"/>
        <v>0</v>
      </c>
      <c r="O61" s="96">
        <f>Amnt_Deposited!B56</f>
        <v>2042</v>
      </c>
      <c r="P61" s="99">
        <f>Amnt_Deposited!N56</f>
        <v>0</v>
      </c>
      <c r="Q61" s="283">
        <f>MCF!R60</f>
        <v>0.78500000000000003</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Amnt_Deposited!N57</f>
        <v>0</v>
      </c>
      <c r="D62" s="417">
        <f>Dry_Matter_Content!N49</f>
        <v>0</v>
      </c>
      <c r="E62" s="283">
        <f>MCF!R61</f>
        <v>0.78500000000000003</v>
      </c>
      <c r="F62" s="67">
        <f t="shared" si="0"/>
        <v>0</v>
      </c>
      <c r="G62" s="67">
        <f t="shared" si="1"/>
        <v>0</v>
      </c>
      <c r="H62" s="67">
        <f t="shared" si="2"/>
        <v>0</v>
      </c>
      <c r="I62" s="67">
        <f t="shared" si="3"/>
        <v>0</v>
      </c>
      <c r="J62" s="67">
        <f t="shared" si="4"/>
        <v>0</v>
      </c>
      <c r="K62" s="100">
        <f t="shared" si="6"/>
        <v>0</v>
      </c>
      <c r="O62" s="96">
        <f>Amnt_Deposited!B57</f>
        <v>2043</v>
      </c>
      <c r="P62" s="99">
        <f>Amnt_Deposited!N57</f>
        <v>0</v>
      </c>
      <c r="Q62" s="283">
        <f>MCF!R61</f>
        <v>0.78500000000000003</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Amnt_Deposited!N58</f>
        <v>0</v>
      </c>
      <c r="D63" s="417">
        <f>Dry_Matter_Content!N50</f>
        <v>0</v>
      </c>
      <c r="E63" s="283">
        <f>MCF!R62</f>
        <v>0.78500000000000003</v>
      </c>
      <c r="F63" s="67">
        <f t="shared" si="0"/>
        <v>0</v>
      </c>
      <c r="G63" s="67">
        <f t="shared" si="1"/>
        <v>0</v>
      </c>
      <c r="H63" s="67">
        <f t="shared" si="2"/>
        <v>0</v>
      </c>
      <c r="I63" s="67">
        <f t="shared" si="3"/>
        <v>0</v>
      </c>
      <c r="J63" s="67">
        <f t="shared" si="4"/>
        <v>0</v>
      </c>
      <c r="K63" s="100">
        <f t="shared" si="6"/>
        <v>0</v>
      </c>
      <c r="O63" s="96">
        <f>Amnt_Deposited!B58</f>
        <v>2044</v>
      </c>
      <c r="P63" s="99">
        <f>Amnt_Deposited!N58</f>
        <v>0</v>
      </c>
      <c r="Q63" s="283">
        <f>MCF!R62</f>
        <v>0.78500000000000003</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Amnt_Deposited!N59</f>
        <v>0</v>
      </c>
      <c r="D64" s="417">
        <f>Dry_Matter_Content!N51</f>
        <v>0</v>
      </c>
      <c r="E64" s="283">
        <f>MCF!R63</f>
        <v>0.78500000000000003</v>
      </c>
      <c r="F64" s="67">
        <f t="shared" si="0"/>
        <v>0</v>
      </c>
      <c r="G64" s="67">
        <f t="shared" si="1"/>
        <v>0</v>
      </c>
      <c r="H64" s="67">
        <f t="shared" si="2"/>
        <v>0</v>
      </c>
      <c r="I64" s="67">
        <f t="shared" si="3"/>
        <v>0</v>
      </c>
      <c r="J64" s="67">
        <f t="shared" si="4"/>
        <v>0</v>
      </c>
      <c r="K64" s="100">
        <f t="shared" si="6"/>
        <v>0</v>
      </c>
      <c r="O64" s="96">
        <f>Amnt_Deposited!B59</f>
        <v>2045</v>
      </c>
      <c r="P64" s="99">
        <f>Amnt_Deposited!N59</f>
        <v>0</v>
      </c>
      <c r="Q64" s="283">
        <f>MCF!R63</f>
        <v>0.78500000000000003</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Amnt_Deposited!N60</f>
        <v>0</v>
      </c>
      <c r="D65" s="417">
        <f>Dry_Matter_Content!N52</f>
        <v>0</v>
      </c>
      <c r="E65" s="283">
        <f>MCF!R64</f>
        <v>0.78500000000000003</v>
      </c>
      <c r="F65" s="67">
        <f t="shared" si="0"/>
        <v>0</v>
      </c>
      <c r="G65" s="67">
        <f t="shared" si="1"/>
        <v>0</v>
      </c>
      <c r="H65" s="67">
        <f t="shared" si="2"/>
        <v>0</v>
      </c>
      <c r="I65" s="67">
        <f t="shared" si="3"/>
        <v>0</v>
      </c>
      <c r="J65" s="67">
        <f t="shared" si="4"/>
        <v>0</v>
      </c>
      <c r="K65" s="100">
        <f t="shared" si="6"/>
        <v>0</v>
      </c>
      <c r="O65" s="96">
        <f>Amnt_Deposited!B60</f>
        <v>2046</v>
      </c>
      <c r="P65" s="99">
        <f>Amnt_Deposited!N60</f>
        <v>0</v>
      </c>
      <c r="Q65" s="283">
        <f>MCF!R64</f>
        <v>0.78500000000000003</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Amnt_Deposited!N61</f>
        <v>0</v>
      </c>
      <c r="D66" s="417">
        <f>Dry_Matter_Content!N53</f>
        <v>0</v>
      </c>
      <c r="E66" s="283">
        <f>MCF!R65</f>
        <v>0.78500000000000003</v>
      </c>
      <c r="F66" s="67">
        <f t="shared" si="0"/>
        <v>0</v>
      </c>
      <c r="G66" s="67">
        <f t="shared" si="1"/>
        <v>0</v>
      </c>
      <c r="H66" s="67">
        <f t="shared" si="2"/>
        <v>0</v>
      </c>
      <c r="I66" s="67">
        <f t="shared" si="3"/>
        <v>0</v>
      </c>
      <c r="J66" s="67">
        <f t="shared" si="4"/>
        <v>0</v>
      </c>
      <c r="K66" s="100">
        <f t="shared" si="6"/>
        <v>0</v>
      </c>
      <c r="O66" s="96">
        <f>Amnt_Deposited!B61</f>
        <v>2047</v>
      </c>
      <c r="P66" s="99">
        <f>Amnt_Deposited!N61</f>
        <v>0</v>
      </c>
      <c r="Q66" s="283">
        <f>MCF!R65</f>
        <v>0.78500000000000003</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Amnt_Deposited!N62</f>
        <v>0</v>
      </c>
      <c r="D67" s="417">
        <f>Dry_Matter_Content!N54</f>
        <v>0</v>
      </c>
      <c r="E67" s="283">
        <f>MCF!R66</f>
        <v>0.78500000000000003</v>
      </c>
      <c r="F67" s="67">
        <f t="shared" si="0"/>
        <v>0</v>
      </c>
      <c r="G67" s="67">
        <f t="shared" si="1"/>
        <v>0</v>
      </c>
      <c r="H67" s="67">
        <f t="shared" si="2"/>
        <v>0</v>
      </c>
      <c r="I67" s="67">
        <f t="shared" si="3"/>
        <v>0</v>
      </c>
      <c r="J67" s="67">
        <f t="shared" si="4"/>
        <v>0</v>
      </c>
      <c r="K67" s="100">
        <f t="shared" si="6"/>
        <v>0</v>
      </c>
      <c r="O67" s="96">
        <f>Amnt_Deposited!B62</f>
        <v>2048</v>
      </c>
      <c r="P67" s="99">
        <f>Amnt_Deposited!N62</f>
        <v>0</v>
      </c>
      <c r="Q67" s="283">
        <f>MCF!R66</f>
        <v>0.78500000000000003</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Amnt_Deposited!N63</f>
        <v>0</v>
      </c>
      <c r="D68" s="417">
        <f>Dry_Matter_Content!N55</f>
        <v>0</v>
      </c>
      <c r="E68" s="283">
        <f>MCF!R67</f>
        <v>0.78500000000000003</v>
      </c>
      <c r="F68" s="67">
        <f t="shared" si="0"/>
        <v>0</v>
      </c>
      <c r="G68" s="67">
        <f t="shared" si="1"/>
        <v>0</v>
      </c>
      <c r="H68" s="67">
        <f t="shared" si="2"/>
        <v>0</v>
      </c>
      <c r="I68" s="67">
        <f t="shared" si="3"/>
        <v>0</v>
      </c>
      <c r="J68" s="67">
        <f t="shared" si="4"/>
        <v>0</v>
      </c>
      <c r="K68" s="100">
        <f t="shared" si="6"/>
        <v>0</v>
      </c>
      <c r="O68" s="96">
        <f>Amnt_Deposited!B63</f>
        <v>2049</v>
      </c>
      <c r="P68" s="99">
        <f>Amnt_Deposited!N63</f>
        <v>0</v>
      </c>
      <c r="Q68" s="283">
        <f>MCF!R67</f>
        <v>0.78500000000000003</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Amnt_Deposited!N64</f>
        <v>0</v>
      </c>
      <c r="D69" s="417">
        <f>Dry_Matter_Content!N56</f>
        <v>0</v>
      </c>
      <c r="E69" s="283">
        <f>MCF!R68</f>
        <v>0.78500000000000003</v>
      </c>
      <c r="F69" s="67">
        <f t="shared" si="0"/>
        <v>0</v>
      </c>
      <c r="G69" s="67">
        <f t="shared" si="1"/>
        <v>0</v>
      </c>
      <c r="H69" s="67">
        <f t="shared" si="2"/>
        <v>0</v>
      </c>
      <c r="I69" s="67">
        <f t="shared" si="3"/>
        <v>0</v>
      </c>
      <c r="J69" s="67">
        <f t="shared" si="4"/>
        <v>0</v>
      </c>
      <c r="K69" s="100">
        <f t="shared" si="6"/>
        <v>0</v>
      </c>
      <c r="O69" s="96">
        <f>Amnt_Deposited!B64</f>
        <v>2050</v>
      </c>
      <c r="P69" s="99">
        <f>Amnt_Deposited!N64</f>
        <v>0</v>
      </c>
      <c r="Q69" s="283">
        <f>MCF!R68</f>
        <v>0.78500000000000003</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Amnt_Deposited!N65</f>
        <v>0</v>
      </c>
      <c r="D70" s="417">
        <f>Dry_Matter_Content!N57</f>
        <v>0</v>
      </c>
      <c r="E70" s="283">
        <f>MCF!R69</f>
        <v>0.78500000000000003</v>
      </c>
      <c r="F70" s="67">
        <f t="shared" si="0"/>
        <v>0</v>
      </c>
      <c r="G70" s="67">
        <f t="shared" si="1"/>
        <v>0</v>
      </c>
      <c r="H70" s="67">
        <f t="shared" si="2"/>
        <v>0</v>
      </c>
      <c r="I70" s="67">
        <f t="shared" si="3"/>
        <v>0</v>
      </c>
      <c r="J70" s="67">
        <f t="shared" si="4"/>
        <v>0</v>
      </c>
      <c r="K70" s="100">
        <f t="shared" si="6"/>
        <v>0</v>
      </c>
      <c r="O70" s="96">
        <f>Amnt_Deposited!B65</f>
        <v>2051</v>
      </c>
      <c r="P70" s="99">
        <f>Amnt_Deposited!N65</f>
        <v>0</v>
      </c>
      <c r="Q70" s="283">
        <f>MCF!R69</f>
        <v>0.78500000000000003</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Amnt_Deposited!N66</f>
        <v>0</v>
      </c>
      <c r="D71" s="417">
        <f>Dry_Matter_Content!N58</f>
        <v>0</v>
      </c>
      <c r="E71" s="283">
        <f>MCF!R70</f>
        <v>0.78500000000000003</v>
      </c>
      <c r="F71" s="67">
        <f t="shared" si="0"/>
        <v>0</v>
      </c>
      <c r="G71" s="67">
        <f t="shared" si="1"/>
        <v>0</v>
      </c>
      <c r="H71" s="67">
        <f t="shared" si="2"/>
        <v>0</v>
      </c>
      <c r="I71" s="67">
        <f t="shared" si="3"/>
        <v>0</v>
      </c>
      <c r="J71" s="67">
        <f t="shared" si="4"/>
        <v>0</v>
      </c>
      <c r="K71" s="100">
        <f t="shared" si="6"/>
        <v>0</v>
      </c>
      <c r="O71" s="96">
        <f>Amnt_Deposited!B66</f>
        <v>2052</v>
      </c>
      <c r="P71" s="99">
        <f>Amnt_Deposited!N66</f>
        <v>0</v>
      </c>
      <c r="Q71" s="283">
        <f>MCF!R70</f>
        <v>0.78500000000000003</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Amnt_Deposited!N67</f>
        <v>0</v>
      </c>
      <c r="D72" s="417">
        <f>Dry_Matter_Content!N59</f>
        <v>0</v>
      </c>
      <c r="E72" s="283">
        <f>MCF!R71</f>
        <v>0.78500000000000003</v>
      </c>
      <c r="F72" s="67">
        <f t="shared" si="0"/>
        <v>0</v>
      </c>
      <c r="G72" s="67">
        <f t="shared" si="1"/>
        <v>0</v>
      </c>
      <c r="H72" s="67">
        <f t="shared" si="2"/>
        <v>0</v>
      </c>
      <c r="I72" s="67">
        <f t="shared" si="3"/>
        <v>0</v>
      </c>
      <c r="J72" s="67">
        <f t="shared" si="4"/>
        <v>0</v>
      </c>
      <c r="K72" s="100">
        <f t="shared" si="6"/>
        <v>0</v>
      </c>
      <c r="O72" s="96">
        <f>Amnt_Deposited!B67</f>
        <v>2053</v>
      </c>
      <c r="P72" s="99">
        <f>Amnt_Deposited!N67</f>
        <v>0</v>
      </c>
      <c r="Q72" s="283">
        <f>MCF!R71</f>
        <v>0.78500000000000003</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Amnt_Deposited!N68</f>
        <v>0</v>
      </c>
      <c r="D73" s="417">
        <f>Dry_Matter_Content!N60</f>
        <v>0</v>
      </c>
      <c r="E73" s="283">
        <f>MCF!R72</f>
        <v>0.78500000000000003</v>
      </c>
      <c r="F73" s="67">
        <f t="shared" si="0"/>
        <v>0</v>
      </c>
      <c r="G73" s="67">
        <f t="shared" si="1"/>
        <v>0</v>
      </c>
      <c r="H73" s="67">
        <f t="shared" si="2"/>
        <v>0</v>
      </c>
      <c r="I73" s="67">
        <f t="shared" si="3"/>
        <v>0</v>
      </c>
      <c r="J73" s="67">
        <f t="shared" si="4"/>
        <v>0</v>
      </c>
      <c r="K73" s="100">
        <f t="shared" si="6"/>
        <v>0</v>
      </c>
      <c r="O73" s="96">
        <f>Amnt_Deposited!B68</f>
        <v>2054</v>
      </c>
      <c r="P73" s="99">
        <f>Amnt_Deposited!N68</f>
        <v>0</v>
      </c>
      <c r="Q73" s="283">
        <f>MCF!R72</f>
        <v>0.78500000000000003</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Amnt_Deposited!N69</f>
        <v>0</v>
      </c>
      <c r="D74" s="417">
        <f>Dry_Matter_Content!N61</f>
        <v>0</v>
      </c>
      <c r="E74" s="283">
        <f>MCF!R73</f>
        <v>0.78500000000000003</v>
      </c>
      <c r="F74" s="67">
        <f t="shared" si="0"/>
        <v>0</v>
      </c>
      <c r="G74" s="67">
        <f t="shared" si="1"/>
        <v>0</v>
      </c>
      <c r="H74" s="67">
        <f t="shared" si="2"/>
        <v>0</v>
      </c>
      <c r="I74" s="67">
        <f t="shared" si="3"/>
        <v>0</v>
      </c>
      <c r="J74" s="67">
        <f t="shared" si="4"/>
        <v>0</v>
      </c>
      <c r="K74" s="100">
        <f t="shared" si="6"/>
        <v>0</v>
      </c>
      <c r="O74" s="96">
        <f>Amnt_Deposited!B69</f>
        <v>2055</v>
      </c>
      <c r="P74" s="99">
        <f>Amnt_Deposited!N69</f>
        <v>0</v>
      </c>
      <c r="Q74" s="283">
        <f>MCF!R73</f>
        <v>0.78500000000000003</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Amnt_Deposited!N70</f>
        <v>0</v>
      </c>
      <c r="D75" s="417">
        <f>Dry_Matter_Content!N62</f>
        <v>0</v>
      </c>
      <c r="E75" s="283">
        <f>MCF!R74</f>
        <v>0.78500000000000003</v>
      </c>
      <c r="F75" s="67">
        <f t="shared" si="0"/>
        <v>0</v>
      </c>
      <c r="G75" s="67">
        <f t="shared" si="1"/>
        <v>0</v>
      </c>
      <c r="H75" s="67">
        <f t="shared" si="2"/>
        <v>0</v>
      </c>
      <c r="I75" s="67">
        <f t="shared" si="3"/>
        <v>0</v>
      </c>
      <c r="J75" s="67">
        <f t="shared" si="4"/>
        <v>0</v>
      </c>
      <c r="K75" s="100">
        <f t="shared" si="6"/>
        <v>0</v>
      </c>
      <c r="O75" s="96">
        <f>Amnt_Deposited!B70</f>
        <v>2056</v>
      </c>
      <c r="P75" s="99">
        <f>Amnt_Deposited!N70</f>
        <v>0</v>
      </c>
      <c r="Q75" s="283">
        <f>MCF!R74</f>
        <v>0.78500000000000003</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Amnt_Deposited!N71</f>
        <v>0</v>
      </c>
      <c r="D76" s="417">
        <f>Dry_Matter_Content!N63</f>
        <v>0</v>
      </c>
      <c r="E76" s="283">
        <f>MCF!R75</f>
        <v>0.78500000000000003</v>
      </c>
      <c r="F76" s="67">
        <f t="shared" si="0"/>
        <v>0</v>
      </c>
      <c r="G76" s="67">
        <f t="shared" si="1"/>
        <v>0</v>
      </c>
      <c r="H76" s="67">
        <f t="shared" si="2"/>
        <v>0</v>
      </c>
      <c r="I76" s="67">
        <f t="shared" si="3"/>
        <v>0</v>
      </c>
      <c r="J76" s="67">
        <f t="shared" si="4"/>
        <v>0</v>
      </c>
      <c r="K76" s="100">
        <f t="shared" si="6"/>
        <v>0</v>
      </c>
      <c r="O76" s="96">
        <f>Amnt_Deposited!B71</f>
        <v>2057</v>
      </c>
      <c r="P76" s="99">
        <f>Amnt_Deposited!N71</f>
        <v>0</v>
      </c>
      <c r="Q76" s="283">
        <f>MCF!R75</f>
        <v>0.78500000000000003</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Amnt_Deposited!N72</f>
        <v>0</v>
      </c>
      <c r="D77" s="417">
        <f>Dry_Matter_Content!N64</f>
        <v>0</v>
      </c>
      <c r="E77" s="283">
        <f>MCF!R76</f>
        <v>0.78500000000000003</v>
      </c>
      <c r="F77" s="67">
        <f t="shared" si="0"/>
        <v>0</v>
      </c>
      <c r="G77" s="67">
        <f t="shared" si="1"/>
        <v>0</v>
      </c>
      <c r="H77" s="67">
        <f t="shared" si="2"/>
        <v>0</v>
      </c>
      <c r="I77" s="67">
        <f t="shared" si="3"/>
        <v>0</v>
      </c>
      <c r="J77" s="67">
        <f t="shared" si="4"/>
        <v>0</v>
      </c>
      <c r="K77" s="100">
        <f t="shared" si="6"/>
        <v>0</v>
      </c>
      <c r="O77" s="96">
        <f>Amnt_Deposited!B72</f>
        <v>2058</v>
      </c>
      <c r="P77" s="99">
        <f>Amnt_Deposited!N72</f>
        <v>0</v>
      </c>
      <c r="Q77" s="283">
        <f>MCF!R76</f>
        <v>0.78500000000000003</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Amnt_Deposited!N73</f>
        <v>0</v>
      </c>
      <c r="D78" s="417">
        <f>Dry_Matter_Content!N65</f>
        <v>0</v>
      </c>
      <c r="E78" s="283">
        <f>MCF!R77</f>
        <v>0.78500000000000003</v>
      </c>
      <c r="F78" s="67">
        <f t="shared" si="0"/>
        <v>0</v>
      </c>
      <c r="G78" s="67">
        <f t="shared" si="1"/>
        <v>0</v>
      </c>
      <c r="H78" s="67">
        <f t="shared" si="2"/>
        <v>0</v>
      </c>
      <c r="I78" s="67">
        <f t="shared" si="3"/>
        <v>0</v>
      </c>
      <c r="J78" s="67">
        <f t="shared" si="4"/>
        <v>0</v>
      </c>
      <c r="K78" s="100">
        <f t="shared" si="6"/>
        <v>0</v>
      </c>
      <c r="O78" s="96">
        <f>Amnt_Deposited!B73</f>
        <v>2059</v>
      </c>
      <c r="P78" s="99">
        <f>Amnt_Deposited!N73</f>
        <v>0</v>
      </c>
      <c r="Q78" s="283">
        <f>MCF!R77</f>
        <v>0.78500000000000003</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Amnt_Deposited!N74</f>
        <v>0</v>
      </c>
      <c r="D79" s="417">
        <f>Dry_Matter_Content!N66</f>
        <v>0</v>
      </c>
      <c r="E79" s="283">
        <f>MCF!R78</f>
        <v>0.78500000000000003</v>
      </c>
      <c r="F79" s="67">
        <f t="shared" si="0"/>
        <v>0</v>
      </c>
      <c r="G79" s="67">
        <f t="shared" si="1"/>
        <v>0</v>
      </c>
      <c r="H79" s="67">
        <f t="shared" si="2"/>
        <v>0</v>
      </c>
      <c r="I79" s="67">
        <f t="shared" si="3"/>
        <v>0</v>
      </c>
      <c r="J79" s="67">
        <f t="shared" si="4"/>
        <v>0</v>
      </c>
      <c r="K79" s="100">
        <f t="shared" si="6"/>
        <v>0</v>
      </c>
      <c r="O79" s="96">
        <f>Amnt_Deposited!B74</f>
        <v>2060</v>
      </c>
      <c r="P79" s="99">
        <f>Amnt_Deposited!N74</f>
        <v>0</v>
      </c>
      <c r="Q79" s="283">
        <f>MCF!R78</f>
        <v>0.78500000000000003</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Amnt_Deposited!N75</f>
        <v>0</v>
      </c>
      <c r="D80" s="417">
        <f>Dry_Matter_Content!N67</f>
        <v>0</v>
      </c>
      <c r="E80" s="283">
        <f>MCF!R79</f>
        <v>0.78500000000000003</v>
      </c>
      <c r="F80" s="67">
        <f t="shared" si="0"/>
        <v>0</v>
      </c>
      <c r="G80" s="67">
        <f t="shared" si="1"/>
        <v>0</v>
      </c>
      <c r="H80" s="67">
        <f t="shared" si="2"/>
        <v>0</v>
      </c>
      <c r="I80" s="67">
        <f t="shared" si="3"/>
        <v>0</v>
      </c>
      <c r="J80" s="67">
        <f t="shared" si="4"/>
        <v>0</v>
      </c>
      <c r="K80" s="100">
        <f t="shared" si="6"/>
        <v>0</v>
      </c>
      <c r="O80" s="96">
        <f>Amnt_Deposited!B75</f>
        <v>2061</v>
      </c>
      <c r="P80" s="99">
        <f>Amnt_Deposited!N75</f>
        <v>0</v>
      </c>
      <c r="Q80" s="283">
        <f>MCF!R79</f>
        <v>0.78500000000000003</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Amnt_Deposited!N76</f>
        <v>0</v>
      </c>
      <c r="D81" s="417">
        <f>Dry_Matter_Content!N68</f>
        <v>0</v>
      </c>
      <c r="E81" s="283">
        <f>MCF!R80</f>
        <v>0.78500000000000003</v>
      </c>
      <c r="F81" s="67">
        <f t="shared" si="0"/>
        <v>0</v>
      </c>
      <c r="G81" s="67">
        <f t="shared" si="1"/>
        <v>0</v>
      </c>
      <c r="H81" s="67">
        <f t="shared" si="2"/>
        <v>0</v>
      </c>
      <c r="I81" s="67">
        <f t="shared" si="3"/>
        <v>0</v>
      </c>
      <c r="J81" s="67">
        <f t="shared" si="4"/>
        <v>0</v>
      </c>
      <c r="K81" s="100">
        <f t="shared" si="6"/>
        <v>0</v>
      </c>
      <c r="O81" s="96">
        <f>Amnt_Deposited!B76</f>
        <v>2062</v>
      </c>
      <c r="P81" s="99">
        <f>Amnt_Deposited!N76</f>
        <v>0</v>
      </c>
      <c r="Q81" s="283">
        <f>MCF!R80</f>
        <v>0.78500000000000003</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Amnt_Deposited!N77</f>
        <v>0</v>
      </c>
      <c r="D82" s="417">
        <f>Dry_Matter_Content!N69</f>
        <v>0</v>
      </c>
      <c r="E82" s="283">
        <f>MCF!R81</f>
        <v>0.78500000000000003</v>
      </c>
      <c r="F82" s="67">
        <f t="shared" si="0"/>
        <v>0</v>
      </c>
      <c r="G82" s="67">
        <f t="shared" si="1"/>
        <v>0</v>
      </c>
      <c r="H82" s="67">
        <f t="shared" si="2"/>
        <v>0</v>
      </c>
      <c r="I82" s="67">
        <f t="shared" si="3"/>
        <v>0</v>
      </c>
      <c r="J82" s="67">
        <f t="shared" si="4"/>
        <v>0</v>
      </c>
      <c r="K82" s="100">
        <f t="shared" si="6"/>
        <v>0</v>
      </c>
      <c r="O82" s="96">
        <f>Amnt_Deposited!B77</f>
        <v>2063</v>
      </c>
      <c r="P82" s="99">
        <f>Amnt_Deposited!N77</f>
        <v>0</v>
      </c>
      <c r="Q82" s="283">
        <f>MCF!R81</f>
        <v>0.78500000000000003</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Amnt_Deposited!N78</f>
        <v>0</v>
      </c>
      <c r="D83" s="417">
        <f>Dry_Matter_Content!N70</f>
        <v>0</v>
      </c>
      <c r="E83" s="283">
        <f>MCF!R82</f>
        <v>0.78500000000000003</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Amnt_Deposited!N78</f>
        <v>0</v>
      </c>
      <c r="Q83" s="283">
        <f>MCF!R82</f>
        <v>0.78500000000000003</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Amnt_Deposited!N79</f>
        <v>0</v>
      </c>
      <c r="D84" s="417">
        <f>Dry_Matter_Content!N71</f>
        <v>0</v>
      </c>
      <c r="E84" s="283">
        <f>MCF!R83</f>
        <v>0.78500000000000003</v>
      </c>
      <c r="F84" s="67">
        <f t="shared" si="12"/>
        <v>0</v>
      </c>
      <c r="G84" s="67">
        <f t="shared" si="13"/>
        <v>0</v>
      </c>
      <c r="H84" s="67">
        <f t="shared" si="14"/>
        <v>0</v>
      </c>
      <c r="I84" s="67">
        <f t="shared" si="15"/>
        <v>0</v>
      </c>
      <c r="J84" s="67">
        <f t="shared" si="16"/>
        <v>0</v>
      </c>
      <c r="K84" s="100">
        <f t="shared" si="6"/>
        <v>0</v>
      </c>
      <c r="O84" s="96">
        <f>Amnt_Deposited!B79</f>
        <v>2065</v>
      </c>
      <c r="P84" s="99">
        <f>Amnt_Deposited!N79</f>
        <v>0</v>
      </c>
      <c r="Q84" s="283">
        <f>MCF!R83</f>
        <v>0.78500000000000003</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Amnt_Deposited!N80</f>
        <v>0</v>
      </c>
      <c r="D85" s="417">
        <f>Dry_Matter_Content!N72</f>
        <v>0</v>
      </c>
      <c r="E85" s="283">
        <f>MCF!R84</f>
        <v>0.78500000000000003</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Amnt_Deposited!N80</f>
        <v>0</v>
      </c>
      <c r="Q85" s="283">
        <f>MCF!R84</f>
        <v>0.78500000000000003</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Amnt_Deposited!N81</f>
        <v>0</v>
      </c>
      <c r="D86" s="417">
        <f>Dry_Matter_Content!N73</f>
        <v>0</v>
      </c>
      <c r="E86" s="283">
        <f>MCF!R85</f>
        <v>0.78500000000000003</v>
      </c>
      <c r="F86" s="67">
        <f t="shared" si="12"/>
        <v>0</v>
      </c>
      <c r="G86" s="67">
        <f t="shared" si="13"/>
        <v>0</v>
      </c>
      <c r="H86" s="67">
        <f t="shared" si="14"/>
        <v>0</v>
      </c>
      <c r="I86" s="67">
        <f t="shared" si="15"/>
        <v>0</v>
      </c>
      <c r="J86" s="67">
        <f t="shared" si="16"/>
        <v>0</v>
      </c>
      <c r="K86" s="100">
        <f t="shared" si="18"/>
        <v>0</v>
      </c>
      <c r="O86" s="96">
        <f>Amnt_Deposited!B81</f>
        <v>2067</v>
      </c>
      <c r="P86" s="99">
        <f>Amnt_Deposited!N81</f>
        <v>0</v>
      </c>
      <c r="Q86" s="283">
        <f>MCF!R85</f>
        <v>0.78500000000000003</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Amnt_Deposited!N82</f>
        <v>0</v>
      </c>
      <c r="D87" s="417">
        <f>Dry_Matter_Content!N74</f>
        <v>0</v>
      </c>
      <c r="E87" s="283">
        <f>MCF!R86</f>
        <v>0.78500000000000003</v>
      </c>
      <c r="F87" s="67">
        <f t="shared" si="12"/>
        <v>0</v>
      </c>
      <c r="G87" s="67">
        <f t="shared" si="13"/>
        <v>0</v>
      </c>
      <c r="H87" s="67">
        <f t="shared" si="14"/>
        <v>0</v>
      </c>
      <c r="I87" s="67">
        <f t="shared" si="15"/>
        <v>0</v>
      </c>
      <c r="J87" s="67">
        <f t="shared" si="16"/>
        <v>0</v>
      </c>
      <c r="K87" s="100">
        <f t="shared" si="18"/>
        <v>0</v>
      </c>
      <c r="O87" s="96">
        <f>Amnt_Deposited!B82</f>
        <v>2068</v>
      </c>
      <c r="P87" s="99">
        <f>Amnt_Deposited!N82</f>
        <v>0</v>
      </c>
      <c r="Q87" s="283">
        <f>MCF!R86</f>
        <v>0.78500000000000003</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Amnt_Deposited!N83</f>
        <v>0</v>
      </c>
      <c r="D88" s="417">
        <f>Dry_Matter_Content!N75</f>
        <v>0</v>
      </c>
      <c r="E88" s="283">
        <f>MCF!R87</f>
        <v>0.78500000000000003</v>
      </c>
      <c r="F88" s="67">
        <f t="shared" si="12"/>
        <v>0</v>
      </c>
      <c r="G88" s="67">
        <f t="shared" si="13"/>
        <v>0</v>
      </c>
      <c r="H88" s="67">
        <f t="shared" si="14"/>
        <v>0</v>
      </c>
      <c r="I88" s="67">
        <f t="shared" si="15"/>
        <v>0</v>
      </c>
      <c r="J88" s="67">
        <f t="shared" si="16"/>
        <v>0</v>
      </c>
      <c r="K88" s="100">
        <f t="shared" si="18"/>
        <v>0</v>
      </c>
      <c r="O88" s="96">
        <f>Amnt_Deposited!B83</f>
        <v>2069</v>
      </c>
      <c r="P88" s="99">
        <f>Amnt_Deposited!N83</f>
        <v>0</v>
      </c>
      <c r="Q88" s="283">
        <f>MCF!R87</f>
        <v>0.78500000000000003</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Amnt_Deposited!N84</f>
        <v>0</v>
      </c>
      <c r="D89" s="417">
        <f>Dry_Matter_Content!N76</f>
        <v>0</v>
      </c>
      <c r="E89" s="283">
        <f>MCF!R88</f>
        <v>0.78500000000000003</v>
      </c>
      <c r="F89" s="67">
        <f t="shared" si="12"/>
        <v>0</v>
      </c>
      <c r="G89" s="67">
        <f t="shared" si="13"/>
        <v>0</v>
      </c>
      <c r="H89" s="67">
        <f t="shared" si="14"/>
        <v>0</v>
      </c>
      <c r="I89" s="67">
        <f t="shared" si="15"/>
        <v>0</v>
      </c>
      <c r="J89" s="67">
        <f t="shared" si="16"/>
        <v>0</v>
      </c>
      <c r="K89" s="100">
        <f t="shared" si="18"/>
        <v>0</v>
      </c>
      <c r="O89" s="96">
        <f>Amnt_Deposited!B84</f>
        <v>2070</v>
      </c>
      <c r="P89" s="99">
        <f>Amnt_Deposited!N84</f>
        <v>0</v>
      </c>
      <c r="Q89" s="283">
        <f>MCF!R88</f>
        <v>0.78500000000000003</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Amnt_Deposited!N85</f>
        <v>0</v>
      </c>
      <c r="D90" s="417">
        <f>Dry_Matter_Content!N77</f>
        <v>0</v>
      </c>
      <c r="E90" s="283">
        <f>MCF!R89</f>
        <v>0.78500000000000003</v>
      </c>
      <c r="F90" s="67">
        <f t="shared" si="12"/>
        <v>0</v>
      </c>
      <c r="G90" s="67">
        <f t="shared" si="13"/>
        <v>0</v>
      </c>
      <c r="H90" s="67">
        <f t="shared" si="14"/>
        <v>0</v>
      </c>
      <c r="I90" s="67">
        <f t="shared" si="15"/>
        <v>0</v>
      </c>
      <c r="J90" s="67">
        <f t="shared" si="16"/>
        <v>0</v>
      </c>
      <c r="K90" s="100">
        <f t="shared" si="18"/>
        <v>0</v>
      </c>
      <c r="O90" s="96">
        <f>Amnt_Deposited!B85</f>
        <v>2071</v>
      </c>
      <c r="P90" s="99">
        <f>Amnt_Deposited!N85</f>
        <v>0</v>
      </c>
      <c r="Q90" s="283">
        <f>MCF!R89</f>
        <v>0.78500000000000003</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Amnt_Deposited!N86</f>
        <v>0</v>
      </c>
      <c r="D91" s="417">
        <f>Dry_Matter_Content!N78</f>
        <v>0</v>
      </c>
      <c r="E91" s="283">
        <f>MCF!R90</f>
        <v>0.78500000000000003</v>
      </c>
      <c r="F91" s="67">
        <f t="shared" si="12"/>
        <v>0</v>
      </c>
      <c r="G91" s="67">
        <f t="shared" si="13"/>
        <v>0</v>
      </c>
      <c r="H91" s="67">
        <f t="shared" si="14"/>
        <v>0</v>
      </c>
      <c r="I91" s="67">
        <f t="shared" si="15"/>
        <v>0</v>
      </c>
      <c r="J91" s="67">
        <f t="shared" si="16"/>
        <v>0</v>
      </c>
      <c r="K91" s="100">
        <f t="shared" si="18"/>
        <v>0</v>
      </c>
      <c r="O91" s="96">
        <f>Amnt_Deposited!B86</f>
        <v>2072</v>
      </c>
      <c r="P91" s="99">
        <f>Amnt_Deposited!N86</f>
        <v>0</v>
      </c>
      <c r="Q91" s="283">
        <f>MCF!R90</f>
        <v>0.78500000000000003</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Amnt_Deposited!N87</f>
        <v>0</v>
      </c>
      <c r="D92" s="417">
        <f>Dry_Matter_Content!N79</f>
        <v>0</v>
      </c>
      <c r="E92" s="283">
        <f>MCF!R91</f>
        <v>0.78500000000000003</v>
      </c>
      <c r="F92" s="67">
        <f t="shared" si="12"/>
        <v>0</v>
      </c>
      <c r="G92" s="67">
        <f t="shared" si="13"/>
        <v>0</v>
      </c>
      <c r="H92" s="67">
        <f t="shared" si="14"/>
        <v>0</v>
      </c>
      <c r="I92" s="67">
        <f t="shared" si="15"/>
        <v>0</v>
      </c>
      <c r="J92" s="67">
        <f t="shared" si="16"/>
        <v>0</v>
      </c>
      <c r="K92" s="100">
        <f t="shared" si="18"/>
        <v>0</v>
      </c>
      <c r="O92" s="96">
        <f>Amnt_Deposited!B87</f>
        <v>2073</v>
      </c>
      <c r="P92" s="99">
        <f>Amnt_Deposited!N87</f>
        <v>0</v>
      </c>
      <c r="Q92" s="283">
        <f>MCF!R91</f>
        <v>0.78500000000000003</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Amnt_Deposited!N88</f>
        <v>0</v>
      </c>
      <c r="D93" s="417">
        <f>Dry_Matter_Content!N80</f>
        <v>0</v>
      </c>
      <c r="E93" s="283">
        <f>MCF!R92</f>
        <v>0.78500000000000003</v>
      </c>
      <c r="F93" s="67">
        <f t="shared" si="12"/>
        <v>0</v>
      </c>
      <c r="G93" s="67">
        <f t="shared" si="13"/>
        <v>0</v>
      </c>
      <c r="H93" s="67">
        <f t="shared" si="14"/>
        <v>0</v>
      </c>
      <c r="I93" s="67">
        <f t="shared" si="15"/>
        <v>0</v>
      </c>
      <c r="J93" s="67">
        <f t="shared" si="16"/>
        <v>0</v>
      </c>
      <c r="K93" s="100">
        <f t="shared" si="18"/>
        <v>0</v>
      </c>
      <c r="O93" s="96">
        <f>Amnt_Deposited!B88</f>
        <v>2074</v>
      </c>
      <c r="P93" s="99">
        <f>Amnt_Deposited!N88</f>
        <v>0</v>
      </c>
      <c r="Q93" s="283">
        <f>MCF!R92</f>
        <v>0.78500000000000003</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Amnt_Deposited!N89</f>
        <v>0</v>
      </c>
      <c r="D94" s="417">
        <f>Dry_Matter_Content!N81</f>
        <v>0</v>
      </c>
      <c r="E94" s="283">
        <f>MCF!R93</f>
        <v>0.78500000000000003</v>
      </c>
      <c r="F94" s="67">
        <f t="shared" si="12"/>
        <v>0</v>
      </c>
      <c r="G94" s="67">
        <f t="shared" si="13"/>
        <v>0</v>
      </c>
      <c r="H94" s="67">
        <f t="shared" si="14"/>
        <v>0</v>
      </c>
      <c r="I94" s="67">
        <f t="shared" si="15"/>
        <v>0</v>
      </c>
      <c r="J94" s="67">
        <f t="shared" si="16"/>
        <v>0</v>
      </c>
      <c r="K94" s="100">
        <f t="shared" si="18"/>
        <v>0</v>
      </c>
      <c r="O94" s="96">
        <f>Amnt_Deposited!B89</f>
        <v>2075</v>
      </c>
      <c r="P94" s="99">
        <f>Amnt_Deposited!N89</f>
        <v>0</v>
      </c>
      <c r="Q94" s="283">
        <f>MCF!R93</f>
        <v>0.78500000000000003</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Amnt_Deposited!N90</f>
        <v>0</v>
      </c>
      <c r="D95" s="417">
        <f>Dry_Matter_Content!N82</f>
        <v>0</v>
      </c>
      <c r="E95" s="283">
        <f>MCF!R94</f>
        <v>0.78500000000000003</v>
      </c>
      <c r="F95" s="67">
        <f t="shared" si="12"/>
        <v>0</v>
      </c>
      <c r="G95" s="67">
        <f t="shared" si="13"/>
        <v>0</v>
      </c>
      <c r="H95" s="67">
        <f t="shared" si="14"/>
        <v>0</v>
      </c>
      <c r="I95" s="67">
        <f t="shared" si="15"/>
        <v>0</v>
      </c>
      <c r="J95" s="67">
        <f t="shared" si="16"/>
        <v>0</v>
      </c>
      <c r="K95" s="100">
        <f t="shared" si="18"/>
        <v>0</v>
      </c>
      <c r="O95" s="96">
        <f>Amnt_Deposited!B90</f>
        <v>2076</v>
      </c>
      <c r="P95" s="99">
        <f>Amnt_Deposited!N90</f>
        <v>0</v>
      </c>
      <c r="Q95" s="283">
        <f>MCF!R94</f>
        <v>0.78500000000000003</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Amnt_Deposited!N91</f>
        <v>0</v>
      </c>
      <c r="D96" s="417">
        <f>Dry_Matter_Content!N83</f>
        <v>0</v>
      </c>
      <c r="E96" s="283">
        <f>MCF!R95</f>
        <v>0.78500000000000003</v>
      </c>
      <c r="F96" s="67">
        <f t="shared" si="12"/>
        <v>0</v>
      </c>
      <c r="G96" s="67">
        <f t="shared" si="13"/>
        <v>0</v>
      </c>
      <c r="H96" s="67">
        <f t="shared" si="14"/>
        <v>0</v>
      </c>
      <c r="I96" s="67">
        <f t="shared" si="15"/>
        <v>0</v>
      </c>
      <c r="J96" s="67">
        <f t="shared" si="16"/>
        <v>0</v>
      </c>
      <c r="K96" s="100">
        <f t="shared" si="18"/>
        <v>0</v>
      </c>
      <c r="O96" s="96">
        <f>Amnt_Deposited!B91</f>
        <v>2077</v>
      </c>
      <c r="P96" s="99">
        <f>Amnt_Deposited!N91</f>
        <v>0</v>
      </c>
      <c r="Q96" s="283">
        <f>MCF!R95</f>
        <v>0.78500000000000003</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Amnt_Deposited!N92</f>
        <v>0</v>
      </c>
      <c r="D97" s="417">
        <f>Dry_Matter_Content!N84</f>
        <v>0</v>
      </c>
      <c r="E97" s="283">
        <f>MCF!R96</f>
        <v>0.78500000000000003</v>
      </c>
      <c r="F97" s="67">
        <f t="shared" si="12"/>
        <v>0</v>
      </c>
      <c r="G97" s="67">
        <f t="shared" si="13"/>
        <v>0</v>
      </c>
      <c r="H97" s="67">
        <f t="shared" si="14"/>
        <v>0</v>
      </c>
      <c r="I97" s="67">
        <f t="shared" si="15"/>
        <v>0</v>
      </c>
      <c r="J97" s="67">
        <f t="shared" si="16"/>
        <v>0</v>
      </c>
      <c r="K97" s="100">
        <f t="shared" si="18"/>
        <v>0</v>
      </c>
      <c r="O97" s="96">
        <f>Amnt_Deposited!B92</f>
        <v>2078</v>
      </c>
      <c r="P97" s="99">
        <f>Amnt_Deposited!N92</f>
        <v>0</v>
      </c>
      <c r="Q97" s="283">
        <f>MCF!R96</f>
        <v>0.78500000000000003</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Amnt_Deposited!N93</f>
        <v>0</v>
      </c>
      <c r="D98" s="417">
        <f>Dry_Matter_Content!N85</f>
        <v>0</v>
      </c>
      <c r="E98" s="283">
        <f>MCF!R97</f>
        <v>0.78500000000000003</v>
      </c>
      <c r="F98" s="67">
        <f t="shared" si="12"/>
        <v>0</v>
      </c>
      <c r="G98" s="67">
        <f t="shared" si="13"/>
        <v>0</v>
      </c>
      <c r="H98" s="67">
        <f t="shared" si="14"/>
        <v>0</v>
      </c>
      <c r="I98" s="67">
        <f t="shared" si="15"/>
        <v>0</v>
      </c>
      <c r="J98" s="67">
        <f t="shared" si="16"/>
        <v>0</v>
      </c>
      <c r="K98" s="100">
        <f t="shared" si="18"/>
        <v>0</v>
      </c>
      <c r="O98" s="96">
        <f>Amnt_Deposited!B93</f>
        <v>2079</v>
      </c>
      <c r="P98" s="99">
        <f>Amnt_Deposited!N93</f>
        <v>0</v>
      </c>
      <c r="Q98" s="283">
        <f>MCF!R97</f>
        <v>0.78500000000000003</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Amnt_Deposited!N94</f>
        <v>0</v>
      </c>
      <c r="D99" s="418">
        <f>Dry_Matter_Content!N86</f>
        <v>0</v>
      </c>
      <c r="E99" s="284">
        <f>MCF!R98</f>
        <v>0.78500000000000003</v>
      </c>
      <c r="F99" s="68">
        <f t="shared" si="12"/>
        <v>0</v>
      </c>
      <c r="G99" s="68">
        <f t="shared" si="13"/>
        <v>0</v>
      </c>
      <c r="H99" s="68">
        <f t="shared" si="14"/>
        <v>0</v>
      </c>
      <c r="I99" s="68">
        <f t="shared" si="15"/>
        <v>0</v>
      </c>
      <c r="J99" s="68">
        <f t="shared" si="16"/>
        <v>0</v>
      </c>
      <c r="K99" s="102">
        <f t="shared" si="18"/>
        <v>0</v>
      </c>
      <c r="O99" s="97">
        <f>Amnt_Deposited!B94</f>
        <v>2080</v>
      </c>
      <c r="P99" s="99">
        <f>Amnt_Deposited!N94</f>
        <v>0</v>
      </c>
      <c r="Q99" s="284">
        <f>MCF!R98</f>
        <v>0.78500000000000003</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zoomScale="85" zoomScaleNormal="85" zoomScalePageLayoutView="150" workbookViewId="0">
      <pane xSplit="2" ySplit="10" topLeftCell="C14" activePane="bottomRight" state="frozen"/>
      <selection pane="topRight"/>
      <selection pane="bottomLeft"/>
      <selection pane="bottomRight" activeCell="D3" sqref="D3:F3"/>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900" t="s">
        <v>337</v>
      </c>
      <c r="E2" s="901"/>
      <c r="F2" s="902"/>
    </row>
    <row r="3" spans="1:18" ht="16.5" thickBot="1">
      <c r="B3" s="12"/>
      <c r="C3" s="5" t="s">
        <v>276</v>
      </c>
      <c r="D3" s="900" t="s">
        <v>337</v>
      </c>
      <c r="E3" s="901"/>
      <c r="F3" s="902"/>
    </row>
    <row r="4" spans="1:18" ht="16.5" thickBot="1">
      <c r="B4" s="12"/>
      <c r="C4" s="5" t="s">
        <v>30</v>
      </c>
      <c r="D4" s="900" t="s">
        <v>266</v>
      </c>
      <c r="E4" s="901"/>
      <c r="F4" s="902"/>
    </row>
    <row r="5" spans="1:18" ht="16.5" thickBot="1">
      <c r="B5" s="12"/>
      <c r="C5" s="5" t="s">
        <v>117</v>
      </c>
      <c r="D5" s="903"/>
      <c r="E5" s="904"/>
      <c r="F5" s="905"/>
    </row>
    <row r="6" spans="1:18">
      <c r="B6" s="13" t="s">
        <v>201</v>
      </c>
    </row>
    <row r="7" spans="1:18">
      <c r="B7" s="20" t="s">
        <v>31</v>
      </c>
    </row>
    <row r="8" spans="1:18" ht="13.5" thickBot="1">
      <c r="B8" s="20"/>
    </row>
    <row r="9" spans="1:18" ht="12.75" customHeight="1">
      <c r="A9" s="1"/>
      <c r="C9" s="898" t="s">
        <v>18</v>
      </c>
      <c r="D9" s="899"/>
      <c r="E9" s="896" t="s">
        <v>100</v>
      </c>
      <c r="F9" s="897"/>
      <c r="H9" s="898" t="s">
        <v>18</v>
      </c>
      <c r="I9" s="899"/>
      <c r="J9" s="896" t="s">
        <v>100</v>
      </c>
      <c r="K9" s="897"/>
    </row>
    <row r="10" spans="1:18" ht="13.5" thickBot="1">
      <c r="C10" s="123"/>
      <c r="D10" s="124"/>
      <c r="E10" s="241" t="s">
        <v>13</v>
      </c>
      <c r="F10" s="148" t="s">
        <v>19</v>
      </c>
      <c r="H10" s="123"/>
      <c r="I10" s="124"/>
      <c r="J10" s="241" t="s">
        <v>13</v>
      </c>
      <c r="K10" s="148" t="s">
        <v>19</v>
      </c>
      <c r="L10" s="358" t="s">
        <v>211</v>
      </c>
    </row>
    <row r="11" spans="1:18" ht="13.5" thickBot="1">
      <c r="B11" s="35" t="s">
        <v>90</v>
      </c>
      <c r="C11" s="125"/>
      <c r="D11" s="126">
        <v>1950</v>
      </c>
      <c r="E11" s="128">
        <v>2000</v>
      </c>
      <c r="F11" s="127"/>
      <c r="H11" s="125"/>
      <c r="I11" s="126">
        <f>D11</f>
        <v>1950</v>
      </c>
      <c r="J11" s="128">
        <f>year</f>
        <v>2000</v>
      </c>
      <c r="K11" s="127"/>
    </row>
    <row r="12" spans="1:18" ht="13.5" thickBot="1">
      <c r="B12" s="22"/>
      <c r="C12" s="894" t="s">
        <v>250</v>
      </c>
      <c r="D12" s="895"/>
      <c r="E12" s="894" t="s">
        <v>250</v>
      </c>
      <c r="F12" s="895"/>
      <c r="H12" s="894" t="s">
        <v>251</v>
      </c>
      <c r="I12" s="895"/>
      <c r="J12" s="894" t="s">
        <v>251</v>
      </c>
      <c r="K12" s="895"/>
      <c r="N12" t="s">
        <v>132</v>
      </c>
    </row>
    <row r="13" spans="1:18" ht="13.5" thickBot="1">
      <c r="B13" s="35" t="s">
        <v>131</v>
      </c>
      <c r="C13" s="294"/>
      <c r="D13" s="295"/>
      <c r="E13" s="296"/>
      <c r="F13" s="36"/>
      <c r="H13" s="294"/>
      <c r="I13" s="295"/>
      <c r="J13" s="296"/>
      <c r="K13" s="36"/>
    </row>
    <row r="14" spans="1:18" ht="13.5" thickBot="1">
      <c r="B14" s="35" t="s">
        <v>249</v>
      </c>
      <c r="C14" s="297" t="s">
        <v>113</v>
      </c>
      <c r="D14" s="298" t="s">
        <v>115</v>
      </c>
      <c r="E14" s="350"/>
      <c r="F14" s="151"/>
      <c r="H14" s="297" t="s">
        <v>113</v>
      </c>
      <c r="I14" s="298" t="s">
        <v>115</v>
      </c>
      <c r="J14" s="350"/>
      <c r="K14" s="151"/>
      <c r="N14" s="390" t="s">
        <v>252</v>
      </c>
      <c r="Q14" s="390" t="s">
        <v>253</v>
      </c>
    </row>
    <row r="15" spans="1:18">
      <c r="B15" s="8" t="str">
        <f>IF(Select2=1,"Food waste","Bulk MSW")</f>
        <v>Food waste</v>
      </c>
      <c r="C15" s="158" t="str">
        <f>INDEX(DOC_table,IF(Select2=1,1,14),2)</f>
        <v>0.20-0.50</v>
      </c>
      <c r="D15" s="32">
        <f>INDEX(DOC_table,IF(Select2=1,1,14),1)</f>
        <v>0.38</v>
      </c>
      <c r="E15" s="349">
        <f>D15</f>
        <v>0.38</v>
      </c>
      <c r="F15" s="132"/>
      <c r="H15" s="158" t="str">
        <f>INDEX(DOC_table,IF(Select2=1,1,14),4)</f>
        <v>0.08-0.20</v>
      </c>
      <c r="I15" s="32">
        <f>INDEX(DOC_table,IF(Select2=1,1,14),3)</f>
        <v>0.15</v>
      </c>
      <c r="J15" s="349">
        <f>I15</f>
        <v>0.15</v>
      </c>
      <c r="K15" s="132"/>
      <c r="L15" s="348" t="str">
        <f>IF(Select2=1,"May include garden waste provided that a suitable value of DOC is used","")</f>
        <v>May include garden waste provided that a suitable value of DOC is used</v>
      </c>
      <c r="N15" s="40" t="s">
        <v>6</v>
      </c>
      <c r="O15" s="40">
        <f>IF(Select2=1,E15,0)</f>
        <v>0.38</v>
      </c>
      <c r="Q15" s="40" t="s">
        <v>6</v>
      </c>
      <c r="R15" s="387">
        <f>IF(Select2=1,J15,0)</f>
        <v>0.15</v>
      </c>
    </row>
    <row r="16" spans="1:18">
      <c r="B16" s="8" t="str">
        <f>IF(Select2=1,"Paper/cardboard","Sewage sludge")</f>
        <v>Paper/cardboard</v>
      </c>
      <c r="C16" s="158" t="str">
        <f>INDEX(DOC_table,IF(Select2=1,2,13),2)</f>
        <v>0.40-0.50</v>
      </c>
      <c r="D16" s="32">
        <f>INDEX(DOC_table,IF(Select2=1,2,13),1)</f>
        <v>0.44</v>
      </c>
      <c r="E16" s="258">
        <f>D16</f>
        <v>0.44</v>
      </c>
      <c r="F16" s="238"/>
      <c r="H16" s="158" t="str">
        <f>INDEX(DOC_table,IF(Select2=1,2,13),4)</f>
        <v>0.36-0.45</v>
      </c>
      <c r="I16" s="32">
        <f>INDEX(DOC_table,IF(Select2=1,2,13),3)</f>
        <v>0.4</v>
      </c>
      <c r="J16" s="258">
        <f>I16</f>
        <v>0.4</v>
      </c>
      <c r="K16" s="238"/>
      <c r="L16" s="348"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10" t="s">
        <v>262</v>
      </c>
      <c r="O16" s="2">
        <f>IF(Select2=1,E16,E63)</f>
        <v>0.44</v>
      </c>
      <c r="Q16" s="410" t="s">
        <v>262</v>
      </c>
      <c r="R16" s="388">
        <f>IF(Select2=1,J16,J63)</f>
        <v>0.4</v>
      </c>
    </row>
    <row r="17" spans="2:18">
      <c r="B17" s="2" t="str">
        <f>IF(Select2=1,"Garden and Park waste","Industrial waste")</f>
        <v>Garden and Park waste</v>
      </c>
      <c r="C17" s="158" t="str">
        <f>INDEX(DOC_table,IF(Select2=1,3,15),2)</f>
        <v>0.45-0.55</v>
      </c>
      <c r="D17" s="32">
        <f>INDEX(DOC_table,IF(Select2=1,3,15),1)</f>
        <v>0.49</v>
      </c>
      <c r="E17" s="258">
        <f t="shared" ref="E17:E25" si="0">D17</f>
        <v>0.49</v>
      </c>
      <c r="F17" s="238"/>
      <c r="H17" s="158" t="str">
        <f>INDEX(DOC_table,IF(Select2=1,3,15),4)</f>
        <v>0.18-0.22</v>
      </c>
      <c r="I17" s="32">
        <f>INDEX(DOC_table,IF(Select2=1,3,15),3)</f>
        <v>0.2</v>
      </c>
      <c r="J17" s="258">
        <f>I17</f>
        <v>0.2</v>
      </c>
      <c r="K17" s="238"/>
      <c r="L17" s="6"/>
      <c r="N17" s="409" t="s">
        <v>261</v>
      </c>
      <c r="O17" s="2">
        <f>IF(Select2=1,E17,E62)</f>
        <v>0.49</v>
      </c>
      <c r="Q17" s="409" t="s">
        <v>261</v>
      </c>
      <c r="R17" s="388">
        <f>IF(Select2=1,J17,J62)</f>
        <v>0.2</v>
      </c>
    </row>
    <row r="18" spans="2:18">
      <c r="B18" s="2" t="str">
        <f>IF(Select2=1,"Textiles","")</f>
        <v>Textiles</v>
      </c>
      <c r="C18" s="159" t="str">
        <f>IF(Select2=1,INDEX(DOC_table,4,2),"")</f>
        <v>0.25-0.50</v>
      </c>
      <c r="D18" s="16">
        <f>IF(Select2=1,INDEX(DOC_table,4,1),"")</f>
        <v>0.3</v>
      </c>
      <c r="E18" s="258">
        <f t="shared" si="0"/>
        <v>0.3</v>
      </c>
      <c r="F18" s="238"/>
      <c r="H18" s="159" t="str">
        <f>IF(Select2=1,INDEX(DOC_table,4,4),"")</f>
        <v>0.20-0.40</v>
      </c>
      <c r="I18" s="16">
        <f>IF(Select2=1,INDEX(DOC_table,4,3),"")</f>
        <v>0.24</v>
      </c>
      <c r="J18" s="258">
        <f>I18</f>
        <v>0.24</v>
      </c>
      <c r="K18" s="238"/>
      <c r="L18" s="6"/>
      <c r="N18" s="2" t="s">
        <v>16</v>
      </c>
      <c r="O18" s="2">
        <f>IF(Select2=1,E18,0)</f>
        <v>0.3</v>
      </c>
      <c r="Q18" s="2" t="s">
        <v>16</v>
      </c>
      <c r="R18" s="388">
        <f>IF(Select2=1,J18,0)</f>
        <v>0.24</v>
      </c>
    </row>
    <row r="19" spans="2:18">
      <c r="B19" s="2" t="str">
        <f>IF(Select2=1,"Rubber and Leather","")</f>
        <v>Rubber and Leather</v>
      </c>
      <c r="C19" s="159" t="str">
        <f>IF(Select2=1,INDEX(DOC_table,5,2),"")</f>
        <v>0.47</v>
      </c>
      <c r="D19" s="16">
        <f>IF(Select2=1,INDEX(DOC_table,5,1),"")</f>
        <v>0.47</v>
      </c>
      <c r="E19" s="258">
        <f t="shared" si="0"/>
        <v>0.47</v>
      </c>
      <c r="F19" s="238"/>
      <c r="H19" s="159" t="str">
        <f>IF(Select2=1,INDEX(DOC_table,5,4),"")</f>
        <v>0.39</v>
      </c>
      <c r="I19" s="16">
        <f>IF(Select2=1,INDEX(DOC_table,5,3),"")</f>
        <v>0.39</v>
      </c>
      <c r="J19" s="258">
        <f t="shared" ref="J19:J25" si="1">I19</f>
        <v>0.39</v>
      </c>
      <c r="K19" s="238"/>
      <c r="L19" s="348"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388">
        <f>IF(Select2=1,J19,0)</f>
        <v>0.39</v>
      </c>
    </row>
    <row r="20" spans="2:18">
      <c r="B20" s="2" t="str">
        <f>IF(Select2=1,"Wood","")</f>
        <v>Wood</v>
      </c>
      <c r="C20" s="159" t="str">
        <f>IF(Select2=1,INDEX(DOC_table,6,2),"")</f>
        <v>0.46-0.54</v>
      </c>
      <c r="D20" s="16">
        <f>IF(Select2=1,INDEX(DOC_table,6,1),"")</f>
        <v>0.5</v>
      </c>
      <c r="E20" s="258">
        <f t="shared" si="0"/>
        <v>0.5</v>
      </c>
      <c r="F20" s="238"/>
      <c r="H20" s="159" t="str">
        <f>IF(Select2=1,INDEX(DOC_table,6,4),"")</f>
        <v>0.39-0.46</v>
      </c>
      <c r="I20" s="16">
        <f>IF(Select2=1,INDEX(DOC_table,6,3),"")</f>
        <v>0.43</v>
      </c>
      <c r="J20" s="258">
        <f t="shared" si="1"/>
        <v>0.43</v>
      </c>
      <c r="K20" s="238"/>
      <c r="L20" s="543"/>
      <c r="N20" s="408" t="s">
        <v>2</v>
      </c>
      <c r="O20" s="2">
        <f>IF(Select2=1,E20,E64)</f>
        <v>0.5</v>
      </c>
      <c r="Q20" s="408" t="s">
        <v>2</v>
      </c>
      <c r="R20" s="388">
        <f>IF(Select2=1,J20,J64)</f>
        <v>0.43</v>
      </c>
    </row>
    <row r="21" spans="2:18">
      <c r="B21" s="2" t="str">
        <f>IF(Select2=1,"Nappies","")</f>
        <v>Nappies</v>
      </c>
      <c r="C21" s="159" t="str">
        <f>IF(Select2=1,INDEX(DOC_table,7,2),"")</f>
        <v>0.44-0.80</v>
      </c>
      <c r="D21" s="16">
        <f>IF(Select2=1,INDEX(DOC_table,7,1),"")</f>
        <v>0.6</v>
      </c>
      <c r="E21" s="258">
        <f t="shared" si="0"/>
        <v>0.6</v>
      </c>
      <c r="F21" s="238"/>
      <c r="H21" s="159" t="str">
        <f>IF(Select2=1,INDEX(DOC_table,7,4),"")</f>
        <v>0.18-0.32</v>
      </c>
      <c r="I21" s="16">
        <f>IF(Select2=1,INDEX(DOC_table,7,3),"")</f>
        <v>0.24</v>
      </c>
      <c r="J21" s="258">
        <f t="shared" si="1"/>
        <v>0.24</v>
      </c>
      <c r="K21" s="238"/>
      <c r="L21" s="543"/>
      <c r="N21" s="408" t="s">
        <v>267</v>
      </c>
      <c r="O21" s="2">
        <f>IF(Select2=1,E21,0)</f>
        <v>0.6</v>
      </c>
      <c r="Q21" s="408" t="s">
        <v>267</v>
      </c>
      <c r="R21" s="388">
        <f>IF(Select2=1,J21,0)</f>
        <v>0.24</v>
      </c>
    </row>
    <row r="22" spans="2:18">
      <c r="B22" s="146" t="str">
        <f>IF(Select2=1,"Plastics","")</f>
        <v>Plastics</v>
      </c>
      <c r="C22" s="160">
        <f>IF(Select2=1,INDEX(DOC_table,9,2),"")</f>
        <v>0</v>
      </c>
      <c r="D22" s="193">
        <f>IF(Select2=1,INDEX(DOC_table,9,1),"")</f>
        <v>0</v>
      </c>
      <c r="E22" s="258">
        <f t="shared" si="0"/>
        <v>0</v>
      </c>
      <c r="F22" s="238"/>
      <c r="H22" s="160">
        <f>IF(Select2=1,INDEX(DOC_table,9,4),"")</f>
        <v>0</v>
      </c>
      <c r="I22" s="193">
        <f>IF(Select2=1,INDEX(DOC_table,9,3),"")</f>
        <v>0</v>
      </c>
      <c r="J22" s="258">
        <f t="shared" si="1"/>
        <v>0</v>
      </c>
      <c r="K22" s="238"/>
      <c r="L22" s="257"/>
      <c r="N22" s="146" t="s">
        <v>230</v>
      </c>
      <c r="O22" s="2">
        <f>IF(Select2=1,E22,0)</f>
        <v>0</v>
      </c>
      <c r="Q22" s="146" t="s">
        <v>230</v>
      </c>
      <c r="R22" s="388">
        <f>IF(Select2=1,J22,0)</f>
        <v>0</v>
      </c>
    </row>
    <row r="23" spans="2:18">
      <c r="B23" s="146" t="str">
        <f>IF(Select2=1,"Metal","")</f>
        <v>Metal</v>
      </c>
      <c r="C23" s="160">
        <f>IF(Select2=1,INDEX(DOC_table,10,2),"")</f>
        <v>0</v>
      </c>
      <c r="D23" s="193">
        <f>IF(Select2=1,INDEX(DOC_table,10,1),"")</f>
        <v>0</v>
      </c>
      <c r="E23" s="258">
        <f t="shared" si="0"/>
        <v>0</v>
      </c>
      <c r="F23" s="238"/>
      <c r="H23" s="160">
        <f>IF(Select2=1,INDEX(DOC_table,10,4),"")</f>
        <v>0</v>
      </c>
      <c r="I23" s="193">
        <f>IF(Select2=1,INDEX(DOC_table,10,3),"")</f>
        <v>0</v>
      </c>
      <c r="J23" s="258">
        <f t="shared" si="1"/>
        <v>0</v>
      </c>
      <c r="K23" s="238"/>
      <c r="L23" s="257"/>
      <c r="N23" s="146" t="s">
        <v>231</v>
      </c>
      <c r="O23" s="2">
        <f>IF(Select2=1,E23,0)</f>
        <v>0</v>
      </c>
      <c r="Q23" s="146" t="s">
        <v>231</v>
      </c>
      <c r="R23" s="388">
        <f>IF(Select2=1,J23,0)</f>
        <v>0</v>
      </c>
    </row>
    <row r="24" spans="2:18">
      <c r="B24" s="146" t="str">
        <f>IF(Select2=1,"Glass","")</f>
        <v>Glass</v>
      </c>
      <c r="C24" s="160">
        <f>IF(Select2=1,INDEX(DOC_table,11,2),"")</f>
        <v>0</v>
      </c>
      <c r="D24" s="193">
        <f>IF(Select2=1,INDEX(DOC_table,11,1),"")</f>
        <v>0</v>
      </c>
      <c r="E24" s="258">
        <f t="shared" si="0"/>
        <v>0</v>
      </c>
      <c r="F24" s="238"/>
      <c r="H24" s="160">
        <f>IF(Select2=1,INDEX(DOC_table,11,4),"")</f>
        <v>0</v>
      </c>
      <c r="I24" s="193">
        <f>IF(Select2=1,INDEX(DOC_table,11,3),"")</f>
        <v>0</v>
      </c>
      <c r="J24" s="258">
        <f t="shared" si="1"/>
        <v>0</v>
      </c>
      <c r="K24" s="238"/>
      <c r="L24" s="257"/>
      <c r="N24" s="146" t="s">
        <v>232</v>
      </c>
      <c r="O24" s="2">
        <f>IF(Select2=1,E24,0)</f>
        <v>0</v>
      </c>
      <c r="Q24" s="146" t="s">
        <v>232</v>
      </c>
      <c r="R24" s="388">
        <f>IF(Select2=1,J24,0)</f>
        <v>0</v>
      </c>
    </row>
    <row r="25" spans="2:18">
      <c r="B25" s="146" t="str">
        <f>IF(Select2=1,"Other","")</f>
        <v>Other</v>
      </c>
      <c r="C25" s="160">
        <f>IF(Select2=1,INDEX(DOC_table,12,2),"")</f>
        <v>0</v>
      </c>
      <c r="D25" s="193">
        <f>IF(Select2=1,INDEX(DOC_table,12,1),"")</f>
        <v>0</v>
      </c>
      <c r="E25" s="258">
        <f t="shared" si="0"/>
        <v>0</v>
      </c>
      <c r="F25" s="238"/>
      <c r="H25" s="160">
        <f>IF(Select2=1,INDEX(DOC_table,12,4),"")</f>
        <v>0</v>
      </c>
      <c r="I25" s="193">
        <f>IF(Select2=1,INDEX(DOC_table,12,3),"")</f>
        <v>0</v>
      </c>
      <c r="J25" s="258">
        <f t="shared" si="1"/>
        <v>0</v>
      </c>
      <c r="K25" s="238"/>
      <c r="L25" s="257"/>
      <c r="N25" s="146" t="s">
        <v>233</v>
      </c>
      <c r="O25" s="2">
        <f>IF(Select2=1,E25,0)</f>
        <v>0</v>
      </c>
      <c r="Q25" s="146" t="s">
        <v>233</v>
      </c>
      <c r="R25" s="388">
        <f>IF(Select2=1,J25,0)</f>
        <v>0</v>
      </c>
    </row>
    <row r="26" spans="2:18">
      <c r="B26" s="146"/>
      <c r="C26" s="160"/>
      <c r="D26" s="193"/>
      <c r="E26" s="258"/>
      <c r="F26" s="238"/>
      <c r="H26" s="160"/>
      <c r="I26" s="193"/>
      <c r="J26" s="258"/>
      <c r="K26" s="238"/>
      <c r="L26" s="257"/>
      <c r="N26" s="408" t="s">
        <v>204</v>
      </c>
      <c r="O26" s="2">
        <f>IF(Select2=1,0,E15)</f>
        <v>0</v>
      </c>
      <c r="Q26" s="408" t="s">
        <v>204</v>
      </c>
      <c r="R26" s="388">
        <f>IF(Select2=1,0,J15)</f>
        <v>0</v>
      </c>
    </row>
    <row r="27" spans="2:18" ht="13.5" thickBot="1">
      <c r="B27" s="2" t="str">
        <f>IF(Select2=1,"Sewage sludge","")</f>
        <v>Sewage sludge</v>
      </c>
      <c r="C27" s="159" t="str">
        <f>IF(Select2=1,INDEX(DOC_table,13,2),"")</f>
        <v>N.A</v>
      </c>
      <c r="D27" s="429">
        <f>IF(Select2=1,INDEX(DOC_table,13,1),"")</f>
        <v>0</v>
      </c>
      <c r="E27" s="258">
        <f t="shared" ref="E27:E28" si="2">D27</f>
        <v>0</v>
      </c>
      <c r="F27" s="238"/>
      <c r="H27" s="159" t="str">
        <f>IF(Select2=1,INDEX(DOC_table,13,4),"")</f>
        <v>0.04-0.05</v>
      </c>
      <c r="I27" s="16">
        <f>IF(Select2=1,INDEX(DOC_table,13,3),"")</f>
        <v>0.05</v>
      </c>
      <c r="J27" s="258">
        <f>I27</f>
        <v>0.05</v>
      </c>
      <c r="K27" s="238"/>
      <c r="L27" s="6"/>
      <c r="N27" s="19" t="s">
        <v>135</v>
      </c>
      <c r="O27" s="19">
        <f>IF(Select2=1,E27,E16)</f>
        <v>0</v>
      </c>
      <c r="Q27" s="19" t="s">
        <v>135</v>
      </c>
      <c r="R27" s="389">
        <f>IF(Select2=1,J27,J16)</f>
        <v>0.05</v>
      </c>
    </row>
    <row r="28" spans="2:18" ht="13.5" thickBot="1">
      <c r="B28" s="19" t="str">
        <f>IF(Select2=1,"Industrial waste","")</f>
        <v>Industrial waste</v>
      </c>
      <c r="C28" s="539" t="str">
        <f>IF(Select2=1,INDEX(DOC_table,15,2),"")</f>
        <v>N.A</v>
      </c>
      <c r="D28" s="540">
        <f>IF(Select2=1,INDEX(DOC_table,15,1),"")</f>
        <v>0</v>
      </c>
      <c r="E28" s="259">
        <f t="shared" si="2"/>
        <v>0</v>
      </c>
      <c r="F28" s="541"/>
      <c r="H28" s="539" t="str">
        <f>IF(Select2=1,INDEX(DOC_table,15,4),"")</f>
        <v>0-0.54</v>
      </c>
      <c r="I28" s="540">
        <f>IF(Select2=1,INDEX(DOC_table,15,3),"")</f>
        <v>0.15</v>
      </c>
      <c r="J28" s="259">
        <f t="shared" ref="J28" si="3">I28</f>
        <v>0.15</v>
      </c>
      <c r="K28" s="541"/>
      <c r="L28" s="542"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19" t="s">
        <v>23</v>
      </c>
      <c r="O28" s="19">
        <f>IF(Select2=1,E28,E$17)</f>
        <v>0</v>
      </c>
      <c r="Q28" s="19" t="s">
        <v>23</v>
      </c>
      <c r="R28" s="19">
        <f>IF(Select2=1,J28,J$17)</f>
        <v>0.15</v>
      </c>
    </row>
    <row r="29" spans="2:18" ht="13.5" thickBot="1">
      <c r="B29" s="22"/>
      <c r="C29" s="14"/>
      <c r="D29" s="23"/>
      <c r="E29" s="6"/>
      <c r="F29" s="22"/>
      <c r="L29" s="6"/>
    </row>
    <row r="30" spans="2:18" ht="13.5" thickBot="1">
      <c r="B30" s="35" t="s">
        <v>43</v>
      </c>
      <c r="C30" s="407"/>
      <c r="D30" s="31">
        <v>0.5</v>
      </c>
      <c r="E30" s="351">
        <f>D30</f>
        <v>0.5</v>
      </c>
      <c r="F30" s="355"/>
      <c r="L30" s="6"/>
    </row>
    <row r="31" spans="2:18" ht="13.5" thickBot="1">
      <c r="B31" s="22"/>
      <c r="C31" s="292"/>
      <c r="D31" s="293"/>
      <c r="E31" s="352"/>
      <c r="F31" s="22"/>
      <c r="L31" s="6"/>
    </row>
    <row r="32" spans="2:18" ht="13.5" thickBot="1">
      <c r="B32" s="35" t="s">
        <v>208</v>
      </c>
      <c r="C32" s="294"/>
      <c r="D32" s="295"/>
      <c r="E32" s="353"/>
      <c r="F32" s="356"/>
      <c r="L32" s="6"/>
    </row>
    <row r="33" spans="2:15" ht="15" thickBot="1">
      <c r="B33" s="147" t="s">
        <v>193</v>
      </c>
      <c r="C33" s="299" t="s">
        <v>113</v>
      </c>
      <c r="D33" s="300" t="s">
        <v>115</v>
      </c>
      <c r="E33" s="354"/>
      <c r="F33" s="357"/>
      <c r="L33" s="6"/>
      <c r="N33" t="s">
        <v>130</v>
      </c>
    </row>
    <row r="34" spans="2:15">
      <c r="B34" s="8" t="str">
        <f>IF(Select2=1,"Food waste","Bulk MSW")</f>
        <v>Food waste</v>
      </c>
      <c r="C34" s="157" t="str">
        <f>INDEX(half_life,IF(Select2=1,4,5),selected*2)</f>
        <v xml:space="preserve">0.17–0.7 </v>
      </c>
      <c r="D34" s="93">
        <f>INDEX(half_life,IF(Select2=1,4,5),selected*2-1)</f>
        <v>0.4</v>
      </c>
      <c r="E34" s="577">
        <f t="shared" ref="E34:E39" si="4">D34</f>
        <v>0.4</v>
      </c>
      <c r="F34" s="132"/>
      <c r="L34" s="348" t="str">
        <f>IF(Select2=1,"May include garden waste provided that a suitable value of DOC is used","")</f>
        <v>May include garden waste provided that a suitable value of DOC is used</v>
      </c>
      <c r="N34" s="40" t="s">
        <v>6</v>
      </c>
      <c r="O34" s="40">
        <f t="shared" ref="O34:O44" si="5">IF(Select2=1,E34,0)</f>
        <v>0.4</v>
      </c>
    </row>
    <row r="35" spans="2:15">
      <c r="B35" s="8" t="str">
        <f>IF(Select2=1,"Paper/cardboard","Sewage sludge")</f>
        <v>Paper/cardboard</v>
      </c>
      <c r="C35" s="158" t="str">
        <f>INDEX(half_life,IF(Select2=1,1,4),selected*2)</f>
        <v>0.06–0.085</v>
      </c>
      <c r="D35" s="70">
        <f>INDEX(half_life,IF(Select2=1,1,4),selected*2-1)</f>
        <v>7.0000000000000007E-2</v>
      </c>
      <c r="E35" s="578">
        <f t="shared" si="4"/>
        <v>7.0000000000000007E-2</v>
      </c>
      <c r="F35" s="43"/>
      <c r="L35" s="348"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10" t="s">
        <v>262</v>
      </c>
      <c r="O35" s="2">
        <f t="shared" si="5"/>
        <v>7.0000000000000007E-2</v>
      </c>
    </row>
    <row r="36" spans="2:15">
      <c r="B36" s="2" t="str">
        <f>IF(Select2=1,"Garden and Park waste","Industrial waste")</f>
        <v>Garden and Park waste</v>
      </c>
      <c r="C36" s="158" t="str">
        <f>INDEX(half_life,IF(Select2=1,3,5),selected*2)</f>
        <v>0.15–0.2</v>
      </c>
      <c r="D36" s="70">
        <f>INDEX(half_life,IF(Select2=1,3,5),selected*2-1)</f>
        <v>0.17</v>
      </c>
      <c r="E36" s="578">
        <f t="shared" si="4"/>
        <v>0.17</v>
      </c>
      <c r="F36" s="43"/>
      <c r="L36" s="6"/>
      <c r="N36" s="409" t="s">
        <v>261</v>
      </c>
      <c r="O36" s="2">
        <f t="shared" si="5"/>
        <v>0.17</v>
      </c>
    </row>
    <row r="37" spans="2:15">
      <c r="B37" s="2" t="str">
        <f>IF(Select2=1,"Textiles","")</f>
        <v>Textiles</v>
      </c>
      <c r="C37" s="159" t="str">
        <f>IF(Select2=1,INDEX(half_life,1,selected*2),"")</f>
        <v>0.06–0.085</v>
      </c>
      <c r="D37" s="70">
        <f>IF(Select2=1,INDEX(half_life,1,selected*2-1),"")</f>
        <v>7.0000000000000007E-2</v>
      </c>
      <c r="E37" s="578">
        <f t="shared" si="4"/>
        <v>7.0000000000000007E-2</v>
      </c>
      <c r="F37" s="43"/>
      <c r="L37" s="6"/>
      <c r="N37" s="2" t="s">
        <v>16</v>
      </c>
      <c r="O37" s="2">
        <f t="shared" si="5"/>
        <v>7.0000000000000007E-2</v>
      </c>
    </row>
    <row r="38" spans="2:15">
      <c r="B38" s="2" t="str">
        <f>IF(Select2=1,"Rubber and Leather","")</f>
        <v>Rubber and Leather</v>
      </c>
      <c r="C38" s="159" t="str">
        <f>IF(Select2=1,INDEX(half_life,2,selected*2),"")</f>
        <v>0.03–0.05</v>
      </c>
      <c r="D38" s="70">
        <f>IF(Select2=1,INDEX(half_life,2,selected*2-1),"")</f>
        <v>3.5000000000000003E-2</v>
      </c>
      <c r="E38" s="579">
        <f t="shared" si="4"/>
        <v>3.5000000000000003E-2</v>
      </c>
      <c r="F38" s="238"/>
      <c r="L38" s="348"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59" t="str">
        <f>IF(Select2=1,INDEX(half_life,2,selected*2),"")</f>
        <v>0.03–0.05</v>
      </c>
      <c r="D39" s="70">
        <f>IF(Select2=1,INDEX(half_life,2,selected*2-1),"")</f>
        <v>3.5000000000000003E-2</v>
      </c>
      <c r="E39" s="579">
        <f t="shared" si="4"/>
        <v>3.5000000000000003E-2</v>
      </c>
      <c r="F39" s="238"/>
      <c r="N39" s="408" t="s">
        <v>2</v>
      </c>
      <c r="O39" s="2">
        <f t="shared" si="5"/>
        <v>3.5000000000000003E-2</v>
      </c>
    </row>
    <row r="40" spans="2:15">
      <c r="B40" s="2" t="str">
        <f>IF(Select2=1,"Nappies","")</f>
        <v>Nappies</v>
      </c>
      <c r="C40" s="159" t="str">
        <f>IF(Select2=1,INDEX(half_life,3,selected*2),"")</f>
        <v>0.15–0.2</v>
      </c>
      <c r="D40" s="70">
        <f>IF(Select2=1,INDEX(half_life,3,selected*2-1),"")</f>
        <v>0.17</v>
      </c>
      <c r="E40" s="579">
        <f>D40</f>
        <v>0.17</v>
      </c>
      <c r="F40" s="238"/>
      <c r="N40" s="408" t="s">
        <v>267</v>
      </c>
      <c r="O40" s="2">
        <f t="shared" si="5"/>
        <v>0.17</v>
      </c>
    </row>
    <row r="41" spans="2:15">
      <c r="B41" s="146" t="str">
        <f>IF(Select2=1,"Plastics","")</f>
        <v>Plastics</v>
      </c>
      <c r="C41" s="159">
        <f t="shared" ref="C41:D44" si="6">IF(Select2=1,0,"")</f>
        <v>0</v>
      </c>
      <c r="D41" s="428">
        <f t="shared" si="6"/>
        <v>0</v>
      </c>
      <c r="E41" s="579">
        <f>D41</f>
        <v>0</v>
      </c>
      <c r="F41" s="238"/>
      <c r="N41" s="146" t="s">
        <v>230</v>
      </c>
      <c r="O41" s="2">
        <f t="shared" si="5"/>
        <v>0</v>
      </c>
    </row>
    <row r="42" spans="2:15">
      <c r="B42" s="146" t="str">
        <f>IF(Select2=1,"Metal","")</f>
        <v>Metal</v>
      </c>
      <c r="C42" s="159">
        <f t="shared" si="6"/>
        <v>0</v>
      </c>
      <c r="D42" s="428">
        <f t="shared" si="6"/>
        <v>0</v>
      </c>
      <c r="E42" s="579">
        <f>D42</f>
        <v>0</v>
      </c>
      <c r="F42" s="238"/>
      <c r="N42" s="146" t="s">
        <v>231</v>
      </c>
      <c r="O42" s="2">
        <f t="shared" si="5"/>
        <v>0</v>
      </c>
    </row>
    <row r="43" spans="2:15">
      <c r="B43" s="146" t="str">
        <f>IF(Select2=1,"Glass","")</f>
        <v>Glass</v>
      </c>
      <c r="C43" s="159">
        <f t="shared" si="6"/>
        <v>0</v>
      </c>
      <c r="D43" s="428">
        <f t="shared" si="6"/>
        <v>0</v>
      </c>
      <c r="E43" s="579">
        <f>D43</f>
        <v>0</v>
      </c>
      <c r="F43" s="238"/>
      <c r="N43" s="146" t="s">
        <v>232</v>
      </c>
      <c r="O43" s="2">
        <f t="shared" si="5"/>
        <v>0</v>
      </c>
    </row>
    <row r="44" spans="2:15">
      <c r="B44" s="146" t="str">
        <f>IF(Select2=1,"Other","")</f>
        <v>Other</v>
      </c>
      <c r="C44" s="159">
        <f t="shared" si="6"/>
        <v>0</v>
      </c>
      <c r="D44" s="428">
        <f t="shared" si="6"/>
        <v>0</v>
      </c>
      <c r="E44" s="579">
        <f>D44</f>
        <v>0</v>
      </c>
      <c r="F44" s="238"/>
      <c r="N44" s="146" t="s">
        <v>233</v>
      </c>
      <c r="O44" s="2">
        <f t="shared" si="5"/>
        <v>0</v>
      </c>
    </row>
    <row r="45" spans="2:15">
      <c r="B45" s="146"/>
      <c r="C45" s="159"/>
      <c r="D45" s="70"/>
      <c r="E45" s="579"/>
      <c r="F45" s="238"/>
      <c r="N45" s="408" t="s">
        <v>204</v>
      </c>
      <c r="O45" s="2">
        <f>IF(Select2=1,0,E$34)</f>
        <v>0</v>
      </c>
    </row>
    <row r="46" spans="2:15" ht="13.5" thickBot="1">
      <c r="B46" s="2" t="str">
        <f>IF(Select2=1,"Sewage sludge","")</f>
        <v>Sewage sludge</v>
      </c>
      <c r="C46" s="159" t="str">
        <f>IF(Select2=1,INDEX(half_life,4,selected*2),"")</f>
        <v xml:space="preserve">0.17–0.7 </v>
      </c>
      <c r="D46" s="70">
        <f>IF(Select2=1,INDEX(half_life,4,selected*2-1),"")</f>
        <v>0.4</v>
      </c>
      <c r="E46" s="579">
        <f>D46</f>
        <v>0.4</v>
      </c>
      <c r="F46" s="238"/>
      <c r="N46" s="19" t="s">
        <v>135</v>
      </c>
      <c r="O46" s="19">
        <f>IF(Select2=1,E46,E$35)</f>
        <v>0.4</v>
      </c>
    </row>
    <row r="47" spans="2:15" ht="13.5" thickBot="1">
      <c r="B47" s="19" t="str">
        <f>IF(Select2=1,"Industrial waste","")</f>
        <v>Industrial waste</v>
      </c>
      <c r="C47" s="539" t="str">
        <f>IF(Select2=1,INDEX(half_life,5,selected*2),"")</f>
        <v>0.15–0.2</v>
      </c>
      <c r="D47" s="544">
        <f>IF(Select2=1,INDEX(half_life,5,selected*2-1),"")</f>
        <v>0.17</v>
      </c>
      <c r="E47" s="580">
        <f t="shared" ref="E47" si="7">D47</f>
        <v>0.17</v>
      </c>
      <c r="F47" s="541"/>
      <c r="L47" s="545"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19" t="s">
        <v>23</v>
      </c>
      <c r="O47" s="19">
        <f>IF(Select2=1,E47,E$36)</f>
        <v>0.17</v>
      </c>
    </row>
    <row r="48" spans="2:15" ht="13.5" thickBot="1">
      <c r="B48" s="22"/>
      <c r="C48" s="14"/>
      <c r="D48" s="23"/>
      <c r="E48" s="17"/>
      <c r="F48" s="23"/>
    </row>
    <row r="49" spans="1:18" ht="13.5" thickBot="1">
      <c r="B49" s="35" t="s">
        <v>42</v>
      </c>
      <c r="C49" s="38"/>
      <c r="D49" s="31">
        <v>6</v>
      </c>
      <c r="E49" s="581">
        <v>6</v>
      </c>
      <c r="F49" s="42"/>
    </row>
    <row r="50" spans="1:18" ht="13.5" thickBot="1">
      <c r="B50" s="22"/>
      <c r="C50" s="14"/>
      <c r="D50" s="23"/>
      <c r="E50" s="24"/>
      <c r="F50" s="23"/>
    </row>
    <row r="51" spans="1:18" ht="13.5" thickBot="1">
      <c r="B51" s="35" t="s">
        <v>207</v>
      </c>
      <c r="C51" s="38"/>
      <c r="D51" s="21">
        <v>0.5</v>
      </c>
      <c r="E51" s="581">
        <f>D51</f>
        <v>0.5</v>
      </c>
      <c r="F51" s="42"/>
    </row>
    <row r="52" spans="1:18" ht="13.5" thickBot="1">
      <c r="B52" s="22"/>
      <c r="C52" s="14"/>
      <c r="D52" s="23"/>
      <c r="E52" s="17"/>
      <c r="F52" s="23"/>
    </row>
    <row r="53" spans="1:18" ht="16.5" thickBot="1">
      <c r="B53" s="35" t="s">
        <v>21</v>
      </c>
      <c r="C53" s="38"/>
      <c r="D53" s="26">
        <f>16/12</f>
        <v>1.3333333333333333</v>
      </c>
      <c r="E53" s="27">
        <f>16/12</f>
        <v>1.3333333333333333</v>
      </c>
      <c r="F53" s="28"/>
    </row>
    <row r="54" spans="1:18" ht="13.5" thickBot="1">
      <c r="B54" s="22"/>
      <c r="C54" s="14"/>
      <c r="D54" s="23"/>
      <c r="E54" s="17"/>
      <c r="F54" s="23"/>
    </row>
    <row r="55" spans="1:18" ht="13.5" thickBot="1">
      <c r="B55" s="35" t="s">
        <v>22</v>
      </c>
      <c r="C55" s="38"/>
      <c r="D55" s="21">
        <v>0</v>
      </c>
      <c r="E55" s="581">
        <f>D55</f>
        <v>0</v>
      </c>
      <c r="F55" s="42"/>
    </row>
    <row r="56" spans="1:18" ht="13.5" thickBot="1">
      <c r="B56" s="29"/>
      <c r="C56" s="14"/>
      <c r="D56" s="30"/>
      <c r="E56" s="25"/>
      <c r="F56" s="23"/>
    </row>
    <row r="57" spans="1:18" ht="13.5" thickBot="1">
      <c r="A57" s="18"/>
      <c r="B57" s="35" t="s">
        <v>80</v>
      </c>
      <c r="C57" s="38"/>
      <c r="D57" s="36"/>
      <c r="E57" s="37"/>
      <c r="F57" s="36"/>
      <c r="L57" s="18"/>
    </row>
    <row r="58" spans="1:18">
      <c r="A58" s="18"/>
      <c r="B58" s="279" t="s">
        <v>195</v>
      </c>
      <c r="C58" s="271"/>
      <c r="D58" s="276">
        <v>0</v>
      </c>
      <c r="E58" s="582">
        <f>D58</f>
        <v>0</v>
      </c>
      <c r="F58" s="94"/>
      <c r="L58" s="18"/>
    </row>
    <row r="59" spans="1:18" ht="13.5" thickBot="1">
      <c r="B59" s="280" t="s">
        <v>196</v>
      </c>
      <c r="C59" s="277"/>
      <c r="D59" s="278">
        <v>0</v>
      </c>
      <c r="E59" s="583">
        <f>D59</f>
        <v>0</v>
      </c>
      <c r="F59" s="41"/>
    </row>
    <row r="60" spans="1:18" ht="13.5" thickBot="1">
      <c r="B60" s="138"/>
      <c r="C60" s="261"/>
      <c r="D60" s="262"/>
      <c r="E60" s="264"/>
      <c r="F60" s="263"/>
    </row>
    <row r="61" spans="1:18" s="18" customFormat="1" ht="26.25" thickBot="1">
      <c r="A61"/>
      <c r="B61" s="267" t="s">
        <v>209</v>
      </c>
      <c r="C61" s="150"/>
      <c r="D61" s="891" t="s">
        <v>250</v>
      </c>
      <c r="E61" s="892"/>
      <c r="F61" s="893"/>
      <c r="H61" s="38"/>
      <c r="I61" s="891" t="s">
        <v>251</v>
      </c>
      <c r="J61" s="892"/>
      <c r="K61" s="893"/>
      <c r="L61"/>
      <c r="N61"/>
      <c r="O61"/>
      <c r="P61"/>
    </row>
    <row r="62" spans="1:18" s="18" customFormat="1" ht="13.5" thickBot="1">
      <c r="A62"/>
      <c r="B62" s="268" t="str">
        <f>IF(Select2=1,"","DOC for garden waste")</f>
        <v/>
      </c>
      <c r="C62" s="271"/>
      <c r="D62" s="274" t="str">
        <f>IF(Select2=1,"",INDEX(DOC_table,3,1))</f>
        <v/>
      </c>
      <c r="E62" s="286" t="str">
        <f>D62</f>
        <v/>
      </c>
      <c r="F62" s="287"/>
      <c r="H62" s="271"/>
      <c r="I62" s="274" t="str">
        <f>IF(Select2=1,"",INDEX(DOC_table,3,3))</f>
        <v/>
      </c>
      <c r="J62" s="286" t="str">
        <f>I62</f>
        <v/>
      </c>
      <c r="K62" s="287"/>
      <c r="L62"/>
      <c r="N62" s="426" t="s">
        <v>278</v>
      </c>
      <c r="O62" s="40" t="str">
        <f>IF(Select2=2,E62,"")</f>
        <v/>
      </c>
      <c r="Q62" s="426" t="s">
        <v>278</v>
      </c>
      <c r="R62" s="40" t="str">
        <f>IF(Select2=2,J62,"")</f>
        <v/>
      </c>
    </row>
    <row r="63" spans="1:18" ht="13.5" thickBot="1">
      <c r="B63" s="269" t="str">
        <f>IF(Select2=1,"","DOC for paper and cardboard")</f>
        <v/>
      </c>
      <c r="C63" s="272"/>
      <c r="D63" s="275" t="str">
        <f>IF(Select2=1,"",INDEX(DOC_table,2,1))</f>
        <v/>
      </c>
      <c r="E63" s="288" t="str">
        <f>D63</f>
        <v/>
      </c>
      <c r="F63" s="289"/>
      <c r="H63" s="272"/>
      <c r="I63" s="275" t="str">
        <f>IF(Select2=1,"",INDEX(DOC_table,2,3))</f>
        <v/>
      </c>
      <c r="J63" s="288" t="str">
        <f>I63</f>
        <v/>
      </c>
      <c r="K63" s="289"/>
      <c r="N63" s="426" t="s">
        <v>279</v>
      </c>
      <c r="O63" s="2" t="str">
        <f>IF(Select2=2,E63,"")</f>
        <v/>
      </c>
      <c r="P63" s="18"/>
      <c r="Q63" s="426" t="s">
        <v>279</v>
      </c>
      <c r="R63" s="2" t="str">
        <f>IF(Select2=2,J63,"")</f>
        <v/>
      </c>
    </row>
    <row r="64" spans="1:18" ht="13.5" thickBot="1">
      <c r="B64" s="270" t="str">
        <f>IF(Select2=1,"","DOC for wood and straw")</f>
        <v/>
      </c>
      <c r="C64" s="273"/>
      <c r="D64" s="281" t="str">
        <f>IF(Select2=1,"",INDEX(DOC_table,6,1))</f>
        <v/>
      </c>
      <c r="E64" s="290" t="str">
        <f>D64</f>
        <v/>
      </c>
      <c r="F64" s="291"/>
      <c r="H64" s="273"/>
      <c r="I64" s="281" t="str">
        <f>IF(Select2=1,"",INDEX(DOC_table,6,3))</f>
        <v/>
      </c>
      <c r="J64" s="290" t="str">
        <f>I64</f>
        <v/>
      </c>
      <c r="K64" s="291"/>
      <c r="N64" s="426" t="s">
        <v>280</v>
      </c>
      <c r="O64" s="19" t="str">
        <f>IF(Select2=2,E64,"")</f>
        <v/>
      </c>
      <c r="Q64" s="426" t="s">
        <v>280</v>
      </c>
      <c r="R64" s="19" t="str">
        <f>IF(Select2=2,J64,"")</f>
        <v/>
      </c>
    </row>
    <row r="69" spans="2:8">
      <c r="B69" s="561" t="s">
        <v>336</v>
      </c>
    </row>
    <row r="71" spans="2:8">
      <c r="B71" s="906" t="s">
        <v>317</v>
      </c>
      <c r="C71" s="906"/>
      <c r="D71" s="907" t="s">
        <v>318</v>
      </c>
      <c r="E71" s="907"/>
      <c r="F71" s="907"/>
      <c r="G71" s="907"/>
      <c r="H71" s="907"/>
    </row>
    <row r="72" spans="2:8">
      <c r="B72" s="906" t="s">
        <v>319</v>
      </c>
      <c r="C72" s="906"/>
      <c r="D72" s="907" t="s">
        <v>320</v>
      </c>
      <c r="E72" s="907"/>
      <c r="F72" s="907"/>
      <c r="G72" s="907"/>
      <c r="H72" s="907"/>
    </row>
    <row r="73" spans="2:8">
      <c r="B73" s="906" t="s">
        <v>321</v>
      </c>
      <c r="C73" s="906"/>
      <c r="D73" s="907" t="s">
        <v>322</v>
      </c>
      <c r="E73" s="907"/>
      <c r="F73" s="907"/>
      <c r="G73" s="907"/>
      <c r="H73" s="907"/>
    </row>
    <row r="74" spans="2:8">
      <c r="B74" s="906" t="s">
        <v>323</v>
      </c>
      <c r="C74" s="906"/>
      <c r="D74" s="907" t="s">
        <v>324</v>
      </c>
      <c r="E74" s="907"/>
      <c r="F74" s="907"/>
      <c r="G74" s="907"/>
      <c r="H74" s="907"/>
    </row>
    <row r="75" spans="2:8">
      <c r="B75" s="559"/>
      <c r="C75" s="560"/>
      <c r="D75" s="560"/>
      <c r="E75" s="560"/>
      <c r="F75" s="560"/>
      <c r="G75" s="560"/>
      <c r="H75" s="560"/>
    </row>
    <row r="76" spans="2:8">
      <c r="B76" s="562"/>
      <c r="C76" s="563" t="s">
        <v>325</v>
      </c>
      <c r="D76" s="564" t="s">
        <v>87</v>
      </c>
      <c r="E76" s="564" t="s">
        <v>88</v>
      </c>
    </row>
    <row r="77" spans="2:8">
      <c r="B77" s="912" t="s">
        <v>133</v>
      </c>
      <c r="C77" s="565" t="s">
        <v>326</v>
      </c>
      <c r="D77" s="566" t="s">
        <v>327</v>
      </c>
      <c r="E77" s="566" t="s">
        <v>9</v>
      </c>
      <c r="F77" s="487"/>
      <c r="G77" s="546"/>
      <c r="H77" s="6"/>
    </row>
    <row r="78" spans="2:8">
      <c r="B78" s="913"/>
      <c r="C78" s="567"/>
      <c r="D78" s="568"/>
      <c r="E78" s="569"/>
      <c r="F78" s="6"/>
      <c r="G78" s="487"/>
      <c r="H78" s="6"/>
    </row>
    <row r="79" spans="2:8">
      <c r="B79" s="913"/>
      <c r="C79" s="567"/>
      <c r="D79" s="568"/>
      <c r="E79" s="569"/>
      <c r="F79" s="6"/>
      <c r="G79" s="487"/>
      <c r="H79" s="6"/>
    </row>
    <row r="80" spans="2:8">
      <c r="B80" s="913"/>
      <c r="C80" s="567"/>
      <c r="D80" s="568"/>
      <c r="E80" s="569"/>
      <c r="F80" s="6"/>
      <c r="G80" s="487"/>
      <c r="H80" s="6"/>
    </row>
    <row r="81" spans="2:8">
      <c r="B81" s="913"/>
      <c r="C81" s="567"/>
      <c r="D81" s="568"/>
      <c r="E81" s="569"/>
      <c r="F81" s="6"/>
      <c r="G81" s="487"/>
      <c r="H81" s="6"/>
    </row>
    <row r="82" spans="2:8">
      <c r="B82" s="913"/>
      <c r="C82" s="567"/>
      <c r="D82" s="568" t="s">
        <v>328</v>
      </c>
      <c r="E82" s="569"/>
      <c r="F82" s="6"/>
      <c r="G82" s="487"/>
      <c r="H82" s="6"/>
    </row>
    <row r="83" spans="2:8" ht="13.5" thickBot="1">
      <c r="B83" s="914"/>
      <c r="C83" s="570"/>
      <c r="D83" s="570"/>
      <c r="E83" s="571" t="s">
        <v>329</v>
      </c>
      <c r="F83" s="6"/>
      <c r="G83" s="6"/>
      <c r="H83" s="6"/>
    </row>
    <row r="84" spans="2:8" ht="13.5" thickTop="1">
      <c r="B84" s="562"/>
      <c r="C84" s="569"/>
      <c r="D84" s="562"/>
      <c r="E84" s="572"/>
      <c r="F84" s="6"/>
      <c r="G84" s="6"/>
      <c r="H84" s="6"/>
    </row>
    <row r="85" spans="2:8">
      <c r="B85" s="908" t="s">
        <v>330</v>
      </c>
      <c r="C85" s="909"/>
      <c r="D85" s="909"/>
      <c r="E85" s="910"/>
      <c r="F85" s="6"/>
      <c r="G85" s="6"/>
      <c r="H85" s="6"/>
    </row>
    <row r="86" spans="2:8">
      <c r="B86" s="573" t="s">
        <v>6</v>
      </c>
      <c r="C86" s="574">
        <v>0.63560000000000005</v>
      </c>
      <c r="D86" s="575">
        <v>0.15</v>
      </c>
      <c r="E86" s="575">
        <f>C86*D86</f>
        <v>9.5340000000000008E-2</v>
      </c>
      <c r="F86" s="6"/>
      <c r="G86" s="6"/>
      <c r="H86" s="6"/>
    </row>
    <row r="87" spans="2:8">
      <c r="B87" s="573" t="s">
        <v>256</v>
      </c>
      <c r="C87" s="574">
        <v>0.1042</v>
      </c>
      <c r="D87" s="575">
        <v>0.4</v>
      </c>
      <c r="E87" s="575">
        <f t="shared" ref="E87:E94" si="8">C87*D87</f>
        <v>4.1680000000000002E-2</v>
      </c>
      <c r="F87" s="6"/>
      <c r="G87" s="6"/>
      <c r="H87" s="6"/>
    </row>
    <row r="88" spans="2:8">
      <c r="B88" s="573" t="s">
        <v>2</v>
      </c>
      <c r="C88" s="574">
        <v>0</v>
      </c>
      <c r="D88" s="575">
        <v>0.43</v>
      </c>
      <c r="E88" s="575">
        <f t="shared" si="8"/>
        <v>0</v>
      </c>
      <c r="F88" s="6"/>
      <c r="G88" s="6"/>
      <c r="H88" s="6"/>
    </row>
    <row r="89" spans="2:8">
      <c r="B89" s="573" t="s">
        <v>16</v>
      </c>
      <c r="C89" s="574">
        <v>0</v>
      </c>
      <c r="D89" s="575">
        <v>0.24</v>
      </c>
      <c r="E89" s="575">
        <f t="shared" si="8"/>
        <v>0</v>
      </c>
      <c r="F89" s="6"/>
      <c r="G89" s="6"/>
      <c r="H89" s="6"/>
    </row>
    <row r="90" spans="2:8">
      <c r="B90" s="573" t="s">
        <v>331</v>
      </c>
      <c r="C90" s="574">
        <v>0</v>
      </c>
      <c r="D90" s="575">
        <v>0.39</v>
      </c>
      <c r="E90" s="575">
        <f t="shared" si="8"/>
        <v>0</v>
      </c>
    </row>
    <row r="91" spans="2:8">
      <c r="B91" s="573" t="s">
        <v>332</v>
      </c>
      <c r="C91" s="574">
        <v>1.4500000000000001E-2</v>
      </c>
      <c r="D91" s="575">
        <v>0</v>
      </c>
      <c r="E91" s="575">
        <f t="shared" si="8"/>
        <v>0</v>
      </c>
    </row>
    <row r="92" spans="2:8">
      <c r="B92" s="573" t="s">
        <v>231</v>
      </c>
      <c r="C92" s="574">
        <v>9.7600000000000006E-2</v>
      </c>
      <c r="D92" s="575">
        <v>0</v>
      </c>
      <c r="E92" s="575">
        <f t="shared" si="8"/>
        <v>0</v>
      </c>
    </row>
    <row r="93" spans="2:8">
      <c r="B93" s="573" t="s">
        <v>232</v>
      </c>
      <c r="C93" s="574">
        <v>1.7000000000000001E-2</v>
      </c>
      <c r="D93" s="575">
        <v>0</v>
      </c>
      <c r="E93" s="575">
        <f t="shared" si="8"/>
        <v>0</v>
      </c>
    </row>
    <row r="94" spans="2:8">
      <c r="B94" s="573" t="s">
        <v>233</v>
      </c>
      <c r="C94" s="574">
        <f>(0.95+12.16)/100</f>
        <v>0.13109999999999999</v>
      </c>
      <c r="D94" s="575">
        <v>0</v>
      </c>
      <c r="E94" s="575">
        <f t="shared" si="8"/>
        <v>0</v>
      </c>
    </row>
    <row r="95" spans="2:8">
      <c r="B95" s="911" t="s">
        <v>333</v>
      </c>
      <c r="C95" s="911"/>
      <c r="D95" s="911"/>
      <c r="E95" s="576">
        <f>SUM(E86:E94)</f>
        <v>0.13702</v>
      </c>
    </row>
    <row r="96" spans="2:8">
      <c r="B96" s="908" t="s">
        <v>334</v>
      </c>
      <c r="C96" s="909"/>
      <c r="D96" s="909"/>
      <c r="E96" s="910"/>
    </row>
    <row r="97" spans="2:5">
      <c r="B97" s="573" t="s">
        <v>6</v>
      </c>
      <c r="C97" s="574">
        <f>79.37/100</f>
        <v>0.79370000000000007</v>
      </c>
      <c r="D97" s="575">
        <v>0.15</v>
      </c>
      <c r="E97" s="575">
        <f>C97*D97</f>
        <v>0.11905500000000001</v>
      </c>
    </row>
    <row r="98" spans="2:5">
      <c r="B98" s="573" t="s">
        <v>256</v>
      </c>
      <c r="C98" s="574">
        <f>8.57/100</f>
        <v>8.5699999999999998E-2</v>
      </c>
      <c r="D98" s="575">
        <v>0.4</v>
      </c>
      <c r="E98" s="575">
        <f t="shared" ref="E98:E105" si="9">C98*D98</f>
        <v>3.4279999999999998E-2</v>
      </c>
    </row>
    <row r="99" spans="2:5">
      <c r="B99" s="573" t="s">
        <v>2</v>
      </c>
      <c r="C99" s="574">
        <f>0.75/100</f>
        <v>7.4999999999999997E-3</v>
      </c>
      <c r="D99" s="575">
        <v>0.43</v>
      </c>
      <c r="E99" s="575">
        <f t="shared" si="9"/>
        <v>3.225E-3</v>
      </c>
    </row>
    <row r="100" spans="2:5">
      <c r="B100" s="573" t="s">
        <v>16</v>
      </c>
      <c r="C100" s="574">
        <f>0.79/100</f>
        <v>7.9000000000000008E-3</v>
      </c>
      <c r="D100" s="575">
        <v>0.24</v>
      </c>
      <c r="E100" s="575">
        <f t="shared" si="9"/>
        <v>1.8960000000000001E-3</v>
      </c>
    </row>
    <row r="101" spans="2:5">
      <c r="B101" s="573" t="s">
        <v>331</v>
      </c>
      <c r="C101" s="574">
        <f>0.35/100</f>
        <v>3.4999999999999996E-3</v>
      </c>
      <c r="D101" s="575">
        <v>0.39</v>
      </c>
      <c r="E101" s="575">
        <f t="shared" si="9"/>
        <v>1.3649999999999999E-3</v>
      </c>
    </row>
    <row r="102" spans="2:5">
      <c r="B102" s="573" t="s">
        <v>332</v>
      </c>
      <c r="C102" s="574">
        <f>6.51/100</f>
        <v>6.5099999999999991E-2</v>
      </c>
      <c r="D102" s="575">
        <v>0</v>
      </c>
      <c r="E102" s="575">
        <f t="shared" si="9"/>
        <v>0</v>
      </c>
    </row>
    <row r="103" spans="2:5">
      <c r="B103" s="573" t="s">
        <v>231</v>
      </c>
      <c r="C103" s="574">
        <f>1.45/100</f>
        <v>1.4499999999999999E-2</v>
      </c>
      <c r="D103" s="575">
        <v>0</v>
      </c>
      <c r="E103" s="575">
        <f t="shared" si="9"/>
        <v>0</v>
      </c>
    </row>
    <row r="104" spans="2:5">
      <c r="B104" s="573" t="s">
        <v>232</v>
      </c>
      <c r="C104" s="574">
        <f>1.54/100</f>
        <v>1.54E-2</v>
      </c>
      <c r="D104" s="575">
        <v>0</v>
      </c>
      <c r="E104" s="575">
        <f t="shared" si="9"/>
        <v>0</v>
      </c>
    </row>
    <row r="105" spans="2:5">
      <c r="B105" s="573" t="s">
        <v>233</v>
      </c>
      <c r="C105" s="574">
        <f>0.67/100</f>
        <v>6.7000000000000002E-3</v>
      </c>
      <c r="D105" s="575">
        <v>0</v>
      </c>
      <c r="E105" s="575">
        <f t="shared" si="9"/>
        <v>0</v>
      </c>
    </row>
    <row r="106" spans="2:5">
      <c r="B106" s="911" t="s">
        <v>333</v>
      </c>
      <c r="C106" s="911"/>
      <c r="D106" s="911"/>
      <c r="E106" s="576">
        <f>SUM(E97:E105)</f>
        <v>0.15982100000000002</v>
      </c>
    </row>
    <row r="107" spans="2:5">
      <c r="B107" s="908" t="s">
        <v>335</v>
      </c>
      <c r="C107" s="909"/>
      <c r="D107" s="909"/>
      <c r="E107" s="910"/>
    </row>
    <row r="108" spans="2:5">
      <c r="B108" s="573" t="s">
        <v>6</v>
      </c>
      <c r="C108" s="574">
        <f>(59.47+6.92)/100</f>
        <v>0.66390000000000005</v>
      </c>
      <c r="D108" s="575">
        <v>0.15</v>
      </c>
      <c r="E108" s="575">
        <f>C108*D108</f>
        <v>9.9585000000000007E-2</v>
      </c>
    </row>
    <row r="109" spans="2:5">
      <c r="B109" s="573" t="s">
        <v>256</v>
      </c>
      <c r="C109" s="574">
        <f>12.85/100</f>
        <v>0.1285</v>
      </c>
      <c r="D109" s="575">
        <v>0.4</v>
      </c>
      <c r="E109" s="575">
        <f t="shared" ref="E109:E116" si="10">C109*D109</f>
        <v>5.1400000000000001E-2</v>
      </c>
    </row>
    <row r="110" spans="2:5">
      <c r="B110" s="573" t="s">
        <v>2</v>
      </c>
      <c r="C110" s="574">
        <v>0</v>
      </c>
      <c r="D110" s="575">
        <v>0.43</v>
      </c>
      <c r="E110" s="575">
        <f t="shared" si="10"/>
        <v>0</v>
      </c>
    </row>
    <row r="111" spans="2:5">
      <c r="B111" s="573" t="s">
        <v>16</v>
      </c>
      <c r="C111" s="574">
        <f>0.81/100</f>
        <v>8.1000000000000013E-3</v>
      </c>
      <c r="D111" s="575">
        <v>0.24</v>
      </c>
      <c r="E111" s="575">
        <f t="shared" si="10"/>
        <v>1.9440000000000002E-3</v>
      </c>
    </row>
    <row r="112" spans="2:5">
      <c r="B112" s="573" t="s">
        <v>331</v>
      </c>
      <c r="C112" s="574">
        <v>0</v>
      </c>
      <c r="D112" s="575">
        <v>0.39</v>
      </c>
      <c r="E112" s="575">
        <f t="shared" si="10"/>
        <v>0</v>
      </c>
    </row>
    <row r="113" spans="2:5">
      <c r="B113" s="573" t="s">
        <v>332</v>
      </c>
      <c r="C113" s="574">
        <f>10.71/100</f>
        <v>0.10710000000000001</v>
      </c>
      <c r="D113" s="575">
        <v>0</v>
      </c>
      <c r="E113" s="575">
        <f t="shared" si="10"/>
        <v>0</v>
      </c>
    </row>
    <row r="114" spans="2:5">
      <c r="B114" s="573" t="s">
        <v>231</v>
      </c>
      <c r="C114" s="574">
        <f>1.77/100</f>
        <v>1.77E-2</v>
      </c>
      <c r="D114" s="575">
        <v>0</v>
      </c>
      <c r="E114" s="575">
        <f t="shared" si="10"/>
        <v>0</v>
      </c>
    </row>
    <row r="115" spans="2:5">
      <c r="B115" s="573" t="s">
        <v>232</v>
      </c>
      <c r="C115" s="574">
        <f>1.33/100</f>
        <v>1.3300000000000001E-2</v>
      </c>
      <c r="D115" s="575">
        <v>0</v>
      </c>
      <c r="E115" s="575">
        <f t="shared" si="10"/>
        <v>0</v>
      </c>
    </row>
    <row r="116" spans="2:5">
      <c r="B116" s="573" t="s">
        <v>233</v>
      </c>
      <c r="C116" s="574">
        <f>6.21/100</f>
        <v>6.2100000000000002E-2</v>
      </c>
      <c r="D116" s="575">
        <v>0</v>
      </c>
      <c r="E116" s="575">
        <f t="shared" si="10"/>
        <v>0</v>
      </c>
    </row>
    <row r="117" spans="2:5">
      <c r="B117" s="911" t="s">
        <v>333</v>
      </c>
      <c r="C117" s="911"/>
      <c r="D117" s="911"/>
      <c r="E117" s="576">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B96:E96"/>
    <mergeCell ref="B106:D106"/>
    <mergeCell ref="B107:E107"/>
    <mergeCell ref="B117:D117"/>
    <mergeCell ref="B74:C74"/>
    <mergeCell ref="D74:H74"/>
    <mergeCell ref="B77:B83"/>
    <mergeCell ref="B85:E85"/>
    <mergeCell ref="B95:D95"/>
    <mergeCell ref="B71:C71"/>
    <mergeCell ref="D71:H71"/>
    <mergeCell ref="B72:C72"/>
    <mergeCell ref="D72:H72"/>
    <mergeCell ref="B73:C73"/>
    <mergeCell ref="D73:H73"/>
    <mergeCell ref="D3:F3"/>
    <mergeCell ref="D4:F4"/>
    <mergeCell ref="D2:F2"/>
    <mergeCell ref="D5:F5"/>
    <mergeCell ref="H9:I9"/>
    <mergeCell ref="D61:F61"/>
    <mergeCell ref="I61:K61"/>
    <mergeCell ref="C12:D12"/>
    <mergeCell ref="E12:F12"/>
    <mergeCell ref="J9:K9"/>
    <mergeCell ref="H12:I12"/>
    <mergeCell ref="J12:K12"/>
    <mergeCell ref="C9:D9"/>
    <mergeCell ref="E9:F9"/>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6" workbookViewId="0">
      <selection activeCell="C19" sqref="C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1" customWidth="1"/>
    <col min="14" max="16384" width="8.85546875" style="6"/>
  </cols>
  <sheetData>
    <row r="2" spans="1:23" ht="15.75">
      <c r="B2" s="45" t="s">
        <v>309</v>
      </c>
      <c r="C2" s="223"/>
      <c r="D2" s="223"/>
      <c r="E2" s="224"/>
      <c r="F2" s="225"/>
      <c r="G2" s="225"/>
      <c r="H2" s="225"/>
      <c r="I2" s="225"/>
      <c r="J2" s="225"/>
      <c r="K2" s="225"/>
    </row>
    <row r="3" spans="1:23" ht="15">
      <c r="B3" s="242" t="str">
        <f>IF(Select2=1,"This sheet applies only to the bulk waste option and can be deleted when the waste composition option has been chosen","")</f>
        <v>This sheet applies only to the bulk waste option and can be deleted when the waste composition option has been chosen</v>
      </c>
      <c r="C3" s="223"/>
      <c r="D3" s="223"/>
      <c r="E3" s="224"/>
      <c r="F3" s="225"/>
      <c r="G3" s="225"/>
      <c r="H3" s="225"/>
      <c r="I3" s="225"/>
      <c r="J3" s="225"/>
      <c r="K3" s="225"/>
    </row>
    <row r="4" spans="1:23" ht="16.5" thickBot="1">
      <c r="B4" s="226"/>
      <c r="C4" s="227"/>
      <c r="D4" s="227"/>
      <c r="E4" s="256"/>
      <c r="F4" s="228"/>
      <c r="G4" s="228"/>
      <c r="H4" s="228"/>
      <c r="I4" s="228"/>
      <c r="J4" s="228"/>
      <c r="K4" s="228"/>
    </row>
    <row r="5" spans="1:23" ht="26.25" thickBot="1">
      <c r="B5" s="229"/>
      <c r="C5" s="230"/>
      <c r="D5" s="230"/>
      <c r="F5" s="231"/>
      <c r="G5" s="216"/>
      <c r="H5" s="216"/>
      <c r="I5" s="216"/>
      <c r="J5" s="216"/>
      <c r="K5" s="115" t="s">
        <v>7</v>
      </c>
      <c r="O5" s="229"/>
      <c r="P5" s="230"/>
      <c r="Q5" s="222"/>
      <c r="R5" s="231"/>
      <c r="S5" s="216"/>
      <c r="T5" s="216"/>
      <c r="U5" s="216"/>
      <c r="V5" s="216"/>
      <c r="W5" s="115" t="s">
        <v>7</v>
      </c>
    </row>
    <row r="6" spans="1:23">
      <c r="B6" s="229"/>
      <c r="C6" s="230"/>
      <c r="D6" s="230"/>
      <c r="F6" s="108" t="s">
        <v>9</v>
      </c>
      <c r="G6" s="109"/>
      <c r="H6" s="109"/>
      <c r="I6" s="113"/>
      <c r="J6" s="120" t="s">
        <v>9</v>
      </c>
      <c r="K6" s="260">
        <f>Parameters!O26</f>
        <v>0</v>
      </c>
      <c r="O6" s="229"/>
      <c r="P6" s="230"/>
      <c r="Q6" s="222"/>
      <c r="R6" s="108" t="s">
        <v>9</v>
      </c>
      <c r="S6" s="109"/>
      <c r="T6" s="109"/>
      <c r="U6" s="113"/>
      <c r="V6" s="120" t="s">
        <v>9</v>
      </c>
      <c r="W6" s="260">
        <f>Parameters!R26</f>
        <v>0</v>
      </c>
    </row>
    <row r="7" spans="1:23" ht="13.5" thickBot="1">
      <c r="B7" s="229"/>
      <c r="C7" s="230"/>
      <c r="D7" s="230"/>
      <c r="F7" s="250" t="s">
        <v>12</v>
      </c>
      <c r="G7" s="251"/>
      <c r="H7" s="251"/>
      <c r="I7" s="252"/>
      <c r="J7" s="253" t="s">
        <v>12</v>
      </c>
      <c r="K7" s="254">
        <f>DOCF</f>
        <v>0.5</v>
      </c>
      <c r="O7" s="229"/>
      <c r="P7" s="230"/>
      <c r="Q7" s="222"/>
      <c r="R7" s="250" t="s">
        <v>12</v>
      </c>
      <c r="S7" s="251"/>
      <c r="T7" s="251"/>
      <c r="U7" s="252"/>
      <c r="V7" s="253" t="s">
        <v>12</v>
      </c>
      <c r="W7" s="254">
        <f>DOCF</f>
        <v>0.5</v>
      </c>
    </row>
    <row r="8" spans="1:23">
      <c r="F8" s="108" t="s">
        <v>192</v>
      </c>
      <c r="G8" s="109"/>
      <c r="H8" s="109"/>
      <c r="I8" s="113"/>
      <c r="J8" s="120" t="s">
        <v>188</v>
      </c>
      <c r="K8" s="114">
        <f>Parameters!O45</f>
        <v>0</v>
      </c>
      <c r="O8" s="47"/>
      <c r="P8" s="47"/>
      <c r="Q8" s="222"/>
      <c r="R8" s="108" t="s">
        <v>192</v>
      </c>
      <c r="S8" s="109"/>
      <c r="T8" s="109"/>
      <c r="U8" s="113"/>
      <c r="V8" s="120" t="s">
        <v>188</v>
      </c>
      <c r="W8" s="114">
        <f>Parameters!O45</f>
        <v>0</v>
      </c>
    </row>
    <row r="9" spans="1:23" ht="15.75">
      <c r="F9" s="246" t="s">
        <v>190</v>
      </c>
      <c r="G9" s="247"/>
      <c r="H9" s="247"/>
      <c r="I9" s="248"/>
      <c r="J9" s="249" t="s">
        <v>189</v>
      </c>
      <c r="K9" s="255" t="e">
        <f>LN(2)/$K$8</f>
        <v>#DIV/0!</v>
      </c>
      <c r="O9" s="47"/>
      <c r="P9" s="47"/>
      <c r="Q9" s="222"/>
      <c r="R9" s="246" t="s">
        <v>190</v>
      </c>
      <c r="S9" s="247"/>
      <c r="T9" s="247"/>
      <c r="U9" s="248"/>
      <c r="V9" s="249" t="s">
        <v>189</v>
      </c>
      <c r="W9" s="255" t="e">
        <f>LN(2)/$W$8</f>
        <v>#DIV/0!</v>
      </c>
    </row>
    <row r="10" spans="1:23">
      <c r="F10" s="110" t="s">
        <v>84</v>
      </c>
      <c r="G10" s="111"/>
      <c r="H10" s="111"/>
      <c r="I10" s="112"/>
      <c r="J10" s="121" t="s">
        <v>148</v>
      </c>
      <c r="K10" s="49">
        <f>EXP(-$K$8)</f>
        <v>1</v>
      </c>
      <c r="O10" s="47"/>
      <c r="P10" s="47"/>
      <c r="Q10" s="222"/>
      <c r="R10" s="110" t="s">
        <v>84</v>
      </c>
      <c r="S10" s="111"/>
      <c r="T10" s="111"/>
      <c r="U10" s="112"/>
      <c r="V10" s="121" t="s">
        <v>148</v>
      </c>
      <c r="W10" s="49">
        <f>EXP(-$W$8)</f>
        <v>1</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8" t="s">
        <v>239</v>
      </c>
      <c r="E15" s="53" t="s">
        <v>11</v>
      </c>
      <c r="F15" s="54" t="s">
        <v>180</v>
      </c>
      <c r="G15" s="54" t="s">
        <v>181</v>
      </c>
      <c r="H15" s="54" t="s">
        <v>182</v>
      </c>
      <c r="I15" s="54" t="s">
        <v>183</v>
      </c>
      <c r="J15" s="54" t="s">
        <v>184</v>
      </c>
      <c r="K15" s="245" t="s">
        <v>185</v>
      </c>
      <c r="O15" s="51" t="s">
        <v>1</v>
      </c>
      <c r="P15" s="52" t="s">
        <v>10</v>
      </c>
      <c r="Q15" s="53" t="s">
        <v>11</v>
      </c>
      <c r="R15" s="54" t="s">
        <v>180</v>
      </c>
      <c r="S15" s="54" t="s">
        <v>181</v>
      </c>
      <c r="T15" s="54" t="s">
        <v>182</v>
      </c>
      <c r="U15" s="54" t="s">
        <v>183</v>
      </c>
      <c r="V15" s="54" t="s">
        <v>184</v>
      </c>
      <c r="W15" s="245" t="s">
        <v>185</v>
      </c>
    </row>
    <row r="16" spans="1:23" ht="45">
      <c r="A16" s="232"/>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Amnt_Deposited!O14</f>
        <v>0</v>
      </c>
      <c r="D19" s="415">
        <f>Dry_Matter_Content!O6</f>
        <v>0</v>
      </c>
      <c r="E19" s="282">
        <f>MCF!R18</f>
        <v>0.78500000000000003</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Amnt_Deposited!O14</f>
        <v>0</v>
      </c>
      <c r="Q19" s="282">
        <f>MCF!R18</f>
        <v>0.78500000000000003</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Amnt_Deposited!O15</f>
        <v>0</v>
      </c>
      <c r="D20" s="417">
        <f>Dry_Matter_Content!O7</f>
        <v>0</v>
      </c>
      <c r="E20" s="283">
        <f>MCF!R19</f>
        <v>0.78500000000000003</v>
      </c>
      <c r="F20" s="67">
        <f t="shared" si="0"/>
        <v>0</v>
      </c>
      <c r="G20" s="67">
        <f t="shared" si="1"/>
        <v>0</v>
      </c>
      <c r="H20" s="67">
        <f t="shared" si="2"/>
        <v>0</v>
      </c>
      <c r="I20" s="67">
        <f t="shared" si="3"/>
        <v>0</v>
      </c>
      <c r="J20" s="67">
        <f t="shared" si="4"/>
        <v>0</v>
      </c>
      <c r="K20" s="100">
        <f>J20*CH4_fraction*conv</f>
        <v>0</v>
      </c>
      <c r="M20" s="392"/>
      <c r="O20" s="96">
        <f>Amnt_Deposited!B15</f>
        <v>2001</v>
      </c>
      <c r="P20" s="99">
        <f>Amnt_Deposited!O15</f>
        <v>0</v>
      </c>
      <c r="Q20" s="283">
        <f>MCF!R19</f>
        <v>0.78500000000000003</v>
      </c>
      <c r="R20" s="67">
        <f t="shared" si="5"/>
        <v>0</v>
      </c>
      <c r="S20" s="67">
        <f>R20*$W$12</f>
        <v>0</v>
      </c>
      <c r="T20" s="67">
        <f>R20*(1-$W$12)</f>
        <v>0</v>
      </c>
      <c r="U20" s="67">
        <f>S20+U19*$W$10</f>
        <v>0</v>
      </c>
      <c r="V20" s="67">
        <f>U19*(1-$W$10)+T20</f>
        <v>0</v>
      </c>
      <c r="W20" s="100">
        <f>V20*CH4_fraction*conv</f>
        <v>0</v>
      </c>
    </row>
    <row r="21" spans="2:23">
      <c r="B21" s="96">
        <f>Amnt_Deposited!B16</f>
        <v>2002</v>
      </c>
      <c r="C21" s="99">
        <f>Amnt_Deposited!O16</f>
        <v>0</v>
      </c>
      <c r="D21" s="417">
        <f>Dry_Matter_Content!O8</f>
        <v>0</v>
      </c>
      <c r="E21" s="283">
        <f>MCF!R20</f>
        <v>0.78500000000000003</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Amnt_Deposited!O16</f>
        <v>0</v>
      </c>
      <c r="Q21" s="283">
        <f>MCF!R20</f>
        <v>0.78500000000000003</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Amnt_Deposited!O17</f>
        <v>0</v>
      </c>
      <c r="D22" s="417">
        <f>Dry_Matter_Content!O9</f>
        <v>0</v>
      </c>
      <c r="E22" s="283">
        <f>MCF!R21</f>
        <v>0.78500000000000003</v>
      </c>
      <c r="F22" s="67">
        <f t="shared" si="0"/>
        <v>0</v>
      </c>
      <c r="G22" s="67">
        <f t="shared" si="1"/>
        <v>0</v>
      </c>
      <c r="H22" s="67">
        <f t="shared" si="2"/>
        <v>0</v>
      </c>
      <c r="I22" s="67">
        <f t="shared" si="3"/>
        <v>0</v>
      </c>
      <c r="J22" s="67">
        <f t="shared" si="4"/>
        <v>0</v>
      </c>
      <c r="K22" s="100">
        <f t="shared" si="6"/>
        <v>0</v>
      </c>
      <c r="N22" s="257"/>
      <c r="O22" s="96">
        <f>Amnt_Deposited!B17</f>
        <v>2003</v>
      </c>
      <c r="P22" s="99">
        <f>Amnt_Deposited!O17</f>
        <v>0</v>
      </c>
      <c r="Q22" s="283">
        <f>MCF!R21</f>
        <v>0.78500000000000003</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Amnt_Deposited!O18</f>
        <v>0</v>
      </c>
      <c r="D23" s="417">
        <f>Dry_Matter_Content!O10</f>
        <v>0</v>
      </c>
      <c r="E23" s="283">
        <f>MCF!R22</f>
        <v>0.78500000000000003</v>
      </c>
      <c r="F23" s="67">
        <f t="shared" si="0"/>
        <v>0</v>
      </c>
      <c r="G23" s="67">
        <f t="shared" si="1"/>
        <v>0</v>
      </c>
      <c r="H23" s="67">
        <f t="shared" si="2"/>
        <v>0</v>
      </c>
      <c r="I23" s="67">
        <f t="shared" si="3"/>
        <v>0</v>
      </c>
      <c r="J23" s="67">
        <f t="shared" si="4"/>
        <v>0</v>
      </c>
      <c r="K23" s="100">
        <f t="shared" si="6"/>
        <v>0</v>
      </c>
      <c r="N23" s="257"/>
      <c r="O23" s="96">
        <f>Amnt_Deposited!B18</f>
        <v>2004</v>
      </c>
      <c r="P23" s="99">
        <f>Amnt_Deposited!O18</f>
        <v>0</v>
      </c>
      <c r="Q23" s="283">
        <f>MCF!R22</f>
        <v>0.78500000000000003</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Amnt_Deposited!O19</f>
        <v>0</v>
      </c>
      <c r="D24" s="417">
        <f>Dry_Matter_Content!O11</f>
        <v>0</v>
      </c>
      <c r="E24" s="283">
        <f>MCF!R23</f>
        <v>0.78500000000000003</v>
      </c>
      <c r="F24" s="67">
        <f t="shared" si="0"/>
        <v>0</v>
      </c>
      <c r="G24" s="67">
        <f t="shared" si="1"/>
        <v>0</v>
      </c>
      <c r="H24" s="67">
        <f t="shared" si="2"/>
        <v>0</v>
      </c>
      <c r="I24" s="67">
        <f t="shared" si="3"/>
        <v>0</v>
      </c>
      <c r="J24" s="67">
        <f t="shared" si="4"/>
        <v>0</v>
      </c>
      <c r="K24" s="100">
        <f t="shared" si="6"/>
        <v>0</v>
      </c>
      <c r="N24" s="257"/>
      <c r="O24" s="96">
        <f>Amnt_Deposited!B19</f>
        <v>2005</v>
      </c>
      <c r="P24" s="99">
        <f>Amnt_Deposited!O19</f>
        <v>0</v>
      </c>
      <c r="Q24" s="283">
        <f>MCF!R23</f>
        <v>0.78500000000000003</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Amnt_Deposited!O20</f>
        <v>0</v>
      </c>
      <c r="D25" s="417">
        <f>Dry_Matter_Content!O12</f>
        <v>0</v>
      </c>
      <c r="E25" s="283">
        <f>MCF!R24</f>
        <v>0.78500000000000003</v>
      </c>
      <c r="F25" s="67">
        <f t="shared" si="0"/>
        <v>0</v>
      </c>
      <c r="G25" s="67">
        <f t="shared" si="1"/>
        <v>0</v>
      </c>
      <c r="H25" s="67">
        <f t="shared" si="2"/>
        <v>0</v>
      </c>
      <c r="I25" s="67">
        <f t="shared" si="3"/>
        <v>0</v>
      </c>
      <c r="J25" s="67">
        <f t="shared" si="4"/>
        <v>0</v>
      </c>
      <c r="K25" s="100">
        <f t="shared" si="6"/>
        <v>0</v>
      </c>
      <c r="N25" s="257"/>
      <c r="O25" s="96">
        <f>Amnt_Deposited!B20</f>
        <v>2006</v>
      </c>
      <c r="P25" s="99">
        <f>Amnt_Deposited!O20</f>
        <v>0</v>
      </c>
      <c r="Q25" s="283">
        <f>MCF!R24</f>
        <v>0.78500000000000003</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Amnt_Deposited!O21</f>
        <v>0</v>
      </c>
      <c r="D26" s="417">
        <f>Dry_Matter_Content!O13</f>
        <v>0</v>
      </c>
      <c r="E26" s="283">
        <f>MCF!R25</f>
        <v>0.78500000000000003</v>
      </c>
      <c r="F26" s="67">
        <f t="shared" si="0"/>
        <v>0</v>
      </c>
      <c r="G26" s="67">
        <f t="shared" si="1"/>
        <v>0</v>
      </c>
      <c r="H26" s="67">
        <f t="shared" si="2"/>
        <v>0</v>
      </c>
      <c r="I26" s="67">
        <f t="shared" si="3"/>
        <v>0</v>
      </c>
      <c r="J26" s="67">
        <f t="shared" si="4"/>
        <v>0</v>
      </c>
      <c r="K26" s="100">
        <f t="shared" si="6"/>
        <v>0</v>
      </c>
      <c r="N26" s="257"/>
      <c r="O26" s="96">
        <f>Amnt_Deposited!B21</f>
        <v>2007</v>
      </c>
      <c r="P26" s="99">
        <f>Amnt_Deposited!O21</f>
        <v>0</v>
      </c>
      <c r="Q26" s="283">
        <f>MCF!R25</f>
        <v>0.78500000000000003</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Amnt_Deposited!O22</f>
        <v>0</v>
      </c>
      <c r="D27" s="417">
        <f>Dry_Matter_Content!O14</f>
        <v>0</v>
      </c>
      <c r="E27" s="283">
        <f>MCF!R26</f>
        <v>0.78500000000000003</v>
      </c>
      <c r="F27" s="67">
        <f t="shared" si="0"/>
        <v>0</v>
      </c>
      <c r="G27" s="67">
        <f t="shared" si="1"/>
        <v>0</v>
      </c>
      <c r="H27" s="67">
        <f t="shared" si="2"/>
        <v>0</v>
      </c>
      <c r="I27" s="67">
        <f t="shared" si="3"/>
        <v>0</v>
      </c>
      <c r="J27" s="67">
        <f t="shared" si="4"/>
        <v>0</v>
      </c>
      <c r="K27" s="100">
        <f t="shared" si="6"/>
        <v>0</v>
      </c>
      <c r="N27" s="257"/>
      <c r="O27" s="96">
        <f>Amnt_Deposited!B22</f>
        <v>2008</v>
      </c>
      <c r="P27" s="99">
        <f>Amnt_Deposited!O22</f>
        <v>0</v>
      </c>
      <c r="Q27" s="283">
        <f>MCF!R26</f>
        <v>0.78500000000000003</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Amnt_Deposited!O23</f>
        <v>0</v>
      </c>
      <c r="D28" s="417">
        <f>Dry_Matter_Content!O15</f>
        <v>0</v>
      </c>
      <c r="E28" s="283">
        <f>MCF!R27</f>
        <v>0.78500000000000003</v>
      </c>
      <c r="F28" s="67">
        <f t="shared" si="0"/>
        <v>0</v>
      </c>
      <c r="G28" s="67">
        <f t="shared" si="1"/>
        <v>0</v>
      </c>
      <c r="H28" s="67">
        <f t="shared" si="2"/>
        <v>0</v>
      </c>
      <c r="I28" s="67">
        <f t="shared" si="3"/>
        <v>0</v>
      </c>
      <c r="J28" s="67">
        <f t="shared" si="4"/>
        <v>0</v>
      </c>
      <c r="K28" s="100">
        <f t="shared" si="6"/>
        <v>0</v>
      </c>
      <c r="N28" s="257"/>
      <c r="O28" s="96">
        <f>Amnt_Deposited!B23</f>
        <v>2009</v>
      </c>
      <c r="P28" s="99">
        <f>Amnt_Deposited!O23</f>
        <v>0</v>
      </c>
      <c r="Q28" s="283">
        <f>MCF!R27</f>
        <v>0.78500000000000003</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Amnt_Deposited!O24</f>
        <v>0</v>
      </c>
      <c r="D29" s="417">
        <f>Dry_Matter_Content!O16</f>
        <v>0</v>
      </c>
      <c r="E29" s="283">
        <f>MCF!R28</f>
        <v>0.78500000000000003</v>
      </c>
      <c r="F29" s="67">
        <f t="shared" si="0"/>
        <v>0</v>
      </c>
      <c r="G29" s="67">
        <f t="shared" si="1"/>
        <v>0</v>
      </c>
      <c r="H29" s="67">
        <f t="shared" si="2"/>
        <v>0</v>
      </c>
      <c r="I29" s="67">
        <f t="shared" si="3"/>
        <v>0</v>
      </c>
      <c r="J29" s="67">
        <f t="shared" si="4"/>
        <v>0</v>
      </c>
      <c r="K29" s="100">
        <f t="shared" si="6"/>
        <v>0</v>
      </c>
      <c r="O29" s="96">
        <f>Amnt_Deposited!B24</f>
        <v>2010</v>
      </c>
      <c r="P29" s="99">
        <f>Amnt_Deposited!O24</f>
        <v>0</v>
      </c>
      <c r="Q29" s="283">
        <f>MCF!R28</f>
        <v>0.78500000000000003</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Amnt_Deposited!O25</f>
        <v>210.42193163299999</v>
      </c>
      <c r="D30" s="417">
        <f>Dry_Matter_Content!O17</f>
        <v>0</v>
      </c>
      <c r="E30" s="283">
        <f>MCF!R29</f>
        <v>0.78500000000000003</v>
      </c>
      <c r="F30" s="67">
        <f t="shared" si="0"/>
        <v>0</v>
      </c>
      <c r="G30" s="67">
        <f t="shared" si="1"/>
        <v>0</v>
      </c>
      <c r="H30" s="67">
        <f t="shared" si="2"/>
        <v>0</v>
      </c>
      <c r="I30" s="67">
        <f t="shared" si="3"/>
        <v>0</v>
      </c>
      <c r="J30" s="67">
        <f t="shared" si="4"/>
        <v>0</v>
      </c>
      <c r="K30" s="100">
        <f t="shared" si="6"/>
        <v>0</v>
      </c>
      <c r="O30" s="96">
        <f>Amnt_Deposited!B25</f>
        <v>2011</v>
      </c>
      <c r="P30" s="99">
        <f>Amnt_Deposited!O25</f>
        <v>210.42193163299999</v>
      </c>
      <c r="Q30" s="283">
        <f>MCF!R29</f>
        <v>0.78500000000000003</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Amnt_Deposited!O26</f>
        <v>214.934521496</v>
      </c>
      <c r="D31" s="417">
        <f>Dry_Matter_Content!O18</f>
        <v>0</v>
      </c>
      <c r="E31" s="283">
        <f>MCF!R30</f>
        <v>0.78500000000000003</v>
      </c>
      <c r="F31" s="67">
        <f t="shared" si="0"/>
        <v>0</v>
      </c>
      <c r="G31" s="67">
        <f t="shared" si="1"/>
        <v>0</v>
      </c>
      <c r="H31" s="67">
        <f t="shared" si="2"/>
        <v>0</v>
      </c>
      <c r="I31" s="67">
        <f t="shared" si="3"/>
        <v>0</v>
      </c>
      <c r="J31" s="67">
        <f t="shared" si="4"/>
        <v>0</v>
      </c>
      <c r="K31" s="100">
        <f t="shared" si="6"/>
        <v>0</v>
      </c>
      <c r="O31" s="96">
        <f>Amnt_Deposited!B26</f>
        <v>2012</v>
      </c>
      <c r="P31" s="99">
        <f>Amnt_Deposited!O26</f>
        <v>214.934521496</v>
      </c>
      <c r="Q31" s="283">
        <f>MCF!R30</f>
        <v>0.78500000000000003</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Amnt_Deposited!O27</f>
        <v>220.03132421799998</v>
      </c>
      <c r="D32" s="417">
        <f>Dry_Matter_Content!O19</f>
        <v>0</v>
      </c>
      <c r="E32" s="283">
        <f>MCF!R31</f>
        <v>0.78500000000000003</v>
      </c>
      <c r="F32" s="67">
        <f t="shared" si="0"/>
        <v>0</v>
      </c>
      <c r="G32" s="67">
        <f t="shared" si="1"/>
        <v>0</v>
      </c>
      <c r="H32" s="67">
        <f t="shared" si="2"/>
        <v>0</v>
      </c>
      <c r="I32" s="67">
        <f t="shared" si="3"/>
        <v>0</v>
      </c>
      <c r="J32" s="67">
        <f t="shared" si="4"/>
        <v>0</v>
      </c>
      <c r="K32" s="100">
        <f t="shared" si="6"/>
        <v>0</v>
      </c>
      <c r="O32" s="96">
        <f>Amnt_Deposited!B27</f>
        <v>2013</v>
      </c>
      <c r="P32" s="99">
        <f>Amnt_Deposited!O27</f>
        <v>220.03132421799998</v>
      </c>
      <c r="Q32" s="283">
        <f>MCF!R31</f>
        <v>0.78500000000000003</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Amnt_Deposited!O28</f>
        <v>225.087944308</v>
      </c>
      <c r="D33" s="417">
        <f>Dry_Matter_Content!O20</f>
        <v>0</v>
      </c>
      <c r="E33" s="283">
        <f>MCF!R32</f>
        <v>0.78500000000000003</v>
      </c>
      <c r="F33" s="67">
        <f t="shared" si="0"/>
        <v>0</v>
      </c>
      <c r="G33" s="67">
        <f t="shared" si="1"/>
        <v>0</v>
      </c>
      <c r="H33" s="67">
        <f t="shared" si="2"/>
        <v>0</v>
      </c>
      <c r="I33" s="67">
        <f t="shared" si="3"/>
        <v>0</v>
      </c>
      <c r="J33" s="67">
        <f t="shared" si="4"/>
        <v>0</v>
      </c>
      <c r="K33" s="100">
        <f t="shared" si="6"/>
        <v>0</v>
      </c>
      <c r="O33" s="96">
        <f>Amnt_Deposited!B28</f>
        <v>2014</v>
      </c>
      <c r="P33" s="99">
        <f>Amnt_Deposited!O28</f>
        <v>225.087944308</v>
      </c>
      <c r="Q33" s="283">
        <f>MCF!R32</f>
        <v>0.78500000000000003</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Amnt_Deposited!O29</f>
        <v>230.11672230999997</v>
      </c>
      <c r="D34" s="417">
        <f>Dry_Matter_Content!O21</f>
        <v>0</v>
      </c>
      <c r="E34" s="283">
        <f>MCF!R33</f>
        <v>0.78500000000000003</v>
      </c>
      <c r="F34" s="67">
        <f t="shared" si="0"/>
        <v>0</v>
      </c>
      <c r="G34" s="67">
        <f t="shared" si="1"/>
        <v>0</v>
      </c>
      <c r="H34" s="67">
        <f t="shared" si="2"/>
        <v>0</v>
      </c>
      <c r="I34" s="67">
        <f t="shared" si="3"/>
        <v>0</v>
      </c>
      <c r="J34" s="67">
        <f t="shared" si="4"/>
        <v>0</v>
      </c>
      <c r="K34" s="100">
        <f t="shared" si="6"/>
        <v>0</v>
      </c>
      <c r="O34" s="96">
        <f>Amnt_Deposited!B29</f>
        <v>2015</v>
      </c>
      <c r="P34" s="99">
        <f>Amnt_Deposited!O29</f>
        <v>230.11672230999997</v>
      </c>
      <c r="Q34" s="283">
        <f>MCF!R33</f>
        <v>0.78500000000000003</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Amnt_Deposited!O30</f>
        <v>235.106092125</v>
      </c>
      <c r="D35" s="417">
        <f>Dry_Matter_Content!O22</f>
        <v>0</v>
      </c>
      <c r="E35" s="283">
        <f>MCF!R34</f>
        <v>0.78500000000000003</v>
      </c>
      <c r="F35" s="67">
        <f t="shared" si="0"/>
        <v>0</v>
      </c>
      <c r="G35" s="67">
        <f t="shared" si="1"/>
        <v>0</v>
      </c>
      <c r="H35" s="67">
        <f t="shared" si="2"/>
        <v>0</v>
      </c>
      <c r="I35" s="67">
        <f t="shared" si="3"/>
        <v>0</v>
      </c>
      <c r="J35" s="67">
        <f t="shared" si="4"/>
        <v>0</v>
      </c>
      <c r="K35" s="100">
        <f t="shared" si="6"/>
        <v>0</v>
      </c>
      <c r="O35" s="96">
        <f>Amnt_Deposited!B30</f>
        <v>2016</v>
      </c>
      <c r="P35" s="99">
        <f>Amnt_Deposited!O30</f>
        <v>235.106092125</v>
      </c>
      <c r="Q35" s="283">
        <f>MCF!R34</f>
        <v>0.78500000000000003</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Amnt_Deposited!O31</f>
        <v>247.77931214080493</v>
      </c>
      <c r="D36" s="417">
        <f>Dry_Matter_Content!O23</f>
        <v>0</v>
      </c>
      <c r="E36" s="283">
        <f>MCF!R35</f>
        <v>0.78500000000000003</v>
      </c>
      <c r="F36" s="67">
        <f t="shared" si="0"/>
        <v>0</v>
      </c>
      <c r="G36" s="67">
        <f t="shared" si="1"/>
        <v>0</v>
      </c>
      <c r="H36" s="67">
        <f t="shared" si="2"/>
        <v>0</v>
      </c>
      <c r="I36" s="67">
        <f t="shared" si="3"/>
        <v>0</v>
      </c>
      <c r="J36" s="67">
        <f t="shared" si="4"/>
        <v>0</v>
      </c>
      <c r="K36" s="100">
        <f t="shared" si="6"/>
        <v>0</v>
      </c>
      <c r="O36" s="96">
        <f>Amnt_Deposited!B31</f>
        <v>2017</v>
      </c>
      <c r="P36" s="99">
        <f>Amnt_Deposited!O31</f>
        <v>247.77931214080493</v>
      </c>
      <c r="Q36" s="283">
        <f>MCF!R35</f>
        <v>0.78500000000000003</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Amnt_Deposited!O32</f>
        <v>260.58709757834117</v>
      </c>
      <c r="D37" s="417">
        <f>Dry_Matter_Content!O24</f>
        <v>0</v>
      </c>
      <c r="E37" s="283">
        <f>MCF!R36</f>
        <v>0.78500000000000003</v>
      </c>
      <c r="F37" s="67">
        <f t="shared" si="0"/>
        <v>0</v>
      </c>
      <c r="G37" s="67">
        <f t="shared" si="1"/>
        <v>0</v>
      </c>
      <c r="H37" s="67">
        <f t="shared" si="2"/>
        <v>0</v>
      </c>
      <c r="I37" s="67">
        <f t="shared" si="3"/>
        <v>0</v>
      </c>
      <c r="J37" s="67">
        <f t="shared" si="4"/>
        <v>0</v>
      </c>
      <c r="K37" s="100">
        <f t="shared" si="6"/>
        <v>0</v>
      </c>
      <c r="O37" s="96">
        <f>Amnt_Deposited!B32</f>
        <v>2018</v>
      </c>
      <c r="P37" s="99">
        <f>Amnt_Deposited!O32</f>
        <v>260.58709757834117</v>
      </c>
      <c r="Q37" s="283">
        <f>MCF!R36</f>
        <v>0.78500000000000003</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Amnt_Deposited!O33</f>
        <v>273.88696157547224</v>
      </c>
      <c r="D38" s="417">
        <f>Dry_Matter_Content!O25</f>
        <v>0</v>
      </c>
      <c r="E38" s="283">
        <f>MCF!R37</f>
        <v>0.78500000000000003</v>
      </c>
      <c r="F38" s="67">
        <f t="shared" si="0"/>
        <v>0</v>
      </c>
      <c r="G38" s="67">
        <f t="shared" si="1"/>
        <v>0</v>
      </c>
      <c r="H38" s="67">
        <f t="shared" si="2"/>
        <v>0</v>
      </c>
      <c r="I38" s="67">
        <f t="shared" si="3"/>
        <v>0</v>
      </c>
      <c r="J38" s="67">
        <f t="shared" si="4"/>
        <v>0</v>
      </c>
      <c r="K38" s="100">
        <f t="shared" si="6"/>
        <v>0</v>
      </c>
      <c r="O38" s="96">
        <f>Amnt_Deposited!B33</f>
        <v>2019</v>
      </c>
      <c r="P38" s="99">
        <f>Amnt_Deposited!O33</f>
        <v>273.88696157547224</v>
      </c>
      <c r="Q38" s="283">
        <f>MCF!R37</f>
        <v>0.78500000000000003</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Amnt_Deposited!O34</f>
        <v>287.69567187625665</v>
      </c>
      <c r="D39" s="417">
        <f>Dry_Matter_Content!O26</f>
        <v>0</v>
      </c>
      <c r="E39" s="283">
        <f>MCF!R38</f>
        <v>0.78500000000000003</v>
      </c>
      <c r="F39" s="67">
        <f t="shared" si="0"/>
        <v>0</v>
      </c>
      <c r="G39" s="67">
        <f t="shared" si="1"/>
        <v>0</v>
      </c>
      <c r="H39" s="67">
        <f t="shared" si="2"/>
        <v>0</v>
      </c>
      <c r="I39" s="67">
        <f t="shared" si="3"/>
        <v>0</v>
      </c>
      <c r="J39" s="67">
        <f t="shared" si="4"/>
        <v>0</v>
      </c>
      <c r="K39" s="100">
        <f t="shared" si="6"/>
        <v>0</v>
      </c>
      <c r="O39" s="96">
        <f>Amnt_Deposited!B34</f>
        <v>2020</v>
      </c>
      <c r="P39" s="99">
        <f>Amnt_Deposited!O34</f>
        <v>287.69567187625665</v>
      </c>
      <c r="Q39" s="283">
        <f>MCF!R38</f>
        <v>0.78500000000000003</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Amnt_Deposited!O35</f>
        <v>302.03053140561661</v>
      </c>
      <c r="D40" s="417">
        <f>Dry_Matter_Content!O27</f>
        <v>0</v>
      </c>
      <c r="E40" s="283">
        <f>MCF!R39</f>
        <v>0.78500000000000003</v>
      </c>
      <c r="F40" s="67">
        <f t="shared" si="0"/>
        <v>0</v>
      </c>
      <c r="G40" s="67">
        <f t="shared" si="1"/>
        <v>0</v>
      </c>
      <c r="H40" s="67">
        <f t="shared" si="2"/>
        <v>0</v>
      </c>
      <c r="I40" s="67">
        <f t="shared" si="3"/>
        <v>0</v>
      </c>
      <c r="J40" s="67">
        <f t="shared" si="4"/>
        <v>0</v>
      </c>
      <c r="K40" s="100">
        <f t="shared" si="6"/>
        <v>0</v>
      </c>
      <c r="O40" s="96">
        <f>Amnt_Deposited!B35</f>
        <v>2021</v>
      </c>
      <c r="P40" s="99">
        <f>Amnt_Deposited!O35</f>
        <v>302.03053140561661</v>
      </c>
      <c r="Q40" s="283">
        <f>MCF!R39</f>
        <v>0.78500000000000003</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Amnt_Deposited!O36</f>
        <v>316.90939466033643</v>
      </c>
      <c r="D41" s="417">
        <f>Dry_Matter_Content!O28</f>
        <v>0</v>
      </c>
      <c r="E41" s="283">
        <f>MCF!R40</f>
        <v>0.78500000000000003</v>
      </c>
      <c r="F41" s="67">
        <f t="shared" si="0"/>
        <v>0</v>
      </c>
      <c r="G41" s="67">
        <f t="shared" si="1"/>
        <v>0</v>
      </c>
      <c r="H41" s="67">
        <f t="shared" si="2"/>
        <v>0</v>
      </c>
      <c r="I41" s="67">
        <f t="shared" si="3"/>
        <v>0</v>
      </c>
      <c r="J41" s="67">
        <f t="shared" si="4"/>
        <v>0</v>
      </c>
      <c r="K41" s="100">
        <f t="shared" si="6"/>
        <v>0</v>
      </c>
      <c r="O41" s="96">
        <f>Amnt_Deposited!B36</f>
        <v>2022</v>
      </c>
      <c r="P41" s="99">
        <f>Amnt_Deposited!O36</f>
        <v>316.90939466033643</v>
      </c>
      <c r="Q41" s="283">
        <f>MCF!R40</f>
        <v>0.78500000000000003</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Amnt_Deposited!O37</f>
        <v>332.35068458800038</v>
      </c>
      <c r="D42" s="417">
        <f>Dry_Matter_Content!O29</f>
        <v>0</v>
      </c>
      <c r="E42" s="283">
        <f>MCF!R41</f>
        <v>0.78500000000000003</v>
      </c>
      <c r="F42" s="67">
        <f t="shared" si="0"/>
        <v>0</v>
      </c>
      <c r="G42" s="67">
        <f t="shared" si="1"/>
        <v>0</v>
      </c>
      <c r="H42" s="67">
        <f t="shared" si="2"/>
        <v>0</v>
      </c>
      <c r="I42" s="67">
        <f t="shared" si="3"/>
        <v>0</v>
      </c>
      <c r="J42" s="67">
        <f t="shared" si="4"/>
        <v>0</v>
      </c>
      <c r="K42" s="100">
        <f t="shared" si="6"/>
        <v>0</v>
      </c>
      <c r="O42" s="96">
        <f>Amnt_Deposited!B37</f>
        <v>2023</v>
      </c>
      <c r="P42" s="99">
        <f>Amnt_Deposited!O37</f>
        <v>332.35068458800038</v>
      </c>
      <c r="Q42" s="283">
        <f>MCF!R41</f>
        <v>0.78500000000000003</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Amnt_Deposited!O38</f>
        <v>348.37340996809735</v>
      </c>
      <c r="D43" s="417">
        <f>Dry_Matter_Content!O30</f>
        <v>0</v>
      </c>
      <c r="E43" s="283">
        <f>MCF!R42</f>
        <v>0.78500000000000003</v>
      </c>
      <c r="F43" s="67">
        <f t="shared" si="0"/>
        <v>0</v>
      </c>
      <c r="G43" s="67">
        <f t="shared" si="1"/>
        <v>0</v>
      </c>
      <c r="H43" s="67">
        <f t="shared" si="2"/>
        <v>0</v>
      </c>
      <c r="I43" s="67">
        <f t="shared" si="3"/>
        <v>0</v>
      </c>
      <c r="J43" s="67">
        <f t="shared" si="4"/>
        <v>0</v>
      </c>
      <c r="K43" s="100">
        <f t="shared" si="6"/>
        <v>0</v>
      </c>
      <c r="O43" s="96">
        <f>Amnt_Deposited!B38</f>
        <v>2024</v>
      </c>
      <c r="P43" s="99">
        <f>Amnt_Deposited!O38</f>
        <v>348.37340996809735</v>
      </c>
      <c r="Q43" s="283">
        <f>MCF!R42</f>
        <v>0.78500000000000003</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Amnt_Deposited!O39</f>
        <v>364.9971833099259</v>
      </c>
      <c r="D44" s="417">
        <f>Dry_Matter_Content!O31</f>
        <v>0</v>
      </c>
      <c r="E44" s="283">
        <f>MCF!R43</f>
        <v>0.78500000000000003</v>
      </c>
      <c r="F44" s="67">
        <f t="shared" si="0"/>
        <v>0</v>
      </c>
      <c r="G44" s="67">
        <f t="shared" si="1"/>
        <v>0</v>
      </c>
      <c r="H44" s="67">
        <f t="shared" si="2"/>
        <v>0</v>
      </c>
      <c r="I44" s="67">
        <f t="shared" si="3"/>
        <v>0</v>
      </c>
      <c r="J44" s="67">
        <f t="shared" si="4"/>
        <v>0</v>
      </c>
      <c r="K44" s="100">
        <f t="shared" si="6"/>
        <v>0</v>
      </c>
      <c r="O44" s="96">
        <f>Amnt_Deposited!B39</f>
        <v>2025</v>
      </c>
      <c r="P44" s="99">
        <f>Amnt_Deposited!O39</f>
        <v>364.9971833099259</v>
      </c>
      <c r="Q44" s="283">
        <f>MCF!R43</f>
        <v>0.78500000000000003</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Amnt_Deposited!O40</f>
        <v>382.24223928235591</v>
      </c>
      <c r="D45" s="417">
        <f>Dry_Matter_Content!O32</f>
        <v>0</v>
      </c>
      <c r="E45" s="283">
        <f>MCF!R44</f>
        <v>0.78500000000000003</v>
      </c>
      <c r="F45" s="67">
        <f t="shared" si="0"/>
        <v>0</v>
      </c>
      <c r="G45" s="67">
        <f t="shared" si="1"/>
        <v>0</v>
      </c>
      <c r="H45" s="67">
        <f t="shared" si="2"/>
        <v>0</v>
      </c>
      <c r="I45" s="67">
        <f t="shared" si="3"/>
        <v>0</v>
      </c>
      <c r="J45" s="67">
        <f t="shared" si="4"/>
        <v>0</v>
      </c>
      <c r="K45" s="100">
        <f t="shared" si="6"/>
        <v>0</v>
      </c>
      <c r="O45" s="96">
        <f>Amnt_Deposited!B40</f>
        <v>2026</v>
      </c>
      <c r="P45" s="99">
        <f>Amnt_Deposited!O40</f>
        <v>382.24223928235591</v>
      </c>
      <c r="Q45" s="283">
        <f>MCF!R44</f>
        <v>0.78500000000000003</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Amnt_Deposited!O41</f>
        <v>400.12945369093268</v>
      </c>
      <c r="D46" s="417">
        <f>Dry_Matter_Content!O33</f>
        <v>0</v>
      </c>
      <c r="E46" s="283">
        <f>MCF!R45</f>
        <v>0.78500000000000003</v>
      </c>
      <c r="F46" s="67">
        <f t="shared" si="0"/>
        <v>0</v>
      </c>
      <c r="G46" s="67">
        <f t="shared" si="1"/>
        <v>0</v>
      </c>
      <c r="H46" s="67">
        <f t="shared" si="2"/>
        <v>0</v>
      </c>
      <c r="I46" s="67">
        <f t="shared" si="3"/>
        <v>0</v>
      </c>
      <c r="J46" s="67">
        <f t="shared" si="4"/>
        <v>0</v>
      </c>
      <c r="K46" s="100">
        <f t="shared" si="6"/>
        <v>0</v>
      </c>
      <c r="O46" s="96">
        <f>Amnt_Deposited!B41</f>
        <v>2027</v>
      </c>
      <c r="P46" s="99">
        <f>Amnt_Deposited!O41</f>
        <v>400.12945369093268</v>
      </c>
      <c r="Q46" s="283">
        <f>MCF!R45</f>
        <v>0.78500000000000003</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Amnt_Deposited!O42</f>
        <v>418.6803630182535</v>
      </c>
      <c r="D47" s="417">
        <f>Dry_Matter_Content!O34</f>
        <v>0</v>
      </c>
      <c r="E47" s="283">
        <f>MCF!R46</f>
        <v>0.78500000000000003</v>
      </c>
      <c r="F47" s="67">
        <f t="shared" si="0"/>
        <v>0</v>
      </c>
      <c r="G47" s="67">
        <f t="shared" si="1"/>
        <v>0</v>
      </c>
      <c r="H47" s="67">
        <f t="shared" si="2"/>
        <v>0</v>
      </c>
      <c r="I47" s="67">
        <f t="shared" si="3"/>
        <v>0</v>
      </c>
      <c r="J47" s="67">
        <f t="shared" si="4"/>
        <v>0</v>
      </c>
      <c r="K47" s="100">
        <f t="shared" si="6"/>
        <v>0</v>
      </c>
      <c r="O47" s="96">
        <f>Amnt_Deposited!B42</f>
        <v>2028</v>
      </c>
      <c r="P47" s="99">
        <f>Amnt_Deposited!O42</f>
        <v>418.6803630182535</v>
      </c>
      <c r="Q47" s="283">
        <f>MCF!R46</f>
        <v>0.78500000000000003</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Amnt_Deposited!O43</f>
        <v>437.91718454400518</v>
      </c>
      <c r="D48" s="417">
        <f>Dry_Matter_Content!O35</f>
        <v>0</v>
      </c>
      <c r="E48" s="283">
        <f>MCF!R47</f>
        <v>0.78500000000000003</v>
      </c>
      <c r="F48" s="67">
        <f t="shared" si="0"/>
        <v>0</v>
      </c>
      <c r="G48" s="67">
        <f t="shared" si="1"/>
        <v>0</v>
      </c>
      <c r="H48" s="67">
        <f t="shared" si="2"/>
        <v>0</v>
      </c>
      <c r="I48" s="67">
        <f t="shared" si="3"/>
        <v>0</v>
      </c>
      <c r="J48" s="67">
        <f t="shared" si="4"/>
        <v>0</v>
      </c>
      <c r="K48" s="100">
        <f t="shared" si="6"/>
        <v>0</v>
      </c>
      <c r="O48" s="96">
        <f>Amnt_Deposited!B43</f>
        <v>2029</v>
      </c>
      <c r="P48" s="99">
        <f>Amnt_Deposited!O43</f>
        <v>437.91718454400518</v>
      </c>
      <c r="Q48" s="283">
        <f>MCF!R47</f>
        <v>0.78500000000000003</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Amnt_Deposited!O44</f>
        <v>458.16731819999995</v>
      </c>
      <c r="D49" s="417">
        <f>Dry_Matter_Content!O36</f>
        <v>0</v>
      </c>
      <c r="E49" s="283">
        <f>MCF!R48</f>
        <v>0.78500000000000003</v>
      </c>
      <c r="F49" s="67">
        <f t="shared" si="0"/>
        <v>0</v>
      </c>
      <c r="G49" s="67">
        <f t="shared" si="1"/>
        <v>0</v>
      </c>
      <c r="H49" s="67">
        <f t="shared" si="2"/>
        <v>0</v>
      </c>
      <c r="I49" s="67">
        <f t="shared" si="3"/>
        <v>0</v>
      </c>
      <c r="J49" s="67">
        <f t="shared" si="4"/>
        <v>0</v>
      </c>
      <c r="K49" s="100">
        <f t="shared" si="6"/>
        <v>0</v>
      </c>
      <c r="O49" s="96">
        <f>Amnt_Deposited!B44</f>
        <v>2030</v>
      </c>
      <c r="P49" s="99">
        <f>Amnt_Deposited!O44</f>
        <v>458.16731819999995</v>
      </c>
      <c r="Q49" s="283">
        <f>MCF!R48</f>
        <v>0.78500000000000003</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Amnt_Deposited!O45</f>
        <v>0</v>
      </c>
      <c r="D50" s="417">
        <f>Dry_Matter_Content!O37</f>
        <v>0</v>
      </c>
      <c r="E50" s="283">
        <f>MCF!R49</f>
        <v>0.78500000000000003</v>
      </c>
      <c r="F50" s="67">
        <f t="shared" si="0"/>
        <v>0</v>
      </c>
      <c r="G50" s="67">
        <f t="shared" si="1"/>
        <v>0</v>
      </c>
      <c r="H50" s="67">
        <f t="shared" si="2"/>
        <v>0</v>
      </c>
      <c r="I50" s="67">
        <f t="shared" si="3"/>
        <v>0</v>
      </c>
      <c r="J50" s="67">
        <f t="shared" si="4"/>
        <v>0</v>
      </c>
      <c r="K50" s="100">
        <f t="shared" si="6"/>
        <v>0</v>
      </c>
      <c r="O50" s="96">
        <f>Amnt_Deposited!B45</f>
        <v>2031</v>
      </c>
      <c r="P50" s="99">
        <f>Amnt_Deposited!O45</f>
        <v>0</v>
      </c>
      <c r="Q50" s="283">
        <f>MCF!R49</f>
        <v>0.78500000000000003</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Amnt_Deposited!O46</f>
        <v>0</v>
      </c>
      <c r="D51" s="417">
        <f>Dry_Matter_Content!O38</f>
        <v>0</v>
      </c>
      <c r="E51" s="283">
        <f>MCF!R50</f>
        <v>0.78500000000000003</v>
      </c>
      <c r="F51" s="67">
        <f t="shared" si="0"/>
        <v>0</v>
      </c>
      <c r="G51" s="67">
        <f t="shared" si="1"/>
        <v>0</v>
      </c>
      <c r="H51" s="67">
        <f t="shared" si="2"/>
        <v>0</v>
      </c>
      <c r="I51" s="67">
        <f t="shared" si="3"/>
        <v>0</v>
      </c>
      <c r="J51" s="67">
        <f t="shared" si="4"/>
        <v>0</v>
      </c>
      <c r="K51" s="100">
        <f t="shared" si="6"/>
        <v>0</v>
      </c>
      <c r="O51" s="96">
        <f>Amnt_Deposited!B46</f>
        <v>2032</v>
      </c>
      <c r="P51" s="99">
        <f>Amnt_Deposited!O46</f>
        <v>0</v>
      </c>
      <c r="Q51" s="283">
        <f>MCF!R50</f>
        <v>0.78500000000000003</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Amnt_Deposited!O47</f>
        <v>0</v>
      </c>
      <c r="D52" s="417">
        <f>Dry_Matter_Content!O39</f>
        <v>0</v>
      </c>
      <c r="E52" s="283">
        <f>MCF!R51</f>
        <v>0.78500000000000003</v>
      </c>
      <c r="F52" s="67">
        <f t="shared" si="0"/>
        <v>0</v>
      </c>
      <c r="G52" s="67">
        <f t="shared" si="1"/>
        <v>0</v>
      </c>
      <c r="H52" s="67">
        <f t="shared" si="2"/>
        <v>0</v>
      </c>
      <c r="I52" s="67">
        <f t="shared" si="3"/>
        <v>0</v>
      </c>
      <c r="J52" s="67">
        <f t="shared" si="4"/>
        <v>0</v>
      </c>
      <c r="K52" s="100">
        <f t="shared" si="6"/>
        <v>0</v>
      </c>
      <c r="O52" s="96">
        <f>Amnt_Deposited!B47</f>
        <v>2033</v>
      </c>
      <c r="P52" s="99">
        <f>Amnt_Deposited!O47</f>
        <v>0</v>
      </c>
      <c r="Q52" s="283">
        <f>MCF!R51</f>
        <v>0.78500000000000003</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Amnt_Deposited!O48</f>
        <v>0</v>
      </c>
      <c r="D53" s="417">
        <f>Dry_Matter_Content!O40</f>
        <v>0</v>
      </c>
      <c r="E53" s="283">
        <f>MCF!R52</f>
        <v>0.78500000000000003</v>
      </c>
      <c r="F53" s="67">
        <f t="shared" si="0"/>
        <v>0</v>
      </c>
      <c r="G53" s="67">
        <f t="shared" si="1"/>
        <v>0</v>
      </c>
      <c r="H53" s="67">
        <f t="shared" si="2"/>
        <v>0</v>
      </c>
      <c r="I53" s="67">
        <f t="shared" si="3"/>
        <v>0</v>
      </c>
      <c r="J53" s="67">
        <f t="shared" si="4"/>
        <v>0</v>
      </c>
      <c r="K53" s="100">
        <f t="shared" si="6"/>
        <v>0</v>
      </c>
      <c r="O53" s="96">
        <f>Amnt_Deposited!B48</f>
        <v>2034</v>
      </c>
      <c r="P53" s="99">
        <f>Amnt_Deposited!O48</f>
        <v>0</v>
      </c>
      <c r="Q53" s="283">
        <f>MCF!R52</f>
        <v>0.78500000000000003</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Amnt_Deposited!O49</f>
        <v>0</v>
      </c>
      <c r="D54" s="417">
        <f>Dry_Matter_Content!O41</f>
        <v>0</v>
      </c>
      <c r="E54" s="283">
        <f>MCF!R53</f>
        <v>0.78500000000000003</v>
      </c>
      <c r="F54" s="67">
        <f t="shared" si="0"/>
        <v>0</v>
      </c>
      <c r="G54" s="67">
        <f t="shared" si="1"/>
        <v>0</v>
      </c>
      <c r="H54" s="67">
        <f t="shared" si="2"/>
        <v>0</v>
      </c>
      <c r="I54" s="67">
        <f t="shared" si="3"/>
        <v>0</v>
      </c>
      <c r="J54" s="67">
        <f t="shared" si="4"/>
        <v>0</v>
      </c>
      <c r="K54" s="100">
        <f t="shared" si="6"/>
        <v>0</v>
      </c>
      <c r="O54" s="96">
        <f>Amnt_Deposited!B49</f>
        <v>2035</v>
      </c>
      <c r="P54" s="99">
        <f>Amnt_Deposited!O49</f>
        <v>0</v>
      </c>
      <c r="Q54" s="283">
        <f>MCF!R53</f>
        <v>0.78500000000000003</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Amnt_Deposited!O50</f>
        <v>0</v>
      </c>
      <c r="D55" s="417">
        <f>Dry_Matter_Content!O42</f>
        <v>0</v>
      </c>
      <c r="E55" s="283">
        <f>MCF!R54</f>
        <v>0.78500000000000003</v>
      </c>
      <c r="F55" s="67">
        <f t="shared" si="0"/>
        <v>0</v>
      </c>
      <c r="G55" s="67">
        <f t="shared" si="1"/>
        <v>0</v>
      </c>
      <c r="H55" s="67">
        <f t="shared" si="2"/>
        <v>0</v>
      </c>
      <c r="I55" s="67">
        <f t="shared" si="3"/>
        <v>0</v>
      </c>
      <c r="J55" s="67">
        <f t="shared" si="4"/>
        <v>0</v>
      </c>
      <c r="K55" s="100">
        <f t="shared" si="6"/>
        <v>0</v>
      </c>
      <c r="O55" s="96">
        <f>Amnt_Deposited!B50</f>
        <v>2036</v>
      </c>
      <c r="P55" s="99">
        <f>Amnt_Deposited!O50</f>
        <v>0</v>
      </c>
      <c r="Q55" s="283">
        <f>MCF!R54</f>
        <v>0.78500000000000003</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Amnt_Deposited!O51</f>
        <v>0</v>
      </c>
      <c r="D56" s="417">
        <f>Dry_Matter_Content!O43</f>
        <v>0</v>
      </c>
      <c r="E56" s="283">
        <f>MCF!R55</f>
        <v>0.78500000000000003</v>
      </c>
      <c r="F56" s="67">
        <f t="shared" si="0"/>
        <v>0</v>
      </c>
      <c r="G56" s="67">
        <f t="shared" si="1"/>
        <v>0</v>
      </c>
      <c r="H56" s="67">
        <f t="shared" si="2"/>
        <v>0</v>
      </c>
      <c r="I56" s="67">
        <f t="shared" si="3"/>
        <v>0</v>
      </c>
      <c r="J56" s="67">
        <f t="shared" si="4"/>
        <v>0</v>
      </c>
      <c r="K56" s="100">
        <f t="shared" si="6"/>
        <v>0</v>
      </c>
      <c r="O56" s="96">
        <f>Amnt_Deposited!B51</f>
        <v>2037</v>
      </c>
      <c r="P56" s="99">
        <f>Amnt_Deposited!O51</f>
        <v>0</v>
      </c>
      <c r="Q56" s="283">
        <f>MCF!R55</f>
        <v>0.78500000000000003</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Amnt_Deposited!O52</f>
        <v>0</v>
      </c>
      <c r="D57" s="417">
        <f>Dry_Matter_Content!O44</f>
        <v>0</v>
      </c>
      <c r="E57" s="283">
        <f>MCF!R56</f>
        <v>0.78500000000000003</v>
      </c>
      <c r="F57" s="67">
        <f t="shared" si="0"/>
        <v>0</v>
      </c>
      <c r="G57" s="67">
        <f t="shared" si="1"/>
        <v>0</v>
      </c>
      <c r="H57" s="67">
        <f t="shared" si="2"/>
        <v>0</v>
      </c>
      <c r="I57" s="67">
        <f t="shared" si="3"/>
        <v>0</v>
      </c>
      <c r="J57" s="67">
        <f t="shared" si="4"/>
        <v>0</v>
      </c>
      <c r="K57" s="100">
        <f t="shared" si="6"/>
        <v>0</v>
      </c>
      <c r="O57" s="96">
        <f>Amnt_Deposited!B52</f>
        <v>2038</v>
      </c>
      <c r="P57" s="99">
        <f>Amnt_Deposited!O52</f>
        <v>0</v>
      </c>
      <c r="Q57" s="283">
        <f>MCF!R56</f>
        <v>0.78500000000000003</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Amnt_Deposited!O53</f>
        <v>0</v>
      </c>
      <c r="D58" s="417">
        <f>Dry_Matter_Content!O45</f>
        <v>0</v>
      </c>
      <c r="E58" s="283">
        <f>MCF!R57</f>
        <v>0.78500000000000003</v>
      </c>
      <c r="F58" s="67">
        <f t="shared" si="0"/>
        <v>0</v>
      </c>
      <c r="G58" s="67">
        <f t="shared" si="1"/>
        <v>0</v>
      </c>
      <c r="H58" s="67">
        <f t="shared" si="2"/>
        <v>0</v>
      </c>
      <c r="I58" s="67">
        <f t="shared" si="3"/>
        <v>0</v>
      </c>
      <c r="J58" s="67">
        <f t="shared" si="4"/>
        <v>0</v>
      </c>
      <c r="K58" s="100">
        <f t="shared" si="6"/>
        <v>0</v>
      </c>
      <c r="O58" s="96">
        <f>Amnt_Deposited!B53</f>
        <v>2039</v>
      </c>
      <c r="P58" s="99">
        <f>Amnt_Deposited!O53</f>
        <v>0</v>
      </c>
      <c r="Q58" s="283">
        <f>MCF!R57</f>
        <v>0.78500000000000003</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Amnt_Deposited!O54</f>
        <v>0</v>
      </c>
      <c r="D59" s="417">
        <f>Dry_Matter_Content!O46</f>
        <v>0</v>
      </c>
      <c r="E59" s="283">
        <f>MCF!R58</f>
        <v>0.78500000000000003</v>
      </c>
      <c r="F59" s="67">
        <f t="shared" si="0"/>
        <v>0</v>
      </c>
      <c r="G59" s="67">
        <f t="shared" si="1"/>
        <v>0</v>
      </c>
      <c r="H59" s="67">
        <f t="shared" si="2"/>
        <v>0</v>
      </c>
      <c r="I59" s="67">
        <f t="shared" si="3"/>
        <v>0</v>
      </c>
      <c r="J59" s="67">
        <f t="shared" si="4"/>
        <v>0</v>
      </c>
      <c r="K59" s="100">
        <f t="shared" si="6"/>
        <v>0</v>
      </c>
      <c r="O59" s="96">
        <f>Amnt_Deposited!B54</f>
        <v>2040</v>
      </c>
      <c r="P59" s="99">
        <f>Amnt_Deposited!O54</f>
        <v>0</v>
      </c>
      <c r="Q59" s="283">
        <f>MCF!R58</f>
        <v>0.78500000000000003</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Amnt_Deposited!O55</f>
        <v>0</v>
      </c>
      <c r="D60" s="417">
        <f>Dry_Matter_Content!O47</f>
        <v>0</v>
      </c>
      <c r="E60" s="283">
        <f>MCF!R59</f>
        <v>0.78500000000000003</v>
      </c>
      <c r="F60" s="67">
        <f t="shared" si="0"/>
        <v>0</v>
      </c>
      <c r="G60" s="67">
        <f t="shared" si="1"/>
        <v>0</v>
      </c>
      <c r="H60" s="67">
        <f t="shared" si="2"/>
        <v>0</v>
      </c>
      <c r="I60" s="67">
        <f t="shared" si="3"/>
        <v>0</v>
      </c>
      <c r="J60" s="67">
        <f t="shared" si="4"/>
        <v>0</v>
      </c>
      <c r="K60" s="100">
        <f t="shared" si="6"/>
        <v>0</v>
      </c>
      <c r="O60" s="96">
        <f>Amnt_Deposited!B55</f>
        <v>2041</v>
      </c>
      <c r="P60" s="99">
        <f>Amnt_Deposited!O55</f>
        <v>0</v>
      </c>
      <c r="Q60" s="283">
        <f>MCF!R59</f>
        <v>0.78500000000000003</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Amnt_Deposited!O56</f>
        <v>0</v>
      </c>
      <c r="D61" s="417">
        <f>Dry_Matter_Content!O48</f>
        <v>0</v>
      </c>
      <c r="E61" s="283">
        <f>MCF!R60</f>
        <v>0.78500000000000003</v>
      </c>
      <c r="F61" s="67">
        <f t="shared" si="0"/>
        <v>0</v>
      </c>
      <c r="G61" s="67">
        <f t="shared" si="1"/>
        <v>0</v>
      </c>
      <c r="H61" s="67">
        <f t="shared" si="2"/>
        <v>0</v>
      </c>
      <c r="I61" s="67">
        <f t="shared" si="3"/>
        <v>0</v>
      </c>
      <c r="J61" s="67">
        <f t="shared" si="4"/>
        <v>0</v>
      </c>
      <c r="K61" s="100">
        <f t="shared" si="6"/>
        <v>0</v>
      </c>
      <c r="O61" s="96">
        <f>Amnt_Deposited!B56</f>
        <v>2042</v>
      </c>
      <c r="P61" s="99">
        <f>Amnt_Deposited!O56</f>
        <v>0</v>
      </c>
      <c r="Q61" s="283">
        <f>MCF!R60</f>
        <v>0.78500000000000003</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Amnt_Deposited!O57</f>
        <v>0</v>
      </c>
      <c r="D62" s="417">
        <f>Dry_Matter_Content!O49</f>
        <v>0</v>
      </c>
      <c r="E62" s="283">
        <f>MCF!R61</f>
        <v>0.78500000000000003</v>
      </c>
      <c r="F62" s="67">
        <f t="shared" si="0"/>
        <v>0</v>
      </c>
      <c r="G62" s="67">
        <f t="shared" si="1"/>
        <v>0</v>
      </c>
      <c r="H62" s="67">
        <f t="shared" si="2"/>
        <v>0</v>
      </c>
      <c r="I62" s="67">
        <f t="shared" si="3"/>
        <v>0</v>
      </c>
      <c r="J62" s="67">
        <f t="shared" si="4"/>
        <v>0</v>
      </c>
      <c r="K62" s="100">
        <f t="shared" si="6"/>
        <v>0</v>
      </c>
      <c r="O62" s="96">
        <f>Amnt_Deposited!B57</f>
        <v>2043</v>
      </c>
      <c r="P62" s="99">
        <f>Amnt_Deposited!O57</f>
        <v>0</v>
      </c>
      <c r="Q62" s="283">
        <f>MCF!R61</f>
        <v>0.78500000000000003</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Amnt_Deposited!O58</f>
        <v>0</v>
      </c>
      <c r="D63" s="417">
        <f>Dry_Matter_Content!O50</f>
        <v>0</v>
      </c>
      <c r="E63" s="283">
        <f>MCF!R62</f>
        <v>0.78500000000000003</v>
      </c>
      <c r="F63" s="67">
        <f t="shared" si="0"/>
        <v>0</v>
      </c>
      <c r="G63" s="67">
        <f t="shared" si="1"/>
        <v>0</v>
      </c>
      <c r="H63" s="67">
        <f t="shared" si="2"/>
        <v>0</v>
      </c>
      <c r="I63" s="67">
        <f t="shared" si="3"/>
        <v>0</v>
      </c>
      <c r="J63" s="67">
        <f t="shared" si="4"/>
        <v>0</v>
      </c>
      <c r="K63" s="100">
        <f t="shared" si="6"/>
        <v>0</v>
      </c>
      <c r="O63" s="96">
        <f>Amnt_Deposited!B58</f>
        <v>2044</v>
      </c>
      <c r="P63" s="99">
        <f>Amnt_Deposited!O58</f>
        <v>0</v>
      </c>
      <c r="Q63" s="283">
        <f>MCF!R62</f>
        <v>0.78500000000000003</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Amnt_Deposited!O59</f>
        <v>0</v>
      </c>
      <c r="D64" s="417">
        <f>Dry_Matter_Content!O51</f>
        <v>0</v>
      </c>
      <c r="E64" s="283">
        <f>MCF!R63</f>
        <v>0.78500000000000003</v>
      </c>
      <c r="F64" s="67">
        <f t="shared" si="0"/>
        <v>0</v>
      </c>
      <c r="G64" s="67">
        <f t="shared" si="1"/>
        <v>0</v>
      </c>
      <c r="H64" s="67">
        <f t="shared" si="2"/>
        <v>0</v>
      </c>
      <c r="I64" s="67">
        <f t="shared" si="3"/>
        <v>0</v>
      </c>
      <c r="J64" s="67">
        <f t="shared" si="4"/>
        <v>0</v>
      </c>
      <c r="K64" s="100">
        <f t="shared" si="6"/>
        <v>0</v>
      </c>
      <c r="O64" s="96">
        <f>Amnt_Deposited!B59</f>
        <v>2045</v>
      </c>
      <c r="P64" s="99">
        <f>Amnt_Deposited!O59</f>
        <v>0</v>
      </c>
      <c r="Q64" s="283">
        <f>MCF!R63</f>
        <v>0.78500000000000003</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Amnt_Deposited!O60</f>
        <v>0</v>
      </c>
      <c r="D65" s="417">
        <f>Dry_Matter_Content!O52</f>
        <v>0</v>
      </c>
      <c r="E65" s="283">
        <f>MCF!R64</f>
        <v>0.78500000000000003</v>
      </c>
      <c r="F65" s="67">
        <f t="shared" si="0"/>
        <v>0</v>
      </c>
      <c r="G65" s="67">
        <f t="shared" si="1"/>
        <v>0</v>
      </c>
      <c r="H65" s="67">
        <f t="shared" si="2"/>
        <v>0</v>
      </c>
      <c r="I65" s="67">
        <f t="shared" si="3"/>
        <v>0</v>
      </c>
      <c r="J65" s="67">
        <f t="shared" si="4"/>
        <v>0</v>
      </c>
      <c r="K65" s="100">
        <f t="shared" si="6"/>
        <v>0</v>
      </c>
      <c r="O65" s="96">
        <f>Amnt_Deposited!B60</f>
        <v>2046</v>
      </c>
      <c r="P65" s="99">
        <f>Amnt_Deposited!O60</f>
        <v>0</v>
      </c>
      <c r="Q65" s="283">
        <f>MCF!R64</f>
        <v>0.78500000000000003</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Amnt_Deposited!O61</f>
        <v>0</v>
      </c>
      <c r="D66" s="417">
        <f>Dry_Matter_Content!O53</f>
        <v>0</v>
      </c>
      <c r="E66" s="283">
        <f>MCF!R65</f>
        <v>0.78500000000000003</v>
      </c>
      <c r="F66" s="67">
        <f t="shared" si="0"/>
        <v>0</v>
      </c>
      <c r="G66" s="67">
        <f t="shared" si="1"/>
        <v>0</v>
      </c>
      <c r="H66" s="67">
        <f t="shared" si="2"/>
        <v>0</v>
      </c>
      <c r="I66" s="67">
        <f t="shared" si="3"/>
        <v>0</v>
      </c>
      <c r="J66" s="67">
        <f t="shared" si="4"/>
        <v>0</v>
      </c>
      <c r="K66" s="100">
        <f t="shared" si="6"/>
        <v>0</v>
      </c>
      <c r="O66" s="96">
        <f>Amnt_Deposited!B61</f>
        <v>2047</v>
      </c>
      <c r="P66" s="99">
        <f>Amnt_Deposited!O61</f>
        <v>0</v>
      </c>
      <c r="Q66" s="283">
        <f>MCF!R65</f>
        <v>0.78500000000000003</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Amnt_Deposited!O62</f>
        <v>0</v>
      </c>
      <c r="D67" s="417">
        <f>Dry_Matter_Content!O54</f>
        <v>0</v>
      </c>
      <c r="E67" s="283">
        <f>MCF!R66</f>
        <v>0.78500000000000003</v>
      </c>
      <c r="F67" s="67">
        <f t="shared" si="0"/>
        <v>0</v>
      </c>
      <c r="G67" s="67">
        <f t="shared" si="1"/>
        <v>0</v>
      </c>
      <c r="H67" s="67">
        <f t="shared" si="2"/>
        <v>0</v>
      </c>
      <c r="I67" s="67">
        <f t="shared" si="3"/>
        <v>0</v>
      </c>
      <c r="J67" s="67">
        <f t="shared" si="4"/>
        <v>0</v>
      </c>
      <c r="K67" s="100">
        <f t="shared" si="6"/>
        <v>0</v>
      </c>
      <c r="O67" s="96">
        <f>Amnt_Deposited!B62</f>
        <v>2048</v>
      </c>
      <c r="P67" s="99">
        <f>Amnt_Deposited!O62</f>
        <v>0</v>
      </c>
      <c r="Q67" s="283">
        <f>MCF!R66</f>
        <v>0.78500000000000003</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Amnt_Deposited!O63</f>
        <v>0</v>
      </c>
      <c r="D68" s="417">
        <f>Dry_Matter_Content!O55</f>
        <v>0</v>
      </c>
      <c r="E68" s="283">
        <f>MCF!R67</f>
        <v>0.78500000000000003</v>
      </c>
      <c r="F68" s="67">
        <f t="shared" si="0"/>
        <v>0</v>
      </c>
      <c r="G68" s="67">
        <f t="shared" si="1"/>
        <v>0</v>
      </c>
      <c r="H68" s="67">
        <f t="shared" si="2"/>
        <v>0</v>
      </c>
      <c r="I68" s="67">
        <f t="shared" si="3"/>
        <v>0</v>
      </c>
      <c r="J68" s="67">
        <f t="shared" si="4"/>
        <v>0</v>
      </c>
      <c r="K68" s="100">
        <f t="shared" si="6"/>
        <v>0</v>
      </c>
      <c r="O68" s="96">
        <f>Amnt_Deposited!B63</f>
        <v>2049</v>
      </c>
      <c r="P68" s="99">
        <f>Amnt_Deposited!O63</f>
        <v>0</v>
      </c>
      <c r="Q68" s="283">
        <f>MCF!R67</f>
        <v>0.78500000000000003</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Amnt_Deposited!O64</f>
        <v>0</v>
      </c>
      <c r="D69" s="417">
        <f>Dry_Matter_Content!O56</f>
        <v>0</v>
      </c>
      <c r="E69" s="283">
        <f>MCF!R68</f>
        <v>0.78500000000000003</v>
      </c>
      <c r="F69" s="67">
        <f t="shared" si="0"/>
        <v>0</v>
      </c>
      <c r="G69" s="67">
        <f t="shared" si="1"/>
        <v>0</v>
      </c>
      <c r="H69" s="67">
        <f t="shared" si="2"/>
        <v>0</v>
      </c>
      <c r="I69" s="67">
        <f t="shared" si="3"/>
        <v>0</v>
      </c>
      <c r="J69" s="67">
        <f t="shared" si="4"/>
        <v>0</v>
      </c>
      <c r="K69" s="100">
        <f t="shared" si="6"/>
        <v>0</v>
      </c>
      <c r="O69" s="96">
        <f>Amnt_Deposited!B64</f>
        <v>2050</v>
      </c>
      <c r="P69" s="99">
        <f>Amnt_Deposited!O64</f>
        <v>0</v>
      </c>
      <c r="Q69" s="283">
        <f>MCF!R68</f>
        <v>0.78500000000000003</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Amnt_Deposited!O65</f>
        <v>0</v>
      </c>
      <c r="D70" s="417">
        <f>Dry_Matter_Content!O57</f>
        <v>0</v>
      </c>
      <c r="E70" s="283">
        <f>MCF!R69</f>
        <v>0.78500000000000003</v>
      </c>
      <c r="F70" s="67">
        <f t="shared" si="0"/>
        <v>0</v>
      </c>
      <c r="G70" s="67">
        <f t="shared" si="1"/>
        <v>0</v>
      </c>
      <c r="H70" s="67">
        <f t="shared" si="2"/>
        <v>0</v>
      </c>
      <c r="I70" s="67">
        <f t="shared" si="3"/>
        <v>0</v>
      </c>
      <c r="J70" s="67">
        <f t="shared" si="4"/>
        <v>0</v>
      </c>
      <c r="K70" s="100">
        <f t="shared" si="6"/>
        <v>0</v>
      </c>
      <c r="O70" s="96">
        <f>Amnt_Deposited!B65</f>
        <v>2051</v>
      </c>
      <c r="P70" s="99">
        <f>Amnt_Deposited!O65</f>
        <v>0</v>
      </c>
      <c r="Q70" s="283">
        <f>MCF!R69</f>
        <v>0.78500000000000003</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Amnt_Deposited!O66</f>
        <v>0</v>
      </c>
      <c r="D71" s="417">
        <f>Dry_Matter_Content!O58</f>
        <v>0</v>
      </c>
      <c r="E71" s="283">
        <f>MCF!R70</f>
        <v>0.78500000000000003</v>
      </c>
      <c r="F71" s="67">
        <f t="shared" si="0"/>
        <v>0</v>
      </c>
      <c r="G71" s="67">
        <f t="shared" si="1"/>
        <v>0</v>
      </c>
      <c r="H71" s="67">
        <f t="shared" si="2"/>
        <v>0</v>
      </c>
      <c r="I71" s="67">
        <f t="shared" si="3"/>
        <v>0</v>
      </c>
      <c r="J71" s="67">
        <f t="shared" si="4"/>
        <v>0</v>
      </c>
      <c r="K71" s="100">
        <f t="shared" si="6"/>
        <v>0</v>
      </c>
      <c r="O71" s="96">
        <f>Amnt_Deposited!B66</f>
        <v>2052</v>
      </c>
      <c r="P71" s="99">
        <f>Amnt_Deposited!O66</f>
        <v>0</v>
      </c>
      <c r="Q71" s="283">
        <f>MCF!R70</f>
        <v>0.78500000000000003</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Amnt_Deposited!O67</f>
        <v>0</v>
      </c>
      <c r="D72" s="417">
        <f>Dry_Matter_Content!O59</f>
        <v>0</v>
      </c>
      <c r="E72" s="283">
        <f>MCF!R71</f>
        <v>0.78500000000000003</v>
      </c>
      <c r="F72" s="67">
        <f t="shared" si="0"/>
        <v>0</v>
      </c>
      <c r="G72" s="67">
        <f t="shared" si="1"/>
        <v>0</v>
      </c>
      <c r="H72" s="67">
        <f t="shared" si="2"/>
        <v>0</v>
      </c>
      <c r="I72" s="67">
        <f t="shared" si="3"/>
        <v>0</v>
      </c>
      <c r="J72" s="67">
        <f t="shared" si="4"/>
        <v>0</v>
      </c>
      <c r="K72" s="100">
        <f t="shared" si="6"/>
        <v>0</v>
      </c>
      <c r="O72" s="96">
        <f>Amnt_Deposited!B67</f>
        <v>2053</v>
      </c>
      <c r="P72" s="99">
        <f>Amnt_Deposited!O67</f>
        <v>0</v>
      </c>
      <c r="Q72" s="283">
        <f>MCF!R71</f>
        <v>0.78500000000000003</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Amnt_Deposited!O68</f>
        <v>0</v>
      </c>
      <c r="D73" s="417">
        <f>Dry_Matter_Content!O60</f>
        <v>0</v>
      </c>
      <c r="E73" s="283">
        <f>MCF!R72</f>
        <v>0.78500000000000003</v>
      </c>
      <c r="F73" s="67">
        <f t="shared" si="0"/>
        <v>0</v>
      </c>
      <c r="G73" s="67">
        <f t="shared" si="1"/>
        <v>0</v>
      </c>
      <c r="H73" s="67">
        <f t="shared" si="2"/>
        <v>0</v>
      </c>
      <c r="I73" s="67">
        <f t="shared" si="3"/>
        <v>0</v>
      </c>
      <c r="J73" s="67">
        <f t="shared" si="4"/>
        <v>0</v>
      </c>
      <c r="K73" s="100">
        <f t="shared" si="6"/>
        <v>0</v>
      </c>
      <c r="O73" s="96">
        <f>Amnt_Deposited!B68</f>
        <v>2054</v>
      </c>
      <c r="P73" s="99">
        <f>Amnt_Deposited!O68</f>
        <v>0</v>
      </c>
      <c r="Q73" s="283">
        <f>MCF!R72</f>
        <v>0.78500000000000003</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Amnt_Deposited!O69</f>
        <v>0</v>
      </c>
      <c r="D74" s="417">
        <f>Dry_Matter_Content!O61</f>
        <v>0</v>
      </c>
      <c r="E74" s="283">
        <f>MCF!R73</f>
        <v>0.78500000000000003</v>
      </c>
      <c r="F74" s="67">
        <f t="shared" si="0"/>
        <v>0</v>
      </c>
      <c r="G74" s="67">
        <f t="shared" si="1"/>
        <v>0</v>
      </c>
      <c r="H74" s="67">
        <f t="shared" si="2"/>
        <v>0</v>
      </c>
      <c r="I74" s="67">
        <f t="shared" si="3"/>
        <v>0</v>
      </c>
      <c r="J74" s="67">
        <f t="shared" si="4"/>
        <v>0</v>
      </c>
      <c r="K74" s="100">
        <f t="shared" si="6"/>
        <v>0</v>
      </c>
      <c r="O74" s="96">
        <f>Amnt_Deposited!B69</f>
        <v>2055</v>
      </c>
      <c r="P74" s="99">
        <f>Amnt_Deposited!O69</f>
        <v>0</v>
      </c>
      <c r="Q74" s="283">
        <f>MCF!R73</f>
        <v>0.78500000000000003</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Amnt_Deposited!O70</f>
        <v>0</v>
      </c>
      <c r="D75" s="417">
        <f>Dry_Matter_Content!O62</f>
        <v>0</v>
      </c>
      <c r="E75" s="283">
        <f>MCF!R74</f>
        <v>0.78500000000000003</v>
      </c>
      <c r="F75" s="67">
        <f t="shared" si="0"/>
        <v>0</v>
      </c>
      <c r="G75" s="67">
        <f t="shared" si="1"/>
        <v>0</v>
      </c>
      <c r="H75" s="67">
        <f t="shared" si="2"/>
        <v>0</v>
      </c>
      <c r="I75" s="67">
        <f t="shared" si="3"/>
        <v>0</v>
      </c>
      <c r="J75" s="67">
        <f t="shared" si="4"/>
        <v>0</v>
      </c>
      <c r="K75" s="100">
        <f t="shared" si="6"/>
        <v>0</v>
      </c>
      <c r="O75" s="96">
        <f>Amnt_Deposited!B70</f>
        <v>2056</v>
      </c>
      <c r="P75" s="99">
        <f>Amnt_Deposited!O70</f>
        <v>0</v>
      </c>
      <c r="Q75" s="283">
        <f>MCF!R74</f>
        <v>0.78500000000000003</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Amnt_Deposited!O71</f>
        <v>0</v>
      </c>
      <c r="D76" s="417">
        <f>Dry_Matter_Content!O63</f>
        <v>0</v>
      </c>
      <c r="E76" s="283">
        <f>MCF!R75</f>
        <v>0.78500000000000003</v>
      </c>
      <c r="F76" s="67">
        <f t="shared" si="0"/>
        <v>0</v>
      </c>
      <c r="G76" s="67">
        <f t="shared" si="1"/>
        <v>0</v>
      </c>
      <c r="H76" s="67">
        <f t="shared" si="2"/>
        <v>0</v>
      </c>
      <c r="I76" s="67">
        <f t="shared" si="3"/>
        <v>0</v>
      </c>
      <c r="J76" s="67">
        <f t="shared" si="4"/>
        <v>0</v>
      </c>
      <c r="K76" s="100">
        <f t="shared" si="6"/>
        <v>0</v>
      </c>
      <c r="O76" s="96">
        <f>Amnt_Deposited!B71</f>
        <v>2057</v>
      </c>
      <c r="P76" s="99">
        <f>Amnt_Deposited!O71</f>
        <v>0</v>
      </c>
      <c r="Q76" s="283">
        <f>MCF!R75</f>
        <v>0.78500000000000003</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Amnt_Deposited!O72</f>
        <v>0</v>
      </c>
      <c r="D77" s="417">
        <f>Dry_Matter_Content!O64</f>
        <v>0</v>
      </c>
      <c r="E77" s="283">
        <f>MCF!R76</f>
        <v>0.78500000000000003</v>
      </c>
      <c r="F77" s="67">
        <f t="shared" si="0"/>
        <v>0</v>
      </c>
      <c r="G77" s="67">
        <f t="shared" si="1"/>
        <v>0</v>
      </c>
      <c r="H77" s="67">
        <f t="shared" si="2"/>
        <v>0</v>
      </c>
      <c r="I77" s="67">
        <f t="shared" si="3"/>
        <v>0</v>
      </c>
      <c r="J77" s="67">
        <f t="shared" si="4"/>
        <v>0</v>
      </c>
      <c r="K77" s="100">
        <f t="shared" si="6"/>
        <v>0</v>
      </c>
      <c r="O77" s="96">
        <f>Amnt_Deposited!B72</f>
        <v>2058</v>
      </c>
      <c r="P77" s="99">
        <f>Amnt_Deposited!O72</f>
        <v>0</v>
      </c>
      <c r="Q77" s="283">
        <f>MCF!R76</f>
        <v>0.78500000000000003</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Amnt_Deposited!O73</f>
        <v>0</v>
      </c>
      <c r="D78" s="417">
        <f>Dry_Matter_Content!O65</f>
        <v>0</v>
      </c>
      <c r="E78" s="283">
        <f>MCF!R77</f>
        <v>0.78500000000000003</v>
      </c>
      <c r="F78" s="67">
        <f t="shared" si="0"/>
        <v>0</v>
      </c>
      <c r="G78" s="67">
        <f t="shared" si="1"/>
        <v>0</v>
      </c>
      <c r="H78" s="67">
        <f t="shared" si="2"/>
        <v>0</v>
      </c>
      <c r="I78" s="67">
        <f t="shared" si="3"/>
        <v>0</v>
      </c>
      <c r="J78" s="67">
        <f t="shared" si="4"/>
        <v>0</v>
      </c>
      <c r="K78" s="100">
        <f t="shared" si="6"/>
        <v>0</v>
      </c>
      <c r="O78" s="96">
        <f>Amnt_Deposited!B73</f>
        <v>2059</v>
      </c>
      <c r="P78" s="99">
        <f>Amnt_Deposited!O73</f>
        <v>0</v>
      </c>
      <c r="Q78" s="283">
        <f>MCF!R77</f>
        <v>0.78500000000000003</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Amnt_Deposited!O74</f>
        <v>0</v>
      </c>
      <c r="D79" s="417">
        <f>Dry_Matter_Content!O66</f>
        <v>0</v>
      </c>
      <c r="E79" s="283">
        <f>MCF!R78</f>
        <v>0.78500000000000003</v>
      </c>
      <c r="F79" s="67">
        <f t="shared" si="0"/>
        <v>0</v>
      </c>
      <c r="G79" s="67">
        <f t="shared" si="1"/>
        <v>0</v>
      </c>
      <c r="H79" s="67">
        <f t="shared" si="2"/>
        <v>0</v>
      </c>
      <c r="I79" s="67">
        <f t="shared" si="3"/>
        <v>0</v>
      </c>
      <c r="J79" s="67">
        <f t="shared" si="4"/>
        <v>0</v>
      </c>
      <c r="K79" s="100">
        <f t="shared" si="6"/>
        <v>0</v>
      </c>
      <c r="O79" s="96">
        <f>Amnt_Deposited!B74</f>
        <v>2060</v>
      </c>
      <c r="P79" s="99">
        <f>Amnt_Deposited!O74</f>
        <v>0</v>
      </c>
      <c r="Q79" s="283">
        <f>MCF!R78</f>
        <v>0.78500000000000003</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Amnt_Deposited!O75</f>
        <v>0</v>
      </c>
      <c r="D80" s="417">
        <f>Dry_Matter_Content!O67</f>
        <v>0</v>
      </c>
      <c r="E80" s="283">
        <f>MCF!R79</f>
        <v>0.78500000000000003</v>
      </c>
      <c r="F80" s="67">
        <f t="shared" si="0"/>
        <v>0</v>
      </c>
      <c r="G80" s="67">
        <f t="shared" si="1"/>
        <v>0</v>
      </c>
      <c r="H80" s="67">
        <f t="shared" si="2"/>
        <v>0</v>
      </c>
      <c r="I80" s="67">
        <f t="shared" si="3"/>
        <v>0</v>
      </c>
      <c r="J80" s="67">
        <f t="shared" si="4"/>
        <v>0</v>
      </c>
      <c r="K80" s="100">
        <f t="shared" si="6"/>
        <v>0</v>
      </c>
      <c r="O80" s="96">
        <f>Amnt_Deposited!B75</f>
        <v>2061</v>
      </c>
      <c r="P80" s="99">
        <f>Amnt_Deposited!O75</f>
        <v>0</v>
      </c>
      <c r="Q80" s="283">
        <f>MCF!R79</f>
        <v>0.78500000000000003</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Amnt_Deposited!O76</f>
        <v>0</v>
      </c>
      <c r="D81" s="417">
        <f>Dry_Matter_Content!O68</f>
        <v>0</v>
      </c>
      <c r="E81" s="283">
        <f>MCF!R80</f>
        <v>0.78500000000000003</v>
      </c>
      <c r="F81" s="67">
        <f t="shared" si="0"/>
        <v>0</v>
      </c>
      <c r="G81" s="67">
        <f t="shared" si="1"/>
        <v>0</v>
      </c>
      <c r="H81" s="67">
        <f t="shared" si="2"/>
        <v>0</v>
      </c>
      <c r="I81" s="67">
        <f t="shared" si="3"/>
        <v>0</v>
      </c>
      <c r="J81" s="67">
        <f t="shared" si="4"/>
        <v>0</v>
      </c>
      <c r="K81" s="100">
        <f t="shared" si="6"/>
        <v>0</v>
      </c>
      <c r="O81" s="96">
        <f>Amnt_Deposited!B76</f>
        <v>2062</v>
      </c>
      <c r="P81" s="99">
        <f>Amnt_Deposited!O76</f>
        <v>0</v>
      </c>
      <c r="Q81" s="283">
        <f>MCF!R80</f>
        <v>0.78500000000000003</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Amnt_Deposited!O77</f>
        <v>0</v>
      </c>
      <c r="D82" s="417">
        <f>Dry_Matter_Content!O69</f>
        <v>0</v>
      </c>
      <c r="E82" s="283">
        <f>MCF!R81</f>
        <v>0.78500000000000003</v>
      </c>
      <c r="F82" s="67">
        <f t="shared" si="0"/>
        <v>0</v>
      </c>
      <c r="G82" s="67">
        <f t="shared" si="1"/>
        <v>0</v>
      </c>
      <c r="H82" s="67">
        <f t="shared" si="2"/>
        <v>0</v>
      </c>
      <c r="I82" s="67">
        <f t="shared" si="3"/>
        <v>0</v>
      </c>
      <c r="J82" s="67">
        <f t="shared" si="4"/>
        <v>0</v>
      </c>
      <c r="K82" s="100">
        <f t="shared" si="6"/>
        <v>0</v>
      </c>
      <c r="O82" s="96">
        <f>Amnt_Deposited!B77</f>
        <v>2063</v>
      </c>
      <c r="P82" s="99">
        <f>Amnt_Deposited!O77</f>
        <v>0</v>
      </c>
      <c r="Q82" s="283">
        <f>MCF!R81</f>
        <v>0.78500000000000003</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Amnt_Deposited!O78</f>
        <v>0</v>
      </c>
      <c r="D83" s="417">
        <f>Dry_Matter_Content!O70</f>
        <v>0</v>
      </c>
      <c r="E83" s="283">
        <f>MCF!R82</f>
        <v>0.78500000000000003</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Amnt_Deposited!O78</f>
        <v>0</v>
      </c>
      <c r="Q83" s="283">
        <f>MCF!R82</f>
        <v>0.78500000000000003</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Amnt_Deposited!O79</f>
        <v>0</v>
      </c>
      <c r="D84" s="417">
        <f>Dry_Matter_Content!O71</f>
        <v>0</v>
      </c>
      <c r="E84" s="283">
        <f>MCF!R83</f>
        <v>0.78500000000000003</v>
      </c>
      <c r="F84" s="67">
        <f t="shared" si="12"/>
        <v>0</v>
      </c>
      <c r="G84" s="67">
        <f t="shared" si="13"/>
        <v>0</v>
      </c>
      <c r="H84" s="67">
        <f t="shared" si="14"/>
        <v>0</v>
      </c>
      <c r="I84" s="67">
        <f t="shared" si="15"/>
        <v>0</v>
      </c>
      <c r="J84" s="67">
        <f t="shared" si="16"/>
        <v>0</v>
      </c>
      <c r="K84" s="100">
        <f t="shared" si="6"/>
        <v>0</v>
      </c>
      <c r="O84" s="96">
        <f>Amnt_Deposited!B79</f>
        <v>2065</v>
      </c>
      <c r="P84" s="99">
        <f>Amnt_Deposited!O79</f>
        <v>0</v>
      </c>
      <c r="Q84" s="283">
        <f>MCF!R83</f>
        <v>0.78500000000000003</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Amnt_Deposited!O80</f>
        <v>0</v>
      </c>
      <c r="D85" s="417">
        <f>Dry_Matter_Content!O72</f>
        <v>0</v>
      </c>
      <c r="E85" s="283">
        <f>MCF!R84</f>
        <v>0.78500000000000003</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Amnt_Deposited!O80</f>
        <v>0</v>
      </c>
      <c r="Q85" s="283">
        <f>MCF!R84</f>
        <v>0.78500000000000003</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Amnt_Deposited!O81</f>
        <v>0</v>
      </c>
      <c r="D86" s="417">
        <f>Dry_Matter_Content!O73</f>
        <v>0</v>
      </c>
      <c r="E86" s="283">
        <f>MCF!R85</f>
        <v>0.78500000000000003</v>
      </c>
      <c r="F86" s="67">
        <f t="shared" si="12"/>
        <v>0</v>
      </c>
      <c r="G86" s="67">
        <f t="shared" si="13"/>
        <v>0</v>
      </c>
      <c r="H86" s="67">
        <f t="shared" si="14"/>
        <v>0</v>
      </c>
      <c r="I86" s="67">
        <f t="shared" si="15"/>
        <v>0</v>
      </c>
      <c r="J86" s="67">
        <f t="shared" si="16"/>
        <v>0</v>
      </c>
      <c r="K86" s="100">
        <f t="shared" si="18"/>
        <v>0</v>
      </c>
      <c r="O86" s="96">
        <f>Amnt_Deposited!B81</f>
        <v>2067</v>
      </c>
      <c r="P86" s="99">
        <f>Amnt_Deposited!O81</f>
        <v>0</v>
      </c>
      <c r="Q86" s="283">
        <f>MCF!R85</f>
        <v>0.78500000000000003</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Amnt_Deposited!O82</f>
        <v>0</v>
      </c>
      <c r="D87" s="417">
        <f>Dry_Matter_Content!O74</f>
        <v>0</v>
      </c>
      <c r="E87" s="283">
        <f>MCF!R86</f>
        <v>0.78500000000000003</v>
      </c>
      <c r="F87" s="67">
        <f t="shared" si="12"/>
        <v>0</v>
      </c>
      <c r="G87" s="67">
        <f t="shared" si="13"/>
        <v>0</v>
      </c>
      <c r="H87" s="67">
        <f t="shared" si="14"/>
        <v>0</v>
      </c>
      <c r="I87" s="67">
        <f t="shared" si="15"/>
        <v>0</v>
      </c>
      <c r="J87" s="67">
        <f t="shared" si="16"/>
        <v>0</v>
      </c>
      <c r="K87" s="100">
        <f t="shared" si="18"/>
        <v>0</v>
      </c>
      <c r="O87" s="96">
        <f>Amnt_Deposited!B82</f>
        <v>2068</v>
      </c>
      <c r="P87" s="99">
        <f>Amnt_Deposited!O82</f>
        <v>0</v>
      </c>
      <c r="Q87" s="283">
        <f>MCF!R86</f>
        <v>0.78500000000000003</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Amnt_Deposited!O83</f>
        <v>0</v>
      </c>
      <c r="D88" s="417">
        <f>Dry_Matter_Content!O75</f>
        <v>0</v>
      </c>
      <c r="E88" s="283">
        <f>MCF!R87</f>
        <v>0.78500000000000003</v>
      </c>
      <c r="F88" s="67">
        <f t="shared" si="12"/>
        <v>0</v>
      </c>
      <c r="G88" s="67">
        <f t="shared" si="13"/>
        <v>0</v>
      </c>
      <c r="H88" s="67">
        <f t="shared" si="14"/>
        <v>0</v>
      </c>
      <c r="I88" s="67">
        <f t="shared" si="15"/>
        <v>0</v>
      </c>
      <c r="J88" s="67">
        <f t="shared" si="16"/>
        <v>0</v>
      </c>
      <c r="K88" s="100">
        <f t="shared" si="18"/>
        <v>0</v>
      </c>
      <c r="O88" s="96">
        <f>Amnt_Deposited!B83</f>
        <v>2069</v>
      </c>
      <c r="P88" s="99">
        <f>Amnt_Deposited!O83</f>
        <v>0</v>
      </c>
      <c r="Q88" s="283">
        <f>MCF!R87</f>
        <v>0.78500000000000003</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Amnt_Deposited!O84</f>
        <v>0</v>
      </c>
      <c r="D89" s="417">
        <f>Dry_Matter_Content!O76</f>
        <v>0</v>
      </c>
      <c r="E89" s="283">
        <f>MCF!R88</f>
        <v>0.78500000000000003</v>
      </c>
      <c r="F89" s="67">
        <f t="shared" si="12"/>
        <v>0</v>
      </c>
      <c r="G89" s="67">
        <f t="shared" si="13"/>
        <v>0</v>
      </c>
      <c r="H89" s="67">
        <f t="shared" si="14"/>
        <v>0</v>
      </c>
      <c r="I89" s="67">
        <f t="shared" si="15"/>
        <v>0</v>
      </c>
      <c r="J89" s="67">
        <f t="shared" si="16"/>
        <v>0</v>
      </c>
      <c r="K89" s="100">
        <f t="shared" si="18"/>
        <v>0</v>
      </c>
      <c r="O89" s="96">
        <f>Amnt_Deposited!B84</f>
        <v>2070</v>
      </c>
      <c r="P89" s="99">
        <f>Amnt_Deposited!O84</f>
        <v>0</v>
      </c>
      <c r="Q89" s="283">
        <f>MCF!R88</f>
        <v>0.78500000000000003</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Amnt_Deposited!O85</f>
        <v>0</v>
      </c>
      <c r="D90" s="417">
        <f>Dry_Matter_Content!O77</f>
        <v>0</v>
      </c>
      <c r="E90" s="283">
        <f>MCF!R89</f>
        <v>0.78500000000000003</v>
      </c>
      <c r="F90" s="67">
        <f t="shared" si="12"/>
        <v>0</v>
      </c>
      <c r="G90" s="67">
        <f t="shared" si="13"/>
        <v>0</v>
      </c>
      <c r="H90" s="67">
        <f t="shared" si="14"/>
        <v>0</v>
      </c>
      <c r="I90" s="67">
        <f t="shared" si="15"/>
        <v>0</v>
      </c>
      <c r="J90" s="67">
        <f t="shared" si="16"/>
        <v>0</v>
      </c>
      <c r="K90" s="100">
        <f t="shared" si="18"/>
        <v>0</v>
      </c>
      <c r="O90" s="96">
        <f>Amnt_Deposited!B85</f>
        <v>2071</v>
      </c>
      <c r="P90" s="99">
        <f>Amnt_Deposited!O85</f>
        <v>0</v>
      </c>
      <c r="Q90" s="283">
        <f>MCF!R89</f>
        <v>0.78500000000000003</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Amnt_Deposited!O86</f>
        <v>0</v>
      </c>
      <c r="D91" s="417">
        <f>Dry_Matter_Content!O78</f>
        <v>0</v>
      </c>
      <c r="E91" s="283">
        <f>MCF!R90</f>
        <v>0.78500000000000003</v>
      </c>
      <c r="F91" s="67">
        <f t="shared" si="12"/>
        <v>0</v>
      </c>
      <c r="G91" s="67">
        <f t="shared" si="13"/>
        <v>0</v>
      </c>
      <c r="H91" s="67">
        <f t="shared" si="14"/>
        <v>0</v>
      </c>
      <c r="I91" s="67">
        <f t="shared" si="15"/>
        <v>0</v>
      </c>
      <c r="J91" s="67">
        <f t="shared" si="16"/>
        <v>0</v>
      </c>
      <c r="K91" s="100">
        <f t="shared" si="18"/>
        <v>0</v>
      </c>
      <c r="O91" s="96">
        <f>Amnt_Deposited!B86</f>
        <v>2072</v>
      </c>
      <c r="P91" s="99">
        <f>Amnt_Deposited!O86</f>
        <v>0</v>
      </c>
      <c r="Q91" s="283">
        <f>MCF!R90</f>
        <v>0.78500000000000003</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Amnt_Deposited!O87</f>
        <v>0</v>
      </c>
      <c r="D92" s="417">
        <f>Dry_Matter_Content!O79</f>
        <v>0</v>
      </c>
      <c r="E92" s="283">
        <f>MCF!R91</f>
        <v>0.78500000000000003</v>
      </c>
      <c r="F92" s="67">
        <f t="shared" si="12"/>
        <v>0</v>
      </c>
      <c r="G92" s="67">
        <f t="shared" si="13"/>
        <v>0</v>
      </c>
      <c r="H92" s="67">
        <f t="shared" si="14"/>
        <v>0</v>
      </c>
      <c r="I92" s="67">
        <f t="shared" si="15"/>
        <v>0</v>
      </c>
      <c r="J92" s="67">
        <f t="shared" si="16"/>
        <v>0</v>
      </c>
      <c r="K92" s="100">
        <f t="shared" si="18"/>
        <v>0</v>
      </c>
      <c r="O92" s="96">
        <f>Amnt_Deposited!B87</f>
        <v>2073</v>
      </c>
      <c r="P92" s="99">
        <f>Amnt_Deposited!O87</f>
        <v>0</v>
      </c>
      <c r="Q92" s="283">
        <f>MCF!R91</f>
        <v>0.78500000000000003</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Amnt_Deposited!O88</f>
        <v>0</v>
      </c>
      <c r="D93" s="417">
        <f>Dry_Matter_Content!O80</f>
        <v>0</v>
      </c>
      <c r="E93" s="283">
        <f>MCF!R92</f>
        <v>0.78500000000000003</v>
      </c>
      <c r="F93" s="67">
        <f t="shared" si="12"/>
        <v>0</v>
      </c>
      <c r="G93" s="67">
        <f t="shared" si="13"/>
        <v>0</v>
      </c>
      <c r="H93" s="67">
        <f t="shared" si="14"/>
        <v>0</v>
      </c>
      <c r="I93" s="67">
        <f t="shared" si="15"/>
        <v>0</v>
      </c>
      <c r="J93" s="67">
        <f t="shared" si="16"/>
        <v>0</v>
      </c>
      <c r="K93" s="100">
        <f t="shared" si="18"/>
        <v>0</v>
      </c>
      <c r="O93" s="96">
        <f>Amnt_Deposited!B88</f>
        <v>2074</v>
      </c>
      <c r="P93" s="99">
        <f>Amnt_Deposited!O88</f>
        <v>0</v>
      </c>
      <c r="Q93" s="283">
        <f>MCF!R92</f>
        <v>0.78500000000000003</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Amnt_Deposited!O89</f>
        <v>0</v>
      </c>
      <c r="D94" s="417">
        <f>Dry_Matter_Content!O81</f>
        <v>0</v>
      </c>
      <c r="E94" s="283">
        <f>MCF!R93</f>
        <v>0.78500000000000003</v>
      </c>
      <c r="F94" s="67">
        <f t="shared" si="12"/>
        <v>0</v>
      </c>
      <c r="G94" s="67">
        <f t="shared" si="13"/>
        <v>0</v>
      </c>
      <c r="H94" s="67">
        <f t="shared" si="14"/>
        <v>0</v>
      </c>
      <c r="I94" s="67">
        <f t="shared" si="15"/>
        <v>0</v>
      </c>
      <c r="J94" s="67">
        <f t="shared" si="16"/>
        <v>0</v>
      </c>
      <c r="K94" s="100">
        <f t="shared" si="18"/>
        <v>0</v>
      </c>
      <c r="O94" s="96">
        <f>Amnt_Deposited!B89</f>
        <v>2075</v>
      </c>
      <c r="P94" s="99">
        <f>Amnt_Deposited!O89</f>
        <v>0</v>
      </c>
      <c r="Q94" s="283">
        <f>MCF!R93</f>
        <v>0.78500000000000003</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Amnt_Deposited!O90</f>
        <v>0</v>
      </c>
      <c r="D95" s="417">
        <f>Dry_Matter_Content!O82</f>
        <v>0</v>
      </c>
      <c r="E95" s="283">
        <f>MCF!R94</f>
        <v>0.78500000000000003</v>
      </c>
      <c r="F95" s="67">
        <f t="shared" si="12"/>
        <v>0</v>
      </c>
      <c r="G95" s="67">
        <f t="shared" si="13"/>
        <v>0</v>
      </c>
      <c r="H95" s="67">
        <f t="shared" si="14"/>
        <v>0</v>
      </c>
      <c r="I95" s="67">
        <f t="shared" si="15"/>
        <v>0</v>
      </c>
      <c r="J95" s="67">
        <f t="shared" si="16"/>
        <v>0</v>
      </c>
      <c r="K95" s="100">
        <f t="shared" si="18"/>
        <v>0</v>
      </c>
      <c r="O95" s="96">
        <f>Amnt_Deposited!B90</f>
        <v>2076</v>
      </c>
      <c r="P95" s="99">
        <f>Amnt_Deposited!O90</f>
        <v>0</v>
      </c>
      <c r="Q95" s="283">
        <f>MCF!R94</f>
        <v>0.78500000000000003</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Amnt_Deposited!O91</f>
        <v>0</v>
      </c>
      <c r="D96" s="417">
        <f>Dry_Matter_Content!O83</f>
        <v>0</v>
      </c>
      <c r="E96" s="283">
        <f>MCF!R95</f>
        <v>0.78500000000000003</v>
      </c>
      <c r="F96" s="67">
        <f t="shared" si="12"/>
        <v>0</v>
      </c>
      <c r="G96" s="67">
        <f t="shared" si="13"/>
        <v>0</v>
      </c>
      <c r="H96" s="67">
        <f t="shared" si="14"/>
        <v>0</v>
      </c>
      <c r="I96" s="67">
        <f t="shared" si="15"/>
        <v>0</v>
      </c>
      <c r="J96" s="67">
        <f t="shared" si="16"/>
        <v>0</v>
      </c>
      <c r="K96" s="100">
        <f t="shared" si="18"/>
        <v>0</v>
      </c>
      <c r="O96" s="96">
        <f>Amnt_Deposited!B91</f>
        <v>2077</v>
      </c>
      <c r="P96" s="99">
        <f>Amnt_Deposited!O91</f>
        <v>0</v>
      </c>
      <c r="Q96" s="283">
        <f>MCF!R95</f>
        <v>0.78500000000000003</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Amnt_Deposited!O92</f>
        <v>0</v>
      </c>
      <c r="D97" s="417">
        <f>Dry_Matter_Content!O84</f>
        <v>0</v>
      </c>
      <c r="E97" s="283">
        <f>MCF!R96</f>
        <v>0.78500000000000003</v>
      </c>
      <c r="F97" s="67">
        <f t="shared" si="12"/>
        <v>0</v>
      </c>
      <c r="G97" s="67">
        <f t="shared" si="13"/>
        <v>0</v>
      </c>
      <c r="H97" s="67">
        <f t="shared" si="14"/>
        <v>0</v>
      </c>
      <c r="I97" s="67">
        <f t="shared" si="15"/>
        <v>0</v>
      </c>
      <c r="J97" s="67">
        <f t="shared" si="16"/>
        <v>0</v>
      </c>
      <c r="K97" s="100">
        <f t="shared" si="18"/>
        <v>0</v>
      </c>
      <c r="O97" s="96">
        <f>Amnt_Deposited!B92</f>
        <v>2078</v>
      </c>
      <c r="P97" s="99">
        <f>Amnt_Deposited!O92</f>
        <v>0</v>
      </c>
      <c r="Q97" s="283">
        <f>MCF!R96</f>
        <v>0.78500000000000003</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Amnt_Deposited!O93</f>
        <v>0</v>
      </c>
      <c r="D98" s="417">
        <f>Dry_Matter_Content!O85</f>
        <v>0</v>
      </c>
      <c r="E98" s="283">
        <f>MCF!R97</f>
        <v>0.78500000000000003</v>
      </c>
      <c r="F98" s="67">
        <f t="shared" si="12"/>
        <v>0</v>
      </c>
      <c r="G98" s="67">
        <f t="shared" si="13"/>
        <v>0</v>
      </c>
      <c r="H98" s="67">
        <f t="shared" si="14"/>
        <v>0</v>
      </c>
      <c r="I98" s="67">
        <f t="shared" si="15"/>
        <v>0</v>
      </c>
      <c r="J98" s="67">
        <f t="shared" si="16"/>
        <v>0</v>
      </c>
      <c r="K98" s="100">
        <f t="shared" si="18"/>
        <v>0</v>
      </c>
      <c r="O98" s="96">
        <f>Amnt_Deposited!B93</f>
        <v>2079</v>
      </c>
      <c r="P98" s="99">
        <f>Amnt_Deposited!O93</f>
        <v>0</v>
      </c>
      <c r="Q98" s="283">
        <f>MCF!R97</f>
        <v>0.78500000000000003</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Amnt_Deposited!O94</f>
        <v>0</v>
      </c>
      <c r="D99" s="418">
        <f>Dry_Matter_Content!O86</f>
        <v>0</v>
      </c>
      <c r="E99" s="284">
        <f>MCF!R98</f>
        <v>0.78500000000000003</v>
      </c>
      <c r="F99" s="68">
        <f t="shared" si="12"/>
        <v>0</v>
      </c>
      <c r="G99" s="68">
        <f t="shared" si="13"/>
        <v>0</v>
      </c>
      <c r="H99" s="68">
        <f t="shared" si="14"/>
        <v>0</v>
      </c>
      <c r="I99" s="68">
        <f t="shared" si="15"/>
        <v>0</v>
      </c>
      <c r="J99" s="68">
        <f t="shared" si="16"/>
        <v>0</v>
      </c>
      <c r="K99" s="102">
        <f t="shared" si="18"/>
        <v>0</v>
      </c>
      <c r="O99" s="97">
        <f>Amnt_Deposited!B94</f>
        <v>2080</v>
      </c>
      <c r="P99" s="99">
        <f>Amnt_Deposited!O94</f>
        <v>0</v>
      </c>
      <c r="Q99" s="284">
        <f>MCF!R98</f>
        <v>0.78500000000000003</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1" customWidth="1"/>
    <col min="14" max="16384" width="8.85546875" style="6"/>
  </cols>
  <sheetData>
    <row r="2" spans="1:23" ht="15.75">
      <c r="B2" s="45" t="s">
        <v>310</v>
      </c>
      <c r="C2" s="223"/>
      <c r="D2" s="223"/>
      <c r="E2" s="224"/>
      <c r="F2" s="225"/>
      <c r="G2" s="225"/>
      <c r="H2" s="225"/>
      <c r="I2" s="225"/>
      <c r="J2" s="225"/>
      <c r="K2" s="225"/>
    </row>
    <row r="3" spans="1:23" ht="15">
      <c r="B3" s="242"/>
      <c r="C3" s="223"/>
      <c r="D3" s="223"/>
      <c r="E3" s="224"/>
      <c r="F3" s="225"/>
      <c r="G3" s="225"/>
      <c r="H3" s="225"/>
      <c r="I3" s="225"/>
      <c r="J3" s="225"/>
      <c r="K3" s="225"/>
    </row>
    <row r="4" spans="1:23" ht="16.5" thickBot="1">
      <c r="B4" s="226"/>
      <c r="C4" s="227"/>
      <c r="D4" s="227"/>
      <c r="E4" s="256"/>
      <c r="F4" s="228"/>
      <c r="G4" s="228"/>
      <c r="H4" s="228"/>
      <c r="I4" s="228"/>
      <c r="J4" s="228"/>
      <c r="K4" s="228"/>
    </row>
    <row r="5" spans="1:23" ht="26.25" thickBot="1">
      <c r="B5" s="229"/>
      <c r="C5" s="230"/>
      <c r="D5" s="230"/>
      <c r="F5" s="231"/>
      <c r="G5" s="216"/>
      <c r="H5" s="216"/>
      <c r="I5" s="216"/>
      <c r="J5" s="216"/>
      <c r="K5" s="115" t="s">
        <v>7</v>
      </c>
      <c r="O5" s="229"/>
      <c r="P5" s="230"/>
      <c r="Q5" s="222"/>
      <c r="R5" s="231"/>
      <c r="S5" s="216"/>
      <c r="T5" s="216"/>
      <c r="U5" s="216"/>
      <c r="V5" s="216"/>
      <c r="W5" s="115" t="s">
        <v>7</v>
      </c>
    </row>
    <row r="6" spans="1:23">
      <c r="B6" s="229"/>
      <c r="C6" s="230"/>
      <c r="D6" s="230"/>
      <c r="F6" s="108" t="s">
        <v>9</v>
      </c>
      <c r="G6" s="109"/>
      <c r="H6" s="109"/>
      <c r="I6" s="113"/>
      <c r="J6" s="120" t="s">
        <v>9</v>
      </c>
      <c r="K6" s="260">
        <f>Parameters!O28</f>
        <v>0</v>
      </c>
      <c r="O6" s="229"/>
      <c r="P6" s="230"/>
      <c r="Q6" s="222"/>
      <c r="R6" s="108" t="s">
        <v>9</v>
      </c>
      <c r="S6" s="109"/>
      <c r="T6" s="109"/>
      <c r="U6" s="113"/>
      <c r="V6" s="120" t="s">
        <v>9</v>
      </c>
      <c r="W6" s="260">
        <f>Parameters!R28</f>
        <v>0.15</v>
      </c>
    </row>
    <row r="7" spans="1:23" ht="13.5" thickBot="1">
      <c r="B7" s="229"/>
      <c r="C7" s="230"/>
      <c r="D7" s="230"/>
      <c r="F7" s="250" t="s">
        <v>12</v>
      </c>
      <c r="G7" s="251"/>
      <c r="H7" s="251"/>
      <c r="I7" s="252"/>
      <c r="J7" s="253" t="s">
        <v>12</v>
      </c>
      <c r="K7" s="254">
        <f>DOCF</f>
        <v>0.5</v>
      </c>
      <c r="O7" s="229"/>
      <c r="P7" s="230"/>
      <c r="Q7" s="222"/>
      <c r="R7" s="250" t="s">
        <v>12</v>
      </c>
      <c r="S7" s="251"/>
      <c r="T7" s="251"/>
      <c r="U7" s="252"/>
      <c r="V7" s="253" t="s">
        <v>12</v>
      </c>
      <c r="W7" s="254">
        <f>DOCF</f>
        <v>0.5</v>
      </c>
    </row>
    <row r="8" spans="1:23">
      <c r="F8" s="108" t="s">
        <v>192</v>
      </c>
      <c r="G8" s="109"/>
      <c r="H8" s="109"/>
      <c r="I8" s="113"/>
      <c r="J8" s="120" t="s">
        <v>188</v>
      </c>
      <c r="K8" s="114">
        <f>Parameters!O47</f>
        <v>0.17</v>
      </c>
      <c r="O8" s="47"/>
      <c r="P8" s="47"/>
      <c r="Q8" s="222"/>
      <c r="R8" s="108" t="s">
        <v>192</v>
      </c>
      <c r="S8" s="109"/>
      <c r="T8" s="109"/>
      <c r="U8" s="113"/>
      <c r="V8" s="120" t="s">
        <v>188</v>
      </c>
      <c r="W8" s="114">
        <f>Parameters!O47</f>
        <v>0.17</v>
      </c>
    </row>
    <row r="9" spans="1:23" ht="15.75">
      <c r="F9" s="246" t="s">
        <v>190</v>
      </c>
      <c r="G9" s="247"/>
      <c r="H9" s="247"/>
      <c r="I9" s="248"/>
      <c r="J9" s="249" t="s">
        <v>189</v>
      </c>
      <c r="K9" s="255">
        <f>LN(2)/$K$8</f>
        <v>4.077336356234972</v>
      </c>
      <c r="O9" s="47"/>
      <c r="P9" s="47"/>
      <c r="Q9" s="222"/>
      <c r="R9" s="246" t="s">
        <v>190</v>
      </c>
      <c r="S9" s="247"/>
      <c r="T9" s="247"/>
      <c r="U9" s="248"/>
      <c r="V9" s="249" t="s">
        <v>189</v>
      </c>
      <c r="W9" s="255">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8" t="s">
        <v>239</v>
      </c>
      <c r="E15" s="53" t="s">
        <v>11</v>
      </c>
      <c r="F15" s="54" t="s">
        <v>180</v>
      </c>
      <c r="G15" s="54" t="s">
        <v>181</v>
      </c>
      <c r="H15" s="54" t="s">
        <v>182</v>
      </c>
      <c r="I15" s="54" t="s">
        <v>183</v>
      </c>
      <c r="J15" s="54" t="s">
        <v>184</v>
      </c>
      <c r="K15" s="245" t="s">
        <v>185</v>
      </c>
      <c r="O15" s="51" t="s">
        <v>1</v>
      </c>
      <c r="P15" s="52" t="s">
        <v>10</v>
      </c>
      <c r="Q15" s="53" t="s">
        <v>11</v>
      </c>
      <c r="R15" s="54" t="s">
        <v>180</v>
      </c>
      <c r="S15" s="54" t="s">
        <v>181</v>
      </c>
      <c r="T15" s="54" t="s">
        <v>182</v>
      </c>
      <c r="U15" s="54" t="s">
        <v>183</v>
      </c>
      <c r="V15" s="54" t="s">
        <v>184</v>
      </c>
      <c r="W15" s="245" t="s">
        <v>185</v>
      </c>
    </row>
    <row r="16" spans="1:23" ht="45">
      <c r="A16" s="232"/>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Amnt_Deposited!P14</f>
        <v>0</v>
      </c>
      <c r="D19" s="415">
        <f>Dry_Matter_Content!P6</f>
        <v>0</v>
      </c>
      <c r="E19" s="282">
        <f>MCF!R18</f>
        <v>0.78500000000000003</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Amnt_Deposited!P14</f>
        <v>0</v>
      </c>
      <c r="Q19" s="282">
        <f>MCF!R18</f>
        <v>0.78500000000000003</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Amnt_Deposited!P15</f>
        <v>0</v>
      </c>
      <c r="D20" s="417">
        <f>Dry_Matter_Content!P7</f>
        <v>0</v>
      </c>
      <c r="E20" s="283">
        <f>MCF!R19</f>
        <v>0.78500000000000003</v>
      </c>
      <c r="F20" s="67">
        <f t="shared" si="0"/>
        <v>0</v>
      </c>
      <c r="G20" s="67">
        <f t="shared" si="1"/>
        <v>0</v>
      </c>
      <c r="H20" s="67">
        <f t="shared" si="2"/>
        <v>0</v>
      </c>
      <c r="I20" s="67">
        <f t="shared" si="3"/>
        <v>0</v>
      </c>
      <c r="J20" s="67">
        <f t="shared" si="4"/>
        <v>0</v>
      </c>
      <c r="K20" s="100">
        <f>J20*CH4_fraction*conv</f>
        <v>0</v>
      </c>
      <c r="M20" s="392"/>
      <c r="O20" s="96">
        <f>Amnt_Deposited!B15</f>
        <v>2001</v>
      </c>
      <c r="P20" s="99">
        <f>Amnt_Deposited!P15</f>
        <v>0</v>
      </c>
      <c r="Q20" s="283">
        <f>MCF!R19</f>
        <v>0.78500000000000003</v>
      </c>
      <c r="R20" s="67">
        <f t="shared" si="5"/>
        <v>0</v>
      </c>
      <c r="S20" s="67">
        <f>R20*$W$12</f>
        <v>0</v>
      </c>
      <c r="T20" s="67">
        <f>R20*(1-$W$12)</f>
        <v>0</v>
      </c>
      <c r="U20" s="67">
        <f>S20+U19*$W$10</f>
        <v>0</v>
      </c>
      <c r="V20" s="67">
        <f>U19*(1-$W$10)+T20</f>
        <v>0</v>
      </c>
      <c r="W20" s="100">
        <f>V20*CH4_fraction*conv</f>
        <v>0</v>
      </c>
    </row>
    <row r="21" spans="2:23">
      <c r="B21" s="96">
        <f>Amnt_Deposited!B16</f>
        <v>2002</v>
      </c>
      <c r="C21" s="99">
        <f>Amnt_Deposited!P16</f>
        <v>0</v>
      </c>
      <c r="D21" s="417">
        <f>Dry_Matter_Content!P8</f>
        <v>0</v>
      </c>
      <c r="E21" s="283">
        <f>MCF!R20</f>
        <v>0.78500000000000003</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Amnt_Deposited!P16</f>
        <v>0</v>
      </c>
      <c r="Q21" s="283">
        <f>MCF!R20</f>
        <v>0.78500000000000003</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Amnt_Deposited!P17</f>
        <v>0</v>
      </c>
      <c r="D22" s="417">
        <f>Dry_Matter_Content!P9</f>
        <v>0</v>
      </c>
      <c r="E22" s="283">
        <f>MCF!R21</f>
        <v>0.78500000000000003</v>
      </c>
      <c r="F22" s="67">
        <f t="shared" si="0"/>
        <v>0</v>
      </c>
      <c r="G22" s="67">
        <f t="shared" si="1"/>
        <v>0</v>
      </c>
      <c r="H22" s="67">
        <f t="shared" si="2"/>
        <v>0</v>
      </c>
      <c r="I22" s="67">
        <f t="shared" si="3"/>
        <v>0</v>
      </c>
      <c r="J22" s="67">
        <f t="shared" si="4"/>
        <v>0</v>
      </c>
      <c r="K22" s="100">
        <f t="shared" si="6"/>
        <v>0</v>
      </c>
      <c r="N22" s="257"/>
      <c r="O22" s="96">
        <f>Amnt_Deposited!B17</f>
        <v>2003</v>
      </c>
      <c r="P22" s="99">
        <f>Amnt_Deposited!P17</f>
        <v>0</v>
      </c>
      <c r="Q22" s="283">
        <f>MCF!R21</f>
        <v>0.78500000000000003</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Amnt_Deposited!P18</f>
        <v>0</v>
      </c>
      <c r="D23" s="417">
        <f>Dry_Matter_Content!P10</f>
        <v>0</v>
      </c>
      <c r="E23" s="283">
        <f>MCF!R22</f>
        <v>0.78500000000000003</v>
      </c>
      <c r="F23" s="67">
        <f t="shared" si="0"/>
        <v>0</v>
      </c>
      <c r="G23" s="67">
        <f t="shared" si="1"/>
        <v>0</v>
      </c>
      <c r="H23" s="67">
        <f t="shared" si="2"/>
        <v>0</v>
      </c>
      <c r="I23" s="67">
        <f t="shared" si="3"/>
        <v>0</v>
      </c>
      <c r="J23" s="67">
        <f t="shared" si="4"/>
        <v>0</v>
      </c>
      <c r="K23" s="100">
        <f t="shared" si="6"/>
        <v>0</v>
      </c>
      <c r="N23" s="257"/>
      <c r="O23" s="96">
        <f>Amnt_Deposited!B18</f>
        <v>2004</v>
      </c>
      <c r="P23" s="99">
        <f>Amnt_Deposited!P18</f>
        <v>0</v>
      </c>
      <c r="Q23" s="283">
        <f>MCF!R22</f>
        <v>0.78500000000000003</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Amnt_Deposited!P19</f>
        <v>0</v>
      </c>
      <c r="D24" s="417">
        <f>Dry_Matter_Content!P11</f>
        <v>0</v>
      </c>
      <c r="E24" s="283">
        <f>MCF!R23</f>
        <v>0.78500000000000003</v>
      </c>
      <c r="F24" s="67">
        <f t="shared" si="0"/>
        <v>0</v>
      </c>
      <c r="G24" s="67">
        <f t="shared" si="1"/>
        <v>0</v>
      </c>
      <c r="H24" s="67">
        <f t="shared" si="2"/>
        <v>0</v>
      </c>
      <c r="I24" s="67">
        <f t="shared" si="3"/>
        <v>0</v>
      </c>
      <c r="J24" s="67">
        <f t="shared" si="4"/>
        <v>0</v>
      </c>
      <c r="K24" s="100">
        <f t="shared" si="6"/>
        <v>0</v>
      </c>
      <c r="N24" s="257"/>
      <c r="O24" s="96">
        <f>Amnt_Deposited!B19</f>
        <v>2005</v>
      </c>
      <c r="P24" s="99">
        <f>Amnt_Deposited!P19</f>
        <v>0</v>
      </c>
      <c r="Q24" s="283">
        <f>MCF!R23</f>
        <v>0.78500000000000003</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Amnt_Deposited!P20</f>
        <v>0</v>
      </c>
      <c r="D25" s="417">
        <f>Dry_Matter_Content!P12</f>
        <v>0</v>
      </c>
      <c r="E25" s="283">
        <f>MCF!R24</f>
        <v>0.78500000000000003</v>
      </c>
      <c r="F25" s="67">
        <f t="shared" si="0"/>
        <v>0</v>
      </c>
      <c r="G25" s="67">
        <f t="shared" si="1"/>
        <v>0</v>
      </c>
      <c r="H25" s="67">
        <f t="shared" si="2"/>
        <v>0</v>
      </c>
      <c r="I25" s="67">
        <f t="shared" si="3"/>
        <v>0</v>
      </c>
      <c r="J25" s="67">
        <f t="shared" si="4"/>
        <v>0</v>
      </c>
      <c r="K25" s="100">
        <f t="shared" si="6"/>
        <v>0</v>
      </c>
      <c r="N25" s="257"/>
      <c r="O25" s="96">
        <f>Amnt_Deposited!B20</f>
        <v>2006</v>
      </c>
      <c r="P25" s="99">
        <f>Amnt_Deposited!P20</f>
        <v>0</v>
      </c>
      <c r="Q25" s="283">
        <f>MCF!R24</f>
        <v>0.78500000000000003</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Amnt_Deposited!P21</f>
        <v>0</v>
      </c>
      <c r="D26" s="417">
        <f>Dry_Matter_Content!P13</f>
        <v>0</v>
      </c>
      <c r="E26" s="283">
        <f>MCF!R25</f>
        <v>0.78500000000000003</v>
      </c>
      <c r="F26" s="67">
        <f t="shared" si="0"/>
        <v>0</v>
      </c>
      <c r="G26" s="67">
        <f t="shared" si="1"/>
        <v>0</v>
      </c>
      <c r="H26" s="67">
        <f t="shared" si="2"/>
        <v>0</v>
      </c>
      <c r="I26" s="67">
        <f t="shared" si="3"/>
        <v>0</v>
      </c>
      <c r="J26" s="67">
        <f t="shared" si="4"/>
        <v>0</v>
      </c>
      <c r="K26" s="100">
        <f t="shared" si="6"/>
        <v>0</v>
      </c>
      <c r="N26" s="257"/>
      <c r="O26" s="96">
        <f>Amnt_Deposited!B21</f>
        <v>2007</v>
      </c>
      <c r="P26" s="99">
        <f>Amnt_Deposited!P21</f>
        <v>0</v>
      </c>
      <c r="Q26" s="283">
        <f>MCF!R25</f>
        <v>0.78500000000000003</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Amnt_Deposited!P22</f>
        <v>0</v>
      </c>
      <c r="D27" s="417">
        <f>Dry_Matter_Content!P14</f>
        <v>0</v>
      </c>
      <c r="E27" s="283">
        <f>MCF!R26</f>
        <v>0.78500000000000003</v>
      </c>
      <c r="F27" s="67">
        <f t="shared" si="0"/>
        <v>0</v>
      </c>
      <c r="G27" s="67">
        <f t="shared" si="1"/>
        <v>0</v>
      </c>
      <c r="H27" s="67">
        <f t="shared" si="2"/>
        <v>0</v>
      </c>
      <c r="I27" s="67">
        <f t="shared" si="3"/>
        <v>0</v>
      </c>
      <c r="J27" s="67">
        <f t="shared" si="4"/>
        <v>0</v>
      </c>
      <c r="K27" s="100">
        <f t="shared" si="6"/>
        <v>0</v>
      </c>
      <c r="N27" s="257"/>
      <c r="O27" s="96">
        <f>Amnt_Deposited!B22</f>
        <v>2008</v>
      </c>
      <c r="P27" s="99">
        <f>Amnt_Deposited!P22</f>
        <v>0</v>
      </c>
      <c r="Q27" s="283">
        <f>MCF!R26</f>
        <v>0.78500000000000003</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Amnt_Deposited!P23</f>
        <v>0</v>
      </c>
      <c r="D28" s="417">
        <f>Dry_Matter_Content!P15</f>
        <v>0</v>
      </c>
      <c r="E28" s="283">
        <f>MCF!R27</f>
        <v>0.78500000000000003</v>
      </c>
      <c r="F28" s="67">
        <f t="shared" si="0"/>
        <v>0</v>
      </c>
      <c r="G28" s="67">
        <f t="shared" si="1"/>
        <v>0</v>
      </c>
      <c r="H28" s="67">
        <f t="shared" si="2"/>
        <v>0</v>
      </c>
      <c r="I28" s="67">
        <f t="shared" si="3"/>
        <v>0</v>
      </c>
      <c r="J28" s="67">
        <f t="shared" si="4"/>
        <v>0</v>
      </c>
      <c r="K28" s="100">
        <f t="shared" si="6"/>
        <v>0</v>
      </c>
      <c r="N28" s="257"/>
      <c r="O28" s="96">
        <f>Amnt_Deposited!B23</f>
        <v>2009</v>
      </c>
      <c r="P28" s="99">
        <f>Amnt_Deposited!P23</f>
        <v>0</v>
      </c>
      <c r="Q28" s="283">
        <f>MCF!R27</f>
        <v>0.78500000000000003</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Amnt_Deposited!P24</f>
        <v>0</v>
      </c>
      <c r="D29" s="417">
        <f>Dry_Matter_Content!P16</f>
        <v>0</v>
      </c>
      <c r="E29" s="283">
        <f>MCF!R28</f>
        <v>0.78500000000000003</v>
      </c>
      <c r="F29" s="67">
        <f t="shared" si="0"/>
        <v>0</v>
      </c>
      <c r="G29" s="67">
        <f t="shared" si="1"/>
        <v>0</v>
      </c>
      <c r="H29" s="67">
        <f t="shared" si="2"/>
        <v>0</v>
      </c>
      <c r="I29" s="67">
        <f t="shared" si="3"/>
        <v>0</v>
      </c>
      <c r="J29" s="67">
        <f t="shared" si="4"/>
        <v>0</v>
      </c>
      <c r="K29" s="100">
        <f t="shared" si="6"/>
        <v>0</v>
      </c>
      <c r="O29" s="96">
        <f>Amnt_Deposited!B24</f>
        <v>2010</v>
      </c>
      <c r="P29" s="99">
        <f>Amnt_Deposited!P24</f>
        <v>0</v>
      </c>
      <c r="Q29" s="283">
        <f>MCF!R28</f>
        <v>0.78500000000000003</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Amnt_Deposited!P25</f>
        <v>0</v>
      </c>
      <c r="D30" s="417">
        <f>Dry_Matter_Content!P17</f>
        <v>0</v>
      </c>
      <c r="E30" s="283">
        <f>MCF!R29</f>
        <v>0.78500000000000003</v>
      </c>
      <c r="F30" s="67">
        <f t="shared" si="0"/>
        <v>0</v>
      </c>
      <c r="G30" s="67">
        <f t="shared" si="1"/>
        <v>0</v>
      </c>
      <c r="H30" s="67">
        <f t="shared" si="2"/>
        <v>0</v>
      </c>
      <c r="I30" s="67">
        <f t="shared" si="3"/>
        <v>0</v>
      </c>
      <c r="J30" s="67">
        <f t="shared" si="4"/>
        <v>0</v>
      </c>
      <c r="K30" s="100">
        <f t="shared" si="6"/>
        <v>0</v>
      </c>
      <c r="O30" s="96">
        <f>Amnt_Deposited!B25</f>
        <v>2011</v>
      </c>
      <c r="P30" s="99">
        <f>Amnt_Deposited!P25</f>
        <v>0</v>
      </c>
      <c r="Q30" s="283">
        <f>MCF!R29</f>
        <v>0.78500000000000003</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Amnt_Deposited!P26</f>
        <v>0</v>
      </c>
      <c r="D31" s="417">
        <f>Dry_Matter_Content!P18</f>
        <v>0</v>
      </c>
      <c r="E31" s="283">
        <f>MCF!R30</f>
        <v>0.78500000000000003</v>
      </c>
      <c r="F31" s="67">
        <f t="shared" si="0"/>
        <v>0</v>
      </c>
      <c r="G31" s="67">
        <f t="shared" si="1"/>
        <v>0</v>
      </c>
      <c r="H31" s="67">
        <f t="shared" si="2"/>
        <v>0</v>
      </c>
      <c r="I31" s="67">
        <f t="shared" si="3"/>
        <v>0</v>
      </c>
      <c r="J31" s="67">
        <f t="shared" si="4"/>
        <v>0</v>
      </c>
      <c r="K31" s="100">
        <f t="shared" si="6"/>
        <v>0</v>
      </c>
      <c r="O31" s="96">
        <f>Amnt_Deposited!B26</f>
        <v>2012</v>
      </c>
      <c r="P31" s="99">
        <f>Amnt_Deposited!P26</f>
        <v>0</v>
      </c>
      <c r="Q31" s="283">
        <f>MCF!R30</f>
        <v>0.78500000000000003</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Amnt_Deposited!P27</f>
        <v>0</v>
      </c>
      <c r="D32" s="417">
        <f>Dry_Matter_Content!P19</f>
        <v>0</v>
      </c>
      <c r="E32" s="283">
        <f>MCF!R31</f>
        <v>0.78500000000000003</v>
      </c>
      <c r="F32" s="67">
        <f t="shared" si="0"/>
        <v>0</v>
      </c>
      <c r="G32" s="67">
        <f t="shared" si="1"/>
        <v>0</v>
      </c>
      <c r="H32" s="67">
        <f t="shared" si="2"/>
        <v>0</v>
      </c>
      <c r="I32" s="67">
        <f t="shared" si="3"/>
        <v>0</v>
      </c>
      <c r="J32" s="67">
        <f t="shared" si="4"/>
        <v>0</v>
      </c>
      <c r="K32" s="100">
        <f t="shared" si="6"/>
        <v>0</v>
      </c>
      <c r="O32" s="96">
        <f>Amnt_Deposited!B27</f>
        <v>2013</v>
      </c>
      <c r="P32" s="99">
        <f>Amnt_Deposited!P27</f>
        <v>0</v>
      </c>
      <c r="Q32" s="283">
        <f>MCF!R31</f>
        <v>0.78500000000000003</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Amnt_Deposited!P28</f>
        <v>0</v>
      </c>
      <c r="D33" s="417">
        <f>Dry_Matter_Content!P20</f>
        <v>0</v>
      </c>
      <c r="E33" s="283">
        <f>MCF!R32</f>
        <v>0.78500000000000003</v>
      </c>
      <c r="F33" s="67">
        <f t="shared" si="0"/>
        <v>0</v>
      </c>
      <c r="G33" s="67">
        <f t="shared" si="1"/>
        <v>0</v>
      </c>
      <c r="H33" s="67">
        <f t="shared" si="2"/>
        <v>0</v>
      </c>
      <c r="I33" s="67">
        <f t="shared" si="3"/>
        <v>0</v>
      </c>
      <c r="J33" s="67">
        <f t="shared" si="4"/>
        <v>0</v>
      </c>
      <c r="K33" s="100">
        <f t="shared" si="6"/>
        <v>0</v>
      </c>
      <c r="O33" s="96">
        <f>Amnt_Deposited!B28</f>
        <v>2014</v>
      </c>
      <c r="P33" s="99">
        <f>Amnt_Deposited!P28</f>
        <v>0</v>
      </c>
      <c r="Q33" s="283">
        <f>MCF!R32</f>
        <v>0.78500000000000003</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Amnt_Deposited!P29</f>
        <v>0</v>
      </c>
      <c r="D34" s="417">
        <f>Dry_Matter_Content!P21</f>
        <v>0</v>
      </c>
      <c r="E34" s="283">
        <f>MCF!R33</f>
        <v>0.78500000000000003</v>
      </c>
      <c r="F34" s="67">
        <f t="shared" si="0"/>
        <v>0</v>
      </c>
      <c r="G34" s="67">
        <f t="shared" si="1"/>
        <v>0</v>
      </c>
      <c r="H34" s="67">
        <f t="shared" si="2"/>
        <v>0</v>
      </c>
      <c r="I34" s="67">
        <f t="shared" si="3"/>
        <v>0</v>
      </c>
      <c r="J34" s="67">
        <f t="shared" si="4"/>
        <v>0</v>
      </c>
      <c r="K34" s="100">
        <f t="shared" si="6"/>
        <v>0</v>
      </c>
      <c r="O34" s="96">
        <f>Amnt_Deposited!B29</f>
        <v>2015</v>
      </c>
      <c r="P34" s="99">
        <f>Amnt_Deposited!P29</f>
        <v>0</v>
      </c>
      <c r="Q34" s="283">
        <f>MCF!R33</f>
        <v>0.78500000000000003</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Amnt_Deposited!P30</f>
        <v>0</v>
      </c>
      <c r="D35" s="417">
        <f>Dry_Matter_Content!P22</f>
        <v>0</v>
      </c>
      <c r="E35" s="283">
        <f>MCF!R34</f>
        <v>0.78500000000000003</v>
      </c>
      <c r="F35" s="67">
        <f t="shared" si="0"/>
        <v>0</v>
      </c>
      <c r="G35" s="67">
        <f t="shared" si="1"/>
        <v>0</v>
      </c>
      <c r="H35" s="67">
        <f t="shared" si="2"/>
        <v>0</v>
      </c>
      <c r="I35" s="67">
        <f t="shared" si="3"/>
        <v>0</v>
      </c>
      <c r="J35" s="67">
        <f t="shared" si="4"/>
        <v>0</v>
      </c>
      <c r="K35" s="100">
        <f t="shared" si="6"/>
        <v>0</v>
      </c>
      <c r="O35" s="96">
        <f>Amnt_Deposited!B30</f>
        <v>2016</v>
      </c>
      <c r="P35" s="99">
        <f>Amnt_Deposited!P30</f>
        <v>0</v>
      </c>
      <c r="Q35" s="283">
        <f>MCF!R34</f>
        <v>0.78500000000000003</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Amnt_Deposited!P31</f>
        <v>0</v>
      </c>
      <c r="D36" s="417">
        <f>Dry_Matter_Content!P23</f>
        <v>0</v>
      </c>
      <c r="E36" s="283">
        <f>MCF!R35</f>
        <v>0.78500000000000003</v>
      </c>
      <c r="F36" s="67">
        <f t="shared" si="0"/>
        <v>0</v>
      </c>
      <c r="G36" s="67">
        <f t="shared" si="1"/>
        <v>0</v>
      </c>
      <c r="H36" s="67">
        <f t="shared" si="2"/>
        <v>0</v>
      </c>
      <c r="I36" s="67">
        <f t="shared" si="3"/>
        <v>0</v>
      </c>
      <c r="J36" s="67">
        <f t="shared" si="4"/>
        <v>0</v>
      </c>
      <c r="K36" s="100">
        <f t="shared" si="6"/>
        <v>0</v>
      </c>
      <c r="O36" s="96">
        <f>Amnt_Deposited!B31</f>
        <v>2017</v>
      </c>
      <c r="P36" s="99">
        <f>Amnt_Deposited!P31</f>
        <v>0</v>
      </c>
      <c r="Q36" s="283">
        <f>MCF!R35</f>
        <v>0.78500000000000003</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Amnt_Deposited!P32</f>
        <v>0</v>
      </c>
      <c r="D37" s="417">
        <f>Dry_Matter_Content!P24</f>
        <v>0</v>
      </c>
      <c r="E37" s="283">
        <f>MCF!R36</f>
        <v>0.78500000000000003</v>
      </c>
      <c r="F37" s="67">
        <f t="shared" si="0"/>
        <v>0</v>
      </c>
      <c r="G37" s="67">
        <f t="shared" si="1"/>
        <v>0</v>
      </c>
      <c r="H37" s="67">
        <f t="shared" si="2"/>
        <v>0</v>
      </c>
      <c r="I37" s="67">
        <f t="shared" si="3"/>
        <v>0</v>
      </c>
      <c r="J37" s="67">
        <f t="shared" si="4"/>
        <v>0</v>
      </c>
      <c r="K37" s="100">
        <f t="shared" si="6"/>
        <v>0</v>
      </c>
      <c r="O37" s="96">
        <f>Amnt_Deposited!B32</f>
        <v>2018</v>
      </c>
      <c r="P37" s="99">
        <f>Amnt_Deposited!P32</f>
        <v>0</v>
      </c>
      <c r="Q37" s="283">
        <f>MCF!R36</f>
        <v>0.78500000000000003</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Amnt_Deposited!P33</f>
        <v>0</v>
      </c>
      <c r="D38" s="417">
        <f>Dry_Matter_Content!P25</f>
        <v>0</v>
      </c>
      <c r="E38" s="283">
        <f>MCF!R37</f>
        <v>0.78500000000000003</v>
      </c>
      <c r="F38" s="67">
        <f t="shared" si="0"/>
        <v>0</v>
      </c>
      <c r="G38" s="67">
        <f t="shared" si="1"/>
        <v>0</v>
      </c>
      <c r="H38" s="67">
        <f t="shared" si="2"/>
        <v>0</v>
      </c>
      <c r="I38" s="67">
        <f t="shared" si="3"/>
        <v>0</v>
      </c>
      <c r="J38" s="67">
        <f t="shared" si="4"/>
        <v>0</v>
      </c>
      <c r="K38" s="100">
        <f t="shared" si="6"/>
        <v>0</v>
      </c>
      <c r="O38" s="96">
        <f>Amnt_Deposited!B33</f>
        <v>2019</v>
      </c>
      <c r="P38" s="99">
        <f>Amnt_Deposited!P33</f>
        <v>0</v>
      </c>
      <c r="Q38" s="283">
        <f>MCF!R37</f>
        <v>0.78500000000000003</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Amnt_Deposited!P34</f>
        <v>0</v>
      </c>
      <c r="D39" s="417">
        <f>Dry_Matter_Content!P26</f>
        <v>0</v>
      </c>
      <c r="E39" s="283">
        <f>MCF!R38</f>
        <v>0.78500000000000003</v>
      </c>
      <c r="F39" s="67">
        <f t="shared" si="0"/>
        <v>0</v>
      </c>
      <c r="G39" s="67">
        <f t="shared" si="1"/>
        <v>0</v>
      </c>
      <c r="H39" s="67">
        <f t="shared" si="2"/>
        <v>0</v>
      </c>
      <c r="I39" s="67">
        <f t="shared" si="3"/>
        <v>0</v>
      </c>
      <c r="J39" s="67">
        <f t="shared" si="4"/>
        <v>0</v>
      </c>
      <c r="K39" s="100">
        <f t="shared" si="6"/>
        <v>0</v>
      </c>
      <c r="O39" s="96">
        <f>Amnt_Deposited!B34</f>
        <v>2020</v>
      </c>
      <c r="P39" s="99">
        <f>Amnt_Deposited!P34</f>
        <v>0</v>
      </c>
      <c r="Q39" s="283">
        <f>MCF!R38</f>
        <v>0.78500000000000003</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Amnt_Deposited!P35</f>
        <v>0</v>
      </c>
      <c r="D40" s="417">
        <f>Dry_Matter_Content!P27</f>
        <v>0</v>
      </c>
      <c r="E40" s="283">
        <f>MCF!R39</f>
        <v>0.78500000000000003</v>
      </c>
      <c r="F40" s="67">
        <f t="shared" si="0"/>
        <v>0</v>
      </c>
      <c r="G40" s="67">
        <f t="shared" si="1"/>
        <v>0</v>
      </c>
      <c r="H40" s="67">
        <f t="shared" si="2"/>
        <v>0</v>
      </c>
      <c r="I40" s="67">
        <f t="shared" si="3"/>
        <v>0</v>
      </c>
      <c r="J40" s="67">
        <f t="shared" si="4"/>
        <v>0</v>
      </c>
      <c r="K40" s="100">
        <f t="shared" si="6"/>
        <v>0</v>
      </c>
      <c r="O40" s="96">
        <f>Amnt_Deposited!B35</f>
        <v>2021</v>
      </c>
      <c r="P40" s="99">
        <f>Amnt_Deposited!P35</f>
        <v>0</v>
      </c>
      <c r="Q40" s="283">
        <f>MCF!R39</f>
        <v>0.78500000000000003</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Amnt_Deposited!P36</f>
        <v>0</v>
      </c>
      <c r="D41" s="417">
        <f>Dry_Matter_Content!P28</f>
        <v>0</v>
      </c>
      <c r="E41" s="283">
        <f>MCF!R40</f>
        <v>0.78500000000000003</v>
      </c>
      <c r="F41" s="67">
        <f t="shared" si="0"/>
        <v>0</v>
      </c>
      <c r="G41" s="67">
        <f t="shared" si="1"/>
        <v>0</v>
      </c>
      <c r="H41" s="67">
        <f t="shared" si="2"/>
        <v>0</v>
      </c>
      <c r="I41" s="67">
        <f t="shared" si="3"/>
        <v>0</v>
      </c>
      <c r="J41" s="67">
        <f t="shared" si="4"/>
        <v>0</v>
      </c>
      <c r="K41" s="100">
        <f t="shared" si="6"/>
        <v>0</v>
      </c>
      <c r="O41" s="96">
        <f>Amnt_Deposited!B36</f>
        <v>2022</v>
      </c>
      <c r="P41" s="99">
        <f>Amnt_Deposited!P36</f>
        <v>0</v>
      </c>
      <c r="Q41" s="283">
        <f>MCF!R40</f>
        <v>0.78500000000000003</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Amnt_Deposited!P37</f>
        <v>0</v>
      </c>
      <c r="D42" s="417">
        <f>Dry_Matter_Content!P29</f>
        <v>0</v>
      </c>
      <c r="E42" s="283">
        <f>MCF!R41</f>
        <v>0.78500000000000003</v>
      </c>
      <c r="F42" s="67">
        <f t="shared" si="0"/>
        <v>0</v>
      </c>
      <c r="G42" s="67">
        <f t="shared" si="1"/>
        <v>0</v>
      </c>
      <c r="H42" s="67">
        <f t="shared" si="2"/>
        <v>0</v>
      </c>
      <c r="I42" s="67">
        <f t="shared" si="3"/>
        <v>0</v>
      </c>
      <c r="J42" s="67">
        <f t="shared" si="4"/>
        <v>0</v>
      </c>
      <c r="K42" s="100">
        <f t="shared" si="6"/>
        <v>0</v>
      </c>
      <c r="O42" s="96">
        <f>Amnt_Deposited!B37</f>
        <v>2023</v>
      </c>
      <c r="P42" s="99">
        <f>Amnt_Deposited!P37</f>
        <v>0</v>
      </c>
      <c r="Q42" s="283">
        <f>MCF!R41</f>
        <v>0.78500000000000003</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Amnt_Deposited!P38</f>
        <v>0</v>
      </c>
      <c r="D43" s="417">
        <f>Dry_Matter_Content!P30</f>
        <v>0</v>
      </c>
      <c r="E43" s="283">
        <f>MCF!R42</f>
        <v>0.78500000000000003</v>
      </c>
      <c r="F43" s="67">
        <f t="shared" si="0"/>
        <v>0</v>
      </c>
      <c r="G43" s="67">
        <f t="shared" si="1"/>
        <v>0</v>
      </c>
      <c r="H43" s="67">
        <f t="shared" si="2"/>
        <v>0</v>
      </c>
      <c r="I43" s="67">
        <f t="shared" si="3"/>
        <v>0</v>
      </c>
      <c r="J43" s="67">
        <f t="shared" si="4"/>
        <v>0</v>
      </c>
      <c r="K43" s="100">
        <f t="shared" si="6"/>
        <v>0</v>
      </c>
      <c r="O43" s="96">
        <f>Amnt_Deposited!B38</f>
        <v>2024</v>
      </c>
      <c r="P43" s="99">
        <f>Amnt_Deposited!P38</f>
        <v>0</v>
      </c>
      <c r="Q43" s="283">
        <f>MCF!R42</f>
        <v>0.78500000000000003</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Amnt_Deposited!P39</f>
        <v>0</v>
      </c>
      <c r="D44" s="417">
        <f>Dry_Matter_Content!P31</f>
        <v>0</v>
      </c>
      <c r="E44" s="283">
        <f>MCF!R43</f>
        <v>0.78500000000000003</v>
      </c>
      <c r="F44" s="67">
        <f t="shared" si="0"/>
        <v>0</v>
      </c>
      <c r="G44" s="67">
        <f t="shared" si="1"/>
        <v>0</v>
      </c>
      <c r="H44" s="67">
        <f t="shared" si="2"/>
        <v>0</v>
      </c>
      <c r="I44" s="67">
        <f t="shared" si="3"/>
        <v>0</v>
      </c>
      <c r="J44" s="67">
        <f t="shared" si="4"/>
        <v>0</v>
      </c>
      <c r="K44" s="100">
        <f t="shared" si="6"/>
        <v>0</v>
      </c>
      <c r="O44" s="96">
        <f>Amnt_Deposited!B39</f>
        <v>2025</v>
      </c>
      <c r="P44" s="99">
        <f>Amnt_Deposited!P39</f>
        <v>0</v>
      </c>
      <c r="Q44" s="283">
        <f>MCF!R43</f>
        <v>0.78500000000000003</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Amnt_Deposited!P40</f>
        <v>0</v>
      </c>
      <c r="D45" s="417">
        <f>Dry_Matter_Content!P32</f>
        <v>0</v>
      </c>
      <c r="E45" s="283">
        <f>MCF!R44</f>
        <v>0.78500000000000003</v>
      </c>
      <c r="F45" s="67">
        <f t="shared" si="0"/>
        <v>0</v>
      </c>
      <c r="G45" s="67">
        <f t="shared" si="1"/>
        <v>0</v>
      </c>
      <c r="H45" s="67">
        <f t="shared" si="2"/>
        <v>0</v>
      </c>
      <c r="I45" s="67">
        <f t="shared" si="3"/>
        <v>0</v>
      </c>
      <c r="J45" s="67">
        <f t="shared" si="4"/>
        <v>0</v>
      </c>
      <c r="K45" s="100">
        <f t="shared" si="6"/>
        <v>0</v>
      </c>
      <c r="O45" s="96">
        <f>Amnt_Deposited!B40</f>
        <v>2026</v>
      </c>
      <c r="P45" s="99">
        <f>Amnt_Deposited!P40</f>
        <v>0</v>
      </c>
      <c r="Q45" s="283">
        <f>MCF!R44</f>
        <v>0.78500000000000003</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Amnt_Deposited!P41</f>
        <v>0</v>
      </c>
      <c r="D46" s="417">
        <f>Dry_Matter_Content!P33</f>
        <v>0</v>
      </c>
      <c r="E46" s="283">
        <f>MCF!R45</f>
        <v>0.78500000000000003</v>
      </c>
      <c r="F46" s="67">
        <f t="shared" si="0"/>
        <v>0</v>
      </c>
      <c r="G46" s="67">
        <f t="shared" si="1"/>
        <v>0</v>
      </c>
      <c r="H46" s="67">
        <f t="shared" si="2"/>
        <v>0</v>
      </c>
      <c r="I46" s="67">
        <f t="shared" si="3"/>
        <v>0</v>
      </c>
      <c r="J46" s="67">
        <f t="shared" si="4"/>
        <v>0</v>
      </c>
      <c r="K46" s="100">
        <f t="shared" si="6"/>
        <v>0</v>
      </c>
      <c r="O46" s="96">
        <f>Amnt_Deposited!B41</f>
        <v>2027</v>
      </c>
      <c r="P46" s="99">
        <f>Amnt_Deposited!P41</f>
        <v>0</v>
      </c>
      <c r="Q46" s="283">
        <f>MCF!R45</f>
        <v>0.78500000000000003</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Amnt_Deposited!P42</f>
        <v>0</v>
      </c>
      <c r="D47" s="417">
        <f>Dry_Matter_Content!P34</f>
        <v>0</v>
      </c>
      <c r="E47" s="283">
        <f>MCF!R46</f>
        <v>0.78500000000000003</v>
      </c>
      <c r="F47" s="67">
        <f t="shared" si="0"/>
        <v>0</v>
      </c>
      <c r="G47" s="67">
        <f t="shared" si="1"/>
        <v>0</v>
      </c>
      <c r="H47" s="67">
        <f t="shared" si="2"/>
        <v>0</v>
      </c>
      <c r="I47" s="67">
        <f t="shared" si="3"/>
        <v>0</v>
      </c>
      <c r="J47" s="67">
        <f t="shared" si="4"/>
        <v>0</v>
      </c>
      <c r="K47" s="100">
        <f t="shared" si="6"/>
        <v>0</v>
      </c>
      <c r="O47" s="96">
        <f>Amnt_Deposited!B42</f>
        <v>2028</v>
      </c>
      <c r="P47" s="99">
        <f>Amnt_Deposited!P42</f>
        <v>0</v>
      </c>
      <c r="Q47" s="283">
        <f>MCF!R46</f>
        <v>0.78500000000000003</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Amnt_Deposited!P43</f>
        <v>0</v>
      </c>
      <c r="D48" s="417">
        <f>Dry_Matter_Content!P35</f>
        <v>0</v>
      </c>
      <c r="E48" s="283">
        <f>MCF!R47</f>
        <v>0.78500000000000003</v>
      </c>
      <c r="F48" s="67">
        <f t="shared" si="0"/>
        <v>0</v>
      </c>
      <c r="G48" s="67">
        <f t="shared" si="1"/>
        <v>0</v>
      </c>
      <c r="H48" s="67">
        <f t="shared" si="2"/>
        <v>0</v>
      </c>
      <c r="I48" s="67">
        <f t="shared" si="3"/>
        <v>0</v>
      </c>
      <c r="J48" s="67">
        <f t="shared" si="4"/>
        <v>0</v>
      </c>
      <c r="K48" s="100">
        <f t="shared" si="6"/>
        <v>0</v>
      </c>
      <c r="O48" s="96">
        <f>Amnt_Deposited!B43</f>
        <v>2029</v>
      </c>
      <c r="P48" s="99">
        <f>Amnt_Deposited!P43</f>
        <v>0</v>
      </c>
      <c r="Q48" s="283">
        <f>MCF!R47</f>
        <v>0.78500000000000003</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Amnt_Deposited!P44</f>
        <v>0</v>
      </c>
      <c r="D49" s="417">
        <f>Dry_Matter_Content!P36</f>
        <v>0</v>
      </c>
      <c r="E49" s="283">
        <f>MCF!R48</f>
        <v>0.78500000000000003</v>
      </c>
      <c r="F49" s="67">
        <f t="shared" si="0"/>
        <v>0</v>
      </c>
      <c r="G49" s="67">
        <f t="shared" si="1"/>
        <v>0</v>
      </c>
      <c r="H49" s="67">
        <f t="shared" si="2"/>
        <v>0</v>
      </c>
      <c r="I49" s="67">
        <f t="shared" si="3"/>
        <v>0</v>
      </c>
      <c r="J49" s="67">
        <f t="shared" si="4"/>
        <v>0</v>
      </c>
      <c r="K49" s="100">
        <f t="shared" si="6"/>
        <v>0</v>
      </c>
      <c r="O49" s="96">
        <f>Amnt_Deposited!B44</f>
        <v>2030</v>
      </c>
      <c r="P49" s="99">
        <f>Amnt_Deposited!P44</f>
        <v>0</v>
      </c>
      <c r="Q49" s="283">
        <f>MCF!R48</f>
        <v>0.78500000000000003</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Amnt_Deposited!P45</f>
        <v>0</v>
      </c>
      <c r="D50" s="417">
        <f>Dry_Matter_Content!P37</f>
        <v>0</v>
      </c>
      <c r="E50" s="283">
        <f>MCF!R49</f>
        <v>0.78500000000000003</v>
      </c>
      <c r="F50" s="67">
        <f t="shared" si="0"/>
        <v>0</v>
      </c>
      <c r="G50" s="67">
        <f t="shared" si="1"/>
        <v>0</v>
      </c>
      <c r="H50" s="67">
        <f t="shared" si="2"/>
        <v>0</v>
      </c>
      <c r="I50" s="67">
        <f t="shared" si="3"/>
        <v>0</v>
      </c>
      <c r="J50" s="67">
        <f t="shared" si="4"/>
        <v>0</v>
      </c>
      <c r="K50" s="100">
        <f t="shared" si="6"/>
        <v>0</v>
      </c>
      <c r="O50" s="96">
        <f>Amnt_Deposited!B45</f>
        <v>2031</v>
      </c>
      <c r="P50" s="99">
        <f>Amnt_Deposited!P45</f>
        <v>0</v>
      </c>
      <c r="Q50" s="283">
        <f>MCF!R49</f>
        <v>0.78500000000000003</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Amnt_Deposited!P46</f>
        <v>0</v>
      </c>
      <c r="D51" s="417">
        <f>Dry_Matter_Content!P38</f>
        <v>0</v>
      </c>
      <c r="E51" s="283">
        <f>MCF!R50</f>
        <v>0.78500000000000003</v>
      </c>
      <c r="F51" s="67">
        <f t="shared" si="0"/>
        <v>0</v>
      </c>
      <c r="G51" s="67">
        <f t="shared" si="1"/>
        <v>0</v>
      </c>
      <c r="H51" s="67">
        <f t="shared" si="2"/>
        <v>0</v>
      </c>
      <c r="I51" s="67">
        <f t="shared" si="3"/>
        <v>0</v>
      </c>
      <c r="J51" s="67">
        <f t="shared" si="4"/>
        <v>0</v>
      </c>
      <c r="K51" s="100">
        <f t="shared" si="6"/>
        <v>0</v>
      </c>
      <c r="O51" s="96">
        <f>Amnt_Deposited!B46</f>
        <v>2032</v>
      </c>
      <c r="P51" s="99">
        <f>Amnt_Deposited!P46</f>
        <v>0</v>
      </c>
      <c r="Q51" s="283">
        <f>MCF!R50</f>
        <v>0.78500000000000003</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Amnt_Deposited!P47</f>
        <v>0</v>
      </c>
      <c r="D52" s="417">
        <f>Dry_Matter_Content!P39</f>
        <v>0</v>
      </c>
      <c r="E52" s="283">
        <f>MCF!R51</f>
        <v>0.78500000000000003</v>
      </c>
      <c r="F52" s="67">
        <f t="shared" si="0"/>
        <v>0</v>
      </c>
      <c r="G52" s="67">
        <f t="shared" si="1"/>
        <v>0</v>
      </c>
      <c r="H52" s="67">
        <f t="shared" si="2"/>
        <v>0</v>
      </c>
      <c r="I52" s="67">
        <f t="shared" si="3"/>
        <v>0</v>
      </c>
      <c r="J52" s="67">
        <f t="shared" si="4"/>
        <v>0</v>
      </c>
      <c r="K52" s="100">
        <f t="shared" si="6"/>
        <v>0</v>
      </c>
      <c r="O52" s="96">
        <f>Amnt_Deposited!B47</f>
        <v>2033</v>
      </c>
      <c r="P52" s="99">
        <f>Amnt_Deposited!P47</f>
        <v>0</v>
      </c>
      <c r="Q52" s="283">
        <f>MCF!R51</f>
        <v>0.78500000000000003</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Amnt_Deposited!P48</f>
        <v>0</v>
      </c>
      <c r="D53" s="417">
        <f>Dry_Matter_Content!P40</f>
        <v>0</v>
      </c>
      <c r="E53" s="283">
        <f>MCF!R52</f>
        <v>0.78500000000000003</v>
      </c>
      <c r="F53" s="67">
        <f t="shared" si="0"/>
        <v>0</v>
      </c>
      <c r="G53" s="67">
        <f t="shared" si="1"/>
        <v>0</v>
      </c>
      <c r="H53" s="67">
        <f t="shared" si="2"/>
        <v>0</v>
      </c>
      <c r="I53" s="67">
        <f t="shared" si="3"/>
        <v>0</v>
      </c>
      <c r="J53" s="67">
        <f t="shared" si="4"/>
        <v>0</v>
      </c>
      <c r="K53" s="100">
        <f t="shared" si="6"/>
        <v>0</v>
      </c>
      <c r="O53" s="96">
        <f>Amnt_Deposited!B48</f>
        <v>2034</v>
      </c>
      <c r="P53" s="99">
        <f>Amnt_Deposited!P48</f>
        <v>0</v>
      </c>
      <c r="Q53" s="283">
        <f>MCF!R52</f>
        <v>0.78500000000000003</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Amnt_Deposited!P49</f>
        <v>0</v>
      </c>
      <c r="D54" s="417">
        <f>Dry_Matter_Content!P41</f>
        <v>0</v>
      </c>
      <c r="E54" s="283">
        <f>MCF!R53</f>
        <v>0.78500000000000003</v>
      </c>
      <c r="F54" s="67">
        <f t="shared" si="0"/>
        <v>0</v>
      </c>
      <c r="G54" s="67">
        <f t="shared" si="1"/>
        <v>0</v>
      </c>
      <c r="H54" s="67">
        <f t="shared" si="2"/>
        <v>0</v>
      </c>
      <c r="I54" s="67">
        <f t="shared" si="3"/>
        <v>0</v>
      </c>
      <c r="J54" s="67">
        <f t="shared" si="4"/>
        <v>0</v>
      </c>
      <c r="K54" s="100">
        <f t="shared" si="6"/>
        <v>0</v>
      </c>
      <c r="O54" s="96">
        <f>Amnt_Deposited!B49</f>
        <v>2035</v>
      </c>
      <c r="P54" s="99">
        <f>Amnt_Deposited!P49</f>
        <v>0</v>
      </c>
      <c r="Q54" s="283">
        <f>MCF!R53</f>
        <v>0.78500000000000003</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Amnt_Deposited!P50</f>
        <v>0</v>
      </c>
      <c r="D55" s="417">
        <f>Dry_Matter_Content!P42</f>
        <v>0</v>
      </c>
      <c r="E55" s="283">
        <f>MCF!R54</f>
        <v>0.78500000000000003</v>
      </c>
      <c r="F55" s="67">
        <f t="shared" si="0"/>
        <v>0</v>
      </c>
      <c r="G55" s="67">
        <f t="shared" si="1"/>
        <v>0</v>
      </c>
      <c r="H55" s="67">
        <f t="shared" si="2"/>
        <v>0</v>
      </c>
      <c r="I55" s="67">
        <f t="shared" si="3"/>
        <v>0</v>
      </c>
      <c r="J55" s="67">
        <f t="shared" si="4"/>
        <v>0</v>
      </c>
      <c r="K55" s="100">
        <f t="shared" si="6"/>
        <v>0</v>
      </c>
      <c r="O55" s="96">
        <f>Amnt_Deposited!B50</f>
        <v>2036</v>
      </c>
      <c r="P55" s="99">
        <f>Amnt_Deposited!P50</f>
        <v>0</v>
      </c>
      <c r="Q55" s="283">
        <f>MCF!R54</f>
        <v>0.78500000000000003</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Amnt_Deposited!P51</f>
        <v>0</v>
      </c>
      <c r="D56" s="417">
        <f>Dry_Matter_Content!P43</f>
        <v>0</v>
      </c>
      <c r="E56" s="283">
        <f>MCF!R55</f>
        <v>0.78500000000000003</v>
      </c>
      <c r="F56" s="67">
        <f t="shared" si="0"/>
        <v>0</v>
      </c>
      <c r="G56" s="67">
        <f t="shared" si="1"/>
        <v>0</v>
      </c>
      <c r="H56" s="67">
        <f t="shared" si="2"/>
        <v>0</v>
      </c>
      <c r="I56" s="67">
        <f t="shared" si="3"/>
        <v>0</v>
      </c>
      <c r="J56" s="67">
        <f t="shared" si="4"/>
        <v>0</v>
      </c>
      <c r="K56" s="100">
        <f t="shared" si="6"/>
        <v>0</v>
      </c>
      <c r="O56" s="96">
        <f>Amnt_Deposited!B51</f>
        <v>2037</v>
      </c>
      <c r="P56" s="99">
        <f>Amnt_Deposited!P51</f>
        <v>0</v>
      </c>
      <c r="Q56" s="283">
        <f>MCF!R55</f>
        <v>0.78500000000000003</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Amnt_Deposited!P52</f>
        <v>0</v>
      </c>
      <c r="D57" s="417">
        <f>Dry_Matter_Content!P44</f>
        <v>0</v>
      </c>
      <c r="E57" s="283">
        <f>MCF!R56</f>
        <v>0.78500000000000003</v>
      </c>
      <c r="F57" s="67">
        <f t="shared" si="0"/>
        <v>0</v>
      </c>
      <c r="G57" s="67">
        <f t="shared" si="1"/>
        <v>0</v>
      </c>
      <c r="H57" s="67">
        <f t="shared" si="2"/>
        <v>0</v>
      </c>
      <c r="I57" s="67">
        <f t="shared" si="3"/>
        <v>0</v>
      </c>
      <c r="J57" s="67">
        <f t="shared" si="4"/>
        <v>0</v>
      </c>
      <c r="K57" s="100">
        <f t="shared" si="6"/>
        <v>0</v>
      </c>
      <c r="O57" s="96">
        <f>Amnt_Deposited!B52</f>
        <v>2038</v>
      </c>
      <c r="P57" s="99">
        <f>Amnt_Deposited!P52</f>
        <v>0</v>
      </c>
      <c r="Q57" s="283">
        <f>MCF!R56</f>
        <v>0.78500000000000003</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Amnt_Deposited!P53</f>
        <v>0</v>
      </c>
      <c r="D58" s="417">
        <f>Dry_Matter_Content!P45</f>
        <v>0</v>
      </c>
      <c r="E58" s="283">
        <f>MCF!R57</f>
        <v>0.78500000000000003</v>
      </c>
      <c r="F58" s="67">
        <f t="shared" si="0"/>
        <v>0</v>
      </c>
      <c r="G58" s="67">
        <f t="shared" si="1"/>
        <v>0</v>
      </c>
      <c r="H58" s="67">
        <f t="shared" si="2"/>
        <v>0</v>
      </c>
      <c r="I58" s="67">
        <f t="shared" si="3"/>
        <v>0</v>
      </c>
      <c r="J58" s="67">
        <f t="shared" si="4"/>
        <v>0</v>
      </c>
      <c r="K58" s="100">
        <f t="shared" si="6"/>
        <v>0</v>
      </c>
      <c r="O58" s="96">
        <f>Amnt_Deposited!B53</f>
        <v>2039</v>
      </c>
      <c r="P58" s="99">
        <f>Amnt_Deposited!P53</f>
        <v>0</v>
      </c>
      <c r="Q58" s="283">
        <f>MCF!R57</f>
        <v>0.78500000000000003</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Amnt_Deposited!P54</f>
        <v>0</v>
      </c>
      <c r="D59" s="417">
        <f>Dry_Matter_Content!P46</f>
        <v>0</v>
      </c>
      <c r="E59" s="283">
        <f>MCF!R58</f>
        <v>0.78500000000000003</v>
      </c>
      <c r="F59" s="67">
        <f t="shared" si="0"/>
        <v>0</v>
      </c>
      <c r="G59" s="67">
        <f t="shared" si="1"/>
        <v>0</v>
      </c>
      <c r="H59" s="67">
        <f t="shared" si="2"/>
        <v>0</v>
      </c>
      <c r="I59" s="67">
        <f t="shared" si="3"/>
        <v>0</v>
      </c>
      <c r="J59" s="67">
        <f t="shared" si="4"/>
        <v>0</v>
      </c>
      <c r="K59" s="100">
        <f t="shared" si="6"/>
        <v>0</v>
      </c>
      <c r="O59" s="96">
        <f>Amnt_Deposited!B54</f>
        <v>2040</v>
      </c>
      <c r="P59" s="99">
        <f>Amnt_Deposited!P54</f>
        <v>0</v>
      </c>
      <c r="Q59" s="283">
        <f>MCF!R58</f>
        <v>0.78500000000000003</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Amnt_Deposited!P55</f>
        <v>0</v>
      </c>
      <c r="D60" s="417">
        <f>Dry_Matter_Content!P47</f>
        <v>0</v>
      </c>
      <c r="E60" s="283">
        <f>MCF!R59</f>
        <v>0.78500000000000003</v>
      </c>
      <c r="F60" s="67">
        <f t="shared" si="0"/>
        <v>0</v>
      </c>
      <c r="G60" s="67">
        <f t="shared" si="1"/>
        <v>0</v>
      </c>
      <c r="H60" s="67">
        <f t="shared" si="2"/>
        <v>0</v>
      </c>
      <c r="I60" s="67">
        <f t="shared" si="3"/>
        <v>0</v>
      </c>
      <c r="J60" s="67">
        <f t="shared" si="4"/>
        <v>0</v>
      </c>
      <c r="K60" s="100">
        <f t="shared" si="6"/>
        <v>0</v>
      </c>
      <c r="O60" s="96">
        <f>Amnt_Deposited!B55</f>
        <v>2041</v>
      </c>
      <c r="P60" s="99">
        <f>Amnt_Deposited!P55</f>
        <v>0</v>
      </c>
      <c r="Q60" s="283">
        <f>MCF!R59</f>
        <v>0.78500000000000003</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Amnt_Deposited!P56</f>
        <v>0</v>
      </c>
      <c r="D61" s="417">
        <f>Dry_Matter_Content!P48</f>
        <v>0</v>
      </c>
      <c r="E61" s="283">
        <f>MCF!R60</f>
        <v>0.78500000000000003</v>
      </c>
      <c r="F61" s="67">
        <f t="shared" si="0"/>
        <v>0</v>
      </c>
      <c r="G61" s="67">
        <f t="shared" si="1"/>
        <v>0</v>
      </c>
      <c r="H61" s="67">
        <f t="shared" si="2"/>
        <v>0</v>
      </c>
      <c r="I61" s="67">
        <f t="shared" si="3"/>
        <v>0</v>
      </c>
      <c r="J61" s="67">
        <f t="shared" si="4"/>
        <v>0</v>
      </c>
      <c r="K61" s="100">
        <f t="shared" si="6"/>
        <v>0</v>
      </c>
      <c r="O61" s="96">
        <f>Amnt_Deposited!B56</f>
        <v>2042</v>
      </c>
      <c r="P61" s="99">
        <f>Amnt_Deposited!P56</f>
        <v>0</v>
      </c>
      <c r="Q61" s="283">
        <f>MCF!R60</f>
        <v>0.78500000000000003</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Amnt_Deposited!P57</f>
        <v>0</v>
      </c>
      <c r="D62" s="417">
        <f>Dry_Matter_Content!P49</f>
        <v>0</v>
      </c>
      <c r="E62" s="283">
        <f>MCF!R61</f>
        <v>0.78500000000000003</v>
      </c>
      <c r="F62" s="67">
        <f t="shared" si="0"/>
        <v>0</v>
      </c>
      <c r="G62" s="67">
        <f t="shared" si="1"/>
        <v>0</v>
      </c>
      <c r="H62" s="67">
        <f t="shared" si="2"/>
        <v>0</v>
      </c>
      <c r="I62" s="67">
        <f t="shared" si="3"/>
        <v>0</v>
      </c>
      <c r="J62" s="67">
        <f t="shared" si="4"/>
        <v>0</v>
      </c>
      <c r="K62" s="100">
        <f t="shared" si="6"/>
        <v>0</v>
      </c>
      <c r="O62" s="96">
        <f>Amnt_Deposited!B57</f>
        <v>2043</v>
      </c>
      <c r="P62" s="99">
        <f>Amnt_Deposited!P57</f>
        <v>0</v>
      </c>
      <c r="Q62" s="283">
        <f>MCF!R61</f>
        <v>0.78500000000000003</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Amnt_Deposited!P58</f>
        <v>0</v>
      </c>
      <c r="D63" s="417">
        <f>Dry_Matter_Content!P50</f>
        <v>0</v>
      </c>
      <c r="E63" s="283">
        <f>MCF!R62</f>
        <v>0.78500000000000003</v>
      </c>
      <c r="F63" s="67">
        <f t="shared" si="0"/>
        <v>0</v>
      </c>
      <c r="G63" s="67">
        <f t="shared" si="1"/>
        <v>0</v>
      </c>
      <c r="H63" s="67">
        <f t="shared" si="2"/>
        <v>0</v>
      </c>
      <c r="I63" s="67">
        <f t="shared" si="3"/>
        <v>0</v>
      </c>
      <c r="J63" s="67">
        <f t="shared" si="4"/>
        <v>0</v>
      </c>
      <c r="K63" s="100">
        <f t="shared" si="6"/>
        <v>0</v>
      </c>
      <c r="O63" s="96">
        <f>Amnt_Deposited!B58</f>
        <v>2044</v>
      </c>
      <c r="P63" s="99">
        <f>Amnt_Deposited!P58</f>
        <v>0</v>
      </c>
      <c r="Q63" s="283">
        <f>MCF!R62</f>
        <v>0.78500000000000003</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Amnt_Deposited!P59</f>
        <v>0</v>
      </c>
      <c r="D64" s="417">
        <f>Dry_Matter_Content!P51</f>
        <v>0</v>
      </c>
      <c r="E64" s="283">
        <f>MCF!R63</f>
        <v>0.78500000000000003</v>
      </c>
      <c r="F64" s="67">
        <f t="shared" si="0"/>
        <v>0</v>
      </c>
      <c r="G64" s="67">
        <f t="shared" si="1"/>
        <v>0</v>
      </c>
      <c r="H64" s="67">
        <f t="shared" si="2"/>
        <v>0</v>
      </c>
      <c r="I64" s="67">
        <f t="shared" si="3"/>
        <v>0</v>
      </c>
      <c r="J64" s="67">
        <f t="shared" si="4"/>
        <v>0</v>
      </c>
      <c r="K64" s="100">
        <f t="shared" si="6"/>
        <v>0</v>
      </c>
      <c r="O64" s="96">
        <f>Amnt_Deposited!B59</f>
        <v>2045</v>
      </c>
      <c r="P64" s="99">
        <f>Amnt_Deposited!P59</f>
        <v>0</v>
      </c>
      <c r="Q64" s="283">
        <f>MCF!R63</f>
        <v>0.78500000000000003</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Amnt_Deposited!P60</f>
        <v>0</v>
      </c>
      <c r="D65" s="417">
        <f>Dry_Matter_Content!P52</f>
        <v>0</v>
      </c>
      <c r="E65" s="283">
        <f>MCF!R64</f>
        <v>0.78500000000000003</v>
      </c>
      <c r="F65" s="67">
        <f t="shared" si="0"/>
        <v>0</v>
      </c>
      <c r="G65" s="67">
        <f t="shared" si="1"/>
        <v>0</v>
      </c>
      <c r="H65" s="67">
        <f t="shared" si="2"/>
        <v>0</v>
      </c>
      <c r="I65" s="67">
        <f t="shared" si="3"/>
        <v>0</v>
      </c>
      <c r="J65" s="67">
        <f t="shared" si="4"/>
        <v>0</v>
      </c>
      <c r="K65" s="100">
        <f t="shared" si="6"/>
        <v>0</v>
      </c>
      <c r="O65" s="96">
        <f>Amnt_Deposited!B60</f>
        <v>2046</v>
      </c>
      <c r="P65" s="99">
        <f>Amnt_Deposited!P60</f>
        <v>0</v>
      </c>
      <c r="Q65" s="283">
        <f>MCF!R64</f>
        <v>0.78500000000000003</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Amnt_Deposited!P61</f>
        <v>0</v>
      </c>
      <c r="D66" s="417">
        <f>Dry_Matter_Content!P53</f>
        <v>0</v>
      </c>
      <c r="E66" s="283">
        <f>MCF!R65</f>
        <v>0.78500000000000003</v>
      </c>
      <c r="F66" s="67">
        <f t="shared" si="0"/>
        <v>0</v>
      </c>
      <c r="G66" s="67">
        <f t="shared" si="1"/>
        <v>0</v>
      </c>
      <c r="H66" s="67">
        <f t="shared" si="2"/>
        <v>0</v>
      </c>
      <c r="I66" s="67">
        <f t="shared" si="3"/>
        <v>0</v>
      </c>
      <c r="J66" s="67">
        <f t="shared" si="4"/>
        <v>0</v>
      </c>
      <c r="K66" s="100">
        <f t="shared" si="6"/>
        <v>0</v>
      </c>
      <c r="O66" s="96">
        <f>Amnt_Deposited!B61</f>
        <v>2047</v>
      </c>
      <c r="P66" s="99">
        <f>Amnt_Deposited!P61</f>
        <v>0</v>
      </c>
      <c r="Q66" s="283">
        <f>MCF!R65</f>
        <v>0.78500000000000003</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Amnt_Deposited!P62</f>
        <v>0</v>
      </c>
      <c r="D67" s="417">
        <f>Dry_Matter_Content!P54</f>
        <v>0</v>
      </c>
      <c r="E67" s="283">
        <f>MCF!R66</f>
        <v>0.78500000000000003</v>
      </c>
      <c r="F67" s="67">
        <f t="shared" si="0"/>
        <v>0</v>
      </c>
      <c r="G67" s="67">
        <f t="shared" si="1"/>
        <v>0</v>
      </c>
      <c r="H67" s="67">
        <f t="shared" si="2"/>
        <v>0</v>
      </c>
      <c r="I67" s="67">
        <f t="shared" si="3"/>
        <v>0</v>
      </c>
      <c r="J67" s="67">
        <f t="shared" si="4"/>
        <v>0</v>
      </c>
      <c r="K67" s="100">
        <f t="shared" si="6"/>
        <v>0</v>
      </c>
      <c r="O67" s="96">
        <f>Amnt_Deposited!B62</f>
        <v>2048</v>
      </c>
      <c r="P67" s="99">
        <f>Amnt_Deposited!P62</f>
        <v>0</v>
      </c>
      <c r="Q67" s="283">
        <f>MCF!R66</f>
        <v>0.78500000000000003</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Amnt_Deposited!P63</f>
        <v>0</v>
      </c>
      <c r="D68" s="417">
        <f>Dry_Matter_Content!P55</f>
        <v>0</v>
      </c>
      <c r="E68" s="283">
        <f>MCF!R67</f>
        <v>0.78500000000000003</v>
      </c>
      <c r="F68" s="67">
        <f t="shared" si="0"/>
        <v>0</v>
      </c>
      <c r="G68" s="67">
        <f t="shared" si="1"/>
        <v>0</v>
      </c>
      <c r="H68" s="67">
        <f t="shared" si="2"/>
        <v>0</v>
      </c>
      <c r="I68" s="67">
        <f t="shared" si="3"/>
        <v>0</v>
      </c>
      <c r="J68" s="67">
        <f t="shared" si="4"/>
        <v>0</v>
      </c>
      <c r="K68" s="100">
        <f t="shared" si="6"/>
        <v>0</v>
      </c>
      <c r="O68" s="96">
        <f>Amnt_Deposited!B63</f>
        <v>2049</v>
      </c>
      <c r="P68" s="99">
        <f>Amnt_Deposited!P63</f>
        <v>0</v>
      </c>
      <c r="Q68" s="283">
        <f>MCF!R67</f>
        <v>0.78500000000000003</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Amnt_Deposited!P64</f>
        <v>0</v>
      </c>
      <c r="D69" s="417">
        <f>Dry_Matter_Content!P56</f>
        <v>0</v>
      </c>
      <c r="E69" s="283">
        <f>MCF!R68</f>
        <v>0.78500000000000003</v>
      </c>
      <c r="F69" s="67">
        <f t="shared" si="0"/>
        <v>0</v>
      </c>
      <c r="G69" s="67">
        <f t="shared" si="1"/>
        <v>0</v>
      </c>
      <c r="H69" s="67">
        <f t="shared" si="2"/>
        <v>0</v>
      </c>
      <c r="I69" s="67">
        <f t="shared" si="3"/>
        <v>0</v>
      </c>
      <c r="J69" s="67">
        <f t="shared" si="4"/>
        <v>0</v>
      </c>
      <c r="K69" s="100">
        <f t="shared" si="6"/>
        <v>0</v>
      </c>
      <c r="O69" s="96">
        <f>Amnt_Deposited!B64</f>
        <v>2050</v>
      </c>
      <c r="P69" s="99">
        <f>Amnt_Deposited!P64</f>
        <v>0</v>
      </c>
      <c r="Q69" s="283">
        <f>MCF!R68</f>
        <v>0.78500000000000003</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Amnt_Deposited!P65</f>
        <v>0</v>
      </c>
      <c r="D70" s="417">
        <f>Dry_Matter_Content!P57</f>
        <v>0</v>
      </c>
      <c r="E70" s="283">
        <f>MCF!R69</f>
        <v>0.78500000000000003</v>
      </c>
      <c r="F70" s="67">
        <f t="shared" si="0"/>
        <v>0</v>
      </c>
      <c r="G70" s="67">
        <f t="shared" si="1"/>
        <v>0</v>
      </c>
      <c r="H70" s="67">
        <f t="shared" si="2"/>
        <v>0</v>
      </c>
      <c r="I70" s="67">
        <f t="shared" si="3"/>
        <v>0</v>
      </c>
      <c r="J70" s="67">
        <f t="shared" si="4"/>
        <v>0</v>
      </c>
      <c r="K70" s="100">
        <f t="shared" si="6"/>
        <v>0</v>
      </c>
      <c r="O70" s="96">
        <f>Amnt_Deposited!B65</f>
        <v>2051</v>
      </c>
      <c r="P70" s="99">
        <f>Amnt_Deposited!P65</f>
        <v>0</v>
      </c>
      <c r="Q70" s="283">
        <f>MCF!R69</f>
        <v>0.78500000000000003</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Amnt_Deposited!P66</f>
        <v>0</v>
      </c>
      <c r="D71" s="417">
        <f>Dry_Matter_Content!P58</f>
        <v>0</v>
      </c>
      <c r="E71" s="283">
        <f>MCF!R70</f>
        <v>0.78500000000000003</v>
      </c>
      <c r="F71" s="67">
        <f t="shared" si="0"/>
        <v>0</v>
      </c>
      <c r="G71" s="67">
        <f t="shared" si="1"/>
        <v>0</v>
      </c>
      <c r="H71" s="67">
        <f t="shared" si="2"/>
        <v>0</v>
      </c>
      <c r="I71" s="67">
        <f t="shared" si="3"/>
        <v>0</v>
      </c>
      <c r="J71" s="67">
        <f t="shared" si="4"/>
        <v>0</v>
      </c>
      <c r="K71" s="100">
        <f t="shared" si="6"/>
        <v>0</v>
      </c>
      <c r="O71" s="96">
        <f>Amnt_Deposited!B66</f>
        <v>2052</v>
      </c>
      <c r="P71" s="99">
        <f>Amnt_Deposited!P66</f>
        <v>0</v>
      </c>
      <c r="Q71" s="283">
        <f>MCF!R70</f>
        <v>0.78500000000000003</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Amnt_Deposited!P67</f>
        <v>0</v>
      </c>
      <c r="D72" s="417">
        <f>Dry_Matter_Content!P59</f>
        <v>0</v>
      </c>
      <c r="E72" s="283">
        <f>MCF!R71</f>
        <v>0.78500000000000003</v>
      </c>
      <c r="F72" s="67">
        <f t="shared" si="0"/>
        <v>0</v>
      </c>
      <c r="G72" s="67">
        <f t="shared" si="1"/>
        <v>0</v>
      </c>
      <c r="H72" s="67">
        <f t="shared" si="2"/>
        <v>0</v>
      </c>
      <c r="I72" s="67">
        <f t="shared" si="3"/>
        <v>0</v>
      </c>
      <c r="J72" s="67">
        <f t="shared" si="4"/>
        <v>0</v>
      </c>
      <c r="K72" s="100">
        <f t="shared" si="6"/>
        <v>0</v>
      </c>
      <c r="O72" s="96">
        <f>Amnt_Deposited!B67</f>
        <v>2053</v>
      </c>
      <c r="P72" s="99">
        <f>Amnt_Deposited!P67</f>
        <v>0</v>
      </c>
      <c r="Q72" s="283">
        <f>MCF!R71</f>
        <v>0.78500000000000003</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Amnt_Deposited!P68</f>
        <v>0</v>
      </c>
      <c r="D73" s="417">
        <f>Dry_Matter_Content!P60</f>
        <v>0</v>
      </c>
      <c r="E73" s="283">
        <f>MCF!R72</f>
        <v>0.78500000000000003</v>
      </c>
      <c r="F73" s="67">
        <f t="shared" si="0"/>
        <v>0</v>
      </c>
      <c r="G73" s="67">
        <f t="shared" si="1"/>
        <v>0</v>
      </c>
      <c r="H73" s="67">
        <f t="shared" si="2"/>
        <v>0</v>
      </c>
      <c r="I73" s="67">
        <f t="shared" si="3"/>
        <v>0</v>
      </c>
      <c r="J73" s="67">
        <f t="shared" si="4"/>
        <v>0</v>
      </c>
      <c r="K73" s="100">
        <f t="shared" si="6"/>
        <v>0</v>
      </c>
      <c r="O73" s="96">
        <f>Amnt_Deposited!B68</f>
        <v>2054</v>
      </c>
      <c r="P73" s="99">
        <f>Amnt_Deposited!P68</f>
        <v>0</v>
      </c>
      <c r="Q73" s="283">
        <f>MCF!R72</f>
        <v>0.78500000000000003</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Amnt_Deposited!P69</f>
        <v>0</v>
      </c>
      <c r="D74" s="417">
        <f>Dry_Matter_Content!P61</f>
        <v>0</v>
      </c>
      <c r="E74" s="283">
        <f>MCF!R73</f>
        <v>0.78500000000000003</v>
      </c>
      <c r="F74" s="67">
        <f t="shared" si="0"/>
        <v>0</v>
      </c>
      <c r="G74" s="67">
        <f t="shared" si="1"/>
        <v>0</v>
      </c>
      <c r="H74" s="67">
        <f t="shared" si="2"/>
        <v>0</v>
      </c>
      <c r="I74" s="67">
        <f t="shared" si="3"/>
        <v>0</v>
      </c>
      <c r="J74" s="67">
        <f t="shared" si="4"/>
        <v>0</v>
      </c>
      <c r="K74" s="100">
        <f t="shared" si="6"/>
        <v>0</v>
      </c>
      <c r="O74" s="96">
        <f>Amnt_Deposited!B69</f>
        <v>2055</v>
      </c>
      <c r="P74" s="99">
        <f>Amnt_Deposited!P69</f>
        <v>0</v>
      </c>
      <c r="Q74" s="283">
        <f>MCF!R73</f>
        <v>0.78500000000000003</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Amnt_Deposited!P70</f>
        <v>0</v>
      </c>
      <c r="D75" s="417">
        <f>Dry_Matter_Content!P62</f>
        <v>0</v>
      </c>
      <c r="E75" s="283">
        <f>MCF!R74</f>
        <v>0.78500000000000003</v>
      </c>
      <c r="F75" s="67">
        <f t="shared" si="0"/>
        <v>0</v>
      </c>
      <c r="G75" s="67">
        <f t="shared" si="1"/>
        <v>0</v>
      </c>
      <c r="H75" s="67">
        <f t="shared" si="2"/>
        <v>0</v>
      </c>
      <c r="I75" s="67">
        <f t="shared" si="3"/>
        <v>0</v>
      </c>
      <c r="J75" s="67">
        <f t="shared" si="4"/>
        <v>0</v>
      </c>
      <c r="K75" s="100">
        <f t="shared" si="6"/>
        <v>0</v>
      </c>
      <c r="O75" s="96">
        <f>Amnt_Deposited!B70</f>
        <v>2056</v>
      </c>
      <c r="P75" s="99">
        <f>Amnt_Deposited!P70</f>
        <v>0</v>
      </c>
      <c r="Q75" s="283">
        <f>MCF!R74</f>
        <v>0.78500000000000003</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Amnt_Deposited!P71</f>
        <v>0</v>
      </c>
      <c r="D76" s="417">
        <f>Dry_Matter_Content!P63</f>
        <v>0</v>
      </c>
      <c r="E76" s="283">
        <f>MCF!R75</f>
        <v>0.78500000000000003</v>
      </c>
      <c r="F76" s="67">
        <f t="shared" si="0"/>
        <v>0</v>
      </c>
      <c r="G76" s="67">
        <f t="shared" si="1"/>
        <v>0</v>
      </c>
      <c r="H76" s="67">
        <f t="shared" si="2"/>
        <v>0</v>
      </c>
      <c r="I76" s="67">
        <f t="shared" si="3"/>
        <v>0</v>
      </c>
      <c r="J76" s="67">
        <f t="shared" si="4"/>
        <v>0</v>
      </c>
      <c r="K76" s="100">
        <f t="shared" si="6"/>
        <v>0</v>
      </c>
      <c r="O76" s="96">
        <f>Amnt_Deposited!B71</f>
        <v>2057</v>
      </c>
      <c r="P76" s="99">
        <f>Amnt_Deposited!P71</f>
        <v>0</v>
      </c>
      <c r="Q76" s="283">
        <f>MCF!R75</f>
        <v>0.78500000000000003</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Amnt_Deposited!P72</f>
        <v>0</v>
      </c>
      <c r="D77" s="417">
        <f>Dry_Matter_Content!P64</f>
        <v>0</v>
      </c>
      <c r="E77" s="283">
        <f>MCF!R76</f>
        <v>0.78500000000000003</v>
      </c>
      <c r="F77" s="67">
        <f t="shared" si="0"/>
        <v>0</v>
      </c>
      <c r="G77" s="67">
        <f t="shared" si="1"/>
        <v>0</v>
      </c>
      <c r="H77" s="67">
        <f t="shared" si="2"/>
        <v>0</v>
      </c>
      <c r="I77" s="67">
        <f t="shared" si="3"/>
        <v>0</v>
      </c>
      <c r="J77" s="67">
        <f t="shared" si="4"/>
        <v>0</v>
      </c>
      <c r="K77" s="100">
        <f t="shared" si="6"/>
        <v>0</v>
      </c>
      <c r="O77" s="96">
        <f>Amnt_Deposited!B72</f>
        <v>2058</v>
      </c>
      <c r="P77" s="99">
        <f>Amnt_Deposited!P72</f>
        <v>0</v>
      </c>
      <c r="Q77" s="283">
        <f>MCF!R76</f>
        <v>0.78500000000000003</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Amnt_Deposited!P73</f>
        <v>0</v>
      </c>
      <c r="D78" s="417">
        <f>Dry_Matter_Content!P65</f>
        <v>0</v>
      </c>
      <c r="E78" s="283">
        <f>MCF!R77</f>
        <v>0.78500000000000003</v>
      </c>
      <c r="F78" s="67">
        <f t="shared" si="0"/>
        <v>0</v>
      </c>
      <c r="G78" s="67">
        <f t="shared" si="1"/>
        <v>0</v>
      </c>
      <c r="H78" s="67">
        <f t="shared" si="2"/>
        <v>0</v>
      </c>
      <c r="I78" s="67">
        <f t="shared" si="3"/>
        <v>0</v>
      </c>
      <c r="J78" s="67">
        <f t="shared" si="4"/>
        <v>0</v>
      </c>
      <c r="K78" s="100">
        <f t="shared" si="6"/>
        <v>0</v>
      </c>
      <c r="O78" s="96">
        <f>Amnt_Deposited!B73</f>
        <v>2059</v>
      </c>
      <c r="P78" s="99">
        <f>Amnt_Deposited!P73</f>
        <v>0</v>
      </c>
      <c r="Q78" s="283">
        <f>MCF!R77</f>
        <v>0.78500000000000003</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Amnt_Deposited!P74</f>
        <v>0</v>
      </c>
      <c r="D79" s="417">
        <f>Dry_Matter_Content!P66</f>
        <v>0</v>
      </c>
      <c r="E79" s="283">
        <f>MCF!R78</f>
        <v>0.78500000000000003</v>
      </c>
      <c r="F79" s="67">
        <f t="shared" si="0"/>
        <v>0</v>
      </c>
      <c r="G79" s="67">
        <f t="shared" si="1"/>
        <v>0</v>
      </c>
      <c r="H79" s="67">
        <f t="shared" si="2"/>
        <v>0</v>
      </c>
      <c r="I79" s="67">
        <f t="shared" si="3"/>
        <v>0</v>
      </c>
      <c r="J79" s="67">
        <f t="shared" si="4"/>
        <v>0</v>
      </c>
      <c r="K79" s="100">
        <f t="shared" si="6"/>
        <v>0</v>
      </c>
      <c r="O79" s="96">
        <f>Amnt_Deposited!B74</f>
        <v>2060</v>
      </c>
      <c r="P79" s="99">
        <f>Amnt_Deposited!P74</f>
        <v>0</v>
      </c>
      <c r="Q79" s="283">
        <f>MCF!R78</f>
        <v>0.78500000000000003</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Amnt_Deposited!P75</f>
        <v>0</v>
      </c>
      <c r="D80" s="417">
        <f>Dry_Matter_Content!P67</f>
        <v>0</v>
      </c>
      <c r="E80" s="283">
        <f>MCF!R79</f>
        <v>0.78500000000000003</v>
      </c>
      <c r="F80" s="67">
        <f t="shared" si="0"/>
        <v>0</v>
      </c>
      <c r="G80" s="67">
        <f t="shared" si="1"/>
        <v>0</v>
      </c>
      <c r="H80" s="67">
        <f t="shared" si="2"/>
        <v>0</v>
      </c>
      <c r="I80" s="67">
        <f t="shared" si="3"/>
        <v>0</v>
      </c>
      <c r="J80" s="67">
        <f t="shared" si="4"/>
        <v>0</v>
      </c>
      <c r="K80" s="100">
        <f t="shared" si="6"/>
        <v>0</v>
      </c>
      <c r="O80" s="96">
        <f>Amnt_Deposited!B75</f>
        <v>2061</v>
      </c>
      <c r="P80" s="99">
        <f>Amnt_Deposited!P75</f>
        <v>0</v>
      </c>
      <c r="Q80" s="283">
        <f>MCF!R79</f>
        <v>0.78500000000000003</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Amnt_Deposited!P76</f>
        <v>0</v>
      </c>
      <c r="D81" s="417">
        <f>Dry_Matter_Content!P68</f>
        <v>0</v>
      </c>
      <c r="E81" s="283">
        <f>MCF!R80</f>
        <v>0.78500000000000003</v>
      </c>
      <c r="F81" s="67">
        <f t="shared" si="0"/>
        <v>0</v>
      </c>
      <c r="G81" s="67">
        <f t="shared" si="1"/>
        <v>0</v>
      </c>
      <c r="H81" s="67">
        <f t="shared" si="2"/>
        <v>0</v>
      </c>
      <c r="I81" s="67">
        <f t="shared" si="3"/>
        <v>0</v>
      </c>
      <c r="J81" s="67">
        <f t="shared" si="4"/>
        <v>0</v>
      </c>
      <c r="K81" s="100">
        <f t="shared" si="6"/>
        <v>0</v>
      </c>
      <c r="O81" s="96">
        <f>Amnt_Deposited!B76</f>
        <v>2062</v>
      </c>
      <c r="P81" s="99">
        <f>Amnt_Deposited!P76</f>
        <v>0</v>
      </c>
      <c r="Q81" s="283">
        <f>MCF!R80</f>
        <v>0.78500000000000003</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Amnt_Deposited!P77</f>
        <v>0</v>
      </c>
      <c r="D82" s="417">
        <f>Dry_Matter_Content!P69</f>
        <v>0</v>
      </c>
      <c r="E82" s="283">
        <f>MCF!R81</f>
        <v>0.78500000000000003</v>
      </c>
      <c r="F82" s="67">
        <f t="shared" si="0"/>
        <v>0</v>
      </c>
      <c r="G82" s="67">
        <f t="shared" si="1"/>
        <v>0</v>
      </c>
      <c r="H82" s="67">
        <f t="shared" si="2"/>
        <v>0</v>
      </c>
      <c r="I82" s="67">
        <f t="shared" si="3"/>
        <v>0</v>
      </c>
      <c r="J82" s="67">
        <f t="shared" si="4"/>
        <v>0</v>
      </c>
      <c r="K82" s="100">
        <f t="shared" si="6"/>
        <v>0</v>
      </c>
      <c r="O82" s="96">
        <f>Amnt_Deposited!B77</f>
        <v>2063</v>
      </c>
      <c r="P82" s="99">
        <f>Amnt_Deposited!P77</f>
        <v>0</v>
      </c>
      <c r="Q82" s="283">
        <f>MCF!R81</f>
        <v>0.78500000000000003</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Amnt_Deposited!P78</f>
        <v>0</v>
      </c>
      <c r="D83" s="417">
        <f>Dry_Matter_Content!P70</f>
        <v>0</v>
      </c>
      <c r="E83" s="283">
        <f>MCF!R82</f>
        <v>0.78500000000000003</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Amnt_Deposited!P78</f>
        <v>0</v>
      </c>
      <c r="Q83" s="283">
        <f>MCF!R82</f>
        <v>0.78500000000000003</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Amnt_Deposited!P79</f>
        <v>0</v>
      </c>
      <c r="D84" s="417">
        <f>Dry_Matter_Content!P71</f>
        <v>0</v>
      </c>
      <c r="E84" s="283">
        <f>MCF!R83</f>
        <v>0.78500000000000003</v>
      </c>
      <c r="F84" s="67">
        <f t="shared" si="12"/>
        <v>0</v>
      </c>
      <c r="G84" s="67">
        <f t="shared" si="13"/>
        <v>0</v>
      </c>
      <c r="H84" s="67">
        <f t="shared" si="14"/>
        <v>0</v>
      </c>
      <c r="I84" s="67">
        <f t="shared" si="15"/>
        <v>0</v>
      </c>
      <c r="J84" s="67">
        <f t="shared" si="16"/>
        <v>0</v>
      </c>
      <c r="K84" s="100">
        <f t="shared" si="6"/>
        <v>0</v>
      </c>
      <c r="O84" s="96">
        <f>Amnt_Deposited!B79</f>
        <v>2065</v>
      </c>
      <c r="P84" s="99">
        <f>Amnt_Deposited!P79</f>
        <v>0</v>
      </c>
      <c r="Q84" s="283">
        <f>MCF!R83</f>
        <v>0.78500000000000003</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Amnt_Deposited!P80</f>
        <v>0</v>
      </c>
      <c r="D85" s="417">
        <f>Dry_Matter_Content!P72</f>
        <v>0</v>
      </c>
      <c r="E85" s="283">
        <f>MCF!R84</f>
        <v>0.78500000000000003</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Amnt_Deposited!P80</f>
        <v>0</v>
      </c>
      <c r="Q85" s="283">
        <f>MCF!R84</f>
        <v>0.78500000000000003</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Amnt_Deposited!P81</f>
        <v>0</v>
      </c>
      <c r="D86" s="417">
        <f>Dry_Matter_Content!P73</f>
        <v>0</v>
      </c>
      <c r="E86" s="283">
        <f>MCF!R85</f>
        <v>0.78500000000000003</v>
      </c>
      <c r="F86" s="67">
        <f t="shared" si="12"/>
        <v>0</v>
      </c>
      <c r="G86" s="67">
        <f t="shared" si="13"/>
        <v>0</v>
      </c>
      <c r="H86" s="67">
        <f t="shared" si="14"/>
        <v>0</v>
      </c>
      <c r="I86" s="67">
        <f t="shared" si="15"/>
        <v>0</v>
      </c>
      <c r="J86" s="67">
        <f t="shared" si="16"/>
        <v>0</v>
      </c>
      <c r="K86" s="100">
        <f t="shared" si="18"/>
        <v>0</v>
      </c>
      <c r="O86" s="96">
        <f>Amnt_Deposited!B81</f>
        <v>2067</v>
      </c>
      <c r="P86" s="99">
        <f>Amnt_Deposited!P81</f>
        <v>0</v>
      </c>
      <c r="Q86" s="283">
        <f>MCF!R85</f>
        <v>0.78500000000000003</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Amnt_Deposited!P82</f>
        <v>0</v>
      </c>
      <c r="D87" s="417">
        <f>Dry_Matter_Content!P74</f>
        <v>0</v>
      </c>
      <c r="E87" s="283">
        <f>MCF!R86</f>
        <v>0.78500000000000003</v>
      </c>
      <c r="F87" s="67">
        <f t="shared" si="12"/>
        <v>0</v>
      </c>
      <c r="G87" s="67">
        <f t="shared" si="13"/>
        <v>0</v>
      </c>
      <c r="H87" s="67">
        <f t="shared" si="14"/>
        <v>0</v>
      </c>
      <c r="I87" s="67">
        <f t="shared" si="15"/>
        <v>0</v>
      </c>
      <c r="J87" s="67">
        <f t="shared" si="16"/>
        <v>0</v>
      </c>
      <c r="K87" s="100">
        <f t="shared" si="18"/>
        <v>0</v>
      </c>
      <c r="O87" s="96">
        <f>Amnt_Deposited!B82</f>
        <v>2068</v>
      </c>
      <c r="P87" s="99">
        <f>Amnt_Deposited!P82</f>
        <v>0</v>
      </c>
      <c r="Q87" s="283">
        <f>MCF!R86</f>
        <v>0.78500000000000003</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Amnt_Deposited!P83</f>
        <v>0</v>
      </c>
      <c r="D88" s="417">
        <f>Dry_Matter_Content!P75</f>
        <v>0</v>
      </c>
      <c r="E88" s="283">
        <f>MCF!R87</f>
        <v>0.78500000000000003</v>
      </c>
      <c r="F88" s="67">
        <f t="shared" si="12"/>
        <v>0</v>
      </c>
      <c r="G88" s="67">
        <f t="shared" si="13"/>
        <v>0</v>
      </c>
      <c r="H88" s="67">
        <f t="shared" si="14"/>
        <v>0</v>
      </c>
      <c r="I88" s="67">
        <f t="shared" si="15"/>
        <v>0</v>
      </c>
      <c r="J88" s="67">
        <f t="shared" si="16"/>
        <v>0</v>
      </c>
      <c r="K88" s="100">
        <f t="shared" si="18"/>
        <v>0</v>
      </c>
      <c r="O88" s="96">
        <f>Amnt_Deposited!B83</f>
        <v>2069</v>
      </c>
      <c r="P88" s="99">
        <f>Amnt_Deposited!P83</f>
        <v>0</v>
      </c>
      <c r="Q88" s="283">
        <f>MCF!R87</f>
        <v>0.78500000000000003</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Amnt_Deposited!P84</f>
        <v>0</v>
      </c>
      <c r="D89" s="417">
        <f>Dry_Matter_Content!P76</f>
        <v>0</v>
      </c>
      <c r="E89" s="283">
        <f>MCF!R88</f>
        <v>0.78500000000000003</v>
      </c>
      <c r="F89" s="67">
        <f t="shared" si="12"/>
        <v>0</v>
      </c>
      <c r="G89" s="67">
        <f t="shared" si="13"/>
        <v>0</v>
      </c>
      <c r="H89" s="67">
        <f t="shared" si="14"/>
        <v>0</v>
      </c>
      <c r="I89" s="67">
        <f t="shared" si="15"/>
        <v>0</v>
      </c>
      <c r="J89" s="67">
        <f t="shared" si="16"/>
        <v>0</v>
      </c>
      <c r="K89" s="100">
        <f t="shared" si="18"/>
        <v>0</v>
      </c>
      <c r="O89" s="96">
        <f>Amnt_Deposited!B84</f>
        <v>2070</v>
      </c>
      <c r="P89" s="99">
        <f>Amnt_Deposited!P84</f>
        <v>0</v>
      </c>
      <c r="Q89" s="283">
        <f>MCF!R88</f>
        <v>0.78500000000000003</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Amnt_Deposited!P85</f>
        <v>0</v>
      </c>
      <c r="D90" s="417">
        <f>Dry_Matter_Content!P77</f>
        <v>0</v>
      </c>
      <c r="E90" s="283">
        <f>MCF!R89</f>
        <v>0.78500000000000003</v>
      </c>
      <c r="F90" s="67">
        <f t="shared" si="12"/>
        <v>0</v>
      </c>
      <c r="G90" s="67">
        <f t="shared" si="13"/>
        <v>0</v>
      </c>
      <c r="H90" s="67">
        <f t="shared" si="14"/>
        <v>0</v>
      </c>
      <c r="I90" s="67">
        <f t="shared" si="15"/>
        <v>0</v>
      </c>
      <c r="J90" s="67">
        <f t="shared" si="16"/>
        <v>0</v>
      </c>
      <c r="K90" s="100">
        <f t="shared" si="18"/>
        <v>0</v>
      </c>
      <c r="O90" s="96">
        <f>Amnt_Deposited!B85</f>
        <v>2071</v>
      </c>
      <c r="P90" s="99">
        <f>Amnt_Deposited!P85</f>
        <v>0</v>
      </c>
      <c r="Q90" s="283">
        <f>MCF!R89</f>
        <v>0.78500000000000003</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Amnt_Deposited!P86</f>
        <v>0</v>
      </c>
      <c r="D91" s="417">
        <f>Dry_Matter_Content!P78</f>
        <v>0</v>
      </c>
      <c r="E91" s="283">
        <f>MCF!R90</f>
        <v>0.78500000000000003</v>
      </c>
      <c r="F91" s="67">
        <f t="shared" si="12"/>
        <v>0</v>
      </c>
      <c r="G91" s="67">
        <f t="shared" si="13"/>
        <v>0</v>
      </c>
      <c r="H91" s="67">
        <f t="shared" si="14"/>
        <v>0</v>
      </c>
      <c r="I91" s="67">
        <f t="shared" si="15"/>
        <v>0</v>
      </c>
      <c r="J91" s="67">
        <f t="shared" si="16"/>
        <v>0</v>
      </c>
      <c r="K91" s="100">
        <f t="shared" si="18"/>
        <v>0</v>
      </c>
      <c r="O91" s="96">
        <f>Amnt_Deposited!B86</f>
        <v>2072</v>
      </c>
      <c r="P91" s="99">
        <f>Amnt_Deposited!P86</f>
        <v>0</v>
      </c>
      <c r="Q91" s="283">
        <f>MCF!R90</f>
        <v>0.78500000000000003</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Amnt_Deposited!P87</f>
        <v>0</v>
      </c>
      <c r="D92" s="417">
        <f>Dry_Matter_Content!P79</f>
        <v>0</v>
      </c>
      <c r="E92" s="283">
        <f>MCF!R91</f>
        <v>0.78500000000000003</v>
      </c>
      <c r="F92" s="67">
        <f t="shared" si="12"/>
        <v>0</v>
      </c>
      <c r="G92" s="67">
        <f t="shared" si="13"/>
        <v>0</v>
      </c>
      <c r="H92" s="67">
        <f t="shared" si="14"/>
        <v>0</v>
      </c>
      <c r="I92" s="67">
        <f t="shared" si="15"/>
        <v>0</v>
      </c>
      <c r="J92" s="67">
        <f t="shared" si="16"/>
        <v>0</v>
      </c>
      <c r="K92" s="100">
        <f t="shared" si="18"/>
        <v>0</v>
      </c>
      <c r="O92" s="96">
        <f>Amnt_Deposited!B87</f>
        <v>2073</v>
      </c>
      <c r="P92" s="99">
        <f>Amnt_Deposited!P87</f>
        <v>0</v>
      </c>
      <c r="Q92" s="283">
        <f>MCF!R91</f>
        <v>0.78500000000000003</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Amnt_Deposited!P88</f>
        <v>0</v>
      </c>
      <c r="D93" s="417">
        <f>Dry_Matter_Content!P80</f>
        <v>0</v>
      </c>
      <c r="E93" s="283">
        <f>MCF!R92</f>
        <v>0.78500000000000003</v>
      </c>
      <c r="F93" s="67">
        <f t="shared" si="12"/>
        <v>0</v>
      </c>
      <c r="G93" s="67">
        <f t="shared" si="13"/>
        <v>0</v>
      </c>
      <c r="H93" s="67">
        <f t="shared" si="14"/>
        <v>0</v>
      </c>
      <c r="I93" s="67">
        <f t="shared" si="15"/>
        <v>0</v>
      </c>
      <c r="J93" s="67">
        <f t="shared" si="16"/>
        <v>0</v>
      </c>
      <c r="K93" s="100">
        <f t="shared" si="18"/>
        <v>0</v>
      </c>
      <c r="O93" s="96">
        <f>Amnt_Deposited!B88</f>
        <v>2074</v>
      </c>
      <c r="P93" s="99">
        <f>Amnt_Deposited!P88</f>
        <v>0</v>
      </c>
      <c r="Q93" s="283">
        <f>MCF!R92</f>
        <v>0.78500000000000003</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Amnt_Deposited!P89</f>
        <v>0</v>
      </c>
      <c r="D94" s="417">
        <f>Dry_Matter_Content!P81</f>
        <v>0</v>
      </c>
      <c r="E94" s="283">
        <f>MCF!R93</f>
        <v>0.78500000000000003</v>
      </c>
      <c r="F94" s="67">
        <f t="shared" si="12"/>
        <v>0</v>
      </c>
      <c r="G94" s="67">
        <f t="shared" si="13"/>
        <v>0</v>
      </c>
      <c r="H94" s="67">
        <f t="shared" si="14"/>
        <v>0</v>
      </c>
      <c r="I94" s="67">
        <f t="shared" si="15"/>
        <v>0</v>
      </c>
      <c r="J94" s="67">
        <f t="shared" si="16"/>
        <v>0</v>
      </c>
      <c r="K94" s="100">
        <f t="shared" si="18"/>
        <v>0</v>
      </c>
      <c r="O94" s="96">
        <f>Amnt_Deposited!B89</f>
        <v>2075</v>
      </c>
      <c r="P94" s="99">
        <f>Amnt_Deposited!P89</f>
        <v>0</v>
      </c>
      <c r="Q94" s="283">
        <f>MCF!R93</f>
        <v>0.78500000000000003</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Amnt_Deposited!P90</f>
        <v>0</v>
      </c>
      <c r="D95" s="417">
        <f>Dry_Matter_Content!P82</f>
        <v>0</v>
      </c>
      <c r="E95" s="283">
        <f>MCF!R94</f>
        <v>0.78500000000000003</v>
      </c>
      <c r="F95" s="67">
        <f t="shared" si="12"/>
        <v>0</v>
      </c>
      <c r="G95" s="67">
        <f t="shared" si="13"/>
        <v>0</v>
      </c>
      <c r="H95" s="67">
        <f t="shared" si="14"/>
        <v>0</v>
      </c>
      <c r="I95" s="67">
        <f t="shared" si="15"/>
        <v>0</v>
      </c>
      <c r="J95" s="67">
        <f t="shared" si="16"/>
        <v>0</v>
      </c>
      <c r="K95" s="100">
        <f t="shared" si="18"/>
        <v>0</v>
      </c>
      <c r="O95" s="96">
        <f>Amnt_Deposited!B90</f>
        <v>2076</v>
      </c>
      <c r="P95" s="99">
        <f>Amnt_Deposited!P90</f>
        <v>0</v>
      </c>
      <c r="Q95" s="283">
        <f>MCF!R94</f>
        <v>0.78500000000000003</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Amnt_Deposited!P91</f>
        <v>0</v>
      </c>
      <c r="D96" s="417">
        <f>Dry_Matter_Content!P83</f>
        <v>0</v>
      </c>
      <c r="E96" s="283">
        <f>MCF!R95</f>
        <v>0.78500000000000003</v>
      </c>
      <c r="F96" s="67">
        <f t="shared" si="12"/>
        <v>0</v>
      </c>
      <c r="G96" s="67">
        <f t="shared" si="13"/>
        <v>0</v>
      </c>
      <c r="H96" s="67">
        <f t="shared" si="14"/>
        <v>0</v>
      </c>
      <c r="I96" s="67">
        <f t="shared" si="15"/>
        <v>0</v>
      </c>
      <c r="J96" s="67">
        <f t="shared" si="16"/>
        <v>0</v>
      </c>
      <c r="K96" s="100">
        <f t="shared" si="18"/>
        <v>0</v>
      </c>
      <c r="O96" s="96">
        <f>Amnt_Deposited!B91</f>
        <v>2077</v>
      </c>
      <c r="P96" s="99">
        <f>Amnt_Deposited!P91</f>
        <v>0</v>
      </c>
      <c r="Q96" s="283">
        <f>MCF!R95</f>
        <v>0.78500000000000003</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Amnt_Deposited!P92</f>
        <v>0</v>
      </c>
      <c r="D97" s="417">
        <f>Dry_Matter_Content!P84</f>
        <v>0</v>
      </c>
      <c r="E97" s="283">
        <f>MCF!R96</f>
        <v>0.78500000000000003</v>
      </c>
      <c r="F97" s="67">
        <f t="shared" si="12"/>
        <v>0</v>
      </c>
      <c r="G97" s="67">
        <f t="shared" si="13"/>
        <v>0</v>
      </c>
      <c r="H97" s="67">
        <f t="shared" si="14"/>
        <v>0</v>
      </c>
      <c r="I97" s="67">
        <f t="shared" si="15"/>
        <v>0</v>
      </c>
      <c r="J97" s="67">
        <f t="shared" si="16"/>
        <v>0</v>
      </c>
      <c r="K97" s="100">
        <f t="shared" si="18"/>
        <v>0</v>
      </c>
      <c r="O97" s="96">
        <f>Amnt_Deposited!B92</f>
        <v>2078</v>
      </c>
      <c r="P97" s="99">
        <f>Amnt_Deposited!P92</f>
        <v>0</v>
      </c>
      <c r="Q97" s="283">
        <f>MCF!R96</f>
        <v>0.78500000000000003</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Amnt_Deposited!P93</f>
        <v>0</v>
      </c>
      <c r="D98" s="417">
        <f>Dry_Matter_Content!P85</f>
        <v>0</v>
      </c>
      <c r="E98" s="283">
        <f>MCF!R97</f>
        <v>0.78500000000000003</v>
      </c>
      <c r="F98" s="67">
        <f t="shared" si="12"/>
        <v>0</v>
      </c>
      <c r="G98" s="67">
        <f t="shared" si="13"/>
        <v>0</v>
      </c>
      <c r="H98" s="67">
        <f t="shared" si="14"/>
        <v>0</v>
      </c>
      <c r="I98" s="67">
        <f t="shared" si="15"/>
        <v>0</v>
      </c>
      <c r="J98" s="67">
        <f t="shared" si="16"/>
        <v>0</v>
      </c>
      <c r="K98" s="100">
        <f t="shared" si="18"/>
        <v>0</v>
      </c>
      <c r="O98" s="96">
        <f>Amnt_Deposited!B93</f>
        <v>2079</v>
      </c>
      <c r="P98" s="99">
        <f>Amnt_Deposited!P93</f>
        <v>0</v>
      </c>
      <c r="Q98" s="283">
        <f>MCF!R97</f>
        <v>0.78500000000000003</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Amnt_Deposited!P94</f>
        <v>0</v>
      </c>
      <c r="D99" s="417">
        <f>Dry_Matter_Content!P86</f>
        <v>0</v>
      </c>
      <c r="E99" s="284">
        <f>MCF!R98</f>
        <v>0.78500000000000003</v>
      </c>
      <c r="F99" s="68">
        <f t="shared" si="12"/>
        <v>0</v>
      </c>
      <c r="G99" s="68">
        <f t="shared" si="13"/>
        <v>0</v>
      </c>
      <c r="H99" s="68">
        <f t="shared" si="14"/>
        <v>0</v>
      </c>
      <c r="I99" s="68">
        <f t="shared" si="15"/>
        <v>0</v>
      </c>
      <c r="J99" s="68">
        <f t="shared" si="16"/>
        <v>0</v>
      </c>
      <c r="K99" s="102">
        <f t="shared" si="18"/>
        <v>0</v>
      </c>
      <c r="O99" s="97">
        <f>Amnt_Deposited!B94</f>
        <v>2080</v>
      </c>
      <c r="P99" s="99">
        <f>Amnt_Deposited!P94</f>
        <v>0</v>
      </c>
      <c r="Q99" s="284">
        <f>MCF!R98</f>
        <v>0.78500000000000003</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topLeftCell="A7" zoomScale="85" zoomScaleNormal="85" zoomScalePageLayoutView="150" workbookViewId="0">
      <selection activeCell="C16" sqref="C16:G16"/>
    </sheetView>
  </sheetViews>
  <sheetFormatPr defaultColWidth="11.42578125" defaultRowHeight="12.75"/>
  <cols>
    <col min="1" max="1" width="3.42578125" style="712" customWidth="1"/>
    <col min="2" max="2" width="15.28515625" style="712" customWidth="1"/>
    <col min="3" max="4" width="10.140625" style="712" bestFit="1" customWidth="1"/>
    <col min="5" max="5" width="9.42578125" style="712" customWidth="1"/>
    <col min="6" max="6" width="11.28515625" style="712" customWidth="1"/>
    <col min="7" max="7" width="9.42578125" style="712" customWidth="1"/>
    <col min="8" max="8" width="8.42578125" style="712" customWidth="1"/>
    <col min="9" max="10" width="10.85546875" style="712" customWidth="1"/>
    <col min="11" max="11" width="9.42578125" style="712" bestFit="1" customWidth="1"/>
    <col min="12" max="12" width="10.28515625" style="712" customWidth="1"/>
    <col min="13" max="13" width="10.140625" style="712" customWidth="1"/>
    <col min="14" max="14" width="8.42578125" style="712" customWidth="1"/>
    <col min="15" max="15" width="23.7109375" style="712" customWidth="1"/>
    <col min="16" max="16" width="9.28515625" style="712" customWidth="1"/>
    <col min="17" max="17" width="3.85546875" style="712" customWidth="1"/>
    <col min="18" max="19" width="13" style="712" customWidth="1"/>
    <col min="20" max="20" width="9.42578125" style="712" customWidth="1"/>
    <col min="21" max="16384" width="11.42578125" style="712"/>
  </cols>
  <sheetData>
    <row r="2" spans="2:20" ht="15.75">
      <c r="C2" s="713" t="s">
        <v>106</v>
      </c>
      <c r="Q2" s="918" t="s">
        <v>107</v>
      </c>
      <c r="R2" s="918"/>
      <c r="S2" s="918"/>
      <c r="T2" s="918"/>
    </row>
    <row r="4" spans="2:20">
      <c r="C4" s="712" t="s">
        <v>26</v>
      </c>
    </row>
    <row r="5" spans="2:20">
      <c r="C5" s="712" t="s">
        <v>281</v>
      </c>
    </row>
    <row r="6" spans="2:20">
      <c r="C6" s="712" t="s">
        <v>29</v>
      </c>
    </row>
    <row r="7" spans="2:20">
      <c r="C7" s="712" t="s">
        <v>109</v>
      </c>
    </row>
    <row r="8" spans="2:20" ht="13.5" thickBot="1"/>
    <row r="9" spans="2:20" ht="13.5" thickBot="1">
      <c r="C9" s="919" t="s">
        <v>95</v>
      </c>
      <c r="D9" s="920"/>
      <c r="E9" s="920"/>
      <c r="F9" s="920"/>
      <c r="G9" s="920"/>
      <c r="H9" s="921"/>
      <c r="I9" s="927" t="s">
        <v>308</v>
      </c>
      <c r="J9" s="928"/>
      <c r="K9" s="928"/>
      <c r="L9" s="928"/>
      <c r="M9" s="928"/>
      <c r="N9" s="929"/>
      <c r="R9" s="714" t="s">
        <v>95</v>
      </c>
      <c r="S9" s="711" t="s">
        <v>308</v>
      </c>
    </row>
    <row r="10" spans="2:20" s="721" customFormat="1" ht="38.25" customHeight="1">
      <c r="B10" s="715"/>
      <c r="C10" s="715" t="s">
        <v>104</v>
      </c>
      <c r="D10" s="716" t="s">
        <v>105</v>
      </c>
      <c r="E10" s="716" t="s">
        <v>0</v>
      </c>
      <c r="F10" s="716" t="s">
        <v>206</v>
      </c>
      <c r="G10" s="716" t="s">
        <v>103</v>
      </c>
      <c r="H10" s="717" t="s">
        <v>161</v>
      </c>
      <c r="I10" s="718" t="s">
        <v>104</v>
      </c>
      <c r="J10" s="719" t="s">
        <v>105</v>
      </c>
      <c r="K10" s="719" t="s">
        <v>0</v>
      </c>
      <c r="L10" s="719" t="s">
        <v>206</v>
      </c>
      <c r="M10" s="719" t="s">
        <v>103</v>
      </c>
      <c r="N10" s="720" t="s">
        <v>161</v>
      </c>
      <c r="O10" s="710" t="s">
        <v>28</v>
      </c>
      <c r="R10" s="922" t="s">
        <v>147</v>
      </c>
      <c r="S10" s="922" t="s">
        <v>315</v>
      </c>
    </row>
    <row r="11" spans="2:20" s="726" customFormat="1" ht="13.5" thickBot="1">
      <c r="B11" s="722"/>
      <c r="C11" s="722" t="s">
        <v>11</v>
      </c>
      <c r="D11" s="723" t="s">
        <v>11</v>
      </c>
      <c r="E11" s="723" t="s">
        <v>11</v>
      </c>
      <c r="F11" s="723" t="s">
        <v>11</v>
      </c>
      <c r="G11" s="723" t="s">
        <v>11</v>
      </c>
      <c r="H11" s="724"/>
      <c r="I11" s="722" t="s">
        <v>11</v>
      </c>
      <c r="J11" s="723" t="s">
        <v>11</v>
      </c>
      <c r="K11" s="723" t="s">
        <v>11</v>
      </c>
      <c r="L11" s="723" t="s">
        <v>11</v>
      </c>
      <c r="M11" s="723" t="s">
        <v>11</v>
      </c>
      <c r="N11" s="724"/>
      <c r="O11" s="725"/>
      <c r="R11" s="923"/>
      <c r="S11" s="923"/>
    </row>
    <row r="12" spans="2:20" s="726" customFormat="1" ht="13.5" thickBot="1">
      <c r="B12" s="727" t="s">
        <v>25</v>
      </c>
      <c r="C12" s="728">
        <v>0.4</v>
      </c>
      <c r="D12" s="729">
        <v>0.8</v>
      </c>
      <c r="E12" s="729">
        <v>1</v>
      </c>
      <c r="F12" s="729">
        <v>0.5</v>
      </c>
      <c r="G12" s="729">
        <v>0.6</v>
      </c>
      <c r="H12" s="730"/>
      <c r="I12" s="728">
        <v>0.4</v>
      </c>
      <c r="J12" s="729">
        <v>0.8</v>
      </c>
      <c r="K12" s="729">
        <v>1</v>
      </c>
      <c r="L12" s="729">
        <v>0.5</v>
      </c>
      <c r="M12" s="729">
        <v>0.6</v>
      </c>
      <c r="N12" s="730"/>
      <c r="O12" s="731"/>
      <c r="R12" s="923"/>
      <c r="S12" s="923"/>
    </row>
    <row r="13" spans="2:20" s="726" customFormat="1" ht="26.25" thickBot="1">
      <c r="B13" s="727" t="s">
        <v>159</v>
      </c>
      <c r="C13" s="732">
        <f>C12</f>
        <v>0.4</v>
      </c>
      <c r="D13" s="733">
        <f>D12</f>
        <v>0.8</v>
      </c>
      <c r="E13" s="733">
        <f>E12</f>
        <v>1</v>
      </c>
      <c r="F13" s="733">
        <f>F12</f>
        <v>0.5</v>
      </c>
      <c r="G13" s="733">
        <f>G12</f>
        <v>0.6</v>
      </c>
      <c r="H13" s="734"/>
      <c r="I13" s="732">
        <v>0.4</v>
      </c>
      <c r="J13" s="733">
        <v>0.8</v>
      </c>
      <c r="K13" s="733">
        <v>1</v>
      </c>
      <c r="L13" s="733">
        <v>0.5</v>
      </c>
      <c r="M13" s="733">
        <v>0.6</v>
      </c>
      <c r="N13" s="734"/>
      <c r="O13" s="735"/>
      <c r="R13" s="923"/>
      <c r="S13" s="923"/>
    </row>
    <row r="14" spans="2:20" s="726" customFormat="1" ht="13.5" thickBot="1">
      <c r="B14" s="736"/>
      <c r="C14" s="736"/>
      <c r="D14" s="737"/>
      <c r="E14" s="737"/>
      <c r="F14" s="737"/>
      <c r="G14" s="737"/>
      <c r="H14" s="738"/>
      <c r="I14" s="736"/>
      <c r="J14" s="737"/>
      <c r="K14" s="737"/>
      <c r="L14" s="737"/>
      <c r="M14" s="737"/>
      <c r="N14" s="738"/>
      <c r="O14" s="739"/>
      <c r="R14" s="923"/>
      <c r="S14" s="923"/>
    </row>
    <row r="15" spans="2:20" s="726" customFormat="1" ht="12.75" customHeight="1" thickBot="1">
      <c r="B15" s="740"/>
      <c r="C15" s="915" t="s">
        <v>158</v>
      </c>
      <c r="D15" s="916"/>
      <c r="E15" s="916"/>
      <c r="F15" s="916"/>
      <c r="G15" s="916"/>
      <c r="H15" s="917"/>
      <c r="I15" s="915" t="s">
        <v>158</v>
      </c>
      <c r="J15" s="916"/>
      <c r="K15" s="916"/>
      <c r="L15" s="916"/>
      <c r="M15" s="916"/>
      <c r="N15" s="917"/>
      <c r="O15" s="741"/>
      <c r="R15" s="923"/>
      <c r="S15" s="923"/>
    </row>
    <row r="16" spans="2:20" s="726" customFormat="1" ht="26.25" thickBot="1">
      <c r="B16" s="727" t="s">
        <v>160</v>
      </c>
      <c r="C16" s="887">
        <v>0.15</v>
      </c>
      <c r="D16" s="888">
        <v>0.2</v>
      </c>
      <c r="E16" s="888">
        <v>0.45</v>
      </c>
      <c r="F16" s="888">
        <v>0.05</v>
      </c>
      <c r="G16" s="888">
        <v>0.15</v>
      </c>
      <c r="H16" s="925" t="s">
        <v>36</v>
      </c>
      <c r="I16" s="742">
        <v>0.2</v>
      </c>
      <c r="J16" s="743">
        <v>0.3</v>
      </c>
      <c r="K16" s="743">
        <v>0.25</v>
      </c>
      <c r="L16" s="743">
        <v>0.05</v>
      </c>
      <c r="M16" s="743">
        <v>0.2</v>
      </c>
      <c r="N16" s="925" t="s">
        <v>36</v>
      </c>
      <c r="O16" s="744"/>
      <c r="R16" s="924"/>
      <c r="S16" s="924"/>
    </row>
    <row r="17" spans="2:19" s="726" customFormat="1" ht="13.5" thickBot="1">
      <c r="B17" s="745" t="s">
        <v>1</v>
      </c>
      <c r="C17" s="745" t="s">
        <v>24</v>
      </c>
      <c r="D17" s="746" t="s">
        <v>24</v>
      </c>
      <c r="E17" s="746" t="s">
        <v>24</v>
      </c>
      <c r="F17" s="746" t="s">
        <v>24</v>
      </c>
      <c r="G17" s="746" t="s">
        <v>24</v>
      </c>
      <c r="H17" s="926"/>
      <c r="I17" s="745" t="s">
        <v>24</v>
      </c>
      <c r="J17" s="746" t="s">
        <v>24</v>
      </c>
      <c r="K17" s="746" t="s">
        <v>24</v>
      </c>
      <c r="L17" s="746" t="s">
        <v>24</v>
      </c>
      <c r="M17" s="746" t="s">
        <v>24</v>
      </c>
      <c r="N17" s="926"/>
      <c r="O17" s="725"/>
      <c r="R17" s="727" t="s">
        <v>157</v>
      </c>
      <c r="S17" s="747" t="s">
        <v>157</v>
      </c>
    </row>
    <row r="18" spans="2:19">
      <c r="B18" s="748">
        <f>year</f>
        <v>2000</v>
      </c>
      <c r="C18" s="749">
        <f>C$16</f>
        <v>0.15</v>
      </c>
      <c r="D18" s="750">
        <f t="shared" ref="D18:G33" si="0">D$16</f>
        <v>0.2</v>
      </c>
      <c r="E18" s="750">
        <f t="shared" si="0"/>
        <v>0.45</v>
      </c>
      <c r="F18" s="750">
        <f t="shared" si="0"/>
        <v>0.05</v>
      </c>
      <c r="G18" s="750">
        <f t="shared" si="0"/>
        <v>0.15</v>
      </c>
      <c r="H18" s="751">
        <f>SUM(C18:G18)</f>
        <v>1</v>
      </c>
      <c r="I18" s="749">
        <f>I$16</f>
        <v>0.2</v>
      </c>
      <c r="J18" s="750">
        <f t="shared" ref="J18:M33" si="1">J$16</f>
        <v>0.3</v>
      </c>
      <c r="K18" s="750">
        <f t="shared" si="1"/>
        <v>0.25</v>
      </c>
      <c r="L18" s="750">
        <f t="shared" si="1"/>
        <v>0.05</v>
      </c>
      <c r="M18" s="750">
        <f t="shared" si="1"/>
        <v>0.2</v>
      </c>
      <c r="N18" s="751">
        <f>SUM(I18:M18)</f>
        <v>1</v>
      </c>
      <c r="O18" s="752"/>
      <c r="R18" s="753">
        <f>C18*C$13+D18*D$13+E18*E$13+F18*F$13+G18*G$13</f>
        <v>0.78500000000000003</v>
      </c>
      <c r="S18" s="754">
        <f>I18*I$13+J18*J$13+K18*K$13+L18*L$13+M18*M$13</f>
        <v>0.71500000000000008</v>
      </c>
    </row>
    <row r="19" spans="2:19">
      <c r="B19" s="755">
        <f t="shared" ref="B19:B50" si="2">B18+1</f>
        <v>2001</v>
      </c>
      <c r="C19" s="756">
        <f t="shared" ref="C19:G50" si="3">C$16</f>
        <v>0.15</v>
      </c>
      <c r="D19" s="757">
        <f t="shared" si="0"/>
        <v>0.2</v>
      </c>
      <c r="E19" s="757">
        <f t="shared" si="0"/>
        <v>0.45</v>
      </c>
      <c r="F19" s="757">
        <f t="shared" si="0"/>
        <v>0.05</v>
      </c>
      <c r="G19" s="757">
        <f t="shared" si="0"/>
        <v>0.15</v>
      </c>
      <c r="H19" s="758">
        <f t="shared" ref="H19:H82" si="4">SUM(C19:G19)</f>
        <v>1</v>
      </c>
      <c r="I19" s="756">
        <f t="shared" ref="I19:M50" si="5">I$16</f>
        <v>0.2</v>
      </c>
      <c r="J19" s="757">
        <f t="shared" si="1"/>
        <v>0.3</v>
      </c>
      <c r="K19" s="757">
        <f t="shared" si="1"/>
        <v>0.25</v>
      </c>
      <c r="L19" s="757">
        <f t="shared" si="1"/>
        <v>0.05</v>
      </c>
      <c r="M19" s="757">
        <f t="shared" si="1"/>
        <v>0.2</v>
      </c>
      <c r="N19" s="758">
        <f t="shared" ref="N19:N82" si="6">SUM(I19:M19)</f>
        <v>1</v>
      </c>
      <c r="O19" s="759"/>
      <c r="R19" s="753">
        <f t="shared" ref="R19:R82" si="7">C19*C$13+D19*D$13+E19*E$13+F19*F$13+G19*G$13</f>
        <v>0.78500000000000003</v>
      </c>
      <c r="S19" s="754">
        <f t="shared" ref="S19:S82" si="8">I19*I$13+J19*J$13+K19*K$13+L19*L$13+M19*M$13</f>
        <v>0.71500000000000008</v>
      </c>
    </row>
    <row r="20" spans="2:19">
      <c r="B20" s="755">
        <f t="shared" si="2"/>
        <v>2002</v>
      </c>
      <c r="C20" s="756">
        <f t="shared" si="3"/>
        <v>0.15</v>
      </c>
      <c r="D20" s="757">
        <f t="shared" si="0"/>
        <v>0.2</v>
      </c>
      <c r="E20" s="757">
        <f t="shared" si="0"/>
        <v>0.45</v>
      </c>
      <c r="F20" s="757">
        <f t="shared" si="0"/>
        <v>0.05</v>
      </c>
      <c r="G20" s="757">
        <f t="shared" si="0"/>
        <v>0.15</v>
      </c>
      <c r="H20" s="758">
        <f t="shared" si="4"/>
        <v>1</v>
      </c>
      <c r="I20" s="756">
        <f t="shared" si="5"/>
        <v>0.2</v>
      </c>
      <c r="J20" s="757">
        <f t="shared" si="1"/>
        <v>0.3</v>
      </c>
      <c r="K20" s="757">
        <f t="shared" si="1"/>
        <v>0.25</v>
      </c>
      <c r="L20" s="757">
        <f t="shared" si="1"/>
        <v>0.05</v>
      </c>
      <c r="M20" s="757">
        <f t="shared" si="1"/>
        <v>0.2</v>
      </c>
      <c r="N20" s="758">
        <f t="shared" si="6"/>
        <v>1</v>
      </c>
      <c r="O20" s="759"/>
      <c r="R20" s="753">
        <f t="shared" si="7"/>
        <v>0.78500000000000003</v>
      </c>
      <c r="S20" s="754">
        <f t="shared" si="8"/>
        <v>0.71500000000000008</v>
      </c>
    </row>
    <row r="21" spans="2:19">
      <c r="B21" s="755">
        <f t="shared" si="2"/>
        <v>2003</v>
      </c>
      <c r="C21" s="756">
        <f t="shared" si="3"/>
        <v>0.15</v>
      </c>
      <c r="D21" s="757">
        <f t="shared" si="0"/>
        <v>0.2</v>
      </c>
      <c r="E21" s="757">
        <f t="shared" si="0"/>
        <v>0.45</v>
      </c>
      <c r="F21" s="757">
        <f t="shared" si="0"/>
        <v>0.05</v>
      </c>
      <c r="G21" s="757">
        <f t="shared" si="0"/>
        <v>0.15</v>
      </c>
      <c r="H21" s="758">
        <f t="shared" si="4"/>
        <v>1</v>
      </c>
      <c r="I21" s="756">
        <f t="shared" si="5"/>
        <v>0.2</v>
      </c>
      <c r="J21" s="757">
        <f t="shared" si="1"/>
        <v>0.3</v>
      </c>
      <c r="K21" s="757">
        <f t="shared" si="1"/>
        <v>0.25</v>
      </c>
      <c r="L21" s="757">
        <f t="shared" si="1"/>
        <v>0.05</v>
      </c>
      <c r="M21" s="757">
        <f t="shared" si="1"/>
        <v>0.2</v>
      </c>
      <c r="N21" s="758">
        <f t="shared" si="6"/>
        <v>1</v>
      </c>
      <c r="O21" s="759"/>
      <c r="R21" s="753">
        <f t="shared" si="7"/>
        <v>0.78500000000000003</v>
      </c>
      <c r="S21" s="754">
        <f t="shared" si="8"/>
        <v>0.71500000000000008</v>
      </c>
    </row>
    <row r="22" spans="2:19">
      <c r="B22" s="755">
        <f t="shared" si="2"/>
        <v>2004</v>
      </c>
      <c r="C22" s="756">
        <f t="shared" si="3"/>
        <v>0.15</v>
      </c>
      <c r="D22" s="757">
        <f t="shared" si="0"/>
        <v>0.2</v>
      </c>
      <c r="E22" s="757">
        <f t="shared" si="0"/>
        <v>0.45</v>
      </c>
      <c r="F22" s="757">
        <f t="shared" si="0"/>
        <v>0.05</v>
      </c>
      <c r="G22" s="757">
        <f t="shared" si="0"/>
        <v>0.15</v>
      </c>
      <c r="H22" s="758">
        <f t="shared" si="4"/>
        <v>1</v>
      </c>
      <c r="I22" s="756">
        <f t="shared" si="5"/>
        <v>0.2</v>
      </c>
      <c r="J22" s="757">
        <f t="shared" si="1"/>
        <v>0.3</v>
      </c>
      <c r="K22" s="757">
        <f t="shared" si="1"/>
        <v>0.25</v>
      </c>
      <c r="L22" s="757">
        <f t="shared" si="1"/>
        <v>0.05</v>
      </c>
      <c r="M22" s="757">
        <f t="shared" si="1"/>
        <v>0.2</v>
      </c>
      <c r="N22" s="758">
        <f t="shared" si="6"/>
        <v>1</v>
      </c>
      <c r="O22" s="759"/>
      <c r="R22" s="753">
        <f t="shared" si="7"/>
        <v>0.78500000000000003</v>
      </c>
      <c r="S22" s="754">
        <f t="shared" si="8"/>
        <v>0.71500000000000008</v>
      </c>
    </row>
    <row r="23" spans="2:19">
      <c r="B23" s="755">
        <f t="shared" si="2"/>
        <v>2005</v>
      </c>
      <c r="C23" s="756">
        <f t="shared" si="3"/>
        <v>0.15</v>
      </c>
      <c r="D23" s="757">
        <f t="shared" si="0"/>
        <v>0.2</v>
      </c>
      <c r="E23" s="757">
        <f t="shared" si="0"/>
        <v>0.45</v>
      </c>
      <c r="F23" s="757">
        <f t="shared" si="0"/>
        <v>0.05</v>
      </c>
      <c r="G23" s="757">
        <f t="shared" si="0"/>
        <v>0.15</v>
      </c>
      <c r="H23" s="758">
        <f t="shared" si="4"/>
        <v>1</v>
      </c>
      <c r="I23" s="756">
        <f t="shared" si="5"/>
        <v>0.2</v>
      </c>
      <c r="J23" s="757">
        <f t="shared" si="1"/>
        <v>0.3</v>
      </c>
      <c r="K23" s="757">
        <f t="shared" si="1"/>
        <v>0.25</v>
      </c>
      <c r="L23" s="757">
        <f t="shared" si="1"/>
        <v>0.05</v>
      </c>
      <c r="M23" s="757">
        <f t="shared" si="1"/>
        <v>0.2</v>
      </c>
      <c r="N23" s="758">
        <f t="shared" si="6"/>
        <v>1</v>
      </c>
      <c r="O23" s="759"/>
      <c r="R23" s="753">
        <f t="shared" si="7"/>
        <v>0.78500000000000003</v>
      </c>
      <c r="S23" s="754">
        <f t="shared" si="8"/>
        <v>0.71500000000000008</v>
      </c>
    </row>
    <row r="24" spans="2:19">
      <c r="B24" s="755">
        <f t="shared" si="2"/>
        <v>2006</v>
      </c>
      <c r="C24" s="756">
        <f t="shared" si="3"/>
        <v>0.15</v>
      </c>
      <c r="D24" s="757">
        <f t="shared" si="0"/>
        <v>0.2</v>
      </c>
      <c r="E24" s="757">
        <f t="shared" si="0"/>
        <v>0.45</v>
      </c>
      <c r="F24" s="757">
        <f t="shared" si="0"/>
        <v>0.05</v>
      </c>
      <c r="G24" s="757">
        <f t="shared" si="0"/>
        <v>0.15</v>
      </c>
      <c r="H24" s="758">
        <f t="shared" si="4"/>
        <v>1</v>
      </c>
      <c r="I24" s="756">
        <f t="shared" si="5"/>
        <v>0.2</v>
      </c>
      <c r="J24" s="757">
        <f t="shared" si="1"/>
        <v>0.3</v>
      </c>
      <c r="K24" s="757">
        <f t="shared" si="1"/>
        <v>0.25</v>
      </c>
      <c r="L24" s="757">
        <f t="shared" si="1"/>
        <v>0.05</v>
      </c>
      <c r="M24" s="757">
        <f t="shared" si="1"/>
        <v>0.2</v>
      </c>
      <c r="N24" s="758">
        <f t="shared" si="6"/>
        <v>1</v>
      </c>
      <c r="O24" s="759"/>
      <c r="R24" s="753">
        <f t="shared" si="7"/>
        <v>0.78500000000000003</v>
      </c>
      <c r="S24" s="754">
        <f t="shared" si="8"/>
        <v>0.71500000000000008</v>
      </c>
    </row>
    <row r="25" spans="2:19">
      <c r="B25" s="755">
        <f t="shared" si="2"/>
        <v>2007</v>
      </c>
      <c r="C25" s="756">
        <f t="shared" si="3"/>
        <v>0.15</v>
      </c>
      <c r="D25" s="757">
        <f t="shared" si="0"/>
        <v>0.2</v>
      </c>
      <c r="E25" s="757">
        <f t="shared" si="0"/>
        <v>0.45</v>
      </c>
      <c r="F25" s="757">
        <f t="shared" si="0"/>
        <v>0.05</v>
      </c>
      <c r="G25" s="757">
        <f t="shared" si="0"/>
        <v>0.15</v>
      </c>
      <c r="H25" s="758">
        <f t="shared" si="4"/>
        <v>1</v>
      </c>
      <c r="I25" s="756">
        <f t="shared" si="5"/>
        <v>0.2</v>
      </c>
      <c r="J25" s="757">
        <f t="shared" si="1"/>
        <v>0.3</v>
      </c>
      <c r="K25" s="757">
        <f t="shared" si="1"/>
        <v>0.25</v>
      </c>
      <c r="L25" s="757">
        <f t="shared" si="1"/>
        <v>0.05</v>
      </c>
      <c r="M25" s="757">
        <f t="shared" si="1"/>
        <v>0.2</v>
      </c>
      <c r="N25" s="758">
        <f t="shared" si="6"/>
        <v>1</v>
      </c>
      <c r="O25" s="759"/>
      <c r="R25" s="753">
        <f t="shared" si="7"/>
        <v>0.78500000000000003</v>
      </c>
      <c r="S25" s="754">
        <f t="shared" si="8"/>
        <v>0.71500000000000008</v>
      </c>
    </row>
    <row r="26" spans="2:19">
      <c r="B26" s="755">
        <f t="shared" si="2"/>
        <v>2008</v>
      </c>
      <c r="C26" s="756">
        <f t="shared" si="3"/>
        <v>0.15</v>
      </c>
      <c r="D26" s="757">
        <f t="shared" si="0"/>
        <v>0.2</v>
      </c>
      <c r="E26" s="757">
        <f t="shared" si="0"/>
        <v>0.45</v>
      </c>
      <c r="F26" s="757">
        <f t="shared" si="0"/>
        <v>0.05</v>
      </c>
      <c r="G26" s="757">
        <f t="shared" si="0"/>
        <v>0.15</v>
      </c>
      <c r="H26" s="758">
        <f t="shared" si="4"/>
        <v>1</v>
      </c>
      <c r="I26" s="756">
        <f t="shared" si="5"/>
        <v>0.2</v>
      </c>
      <c r="J26" s="757">
        <f t="shared" si="1"/>
        <v>0.3</v>
      </c>
      <c r="K26" s="757">
        <f t="shared" si="1"/>
        <v>0.25</v>
      </c>
      <c r="L26" s="757">
        <f t="shared" si="1"/>
        <v>0.05</v>
      </c>
      <c r="M26" s="757">
        <f t="shared" si="1"/>
        <v>0.2</v>
      </c>
      <c r="N26" s="758">
        <f t="shared" si="6"/>
        <v>1</v>
      </c>
      <c r="O26" s="759"/>
      <c r="R26" s="753">
        <f t="shared" si="7"/>
        <v>0.78500000000000003</v>
      </c>
      <c r="S26" s="754">
        <f t="shared" si="8"/>
        <v>0.71500000000000008</v>
      </c>
    </row>
    <row r="27" spans="2:19">
      <c r="B27" s="755">
        <f t="shared" si="2"/>
        <v>2009</v>
      </c>
      <c r="C27" s="756">
        <f t="shared" si="3"/>
        <v>0.15</v>
      </c>
      <c r="D27" s="757">
        <f t="shared" si="0"/>
        <v>0.2</v>
      </c>
      <c r="E27" s="757">
        <f t="shared" si="0"/>
        <v>0.45</v>
      </c>
      <c r="F27" s="757">
        <f t="shared" si="0"/>
        <v>0.05</v>
      </c>
      <c r="G27" s="757">
        <f t="shared" si="0"/>
        <v>0.15</v>
      </c>
      <c r="H27" s="758">
        <f t="shared" si="4"/>
        <v>1</v>
      </c>
      <c r="I27" s="756">
        <f t="shared" si="5"/>
        <v>0.2</v>
      </c>
      <c r="J27" s="757">
        <f t="shared" si="1"/>
        <v>0.3</v>
      </c>
      <c r="K27" s="757">
        <f t="shared" si="1"/>
        <v>0.25</v>
      </c>
      <c r="L27" s="757">
        <f t="shared" si="1"/>
        <v>0.05</v>
      </c>
      <c r="M27" s="757">
        <f t="shared" si="1"/>
        <v>0.2</v>
      </c>
      <c r="N27" s="758">
        <f t="shared" si="6"/>
        <v>1</v>
      </c>
      <c r="O27" s="759"/>
      <c r="R27" s="753">
        <f t="shared" si="7"/>
        <v>0.78500000000000003</v>
      </c>
      <c r="S27" s="754">
        <f t="shared" si="8"/>
        <v>0.71500000000000008</v>
      </c>
    </row>
    <row r="28" spans="2:19">
      <c r="B28" s="755">
        <f t="shared" si="2"/>
        <v>2010</v>
      </c>
      <c r="C28" s="756">
        <f t="shared" si="3"/>
        <v>0.15</v>
      </c>
      <c r="D28" s="757">
        <f t="shared" si="0"/>
        <v>0.2</v>
      </c>
      <c r="E28" s="757">
        <f t="shared" si="0"/>
        <v>0.45</v>
      </c>
      <c r="F28" s="757">
        <f t="shared" si="0"/>
        <v>0.05</v>
      </c>
      <c r="G28" s="757">
        <f t="shared" si="0"/>
        <v>0.15</v>
      </c>
      <c r="H28" s="758">
        <f t="shared" si="4"/>
        <v>1</v>
      </c>
      <c r="I28" s="756">
        <f t="shared" si="5"/>
        <v>0.2</v>
      </c>
      <c r="J28" s="757">
        <f t="shared" si="1"/>
        <v>0.3</v>
      </c>
      <c r="K28" s="757">
        <f t="shared" si="1"/>
        <v>0.25</v>
      </c>
      <c r="L28" s="757">
        <f t="shared" si="1"/>
        <v>0.05</v>
      </c>
      <c r="M28" s="757">
        <f t="shared" si="1"/>
        <v>0.2</v>
      </c>
      <c r="N28" s="758">
        <f t="shared" si="6"/>
        <v>1</v>
      </c>
      <c r="O28" s="759"/>
      <c r="R28" s="753">
        <f t="shared" si="7"/>
        <v>0.78500000000000003</v>
      </c>
      <c r="S28" s="754">
        <f t="shared" si="8"/>
        <v>0.71500000000000008</v>
      </c>
    </row>
    <row r="29" spans="2:19">
      <c r="B29" s="755">
        <f t="shared" si="2"/>
        <v>2011</v>
      </c>
      <c r="C29" s="756">
        <f t="shared" si="3"/>
        <v>0.15</v>
      </c>
      <c r="D29" s="757">
        <f t="shared" si="0"/>
        <v>0.2</v>
      </c>
      <c r="E29" s="757">
        <f t="shared" si="0"/>
        <v>0.45</v>
      </c>
      <c r="F29" s="757">
        <f t="shared" si="0"/>
        <v>0.05</v>
      </c>
      <c r="G29" s="757">
        <f t="shared" si="0"/>
        <v>0.15</v>
      </c>
      <c r="H29" s="758">
        <f t="shared" si="4"/>
        <v>1</v>
      </c>
      <c r="I29" s="756">
        <f t="shared" si="5"/>
        <v>0.2</v>
      </c>
      <c r="J29" s="757">
        <f t="shared" si="1"/>
        <v>0.3</v>
      </c>
      <c r="K29" s="757">
        <f t="shared" si="1"/>
        <v>0.25</v>
      </c>
      <c r="L29" s="757">
        <f t="shared" si="1"/>
        <v>0.05</v>
      </c>
      <c r="M29" s="757">
        <f t="shared" si="1"/>
        <v>0.2</v>
      </c>
      <c r="N29" s="758">
        <f t="shared" si="6"/>
        <v>1</v>
      </c>
      <c r="O29" s="759"/>
      <c r="R29" s="753">
        <f>C29*C$13+D29*D$13+E29*E$13+F29*F$13+G29*G$13</f>
        <v>0.78500000000000003</v>
      </c>
      <c r="S29" s="754">
        <f t="shared" si="8"/>
        <v>0.71500000000000008</v>
      </c>
    </row>
    <row r="30" spans="2:19">
      <c r="B30" s="755">
        <f t="shared" si="2"/>
        <v>2012</v>
      </c>
      <c r="C30" s="756">
        <f t="shared" si="3"/>
        <v>0.15</v>
      </c>
      <c r="D30" s="757">
        <f t="shared" si="0"/>
        <v>0.2</v>
      </c>
      <c r="E30" s="757">
        <f t="shared" si="0"/>
        <v>0.45</v>
      </c>
      <c r="F30" s="757">
        <f t="shared" si="0"/>
        <v>0.05</v>
      </c>
      <c r="G30" s="757">
        <f t="shared" si="0"/>
        <v>0.15</v>
      </c>
      <c r="H30" s="758">
        <f t="shared" si="4"/>
        <v>1</v>
      </c>
      <c r="I30" s="756">
        <f t="shared" si="5"/>
        <v>0.2</v>
      </c>
      <c r="J30" s="757">
        <f t="shared" si="1"/>
        <v>0.3</v>
      </c>
      <c r="K30" s="757">
        <f t="shared" si="1"/>
        <v>0.25</v>
      </c>
      <c r="L30" s="757">
        <f t="shared" si="1"/>
        <v>0.05</v>
      </c>
      <c r="M30" s="757">
        <f t="shared" si="1"/>
        <v>0.2</v>
      </c>
      <c r="N30" s="758">
        <f t="shared" si="6"/>
        <v>1</v>
      </c>
      <c r="O30" s="759"/>
      <c r="R30" s="753">
        <f t="shared" si="7"/>
        <v>0.78500000000000003</v>
      </c>
      <c r="S30" s="754">
        <f t="shared" si="8"/>
        <v>0.71500000000000008</v>
      </c>
    </row>
    <row r="31" spans="2:19">
      <c r="B31" s="755">
        <f t="shared" si="2"/>
        <v>2013</v>
      </c>
      <c r="C31" s="756">
        <f t="shared" si="3"/>
        <v>0.15</v>
      </c>
      <c r="D31" s="757">
        <f t="shared" si="0"/>
        <v>0.2</v>
      </c>
      <c r="E31" s="757">
        <f t="shared" si="0"/>
        <v>0.45</v>
      </c>
      <c r="F31" s="757">
        <f t="shared" si="0"/>
        <v>0.05</v>
      </c>
      <c r="G31" s="757">
        <f t="shared" si="0"/>
        <v>0.15</v>
      </c>
      <c r="H31" s="758">
        <f t="shared" si="4"/>
        <v>1</v>
      </c>
      <c r="I31" s="756">
        <f t="shared" si="5"/>
        <v>0.2</v>
      </c>
      <c r="J31" s="757">
        <f t="shared" si="1"/>
        <v>0.3</v>
      </c>
      <c r="K31" s="757">
        <f t="shared" si="1"/>
        <v>0.25</v>
      </c>
      <c r="L31" s="757">
        <f t="shared" si="1"/>
        <v>0.05</v>
      </c>
      <c r="M31" s="757">
        <f t="shared" si="1"/>
        <v>0.2</v>
      </c>
      <c r="N31" s="758">
        <f t="shared" si="6"/>
        <v>1</v>
      </c>
      <c r="O31" s="759"/>
      <c r="R31" s="753">
        <f t="shared" si="7"/>
        <v>0.78500000000000003</v>
      </c>
      <c r="S31" s="754">
        <f t="shared" si="8"/>
        <v>0.71500000000000008</v>
      </c>
    </row>
    <row r="32" spans="2:19">
      <c r="B32" s="755">
        <f t="shared" si="2"/>
        <v>2014</v>
      </c>
      <c r="C32" s="756">
        <f t="shared" si="3"/>
        <v>0.15</v>
      </c>
      <c r="D32" s="757">
        <f t="shared" si="0"/>
        <v>0.2</v>
      </c>
      <c r="E32" s="757">
        <f t="shared" si="0"/>
        <v>0.45</v>
      </c>
      <c r="F32" s="757">
        <f t="shared" si="0"/>
        <v>0.05</v>
      </c>
      <c r="G32" s="757">
        <f t="shared" si="0"/>
        <v>0.15</v>
      </c>
      <c r="H32" s="758">
        <f t="shared" si="4"/>
        <v>1</v>
      </c>
      <c r="I32" s="756">
        <f t="shared" si="5"/>
        <v>0.2</v>
      </c>
      <c r="J32" s="757">
        <f t="shared" si="1"/>
        <v>0.3</v>
      </c>
      <c r="K32" s="757">
        <f t="shared" si="1"/>
        <v>0.25</v>
      </c>
      <c r="L32" s="757">
        <f t="shared" si="1"/>
        <v>0.05</v>
      </c>
      <c r="M32" s="757">
        <f t="shared" si="1"/>
        <v>0.2</v>
      </c>
      <c r="N32" s="758">
        <f t="shared" si="6"/>
        <v>1</v>
      </c>
      <c r="O32" s="759"/>
      <c r="R32" s="753">
        <f>C32*C$13+D32*D$13+E32*E$13+F32*F$13+G32*G$13</f>
        <v>0.78500000000000003</v>
      </c>
      <c r="S32" s="754">
        <f t="shared" si="8"/>
        <v>0.71500000000000008</v>
      </c>
    </row>
    <row r="33" spans="2:19">
      <c r="B33" s="755">
        <f t="shared" si="2"/>
        <v>2015</v>
      </c>
      <c r="C33" s="756">
        <f t="shared" si="3"/>
        <v>0.15</v>
      </c>
      <c r="D33" s="757">
        <f t="shared" si="0"/>
        <v>0.2</v>
      </c>
      <c r="E33" s="757">
        <f t="shared" si="0"/>
        <v>0.45</v>
      </c>
      <c r="F33" s="757">
        <f t="shared" si="0"/>
        <v>0.05</v>
      </c>
      <c r="G33" s="757">
        <f t="shared" si="0"/>
        <v>0.15</v>
      </c>
      <c r="H33" s="758">
        <f t="shared" si="4"/>
        <v>1</v>
      </c>
      <c r="I33" s="756">
        <f t="shared" si="5"/>
        <v>0.2</v>
      </c>
      <c r="J33" s="757">
        <f t="shared" si="1"/>
        <v>0.3</v>
      </c>
      <c r="K33" s="757">
        <f t="shared" si="1"/>
        <v>0.25</v>
      </c>
      <c r="L33" s="757">
        <f t="shared" si="1"/>
        <v>0.05</v>
      </c>
      <c r="M33" s="757">
        <f t="shared" si="1"/>
        <v>0.2</v>
      </c>
      <c r="N33" s="758">
        <f t="shared" si="6"/>
        <v>1</v>
      </c>
      <c r="O33" s="759"/>
      <c r="R33" s="753">
        <f t="shared" si="7"/>
        <v>0.78500000000000003</v>
      </c>
      <c r="S33" s="754">
        <f>I33*I$13+J33*J$13+K33*K$13+L33*L$13+M33*M$13</f>
        <v>0.71500000000000008</v>
      </c>
    </row>
    <row r="34" spans="2:19">
      <c r="B34" s="755">
        <f t="shared" si="2"/>
        <v>2016</v>
      </c>
      <c r="C34" s="756">
        <f t="shared" si="3"/>
        <v>0.15</v>
      </c>
      <c r="D34" s="757">
        <f t="shared" si="3"/>
        <v>0.2</v>
      </c>
      <c r="E34" s="757">
        <f t="shared" si="3"/>
        <v>0.45</v>
      </c>
      <c r="F34" s="757">
        <f t="shared" si="3"/>
        <v>0.05</v>
      </c>
      <c r="G34" s="757">
        <f t="shared" si="3"/>
        <v>0.15</v>
      </c>
      <c r="H34" s="758">
        <f t="shared" si="4"/>
        <v>1</v>
      </c>
      <c r="I34" s="756">
        <f t="shared" si="5"/>
        <v>0.2</v>
      </c>
      <c r="J34" s="757">
        <f t="shared" si="5"/>
        <v>0.3</v>
      </c>
      <c r="K34" s="757">
        <f t="shared" si="5"/>
        <v>0.25</v>
      </c>
      <c r="L34" s="757">
        <f t="shared" si="5"/>
        <v>0.05</v>
      </c>
      <c r="M34" s="757">
        <f t="shared" si="5"/>
        <v>0.2</v>
      </c>
      <c r="N34" s="758">
        <f t="shared" si="6"/>
        <v>1</v>
      </c>
      <c r="O34" s="759"/>
      <c r="R34" s="753">
        <f t="shared" si="7"/>
        <v>0.78500000000000003</v>
      </c>
      <c r="S34" s="754">
        <f t="shared" si="8"/>
        <v>0.71500000000000008</v>
      </c>
    </row>
    <row r="35" spans="2:19">
      <c r="B35" s="755">
        <f t="shared" si="2"/>
        <v>2017</v>
      </c>
      <c r="C35" s="756">
        <f t="shared" si="3"/>
        <v>0.15</v>
      </c>
      <c r="D35" s="757">
        <f t="shared" si="3"/>
        <v>0.2</v>
      </c>
      <c r="E35" s="757">
        <f t="shared" si="3"/>
        <v>0.45</v>
      </c>
      <c r="F35" s="757">
        <f t="shared" si="3"/>
        <v>0.05</v>
      </c>
      <c r="G35" s="757">
        <f t="shared" si="3"/>
        <v>0.15</v>
      </c>
      <c r="H35" s="758">
        <f t="shared" si="4"/>
        <v>1</v>
      </c>
      <c r="I35" s="756">
        <f t="shared" si="5"/>
        <v>0.2</v>
      </c>
      <c r="J35" s="757">
        <f t="shared" si="5"/>
        <v>0.3</v>
      </c>
      <c r="K35" s="757">
        <f t="shared" si="5"/>
        <v>0.25</v>
      </c>
      <c r="L35" s="757">
        <f t="shared" si="5"/>
        <v>0.05</v>
      </c>
      <c r="M35" s="757">
        <f t="shared" si="5"/>
        <v>0.2</v>
      </c>
      <c r="N35" s="758">
        <f t="shared" si="6"/>
        <v>1</v>
      </c>
      <c r="O35" s="759"/>
      <c r="R35" s="753">
        <f t="shared" si="7"/>
        <v>0.78500000000000003</v>
      </c>
      <c r="S35" s="754">
        <f t="shared" si="8"/>
        <v>0.71500000000000008</v>
      </c>
    </row>
    <row r="36" spans="2:19">
      <c r="B36" s="755">
        <f t="shared" si="2"/>
        <v>2018</v>
      </c>
      <c r="C36" s="756">
        <f t="shared" si="3"/>
        <v>0.15</v>
      </c>
      <c r="D36" s="757">
        <f t="shared" si="3"/>
        <v>0.2</v>
      </c>
      <c r="E36" s="757">
        <f t="shared" si="3"/>
        <v>0.45</v>
      </c>
      <c r="F36" s="757">
        <f t="shared" si="3"/>
        <v>0.05</v>
      </c>
      <c r="G36" s="757">
        <f t="shared" si="3"/>
        <v>0.15</v>
      </c>
      <c r="H36" s="758">
        <f t="shared" si="4"/>
        <v>1</v>
      </c>
      <c r="I36" s="756">
        <f t="shared" si="5"/>
        <v>0.2</v>
      </c>
      <c r="J36" s="757">
        <f t="shared" si="5"/>
        <v>0.3</v>
      </c>
      <c r="K36" s="757">
        <f t="shared" si="5"/>
        <v>0.25</v>
      </c>
      <c r="L36" s="757">
        <f t="shared" si="5"/>
        <v>0.05</v>
      </c>
      <c r="M36" s="757">
        <f t="shared" si="5"/>
        <v>0.2</v>
      </c>
      <c r="N36" s="758">
        <f t="shared" si="6"/>
        <v>1</v>
      </c>
      <c r="O36" s="759"/>
      <c r="R36" s="753">
        <f t="shared" si="7"/>
        <v>0.78500000000000003</v>
      </c>
      <c r="S36" s="754">
        <f t="shared" si="8"/>
        <v>0.71500000000000008</v>
      </c>
    </row>
    <row r="37" spans="2:19">
      <c r="B37" s="755">
        <f t="shared" si="2"/>
        <v>2019</v>
      </c>
      <c r="C37" s="756">
        <f t="shared" si="3"/>
        <v>0.15</v>
      </c>
      <c r="D37" s="757">
        <f t="shared" si="3"/>
        <v>0.2</v>
      </c>
      <c r="E37" s="757">
        <f t="shared" si="3"/>
        <v>0.45</v>
      </c>
      <c r="F37" s="757">
        <f t="shared" si="3"/>
        <v>0.05</v>
      </c>
      <c r="G37" s="757">
        <f t="shared" si="3"/>
        <v>0.15</v>
      </c>
      <c r="H37" s="758">
        <f t="shared" si="4"/>
        <v>1</v>
      </c>
      <c r="I37" s="756">
        <f t="shared" si="5"/>
        <v>0.2</v>
      </c>
      <c r="J37" s="757">
        <f t="shared" si="5"/>
        <v>0.3</v>
      </c>
      <c r="K37" s="757">
        <f t="shared" si="5"/>
        <v>0.25</v>
      </c>
      <c r="L37" s="757">
        <f t="shared" si="5"/>
        <v>0.05</v>
      </c>
      <c r="M37" s="757">
        <f t="shared" si="5"/>
        <v>0.2</v>
      </c>
      <c r="N37" s="758">
        <f t="shared" si="6"/>
        <v>1</v>
      </c>
      <c r="O37" s="759"/>
      <c r="R37" s="753">
        <f t="shared" si="7"/>
        <v>0.78500000000000003</v>
      </c>
      <c r="S37" s="754">
        <f t="shared" si="8"/>
        <v>0.71500000000000008</v>
      </c>
    </row>
    <row r="38" spans="2:19">
      <c r="B38" s="755">
        <f t="shared" si="2"/>
        <v>2020</v>
      </c>
      <c r="C38" s="756">
        <f t="shared" si="3"/>
        <v>0.15</v>
      </c>
      <c r="D38" s="757">
        <f t="shared" si="3"/>
        <v>0.2</v>
      </c>
      <c r="E38" s="757">
        <f t="shared" si="3"/>
        <v>0.45</v>
      </c>
      <c r="F38" s="757">
        <f t="shared" si="3"/>
        <v>0.05</v>
      </c>
      <c r="G38" s="757">
        <f t="shared" si="3"/>
        <v>0.15</v>
      </c>
      <c r="H38" s="758">
        <f t="shared" si="4"/>
        <v>1</v>
      </c>
      <c r="I38" s="756">
        <f t="shared" si="5"/>
        <v>0.2</v>
      </c>
      <c r="J38" s="757">
        <f t="shared" si="5"/>
        <v>0.3</v>
      </c>
      <c r="K38" s="757">
        <f t="shared" si="5"/>
        <v>0.25</v>
      </c>
      <c r="L38" s="757">
        <f t="shared" si="5"/>
        <v>0.05</v>
      </c>
      <c r="M38" s="757">
        <f t="shared" si="5"/>
        <v>0.2</v>
      </c>
      <c r="N38" s="758">
        <f t="shared" si="6"/>
        <v>1</v>
      </c>
      <c r="O38" s="759"/>
      <c r="R38" s="753">
        <f t="shared" si="7"/>
        <v>0.78500000000000003</v>
      </c>
      <c r="S38" s="754">
        <f t="shared" si="8"/>
        <v>0.71500000000000008</v>
      </c>
    </row>
    <row r="39" spans="2:19">
      <c r="B39" s="755">
        <f t="shared" si="2"/>
        <v>2021</v>
      </c>
      <c r="C39" s="756">
        <f t="shared" si="3"/>
        <v>0.15</v>
      </c>
      <c r="D39" s="757">
        <f t="shared" si="3"/>
        <v>0.2</v>
      </c>
      <c r="E39" s="757">
        <f t="shared" si="3"/>
        <v>0.45</v>
      </c>
      <c r="F39" s="757">
        <f t="shared" si="3"/>
        <v>0.05</v>
      </c>
      <c r="G39" s="757">
        <f t="shared" si="3"/>
        <v>0.15</v>
      </c>
      <c r="H39" s="758">
        <f t="shared" si="4"/>
        <v>1</v>
      </c>
      <c r="I39" s="756">
        <f t="shared" si="5"/>
        <v>0.2</v>
      </c>
      <c r="J39" s="757">
        <f t="shared" si="5"/>
        <v>0.3</v>
      </c>
      <c r="K39" s="757">
        <f t="shared" si="5"/>
        <v>0.25</v>
      </c>
      <c r="L39" s="757">
        <f t="shared" si="5"/>
        <v>0.05</v>
      </c>
      <c r="M39" s="757">
        <f t="shared" si="5"/>
        <v>0.2</v>
      </c>
      <c r="N39" s="758">
        <f t="shared" si="6"/>
        <v>1</v>
      </c>
      <c r="O39" s="759"/>
      <c r="R39" s="753">
        <f t="shared" si="7"/>
        <v>0.78500000000000003</v>
      </c>
      <c r="S39" s="754">
        <f t="shared" si="8"/>
        <v>0.71500000000000008</v>
      </c>
    </row>
    <row r="40" spans="2:19">
      <c r="B40" s="755">
        <f t="shared" si="2"/>
        <v>2022</v>
      </c>
      <c r="C40" s="756">
        <f t="shared" si="3"/>
        <v>0.15</v>
      </c>
      <c r="D40" s="757">
        <f t="shared" si="3"/>
        <v>0.2</v>
      </c>
      <c r="E40" s="757">
        <f t="shared" si="3"/>
        <v>0.45</v>
      </c>
      <c r="F40" s="757">
        <f t="shared" si="3"/>
        <v>0.05</v>
      </c>
      <c r="G40" s="757">
        <f t="shared" si="3"/>
        <v>0.15</v>
      </c>
      <c r="H40" s="758">
        <f t="shared" si="4"/>
        <v>1</v>
      </c>
      <c r="I40" s="756">
        <f t="shared" si="5"/>
        <v>0.2</v>
      </c>
      <c r="J40" s="757">
        <f t="shared" si="5"/>
        <v>0.3</v>
      </c>
      <c r="K40" s="757">
        <f t="shared" si="5"/>
        <v>0.25</v>
      </c>
      <c r="L40" s="757">
        <f t="shared" si="5"/>
        <v>0.05</v>
      </c>
      <c r="M40" s="757">
        <f t="shared" si="5"/>
        <v>0.2</v>
      </c>
      <c r="N40" s="758">
        <f t="shared" si="6"/>
        <v>1</v>
      </c>
      <c r="O40" s="759"/>
      <c r="R40" s="753">
        <f t="shared" si="7"/>
        <v>0.78500000000000003</v>
      </c>
      <c r="S40" s="754">
        <f t="shared" si="8"/>
        <v>0.71500000000000008</v>
      </c>
    </row>
    <row r="41" spans="2:19">
      <c r="B41" s="755">
        <f t="shared" si="2"/>
        <v>2023</v>
      </c>
      <c r="C41" s="756">
        <f t="shared" si="3"/>
        <v>0.15</v>
      </c>
      <c r="D41" s="757">
        <f t="shared" si="3"/>
        <v>0.2</v>
      </c>
      <c r="E41" s="757">
        <f t="shared" si="3"/>
        <v>0.45</v>
      </c>
      <c r="F41" s="757">
        <f t="shared" si="3"/>
        <v>0.05</v>
      </c>
      <c r="G41" s="757">
        <f t="shared" si="3"/>
        <v>0.15</v>
      </c>
      <c r="H41" s="758">
        <f t="shared" si="4"/>
        <v>1</v>
      </c>
      <c r="I41" s="756">
        <f t="shared" si="5"/>
        <v>0.2</v>
      </c>
      <c r="J41" s="757">
        <f t="shared" si="5"/>
        <v>0.3</v>
      </c>
      <c r="K41" s="757">
        <f t="shared" si="5"/>
        <v>0.25</v>
      </c>
      <c r="L41" s="757">
        <f t="shared" si="5"/>
        <v>0.05</v>
      </c>
      <c r="M41" s="757">
        <f t="shared" si="5"/>
        <v>0.2</v>
      </c>
      <c r="N41" s="758">
        <f t="shared" si="6"/>
        <v>1</v>
      </c>
      <c r="O41" s="759"/>
      <c r="R41" s="753">
        <f t="shared" si="7"/>
        <v>0.78500000000000003</v>
      </c>
      <c r="S41" s="754">
        <f t="shared" si="8"/>
        <v>0.71500000000000008</v>
      </c>
    </row>
    <row r="42" spans="2:19">
      <c r="B42" s="755">
        <f t="shared" si="2"/>
        <v>2024</v>
      </c>
      <c r="C42" s="756">
        <f t="shared" si="3"/>
        <v>0.15</v>
      </c>
      <c r="D42" s="757">
        <f t="shared" si="3"/>
        <v>0.2</v>
      </c>
      <c r="E42" s="757">
        <f t="shared" si="3"/>
        <v>0.45</v>
      </c>
      <c r="F42" s="757">
        <f t="shared" si="3"/>
        <v>0.05</v>
      </c>
      <c r="G42" s="757">
        <f t="shared" si="3"/>
        <v>0.15</v>
      </c>
      <c r="H42" s="758">
        <f t="shared" si="4"/>
        <v>1</v>
      </c>
      <c r="I42" s="756">
        <f t="shared" si="5"/>
        <v>0.2</v>
      </c>
      <c r="J42" s="757">
        <f t="shared" si="5"/>
        <v>0.3</v>
      </c>
      <c r="K42" s="757">
        <f t="shared" si="5"/>
        <v>0.25</v>
      </c>
      <c r="L42" s="757">
        <f t="shared" si="5"/>
        <v>0.05</v>
      </c>
      <c r="M42" s="757">
        <f t="shared" si="5"/>
        <v>0.2</v>
      </c>
      <c r="N42" s="758">
        <f t="shared" si="6"/>
        <v>1</v>
      </c>
      <c r="O42" s="759"/>
      <c r="R42" s="753">
        <f t="shared" si="7"/>
        <v>0.78500000000000003</v>
      </c>
      <c r="S42" s="754">
        <f t="shared" si="8"/>
        <v>0.71500000000000008</v>
      </c>
    </row>
    <row r="43" spans="2:19">
      <c r="B43" s="755">
        <f t="shared" si="2"/>
        <v>2025</v>
      </c>
      <c r="C43" s="756">
        <f t="shared" si="3"/>
        <v>0.15</v>
      </c>
      <c r="D43" s="757">
        <f t="shared" si="3"/>
        <v>0.2</v>
      </c>
      <c r="E43" s="757">
        <f t="shared" si="3"/>
        <v>0.45</v>
      </c>
      <c r="F43" s="757">
        <f t="shared" si="3"/>
        <v>0.05</v>
      </c>
      <c r="G43" s="757">
        <f t="shared" si="3"/>
        <v>0.15</v>
      </c>
      <c r="H43" s="758">
        <f t="shared" si="4"/>
        <v>1</v>
      </c>
      <c r="I43" s="756">
        <f t="shared" si="5"/>
        <v>0.2</v>
      </c>
      <c r="J43" s="757">
        <f t="shared" si="5"/>
        <v>0.3</v>
      </c>
      <c r="K43" s="757">
        <f t="shared" si="5"/>
        <v>0.25</v>
      </c>
      <c r="L43" s="757">
        <f t="shared" si="5"/>
        <v>0.05</v>
      </c>
      <c r="M43" s="757">
        <f t="shared" si="5"/>
        <v>0.2</v>
      </c>
      <c r="N43" s="758">
        <f t="shared" si="6"/>
        <v>1</v>
      </c>
      <c r="O43" s="759"/>
      <c r="R43" s="753">
        <f t="shared" si="7"/>
        <v>0.78500000000000003</v>
      </c>
      <c r="S43" s="754">
        <f t="shared" si="8"/>
        <v>0.71500000000000008</v>
      </c>
    </row>
    <row r="44" spans="2:19">
      <c r="B44" s="755">
        <f t="shared" si="2"/>
        <v>2026</v>
      </c>
      <c r="C44" s="756">
        <f t="shared" si="3"/>
        <v>0.15</v>
      </c>
      <c r="D44" s="757">
        <f t="shared" si="3"/>
        <v>0.2</v>
      </c>
      <c r="E44" s="757">
        <f t="shared" si="3"/>
        <v>0.45</v>
      </c>
      <c r="F44" s="757">
        <f t="shared" si="3"/>
        <v>0.05</v>
      </c>
      <c r="G44" s="757">
        <f t="shared" si="3"/>
        <v>0.15</v>
      </c>
      <c r="H44" s="758">
        <f t="shared" si="4"/>
        <v>1</v>
      </c>
      <c r="I44" s="756">
        <f t="shared" si="5"/>
        <v>0.2</v>
      </c>
      <c r="J44" s="757">
        <f t="shared" si="5"/>
        <v>0.3</v>
      </c>
      <c r="K44" s="757">
        <f t="shared" si="5"/>
        <v>0.25</v>
      </c>
      <c r="L44" s="757">
        <f t="shared" si="5"/>
        <v>0.05</v>
      </c>
      <c r="M44" s="757">
        <f t="shared" si="5"/>
        <v>0.2</v>
      </c>
      <c r="N44" s="758">
        <f t="shared" si="6"/>
        <v>1</v>
      </c>
      <c r="O44" s="759"/>
      <c r="R44" s="753">
        <f t="shared" si="7"/>
        <v>0.78500000000000003</v>
      </c>
      <c r="S44" s="754">
        <f t="shared" si="8"/>
        <v>0.71500000000000008</v>
      </c>
    </row>
    <row r="45" spans="2:19">
      <c r="B45" s="755">
        <f t="shared" si="2"/>
        <v>2027</v>
      </c>
      <c r="C45" s="756">
        <f t="shared" si="3"/>
        <v>0.15</v>
      </c>
      <c r="D45" s="757">
        <f t="shared" si="3"/>
        <v>0.2</v>
      </c>
      <c r="E45" s="757">
        <f t="shared" si="3"/>
        <v>0.45</v>
      </c>
      <c r="F45" s="757">
        <f t="shared" si="3"/>
        <v>0.05</v>
      </c>
      <c r="G45" s="757">
        <f t="shared" si="3"/>
        <v>0.15</v>
      </c>
      <c r="H45" s="758">
        <f t="shared" si="4"/>
        <v>1</v>
      </c>
      <c r="I45" s="756">
        <f t="shared" si="5"/>
        <v>0.2</v>
      </c>
      <c r="J45" s="757">
        <f t="shared" si="5"/>
        <v>0.3</v>
      </c>
      <c r="K45" s="757">
        <f t="shared" si="5"/>
        <v>0.25</v>
      </c>
      <c r="L45" s="757">
        <f t="shared" si="5"/>
        <v>0.05</v>
      </c>
      <c r="M45" s="757">
        <f t="shared" si="5"/>
        <v>0.2</v>
      </c>
      <c r="N45" s="758">
        <f t="shared" si="6"/>
        <v>1</v>
      </c>
      <c r="O45" s="759"/>
      <c r="R45" s="753">
        <f t="shared" si="7"/>
        <v>0.78500000000000003</v>
      </c>
      <c r="S45" s="754">
        <f t="shared" si="8"/>
        <v>0.71500000000000008</v>
      </c>
    </row>
    <row r="46" spans="2:19">
      <c r="B46" s="755">
        <f t="shared" si="2"/>
        <v>2028</v>
      </c>
      <c r="C46" s="756">
        <f t="shared" si="3"/>
        <v>0.15</v>
      </c>
      <c r="D46" s="757">
        <f t="shared" si="3"/>
        <v>0.2</v>
      </c>
      <c r="E46" s="757">
        <f t="shared" si="3"/>
        <v>0.45</v>
      </c>
      <c r="F46" s="757">
        <f t="shared" si="3"/>
        <v>0.05</v>
      </c>
      <c r="G46" s="757">
        <f t="shared" si="3"/>
        <v>0.15</v>
      </c>
      <c r="H46" s="758">
        <f t="shared" si="4"/>
        <v>1</v>
      </c>
      <c r="I46" s="756">
        <f t="shared" si="5"/>
        <v>0.2</v>
      </c>
      <c r="J46" s="757">
        <f t="shared" si="5"/>
        <v>0.3</v>
      </c>
      <c r="K46" s="757">
        <f t="shared" si="5"/>
        <v>0.25</v>
      </c>
      <c r="L46" s="757">
        <f t="shared" si="5"/>
        <v>0.05</v>
      </c>
      <c r="M46" s="757">
        <f t="shared" si="5"/>
        <v>0.2</v>
      </c>
      <c r="N46" s="758">
        <f t="shared" si="6"/>
        <v>1</v>
      </c>
      <c r="O46" s="759"/>
      <c r="R46" s="753">
        <f t="shared" si="7"/>
        <v>0.78500000000000003</v>
      </c>
      <c r="S46" s="754">
        <f t="shared" si="8"/>
        <v>0.71500000000000008</v>
      </c>
    </row>
    <row r="47" spans="2:19">
      <c r="B47" s="755">
        <f t="shared" si="2"/>
        <v>2029</v>
      </c>
      <c r="C47" s="756">
        <f t="shared" si="3"/>
        <v>0.15</v>
      </c>
      <c r="D47" s="757">
        <f t="shared" si="3"/>
        <v>0.2</v>
      </c>
      <c r="E47" s="757">
        <f t="shared" si="3"/>
        <v>0.45</v>
      </c>
      <c r="F47" s="757">
        <f t="shared" si="3"/>
        <v>0.05</v>
      </c>
      <c r="G47" s="757">
        <f t="shared" si="3"/>
        <v>0.15</v>
      </c>
      <c r="H47" s="758">
        <f t="shared" si="4"/>
        <v>1</v>
      </c>
      <c r="I47" s="756">
        <f t="shared" si="5"/>
        <v>0.2</v>
      </c>
      <c r="J47" s="757">
        <f t="shared" si="5"/>
        <v>0.3</v>
      </c>
      <c r="K47" s="757">
        <f t="shared" si="5"/>
        <v>0.25</v>
      </c>
      <c r="L47" s="757">
        <f t="shared" si="5"/>
        <v>0.05</v>
      </c>
      <c r="M47" s="757">
        <f t="shared" si="5"/>
        <v>0.2</v>
      </c>
      <c r="N47" s="758">
        <f t="shared" si="6"/>
        <v>1</v>
      </c>
      <c r="O47" s="759"/>
      <c r="R47" s="753">
        <f t="shared" si="7"/>
        <v>0.78500000000000003</v>
      </c>
      <c r="S47" s="754">
        <f t="shared" si="8"/>
        <v>0.71500000000000008</v>
      </c>
    </row>
    <row r="48" spans="2:19">
      <c r="B48" s="755">
        <f t="shared" si="2"/>
        <v>2030</v>
      </c>
      <c r="C48" s="756">
        <f t="shared" si="3"/>
        <v>0.15</v>
      </c>
      <c r="D48" s="757">
        <f t="shared" si="3"/>
        <v>0.2</v>
      </c>
      <c r="E48" s="757">
        <f t="shared" si="3"/>
        <v>0.45</v>
      </c>
      <c r="F48" s="757">
        <f t="shared" si="3"/>
        <v>0.05</v>
      </c>
      <c r="G48" s="757">
        <f t="shared" si="3"/>
        <v>0.15</v>
      </c>
      <c r="H48" s="758">
        <f t="shared" si="4"/>
        <v>1</v>
      </c>
      <c r="I48" s="756">
        <f t="shared" si="5"/>
        <v>0.2</v>
      </c>
      <c r="J48" s="757">
        <f t="shared" si="5"/>
        <v>0.3</v>
      </c>
      <c r="K48" s="757">
        <f t="shared" si="5"/>
        <v>0.25</v>
      </c>
      <c r="L48" s="757">
        <f t="shared" si="5"/>
        <v>0.05</v>
      </c>
      <c r="M48" s="757">
        <f t="shared" si="5"/>
        <v>0.2</v>
      </c>
      <c r="N48" s="758">
        <f t="shared" si="6"/>
        <v>1</v>
      </c>
      <c r="O48" s="759"/>
      <c r="R48" s="753">
        <f t="shared" si="7"/>
        <v>0.78500000000000003</v>
      </c>
      <c r="S48" s="754">
        <f t="shared" si="8"/>
        <v>0.71500000000000008</v>
      </c>
    </row>
    <row r="49" spans="2:19">
      <c r="B49" s="755">
        <f t="shared" si="2"/>
        <v>2031</v>
      </c>
      <c r="C49" s="756">
        <f t="shared" si="3"/>
        <v>0.15</v>
      </c>
      <c r="D49" s="757">
        <f t="shared" si="3"/>
        <v>0.2</v>
      </c>
      <c r="E49" s="757">
        <f t="shared" si="3"/>
        <v>0.45</v>
      </c>
      <c r="F49" s="757">
        <f t="shared" si="3"/>
        <v>0.05</v>
      </c>
      <c r="G49" s="757">
        <f t="shared" si="3"/>
        <v>0.15</v>
      </c>
      <c r="H49" s="758">
        <f t="shared" si="4"/>
        <v>1</v>
      </c>
      <c r="I49" s="756">
        <f t="shared" si="5"/>
        <v>0.2</v>
      </c>
      <c r="J49" s="757">
        <f t="shared" si="5"/>
        <v>0.3</v>
      </c>
      <c r="K49" s="757">
        <f t="shared" si="5"/>
        <v>0.25</v>
      </c>
      <c r="L49" s="757">
        <f t="shared" si="5"/>
        <v>0.05</v>
      </c>
      <c r="M49" s="757">
        <f t="shared" si="5"/>
        <v>0.2</v>
      </c>
      <c r="N49" s="758">
        <f t="shared" si="6"/>
        <v>1</v>
      </c>
      <c r="O49" s="759"/>
      <c r="R49" s="753">
        <f t="shared" si="7"/>
        <v>0.78500000000000003</v>
      </c>
      <c r="S49" s="754">
        <f t="shared" si="8"/>
        <v>0.71500000000000008</v>
      </c>
    </row>
    <row r="50" spans="2:19">
      <c r="B50" s="755">
        <f t="shared" si="2"/>
        <v>2032</v>
      </c>
      <c r="C50" s="756">
        <f t="shared" si="3"/>
        <v>0.15</v>
      </c>
      <c r="D50" s="757">
        <f t="shared" si="3"/>
        <v>0.2</v>
      </c>
      <c r="E50" s="757">
        <f t="shared" si="3"/>
        <v>0.45</v>
      </c>
      <c r="F50" s="757">
        <f t="shared" si="3"/>
        <v>0.05</v>
      </c>
      <c r="G50" s="757">
        <f t="shared" si="3"/>
        <v>0.15</v>
      </c>
      <c r="H50" s="758">
        <f t="shared" si="4"/>
        <v>1</v>
      </c>
      <c r="I50" s="756">
        <f t="shared" si="5"/>
        <v>0.2</v>
      </c>
      <c r="J50" s="757">
        <f t="shared" si="5"/>
        <v>0.3</v>
      </c>
      <c r="K50" s="757">
        <f t="shared" si="5"/>
        <v>0.25</v>
      </c>
      <c r="L50" s="757">
        <f t="shared" si="5"/>
        <v>0.05</v>
      </c>
      <c r="M50" s="757">
        <f t="shared" si="5"/>
        <v>0.2</v>
      </c>
      <c r="N50" s="758">
        <f t="shared" si="6"/>
        <v>1</v>
      </c>
      <c r="O50" s="759"/>
      <c r="R50" s="753">
        <f t="shared" si="7"/>
        <v>0.78500000000000003</v>
      </c>
      <c r="S50" s="754">
        <f t="shared" si="8"/>
        <v>0.71500000000000008</v>
      </c>
    </row>
    <row r="51" spans="2:19">
      <c r="B51" s="755">
        <f t="shared" ref="B51:B82" si="9">B50+1</f>
        <v>2033</v>
      </c>
      <c r="C51" s="756">
        <f t="shared" ref="C51:G98" si="10">C$16</f>
        <v>0.15</v>
      </c>
      <c r="D51" s="757">
        <f t="shared" si="10"/>
        <v>0.2</v>
      </c>
      <c r="E51" s="757">
        <f t="shared" si="10"/>
        <v>0.45</v>
      </c>
      <c r="F51" s="757">
        <f t="shared" si="10"/>
        <v>0.05</v>
      </c>
      <c r="G51" s="757">
        <f t="shared" si="10"/>
        <v>0.15</v>
      </c>
      <c r="H51" s="758">
        <f t="shared" si="4"/>
        <v>1</v>
      </c>
      <c r="I51" s="756">
        <f t="shared" ref="I51:M98" si="11">I$16</f>
        <v>0.2</v>
      </c>
      <c r="J51" s="757">
        <f t="shared" si="11"/>
        <v>0.3</v>
      </c>
      <c r="K51" s="757">
        <f t="shared" si="11"/>
        <v>0.25</v>
      </c>
      <c r="L51" s="757">
        <f t="shared" si="11"/>
        <v>0.05</v>
      </c>
      <c r="M51" s="757">
        <f t="shared" si="11"/>
        <v>0.2</v>
      </c>
      <c r="N51" s="758">
        <f t="shared" si="6"/>
        <v>1</v>
      </c>
      <c r="O51" s="759"/>
      <c r="R51" s="753">
        <f t="shared" si="7"/>
        <v>0.78500000000000003</v>
      </c>
      <c r="S51" s="754">
        <f t="shared" si="8"/>
        <v>0.71500000000000008</v>
      </c>
    </row>
    <row r="52" spans="2:19">
      <c r="B52" s="755">
        <f t="shared" si="9"/>
        <v>2034</v>
      </c>
      <c r="C52" s="756">
        <f t="shared" si="10"/>
        <v>0.15</v>
      </c>
      <c r="D52" s="757">
        <f t="shared" si="10"/>
        <v>0.2</v>
      </c>
      <c r="E52" s="757">
        <f t="shared" si="10"/>
        <v>0.45</v>
      </c>
      <c r="F52" s="757">
        <f t="shared" si="10"/>
        <v>0.05</v>
      </c>
      <c r="G52" s="757">
        <f t="shared" si="10"/>
        <v>0.15</v>
      </c>
      <c r="H52" s="758">
        <f t="shared" si="4"/>
        <v>1</v>
      </c>
      <c r="I52" s="756">
        <f t="shared" si="11"/>
        <v>0.2</v>
      </c>
      <c r="J52" s="757">
        <f t="shared" si="11"/>
        <v>0.3</v>
      </c>
      <c r="K52" s="757">
        <f t="shared" si="11"/>
        <v>0.25</v>
      </c>
      <c r="L52" s="757">
        <f t="shared" si="11"/>
        <v>0.05</v>
      </c>
      <c r="M52" s="757">
        <f t="shared" si="11"/>
        <v>0.2</v>
      </c>
      <c r="N52" s="758">
        <f t="shared" si="6"/>
        <v>1</v>
      </c>
      <c r="O52" s="759"/>
      <c r="R52" s="753">
        <f t="shared" si="7"/>
        <v>0.78500000000000003</v>
      </c>
      <c r="S52" s="754">
        <f t="shared" si="8"/>
        <v>0.71500000000000008</v>
      </c>
    </row>
    <row r="53" spans="2:19">
      <c r="B53" s="755">
        <f t="shared" si="9"/>
        <v>2035</v>
      </c>
      <c r="C53" s="756">
        <f t="shared" si="10"/>
        <v>0.15</v>
      </c>
      <c r="D53" s="757">
        <f t="shared" si="10"/>
        <v>0.2</v>
      </c>
      <c r="E53" s="757">
        <f t="shared" si="10"/>
        <v>0.45</v>
      </c>
      <c r="F53" s="757">
        <f t="shared" si="10"/>
        <v>0.05</v>
      </c>
      <c r="G53" s="757">
        <f t="shared" si="10"/>
        <v>0.15</v>
      </c>
      <c r="H53" s="758">
        <f t="shared" si="4"/>
        <v>1</v>
      </c>
      <c r="I53" s="756">
        <f t="shared" si="11"/>
        <v>0.2</v>
      </c>
      <c r="J53" s="757">
        <f t="shared" si="11"/>
        <v>0.3</v>
      </c>
      <c r="K53" s="757">
        <f t="shared" si="11"/>
        <v>0.25</v>
      </c>
      <c r="L53" s="757">
        <f t="shared" si="11"/>
        <v>0.05</v>
      </c>
      <c r="M53" s="757">
        <f t="shared" si="11"/>
        <v>0.2</v>
      </c>
      <c r="N53" s="758">
        <f t="shared" si="6"/>
        <v>1</v>
      </c>
      <c r="O53" s="759"/>
      <c r="R53" s="753">
        <f t="shared" si="7"/>
        <v>0.78500000000000003</v>
      </c>
      <c r="S53" s="754">
        <f t="shared" si="8"/>
        <v>0.71500000000000008</v>
      </c>
    </row>
    <row r="54" spans="2:19">
      <c r="B54" s="755">
        <f t="shared" si="9"/>
        <v>2036</v>
      </c>
      <c r="C54" s="756">
        <f t="shared" si="10"/>
        <v>0.15</v>
      </c>
      <c r="D54" s="757">
        <f t="shared" si="10"/>
        <v>0.2</v>
      </c>
      <c r="E54" s="757">
        <f t="shared" si="10"/>
        <v>0.45</v>
      </c>
      <c r="F54" s="757">
        <f t="shared" si="10"/>
        <v>0.05</v>
      </c>
      <c r="G54" s="757">
        <f t="shared" si="10"/>
        <v>0.15</v>
      </c>
      <c r="H54" s="758">
        <f t="shared" si="4"/>
        <v>1</v>
      </c>
      <c r="I54" s="756">
        <f t="shared" si="11"/>
        <v>0.2</v>
      </c>
      <c r="J54" s="757">
        <f t="shared" si="11"/>
        <v>0.3</v>
      </c>
      <c r="K54" s="757">
        <f t="shared" si="11"/>
        <v>0.25</v>
      </c>
      <c r="L54" s="757">
        <f t="shared" si="11"/>
        <v>0.05</v>
      </c>
      <c r="M54" s="757">
        <f t="shared" si="11"/>
        <v>0.2</v>
      </c>
      <c r="N54" s="758">
        <f t="shared" si="6"/>
        <v>1</v>
      </c>
      <c r="O54" s="759"/>
      <c r="R54" s="753">
        <f t="shared" si="7"/>
        <v>0.78500000000000003</v>
      </c>
      <c r="S54" s="754">
        <f t="shared" si="8"/>
        <v>0.71500000000000008</v>
      </c>
    </row>
    <row r="55" spans="2:19">
      <c r="B55" s="755">
        <f t="shared" si="9"/>
        <v>2037</v>
      </c>
      <c r="C55" s="756">
        <f t="shared" si="10"/>
        <v>0.15</v>
      </c>
      <c r="D55" s="757">
        <f t="shared" si="10"/>
        <v>0.2</v>
      </c>
      <c r="E55" s="757">
        <f t="shared" si="10"/>
        <v>0.45</v>
      </c>
      <c r="F55" s="757">
        <f t="shared" si="10"/>
        <v>0.05</v>
      </c>
      <c r="G55" s="757">
        <f t="shared" si="10"/>
        <v>0.15</v>
      </c>
      <c r="H55" s="758">
        <f t="shared" si="4"/>
        <v>1</v>
      </c>
      <c r="I55" s="756">
        <f t="shared" si="11"/>
        <v>0.2</v>
      </c>
      <c r="J55" s="757">
        <f t="shared" si="11"/>
        <v>0.3</v>
      </c>
      <c r="K55" s="757">
        <f t="shared" si="11"/>
        <v>0.25</v>
      </c>
      <c r="L55" s="757">
        <f t="shared" si="11"/>
        <v>0.05</v>
      </c>
      <c r="M55" s="757">
        <f t="shared" si="11"/>
        <v>0.2</v>
      </c>
      <c r="N55" s="758">
        <f t="shared" si="6"/>
        <v>1</v>
      </c>
      <c r="O55" s="759"/>
      <c r="R55" s="753">
        <f t="shared" si="7"/>
        <v>0.78500000000000003</v>
      </c>
      <c r="S55" s="754">
        <f t="shared" si="8"/>
        <v>0.71500000000000008</v>
      </c>
    </row>
    <row r="56" spans="2:19">
      <c r="B56" s="755">
        <f t="shared" si="9"/>
        <v>2038</v>
      </c>
      <c r="C56" s="756">
        <f t="shared" si="10"/>
        <v>0.15</v>
      </c>
      <c r="D56" s="757">
        <f t="shared" si="10"/>
        <v>0.2</v>
      </c>
      <c r="E56" s="757">
        <f t="shared" si="10"/>
        <v>0.45</v>
      </c>
      <c r="F56" s="757">
        <f t="shared" si="10"/>
        <v>0.05</v>
      </c>
      <c r="G56" s="757">
        <f t="shared" si="10"/>
        <v>0.15</v>
      </c>
      <c r="H56" s="758">
        <f t="shared" si="4"/>
        <v>1</v>
      </c>
      <c r="I56" s="756">
        <f t="shared" si="11"/>
        <v>0.2</v>
      </c>
      <c r="J56" s="757">
        <f t="shared" si="11"/>
        <v>0.3</v>
      </c>
      <c r="K56" s="757">
        <f t="shared" si="11"/>
        <v>0.25</v>
      </c>
      <c r="L56" s="757">
        <f t="shared" si="11"/>
        <v>0.05</v>
      </c>
      <c r="M56" s="757">
        <f t="shared" si="11"/>
        <v>0.2</v>
      </c>
      <c r="N56" s="758">
        <f t="shared" si="6"/>
        <v>1</v>
      </c>
      <c r="O56" s="759"/>
      <c r="R56" s="753">
        <f t="shared" si="7"/>
        <v>0.78500000000000003</v>
      </c>
      <c r="S56" s="754">
        <f t="shared" si="8"/>
        <v>0.71500000000000008</v>
      </c>
    </row>
    <row r="57" spans="2:19">
      <c r="B57" s="755">
        <f t="shared" si="9"/>
        <v>2039</v>
      </c>
      <c r="C57" s="756">
        <f t="shared" si="10"/>
        <v>0.15</v>
      </c>
      <c r="D57" s="757">
        <f t="shared" si="10"/>
        <v>0.2</v>
      </c>
      <c r="E57" s="757">
        <f t="shared" si="10"/>
        <v>0.45</v>
      </c>
      <c r="F57" s="757">
        <f t="shared" si="10"/>
        <v>0.05</v>
      </c>
      <c r="G57" s="757">
        <f t="shared" si="10"/>
        <v>0.15</v>
      </c>
      <c r="H57" s="758">
        <f t="shared" si="4"/>
        <v>1</v>
      </c>
      <c r="I57" s="756">
        <f t="shared" si="11"/>
        <v>0.2</v>
      </c>
      <c r="J57" s="757">
        <f t="shared" si="11"/>
        <v>0.3</v>
      </c>
      <c r="K57" s="757">
        <f t="shared" si="11"/>
        <v>0.25</v>
      </c>
      <c r="L57" s="757">
        <f t="shared" si="11"/>
        <v>0.05</v>
      </c>
      <c r="M57" s="757">
        <f t="shared" si="11"/>
        <v>0.2</v>
      </c>
      <c r="N57" s="758">
        <f t="shared" si="6"/>
        <v>1</v>
      </c>
      <c r="O57" s="759"/>
      <c r="R57" s="753">
        <f t="shared" si="7"/>
        <v>0.78500000000000003</v>
      </c>
      <c r="S57" s="754">
        <f t="shared" si="8"/>
        <v>0.71500000000000008</v>
      </c>
    </row>
    <row r="58" spans="2:19">
      <c r="B58" s="755">
        <f t="shared" si="9"/>
        <v>2040</v>
      </c>
      <c r="C58" s="756">
        <f t="shared" si="10"/>
        <v>0.15</v>
      </c>
      <c r="D58" s="757">
        <f t="shared" si="10"/>
        <v>0.2</v>
      </c>
      <c r="E58" s="757">
        <f t="shared" si="10"/>
        <v>0.45</v>
      </c>
      <c r="F58" s="757">
        <f t="shared" si="10"/>
        <v>0.05</v>
      </c>
      <c r="G58" s="757">
        <f t="shared" si="10"/>
        <v>0.15</v>
      </c>
      <c r="H58" s="758">
        <f t="shared" si="4"/>
        <v>1</v>
      </c>
      <c r="I58" s="756">
        <f t="shared" si="11"/>
        <v>0.2</v>
      </c>
      <c r="J58" s="757">
        <f t="shared" si="11"/>
        <v>0.3</v>
      </c>
      <c r="K58" s="757">
        <f t="shared" si="11"/>
        <v>0.25</v>
      </c>
      <c r="L58" s="757">
        <f t="shared" si="11"/>
        <v>0.05</v>
      </c>
      <c r="M58" s="757">
        <f t="shared" si="11"/>
        <v>0.2</v>
      </c>
      <c r="N58" s="758">
        <f t="shared" si="6"/>
        <v>1</v>
      </c>
      <c r="O58" s="759"/>
      <c r="R58" s="753">
        <f t="shared" si="7"/>
        <v>0.78500000000000003</v>
      </c>
      <c r="S58" s="754">
        <f t="shared" si="8"/>
        <v>0.71500000000000008</v>
      </c>
    </row>
    <row r="59" spans="2:19">
      <c r="B59" s="755">
        <f t="shared" si="9"/>
        <v>2041</v>
      </c>
      <c r="C59" s="756">
        <f t="shared" si="10"/>
        <v>0.15</v>
      </c>
      <c r="D59" s="757">
        <f t="shared" si="10"/>
        <v>0.2</v>
      </c>
      <c r="E59" s="757">
        <f t="shared" si="10"/>
        <v>0.45</v>
      </c>
      <c r="F59" s="757">
        <f t="shared" si="10"/>
        <v>0.05</v>
      </c>
      <c r="G59" s="757">
        <f t="shared" si="10"/>
        <v>0.15</v>
      </c>
      <c r="H59" s="758">
        <f t="shared" si="4"/>
        <v>1</v>
      </c>
      <c r="I59" s="756">
        <f t="shared" si="11"/>
        <v>0.2</v>
      </c>
      <c r="J59" s="757">
        <f t="shared" si="11"/>
        <v>0.3</v>
      </c>
      <c r="K59" s="757">
        <f t="shared" si="11"/>
        <v>0.25</v>
      </c>
      <c r="L59" s="757">
        <f t="shared" si="11"/>
        <v>0.05</v>
      </c>
      <c r="M59" s="757">
        <f t="shared" si="11"/>
        <v>0.2</v>
      </c>
      <c r="N59" s="758">
        <f t="shared" si="6"/>
        <v>1</v>
      </c>
      <c r="O59" s="759"/>
      <c r="R59" s="753">
        <f t="shared" si="7"/>
        <v>0.78500000000000003</v>
      </c>
      <c r="S59" s="754">
        <f t="shared" si="8"/>
        <v>0.71500000000000008</v>
      </c>
    </row>
    <row r="60" spans="2:19">
      <c r="B60" s="755">
        <f t="shared" si="9"/>
        <v>2042</v>
      </c>
      <c r="C60" s="756">
        <f t="shared" si="10"/>
        <v>0.15</v>
      </c>
      <c r="D60" s="757">
        <f t="shared" si="10"/>
        <v>0.2</v>
      </c>
      <c r="E60" s="757">
        <f t="shared" si="10"/>
        <v>0.45</v>
      </c>
      <c r="F60" s="757">
        <f t="shared" si="10"/>
        <v>0.05</v>
      </c>
      <c r="G60" s="757">
        <f t="shared" si="10"/>
        <v>0.15</v>
      </c>
      <c r="H60" s="758">
        <f t="shared" si="4"/>
        <v>1</v>
      </c>
      <c r="I60" s="756">
        <f t="shared" si="11"/>
        <v>0.2</v>
      </c>
      <c r="J60" s="757">
        <f t="shared" si="11"/>
        <v>0.3</v>
      </c>
      <c r="K60" s="757">
        <f t="shared" si="11"/>
        <v>0.25</v>
      </c>
      <c r="L60" s="757">
        <f t="shared" si="11"/>
        <v>0.05</v>
      </c>
      <c r="M60" s="757">
        <f t="shared" si="11"/>
        <v>0.2</v>
      </c>
      <c r="N60" s="758">
        <f t="shared" si="6"/>
        <v>1</v>
      </c>
      <c r="O60" s="759"/>
      <c r="R60" s="753">
        <f t="shared" si="7"/>
        <v>0.78500000000000003</v>
      </c>
      <c r="S60" s="754">
        <f t="shared" si="8"/>
        <v>0.71500000000000008</v>
      </c>
    </row>
    <row r="61" spans="2:19">
      <c r="B61" s="755">
        <f t="shared" si="9"/>
        <v>2043</v>
      </c>
      <c r="C61" s="756">
        <f t="shared" si="10"/>
        <v>0.15</v>
      </c>
      <c r="D61" s="757">
        <f t="shared" si="10"/>
        <v>0.2</v>
      </c>
      <c r="E61" s="757">
        <f t="shared" si="10"/>
        <v>0.45</v>
      </c>
      <c r="F61" s="757">
        <f t="shared" si="10"/>
        <v>0.05</v>
      </c>
      <c r="G61" s="757">
        <f t="shared" si="10"/>
        <v>0.15</v>
      </c>
      <c r="H61" s="758">
        <f t="shared" si="4"/>
        <v>1</v>
      </c>
      <c r="I61" s="756">
        <f t="shared" si="11"/>
        <v>0.2</v>
      </c>
      <c r="J61" s="757">
        <f t="shared" si="11"/>
        <v>0.3</v>
      </c>
      <c r="K61" s="757">
        <f t="shared" si="11"/>
        <v>0.25</v>
      </c>
      <c r="L61" s="757">
        <f t="shared" si="11"/>
        <v>0.05</v>
      </c>
      <c r="M61" s="757">
        <f t="shared" si="11"/>
        <v>0.2</v>
      </c>
      <c r="N61" s="758">
        <f t="shared" si="6"/>
        <v>1</v>
      </c>
      <c r="O61" s="759"/>
      <c r="R61" s="753">
        <f t="shared" si="7"/>
        <v>0.78500000000000003</v>
      </c>
      <c r="S61" s="754">
        <f t="shared" si="8"/>
        <v>0.71500000000000008</v>
      </c>
    </row>
    <row r="62" spans="2:19">
      <c r="B62" s="755">
        <f t="shared" si="9"/>
        <v>2044</v>
      </c>
      <c r="C62" s="756">
        <f t="shared" si="10"/>
        <v>0.15</v>
      </c>
      <c r="D62" s="757">
        <f t="shared" si="10"/>
        <v>0.2</v>
      </c>
      <c r="E62" s="757">
        <f t="shared" si="10"/>
        <v>0.45</v>
      </c>
      <c r="F62" s="757">
        <f t="shared" si="10"/>
        <v>0.05</v>
      </c>
      <c r="G62" s="757">
        <f t="shared" si="10"/>
        <v>0.15</v>
      </c>
      <c r="H62" s="758">
        <f t="shared" si="4"/>
        <v>1</v>
      </c>
      <c r="I62" s="756">
        <f t="shared" si="11"/>
        <v>0.2</v>
      </c>
      <c r="J62" s="757">
        <f t="shared" si="11"/>
        <v>0.3</v>
      </c>
      <c r="K62" s="757">
        <f t="shared" si="11"/>
        <v>0.25</v>
      </c>
      <c r="L62" s="757">
        <f t="shared" si="11"/>
        <v>0.05</v>
      </c>
      <c r="M62" s="757">
        <f t="shared" si="11"/>
        <v>0.2</v>
      </c>
      <c r="N62" s="758">
        <f t="shared" si="6"/>
        <v>1</v>
      </c>
      <c r="O62" s="759"/>
      <c r="R62" s="753">
        <f t="shared" si="7"/>
        <v>0.78500000000000003</v>
      </c>
      <c r="S62" s="754">
        <f t="shared" si="8"/>
        <v>0.71500000000000008</v>
      </c>
    </row>
    <row r="63" spans="2:19">
      <c r="B63" s="755">
        <f t="shared" si="9"/>
        <v>2045</v>
      </c>
      <c r="C63" s="756">
        <f t="shared" si="10"/>
        <v>0.15</v>
      </c>
      <c r="D63" s="757">
        <f t="shared" si="10"/>
        <v>0.2</v>
      </c>
      <c r="E63" s="757">
        <f t="shared" si="10"/>
        <v>0.45</v>
      </c>
      <c r="F63" s="757">
        <f t="shared" si="10"/>
        <v>0.05</v>
      </c>
      <c r="G63" s="757">
        <f t="shared" si="10"/>
        <v>0.15</v>
      </c>
      <c r="H63" s="758">
        <f t="shared" si="4"/>
        <v>1</v>
      </c>
      <c r="I63" s="756">
        <f t="shared" si="11"/>
        <v>0.2</v>
      </c>
      <c r="J63" s="757">
        <f t="shared" si="11"/>
        <v>0.3</v>
      </c>
      <c r="K63" s="757">
        <f t="shared" si="11"/>
        <v>0.25</v>
      </c>
      <c r="L63" s="757">
        <f t="shared" si="11"/>
        <v>0.05</v>
      </c>
      <c r="M63" s="757">
        <f t="shared" si="11"/>
        <v>0.2</v>
      </c>
      <c r="N63" s="758">
        <f t="shared" si="6"/>
        <v>1</v>
      </c>
      <c r="O63" s="759"/>
      <c r="R63" s="753">
        <f t="shared" si="7"/>
        <v>0.78500000000000003</v>
      </c>
      <c r="S63" s="754">
        <f t="shared" si="8"/>
        <v>0.71500000000000008</v>
      </c>
    </row>
    <row r="64" spans="2:19">
      <c r="B64" s="755">
        <f t="shared" si="9"/>
        <v>2046</v>
      </c>
      <c r="C64" s="756">
        <f t="shared" si="10"/>
        <v>0.15</v>
      </c>
      <c r="D64" s="757">
        <f t="shared" si="10"/>
        <v>0.2</v>
      </c>
      <c r="E64" s="757">
        <f t="shared" si="10"/>
        <v>0.45</v>
      </c>
      <c r="F64" s="757">
        <f t="shared" si="10"/>
        <v>0.05</v>
      </c>
      <c r="G64" s="757">
        <f t="shared" si="10"/>
        <v>0.15</v>
      </c>
      <c r="H64" s="758">
        <f t="shared" si="4"/>
        <v>1</v>
      </c>
      <c r="I64" s="756">
        <f t="shared" si="11"/>
        <v>0.2</v>
      </c>
      <c r="J64" s="757">
        <f t="shared" si="11"/>
        <v>0.3</v>
      </c>
      <c r="K64" s="757">
        <f t="shared" si="11"/>
        <v>0.25</v>
      </c>
      <c r="L64" s="757">
        <f t="shared" si="11"/>
        <v>0.05</v>
      </c>
      <c r="M64" s="757">
        <f t="shared" si="11"/>
        <v>0.2</v>
      </c>
      <c r="N64" s="758">
        <f t="shared" si="6"/>
        <v>1</v>
      </c>
      <c r="O64" s="759"/>
      <c r="R64" s="753">
        <f t="shared" si="7"/>
        <v>0.78500000000000003</v>
      </c>
      <c r="S64" s="754">
        <f t="shared" si="8"/>
        <v>0.71500000000000008</v>
      </c>
    </row>
    <row r="65" spans="2:19">
      <c r="B65" s="755">
        <f t="shared" si="9"/>
        <v>2047</v>
      </c>
      <c r="C65" s="756">
        <f t="shared" si="10"/>
        <v>0.15</v>
      </c>
      <c r="D65" s="757">
        <f t="shared" si="10"/>
        <v>0.2</v>
      </c>
      <c r="E65" s="757">
        <f t="shared" si="10"/>
        <v>0.45</v>
      </c>
      <c r="F65" s="757">
        <f t="shared" si="10"/>
        <v>0.05</v>
      </c>
      <c r="G65" s="757">
        <f t="shared" si="10"/>
        <v>0.15</v>
      </c>
      <c r="H65" s="758">
        <f t="shared" si="4"/>
        <v>1</v>
      </c>
      <c r="I65" s="756">
        <f t="shared" si="11"/>
        <v>0.2</v>
      </c>
      <c r="J65" s="757">
        <f t="shared" si="11"/>
        <v>0.3</v>
      </c>
      <c r="K65" s="757">
        <f t="shared" si="11"/>
        <v>0.25</v>
      </c>
      <c r="L65" s="757">
        <f t="shared" si="11"/>
        <v>0.05</v>
      </c>
      <c r="M65" s="757">
        <f t="shared" si="11"/>
        <v>0.2</v>
      </c>
      <c r="N65" s="758">
        <f t="shared" si="6"/>
        <v>1</v>
      </c>
      <c r="O65" s="759"/>
      <c r="R65" s="753">
        <f t="shared" si="7"/>
        <v>0.78500000000000003</v>
      </c>
      <c r="S65" s="754">
        <f t="shared" si="8"/>
        <v>0.71500000000000008</v>
      </c>
    </row>
    <row r="66" spans="2:19">
      <c r="B66" s="755">
        <f t="shared" si="9"/>
        <v>2048</v>
      </c>
      <c r="C66" s="756">
        <f t="shared" si="10"/>
        <v>0.15</v>
      </c>
      <c r="D66" s="757">
        <f t="shared" si="10"/>
        <v>0.2</v>
      </c>
      <c r="E66" s="757">
        <f t="shared" si="10"/>
        <v>0.45</v>
      </c>
      <c r="F66" s="757">
        <f t="shared" si="10"/>
        <v>0.05</v>
      </c>
      <c r="G66" s="757">
        <f t="shared" si="10"/>
        <v>0.15</v>
      </c>
      <c r="H66" s="758">
        <f t="shared" si="4"/>
        <v>1</v>
      </c>
      <c r="I66" s="756">
        <f t="shared" si="11"/>
        <v>0.2</v>
      </c>
      <c r="J66" s="757">
        <f t="shared" si="11"/>
        <v>0.3</v>
      </c>
      <c r="K66" s="757">
        <f t="shared" si="11"/>
        <v>0.25</v>
      </c>
      <c r="L66" s="757">
        <f t="shared" si="11"/>
        <v>0.05</v>
      </c>
      <c r="M66" s="757">
        <f t="shared" si="11"/>
        <v>0.2</v>
      </c>
      <c r="N66" s="758">
        <f t="shared" si="6"/>
        <v>1</v>
      </c>
      <c r="O66" s="759"/>
      <c r="R66" s="753">
        <f t="shared" si="7"/>
        <v>0.78500000000000003</v>
      </c>
      <c r="S66" s="754">
        <f t="shared" si="8"/>
        <v>0.71500000000000008</v>
      </c>
    </row>
    <row r="67" spans="2:19">
      <c r="B67" s="755">
        <f t="shared" si="9"/>
        <v>2049</v>
      </c>
      <c r="C67" s="756">
        <f t="shared" si="10"/>
        <v>0.15</v>
      </c>
      <c r="D67" s="757">
        <f t="shared" si="10"/>
        <v>0.2</v>
      </c>
      <c r="E67" s="757">
        <f t="shared" si="10"/>
        <v>0.45</v>
      </c>
      <c r="F67" s="757">
        <f t="shared" si="10"/>
        <v>0.05</v>
      </c>
      <c r="G67" s="757">
        <f t="shared" si="10"/>
        <v>0.15</v>
      </c>
      <c r="H67" s="758">
        <f t="shared" si="4"/>
        <v>1</v>
      </c>
      <c r="I67" s="756">
        <f t="shared" si="11"/>
        <v>0.2</v>
      </c>
      <c r="J67" s="757">
        <f t="shared" si="11"/>
        <v>0.3</v>
      </c>
      <c r="K67" s="757">
        <f t="shared" si="11"/>
        <v>0.25</v>
      </c>
      <c r="L67" s="757">
        <f t="shared" si="11"/>
        <v>0.05</v>
      </c>
      <c r="M67" s="757">
        <f t="shared" si="11"/>
        <v>0.2</v>
      </c>
      <c r="N67" s="758">
        <f t="shared" si="6"/>
        <v>1</v>
      </c>
      <c r="O67" s="759"/>
      <c r="R67" s="753">
        <f t="shared" si="7"/>
        <v>0.78500000000000003</v>
      </c>
      <c r="S67" s="754">
        <f t="shared" si="8"/>
        <v>0.71500000000000008</v>
      </c>
    </row>
    <row r="68" spans="2:19">
      <c r="B68" s="755">
        <f t="shared" si="9"/>
        <v>2050</v>
      </c>
      <c r="C68" s="756">
        <f t="shared" si="10"/>
        <v>0.15</v>
      </c>
      <c r="D68" s="757">
        <f t="shared" si="10"/>
        <v>0.2</v>
      </c>
      <c r="E68" s="757">
        <f t="shared" si="10"/>
        <v>0.45</v>
      </c>
      <c r="F68" s="757">
        <f t="shared" si="10"/>
        <v>0.05</v>
      </c>
      <c r="G68" s="757">
        <f t="shared" si="10"/>
        <v>0.15</v>
      </c>
      <c r="H68" s="758">
        <f t="shared" si="4"/>
        <v>1</v>
      </c>
      <c r="I68" s="756">
        <f t="shared" si="11"/>
        <v>0.2</v>
      </c>
      <c r="J68" s="757">
        <f t="shared" si="11"/>
        <v>0.3</v>
      </c>
      <c r="K68" s="757">
        <f t="shared" si="11"/>
        <v>0.25</v>
      </c>
      <c r="L68" s="757">
        <f t="shared" si="11"/>
        <v>0.05</v>
      </c>
      <c r="M68" s="757">
        <f t="shared" si="11"/>
        <v>0.2</v>
      </c>
      <c r="N68" s="758">
        <f t="shared" si="6"/>
        <v>1</v>
      </c>
      <c r="O68" s="759"/>
      <c r="R68" s="753">
        <f t="shared" si="7"/>
        <v>0.78500000000000003</v>
      </c>
      <c r="S68" s="754">
        <f t="shared" si="8"/>
        <v>0.71500000000000008</v>
      </c>
    </row>
    <row r="69" spans="2:19">
      <c r="B69" s="755">
        <f t="shared" si="9"/>
        <v>2051</v>
      </c>
      <c r="C69" s="756">
        <f t="shared" si="10"/>
        <v>0.15</v>
      </c>
      <c r="D69" s="757">
        <f t="shared" si="10"/>
        <v>0.2</v>
      </c>
      <c r="E69" s="757">
        <f t="shared" si="10"/>
        <v>0.45</v>
      </c>
      <c r="F69" s="757">
        <f t="shared" si="10"/>
        <v>0.05</v>
      </c>
      <c r="G69" s="757">
        <f t="shared" si="10"/>
        <v>0.15</v>
      </c>
      <c r="H69" s="758">
        <f t="shared" si="4"/>
        <v>1</v>
      </c>
      <c r="I69" s="756">
        <f t="shared" si="11"/>
        <v>0.2</v>
      </c>
      <c r="J69" s="757">
        <f t="shared" si="11"/>
        <v>0.3</v>
      </c>
      <c r="K69" s="757">
        <f t="shared" si="11"/>
        <v>0.25</v>
      </c>
      <c r="L69" s="757">
        <f t="shared" si="11"/>
        <v>0.05</v>
      </c>
      <c r="M69" s="757">
        <f t="shared" si="11"/>
        <v>0.2</v>
      </c>
      <c r="N69" s="758">
        <f t="shared" si="6"/>
        <v>1</v>
      </c>
      <c r="O69" s="759"/>
      <c r="R69" s="753">
        <f t="shared" si="7"/>
        <v>0.78500000000000003</v>
      </c>
      <c r="S69" s="754">
        <f t="shared" si="8"/>
        <v>0.71500000000000008</v>
      </c>
    </row>
    <row r="70" spans="2:19">
      <c r="B70" s="755">
        <f t="shared" si="9"/>
        <v>2052</v>
      </c>
      <c r="C70" s="756">
        <f t="shared" si="10"/>
        <v>0.15</v>
      </c>
      <c r="D70" s="757">
        <f t="shared" si="10"/>
        <v>0.2</v>
      </c>
      <c r="E70" s="757">
        <f t="shared" si="10"/>
        <v>0.45</v>
      </c>
      <c r="F70" s="757">
        <f t="shared" si="10"/>
        <v>0.05</v>
      </c>
      <c r="G70" s="757">
        <f t="shared" si="10"/>
        <v>0.15</v>
      </c>
      <c r="H70" s="758">
        <f t="shared" si="4"/>
        <v>1</v>
      </c>
      <c r="I70" s="756">
        <f t="shared" si="11"/>
        <v>0.2</v>
      </c>
      <c r="J70" s="757">
        <f t="shared" si="11"/>
        <v>0.3</v>
      </c>
      <c r="K70" s="757">
        <f t="shared" si="11"/>
        <v>0.25</v>
      </c>
      <c r="L70" s="757">
        <f t="shared" si="11"/>
        <v>0.05</v>
      </c>
      <c r="M70" s="757">
        <f t="shared" si="11"/>
        <v>0.2</v>
      </c>
      <c r="N70" s="758">
        <f t="shared" si="6"/>
        <v>1</v>
      </c>
      <c r="O70" s="759"/>
      <c r="R70" s="753">
        <f t="shared" si="7"/>
        <v>0.78500000000000003</v>
      </c>
      <c r="S70" s="754">
        <f t="shared" si="8"/>
        <v>0.71500000000000008</v>
      </c>
    </row>
    <row r="71" spans="2:19">
      <c r="B71" s="755">
        <f t="shared" si="9"/>
        <v>2053</v>
      </c>
      <c r="C71" s="756">
        <f t="shared" si="10"/>
        <v>0.15</v>
      </c>
      <c r="D71" s="757">
        <f t="shared" si="10"/>
        <v>0.2</v>
      </c>
      <c r="E71" s="757">
        <f t="shared" si="10"/>
        <v>0.45</v>
      </c>
      <c r="F71" s="757">
        <f t="shared" si="10"/>
        <v>0.05</v>
      </c>
      <c r="G71" s="757">
        <f t="shared" si="10"/>
        <v>0.15</v>
      </c>
      <c r="H71" s="758">
        <f t="shared" si="4"/>
        <v>1</v>
      </c>
      <c r="I71" s="756">
        <f t="shared" si="11"/>
        <v>0.2</v>
      </c>
      <c r="J71" s="757">
        <f t="shared" si="11"/>
        <v>0.3</v>
      </c>
      <c r="K71" s="757">
        <f t="shared" si="11"/>
        <v>0.25</v>
      </c>
      <c r="L71" s="757">
        <f t="shared" si="11"/>
        <v>0.05</v>
      </c>
      <c r="M71" s="757">
        <f t="shared" si="11"/>
        <v>0.2</v>
      </c>
      <c r="N71" s="758">
        <f t="shared" si="6"/>
        <v>1</v>
      </c>
      <c r="O71" s="759"/>
      <c r="R71" s="753">
        <f t="shared" si="7"/>
        <v>0.78500000000000003</v>
      </c>
      <c r="S71" s="754">
        <f t="shared" si="8"/>
        <v>0.71500000000000008</v>
      </c>
    </row>
    <row r="72" spans="2:19">
      <c r="B72" s="755">
        <f t="shared" si="9"/>
        <v>2054</v>
      </c>
      <c r="C72" s="756">
        <f t="shared" si="10"/>
        <v>0.15</v>
      </c>
      <c r="D72" s="757">
        <f t="shared" si="10"/>
        <v>0.2</v>
      </c>
      <c r="E72" s="757">
        <f t="shared" si="10"/>
        <v>0.45</v>
      </c>
      <c r="F72" s="757">
        <f t="shared" si="10"/>
        <v>0.05</v>
      </c>
      <c r="G72" s="757">
        <f t="shared" si="10"/>
        <v>0.15</v>
      </c>
      <c r="H72" s="758">
        <f t="shared" si="4"/>
        <v>1</v>
      </c>
      <c r="I72" s="756">
        <f t="shared" si="11"/>
        <v>0.2</v>
      </c>
      <c r="J72" s="757">
        <f t="shared" si="11"/>
        <v>0.3</v>
      </c>
      <c r="K72" s="757">
        <f t="shared" si="11"/>
        <v>0.25</v>
      </c>
      <c r="L72" s="757">
        <f t="shared" si="11"/>
        <v>0.05</v>
      </c>
      <c r="M72" s="757">
        <f t="shared" si="11"/>
        <v>0.2</v>
      </c>
      <c r="N72" s="758">
        <f t="shared" si="6"/>
        <v>1</v>
      </c>
      <c r="O72" s="759"/>
      <c r="R72" s="753">
        <f t="shared" si="7"/>
        <v>0.78500000000000003</v>
      </c>
      <c r="S72" s="754">
        <f t="shared" si="8"/>
        <v>0.71500000000000008</v>
      </c>
    </row>
    <row r="73" spans="2:19">
      <c r="B73" s="755">
        <f t="shared" si="9"/>
        <v>2055</v>
      </c>
      <c r="C73" s="756">
        <f t="shared" si="10"/>
        <v>0.15</v>
      </c>
      <c r="D73" s="757">
        <f t="shared" si="10"/>
        <v>0.2</v>
      </c>
      <c r="E73" s="757">
        <f t="shared" si="10"/>
        <v>0.45</v>
      </c>
      <c r="F73" s="757">
        <f t="shared" si="10"/>
        <v>0.05</v>
      </c>
      <c r="G73" s="757">
        <f t="shared" si="10"/>
        <v>0.15</v>
      </c>
      <c r="H73" s="758">
        <f t="shared" si="4"/>
        <v>1</v>
      </c>
      <c r="I73" s="756">
        <f t="shared" si="11"/>
        <v>0.2</v>
      </c>
      <c r="J73" s="757">
        <f t="shared" si="11"/>
        <v>0.3</v>
      </c>
      <c r="K73" s="757">
        <f t="shared" si="11"/>
        <v>0.25</v>
      </c>
      <c r="L73" s="757">
        <f t="shared" si="11"/>
        <v>0.05</v>
      </c>
      <c r="M73" s="757">
        <f t="shared" si="11"/>
        <v>0.2</v>
      </c>
      <c r="N73" s="758">
        <f t="shared" si="6"/>
        <v>1</v>
      </c>
      <c r="O73" s="759"/>
      <c r="R73" s="753">
        <f t="shared" si="7"/>
        <v>0.78500000000000003</v>
      </c>
      <c r="S73" s="754">
        <f t="shared" si="8"/>
        <v>0.71500000000000008</v>
      </c>
    </row>
    <row r="74" spans="2:19">
      <c r="B74" s="755">
        <f t="shared" si="9"/>
        <v>2056</v>
      </c>
      <c r="C74" s="756">
        <f t="shared" si="10"/>
        <v>0.15</v>
      </c>
      <c r="D74" s="757">
        <f t="shared" si="10"/>
        <v>0.2</v>
      </c>
      <c r="E74" s="757">
        <f t="shared" si="10"/>
        <v>0.45</v>
      </c>
      <c r="F74" s="757">
        <f t="shared" si="10"/>
        <v>0.05</v>
      </c>
      <c r="G74" s="757">
        <f t="shared" si="10"/>
        <v>0.15</v>
      </c>
      <c r="H74" s="758">
        <f t="shared" si="4"/>
        <v>1</v>
      </c>
      <c r="I74" s="756">
        <f t="shared" si="11"/>
        <v>0.2</v>
      </c>
      <c r="J74" s="757">
        <f t="shared" si="11"/>
        <v>0.3</v>
      </c>
      <c r="K74" s="757">
        <f t="shared" si="11"/>
        <v>0.25</v>
      </c>
      <c r="L74" s="757">
        <f t="shared" si="11"/>
        <v>0.05</v>
      </c>
      <c r="M74" s="757">
        <f t="shared" si="11"/>
        <v>0.2</v>
      </c>
      <c r="N74" s="758">
        <f t="shared" si="6"/>
        <v>1</v>
      </c>
      <c r="O74" s="759"/>
      <c r="R74" s="753">
        <f t="shared" si="7"/>
        <v>0.78500000000000003</v>
      </c>
      <c r="S74" s="754">
        <f t="shared" si="8"/>
        <v>0.71500000000000008</v>
      </c>
    </row>
    <row r="75" spans="2:19">
      <c r="B75" s="755">
        <f t="shared" si="9"/>
        <v>2057</v>
      </c>
      <c r="C75" s="756">
        <f t="shared" si="10"/>
        <v>0.15</v>
      </c>
      <c r="D75" s="757">
        <f t="shared" si="10"/>
        <v>0.2</v>
      </c>
      <c r="E75" s="757">
        <f t="shared" si="10"/>
        <v>0.45</v>
      </c>
      <c r="F75" s="757">
        <f t="shared" si="10"/>
        <v>0.05</v>
      </c>
      <c r="G75" s="757">
        <f t="shared" si="10"/>
        <v>0.15</v>
      </c>
      <c r="H75" s="758">
        <f t="shared" si="4"/>
        <v>1</v>
      </c>
      <c r="I75" s="756">
        <f t="shared" si="11"/>
        <v>0.2</v>
      </c>
      <c r="J75" s="757">
        <f t="shared" si="11"/>
        <v>0.3</v>
      </c>
      <c r="K75" s="757">
        <f t="shared" si="11"/>
        <v>0.25</v>
      </c>
      <c r="L75" s="757">
        <f t="shared" si="11"/>
        <v>0.05</v>
      </c>
      <c r="M75" s="757">
        <f t="shared" si="11"/>
        <v>0.2</v>
      </c>
      <c r="N75" s="758">
        <f t="shared" si="6"/>
        <v>1</v>
      </c>
      <c r="O75" s="759"/>
      <c r="R75" s="753">
        <f t="shared" si="7"/>
        <v>0.78500000000000003</v>
      </c>
      <c r="S75" s="754">
        <f t="shared" si="8"/>
        <v>0.71500000000000008</v>
      </c>
    </row>
    <row r="76" spans="2:19">
      <c r="B76" s="755">
        <f t="shared" si="9"/>
        <v>2058</v>
      </c>
      <c r="C76" s="756">
        <f t="shared" si="10"/>
        <v>0.15</v>
      </c>
      <c r="D76" s="757">
        <f t="shared" si="10"/>
        <v>0.2</v>
      </c>
      <c r="E76" s="757">
        <f t="shared" si="10"/>
        <v>0.45</v>
      </c>
      <c r="F76" s="757">
        <f t="shared" si="10"/>
        <v>0.05</v>
      </c>
      <c r="G76" s="757">
        <f t="shared" si="10"/>
        <v>0.15</v>
      </c>
      <c r="H76" s="758">
        <f t="shared" si="4"/>
        <v>1</v>
      </c>
      <c r="I76" s="756">
        <f t="shared" si="11"/>
        <v>0.2</v>
      </c>
      <c r="J76" s="757">
        <f t="shared" si="11"/>
        <v>0.3</v>
      </c>
      <c r="K76" s="757">
        <f t="shared" si="11"/>
        <v>0.25</v>
      </c>
      <c r="L76" s="757">
        <f t="shared" si="11"/>
        <v>0.05</v>
      </c>
      <c r="M76" s="757">
        <f t="shared" si="11"/>
        <v>0.2</v>
      </c>
      <c r="N76" s="758">
        <f t="shared" si="6"/>
        <v>1</v>
      </c>
      <c r="O76" s="759"/>
      <c r="R76" s="753">
        <f t="shared" si="7"/>
        <v>0.78500000000000003</v>
      </c>
      <c r="S76" s="754">
        <f t="shared" si="8"/>
        <v>0.71500000000000008</v>
      </c>
    </row>
    <row r="77" spans="2:19">
      <c r="B77" s="755">
        <f t="shared" si="9"/>
        <v>2059</v>
      </c>
      <c r="C77" s="756">
        <f t="shared" si="10"/>
        <v>0.15</v>
      </c>
      <c r="D77" s="757">
        <f t="shared" si="10"/>
        <v>0.2</v>
      </c>
      <c r="E77" s="757">
        <f t="shared" si="10"/>
        <v>0.45</v>
      </c>
      <c r="F77" s="757">
        <f t="shared" si="10"/>
        <v>0.05</v>
      </c>
      <c r="G77" s="757">
        <f t="shared" si="10"/>
        <v>0.15</v>
      </c>
      <c r="H77" s="758">
        <f t="shared" si="4"/>
        <v>1</v>
      </c>
      <c r="I77" s="756">
        <f t="shared" si="11"/>
        <v>0.2</v>
      </c>
      <c r="J77" s="757">
        <f t="shared" si="11"/>
        <v>0.3</v>
      </c>
      <c r="K77" s="757">
        <f t="shared" si="11"/>
        <v>0.25</v>
      </c>
      <c r="L77" s="757">
        <f t="shared" si="11"/>
        <v>0.05</v>
      </c>
      <c r="M77" s="757">
        <f t="shared" si="11"/>
        <v>0.2</v>
      </c>
      <c r="N77" s="758">
        <f t="shared" si="6"/>
        <v>1</v>
      </c>
      <c r="O77" s="759"/>
      <c r="R77" s="753">
        <f t="shared" si="7"/>
        <v>0.78500000000000003</v>
      </c>
      <c r="S77" s="754">
        <f t="shared" si="8"/>
        <v>0.71500000000000008</v>
      </c>
    </row>
    <row r="78" spans="2:19">
      <c r="B78" s="755">
        <f t="shared" si="9"/>
        <v>2060</v>
      </c>
      <c r="C78" s="756">
        <f t="shared" si="10"/>
        <v>0.15</v>
      </c>
      <c r="D78" s="757">
        <f t="shared" si="10"/>
        <v>0.2</v>
      </c>
      <c r="E78" s="757">
        <f t="shared" si="10"/>
        <v>0.45</v>
      </c>
      <c r="F78" s="757">
        <f t="shared" si="10"/>
        <v>0.05</v>
      </c>
      <c r="G78" s="757">
        <f t="shared" si="10"/>
        <v>0.15</v>
      </c>
      <c r="H78" s="758">
        <f t="shared" si="4"/>
        <v>1</v>
      </c>
      <c r="I78" s="756">
        <f t="shared" si="11"/>
        <v>0.2</v>
      </c>
      <c r="J78" s="757">
        <f t="shared" si="11"/>
        <v>0.3</v>
      </c>
      <c r="K78" s="757">
        <f t="shared" si="11"/>
        <v>0.25</v>
      </c>
      <c r="L78" s="757">
        <f t="shared" si="11"/>
        <v>0.05</v>
      </c>
      <c r="M78" s="757">
        <f t="shared" si="11"/>
        <v>0.2</v>
      </c>
      <c r="N78" s="758">
        <f t="shared" si="6"/>
        <v>1</v>
      </c>
      <c r="O78" s="759"/>
      <c r="R78" s="753">
        <f t="shared" si="7"/>
        <v>0.78500000000000003</v>
      </c>
      <c r="S78" s="754">
        <f t="shared" si="8"/>
        <v>0.71500000000000008</v>
      </c>
    </row>
    <row r="79" spans="2:19">
      <c r="B79" s="755">
        <f t="shared" si="9"/>
        <v>2061</v>
      </c>
      <c r="C79" s="756">
        <f t="shared" si="10"/>
        <v>0.15</v>
      </c>
      <c r="D79" s="757">
        <f t="shared" si="10"/>
        <v>0.2</v>
      </c>
      <c r="E79" s="757">
        <f t="shared" si="10"/>
        <v>0.45</v>
      </c>
      <c r="F79" s="757">
        <f t="shared" si="10"/>
        <v>0.05</v>
      </c>
      <c r="G79" s="757">
        <f t="shared" si="10"/>
        <v>0.15</v>
      </c>
      <c r="H79" s="758">
        <f t="shared" si="4"/>
        <v>1</v>
      </c>
      <c r="I79" s="756">
        <f t="shared" si="11"/>
        <v>0.2</v>
      </c>
      <c r="J79" s="757">
        <f t="shared" si="11"/>
        <v>0.3</v>
      </c>
      <c r="K79" s="757">
        <f t="shared" si="11"/>
        <v>0.25</v>
      </c>
      <c r="L79" s="757">
        <f t="shared" si="11"/>
        <v>0.05</v>
      </c>
      <c r="M79" s="757">
        <f t="shared" si="11"/>
        <v>0.2</v>
      </c>
      <c r="N79" s="758">
        <f t="shared" si="6"/>
        <v>1</v>
      </c>
      <c r="O79" s="759"/>
      <c r="R79" s="753">
        <f t="shared" si="7"/>
        <v>0.78500000000000003</v>
      </c>
      <c r="S79" s="754">
        <f t="shared" si="8"/>
        <v>0.71500000000000008</v>
      </c>
    </row>
    <row r="80" spans="2:19">
      <c r="B80" s="755">
        <f t="shared" si="9"/>
        <v>2062</v>
      </c>
      <c r="C80" s="756">
        <f t="shared" si="10"/>
        <v>0.15</v>
      </c>
      <c r="D80" s="757">
        <f t="shared" si="10"/>
        <v>0.2</v>
      </c>
      <c r="E80" s="757">
        <f t="shared" si="10"/>
        <v>0.45</v>
      </c>
      <c r="F80" s="757">
        <f t="shared" si="10"/>
        <v>0.05</v>
      </c>
      <c r="G80" s="757">
        <f t="shared" si="10"/>
        <v>0.15</v>
      </c>
      <c r="H80" s="758">
        <f t="shared" si="4"/>
        <v>1</v>
      </c>
      <c r="I80" s="756">
        <f t="shared" si="11"/>
        <v>0.2</v>
      </c>
      <c r="J80" s="757">
        <f t="shared" si="11"/>
        <v>0.3</v>
      </c>
      <c r="K80" s="757">
        <f t="shared" si="11"/>
        <v>0.25</v>
      </c>
      <c r="L80" s="757">
        <f t="shared" si="11"/>
        <v>0.05</v>
      </c>
      <c r="M80" s="757">
        <f t="shared" si="11"/>
        <v>0.2</v>
      </c>
      <c r="N80" s="758">
        <f t="shared" si="6"/>
        <v>1</v>
      </c>
      <c r="O80" s="759"/>
      <c r="R80" s="753">
        <f t="shared" si="7"/>
        <v>0.78500000000000003</v>
      </c>
      <c r="S80" s="754">
        <f t="shared" si="8"/>
        <v>0.71500000000000008</v>
      </c>
    </row>
    <row r="81" spans="2:19">
      <c r="B81" s="755">
        <f t="shared" si="9"/>
        <v>2063</v>
      </c>
      <c r="C81" s="756">
        <f t="shared" si="10"/>
        <v>0.15</v>
      </c>
      <c r="D81" s="757">
        <f t="shared" si="10"/>
        <v>0.2</v>
      </c>
      <c r="E81" s="757">
        <f t="shared" si="10"/>
        <v>0.45</v>
      </c>
      <c r="F81" s="757">
        <f t="shared" si="10"/>
        <v>0.05</v>
      </c>
      <c r="G81" s="757">
        <f t="shared" si="10"/>
        <v>0.15</v>
      </c>
      <c r="H81" s="758">
        <f t="shared" si="4"/>
        <v>1</v>
      </c>
      <c r="I81" s="756">
        <f t="shared" si="11"/>
        <v>0.2</v>
      </c>
      <c r="J81" s="757">
        <f t="shared" si="11"/>
        <v>0.3</v>
      </c>
      <c r="K81" s="757">
        <f t="shared" si="11"/>
        <v>0.25</v>
      </c>
      <c r="L81" s="757">
        <f t="shared" si="11"/>
        <v>0.05</v>
      </c>
      <c r="M81" s="757">
        <f t="shared" si="11"/>
        <v>0.2</v>
      </c>
      <c r="N81" s="758">
        <f t="shared" si="6"/>
        <v>1</v>
      </c>
      <c r="O81" s="759"/>
      <c r="R81" s="753">
        <f t="shared" si="7"/>
        <v>0.78500000000000003</v>
      </c>
      <c r="S81" s="754">
        <f t="shared" si="8"/>
        <v>0.71500000000000008</v>
      </c>
    </row>
    <row r="82" spans="2:19">
      <c r="B82" s="755">
        <f t="shared" si="9"/>
        <v>2064</v>
      </c>
      <c r="C82" s="756">
        <f t="shared" si="10"/>
        <v>0.15</v>
      </c>
      <c r="D82" s="757">
        <f t="shared" si="10"/>
        <v>0.2</v>
      </c>
      <c r="E82" s="757">
        <f t="shared" si="10"/>
        <v>0.45</v>
      </c>
      <c r="F82" s="757">
        <f t="shared" si="10"/>
        <v>0.05</v>
      </c>
      <c r="G82" s="757">
        <f t="shared" si="10"/>
        <v>0.15</v>
      </c>
      <c r="H82" s="758">
        <f t="shared" si="4"/>
        <v>1</v>
      </c>
      <c r="I82" s="756">
        <f t="shared" si="11"/>
        <v>0.2</v>
      </c>
      <c r="J82" s="757">
        <f t="shared" si="11"/>
        <v>0.3</v>
      </c>
      <c r="K82" s="757">
        <f t="shared" si="11"/>
        <v>0.25</v>
      </c>
      <c r="L82" s="757">
        <f t="shared" si="11"/>
        <v>0.05</v>
      </c>
      <c r="M82" s="757">
        <f t="shared" si="11"/>
        <v>0.2</v>
      </c>
      <c r="N82" s="758">
        <f t="shared" si="6"/>
        <v>1</v>
      </c>
      <c r="O82" s="759"/>
      <c r="R82" s="753">
        <f t="shared" si="7"/>
        <v>0.78500000000000003</v>
      </c>
      <c r="S82" s="754">
        <f t="shared" si="8"/>
        <v>0.71500000000000008</v>
      </c>
    </row>
    <row r="83" spans="2:19">
      <c r="B83" s="755">
        <f t="shared" ref="B83:B98" si="12">B82+1</f>
        <v>2065</v>
      </c>
      <c r="C83" s="756">
        <f t="shared" si="10"/>
        <v>0.15</v>
      </c>
      <c r="D83" s="757">
        <f t="shared" si="10"/>
        <v>0.2</v>
      </c>
      <c r="E83" s="757">
        <f t="shared" si="10"/>
        <v>0.45</v>
      </c>
      <c r="F83" s="757">
        <f t="shared" si="10"/>
        <v>0.05</v>
      </c>
      <c r="G83" s="757">
        <f t="shared" si="10"/>
        <v>0.15</v>
      </c>
      <c r="H83" s="758">
        <f t="shared" ref="H83:H98" si="13">SUM(C83:G83)</f>
        <v>1</v>
      </c>
      <c r="I83" s="756">
        <f t="shared" si="11"/>
        <v>0.2</v>
      </c>
      <c r="J83" s="757">
        <f t="shared" si="11"/>
        <v>0.3</v>
      </c>
      <c r="K83" s="757">
        <f t="shared" si="11"/>
        <v>0.25</v>
      </c>
      <c r="L83" s="757">
        <f t="shared" si="11"/>
        <v>0.05</v>
      </c>
      <c r="M83" s="757">
        <f t="shared" si="11"/>
        <v>0.2</v>
      </c>
      <c r="N83" s="758">
        <f t="shared" ref="N83:N98" si="14">SUM(I83:M83)</f>
        <v>1</v>
      </c>
      <c r="O83" s="759"/>
      <c r="R83" s="753">
        <f t="shared" ref="R83:R98" si="15">C83*C$13+D83*D$13+E83*E$13+F83*F$13+G83*G$13</f>
        <v>0.78500000000000003</v>
      </c>
      <c r="S83" s="754">
        <f t="shared" ref="S83:S98" si="16">I83*I$13+J83*J$13+K83*K$13+L83*L$13+M83*M$13</f>
        <v>0.71500000000000008</v>
      </c>
    </row>
    <row r="84" spans="2:19">
      <c r="B84" s="755">
        <f t="shared" si="12"/>
        <v>2066</v>
      </c>
      <c r="C84" s="756">
        <f t="shared" si="10"/>
        <v>0.15</v>
      </c>
      <c r="D84" s="757">
        <f t="shared" si="10"/>
        <v>0.2</v>
      </c>
      <c r="E84" s="757">
        <f t="shared" si="10"/>
        <v>0.45</v>
      </c>
      <c r="F84" s="757">
        <f t="shared" si="10"/>
        <v>0.05</v>
      </c>
      <c r="G84" s="757">
        <f t="shared" si="10"/>
        <v>0.15</v>
      </c>
      <c r="H84" s="758">
        <f t="shared" si="13"/>
        <v>1</v>
      </c>
      <c r="I84" s="756">
        <f t="shared" si="11"/>
        <v>0.2</v>
      </c>
      <c r="J84" s="757">
        <f t="shared" si="11"/>
        <v>0.3</v>
      </c>
      <c r="K84" s="757">
        <f t="shared" si="11"/>
        <v>0.25</v>
      </c>
      <c r="L84" s="757">
        <f t="shared" si="11"/>
        <v>0.05</v>
      </c>
      <c r="M84" s="757">
        <f t="shared" si="11"/>
        <v>0.2</v>
      </c>
      <c r="N84" s="758">
        <f t="shared" si="14"/>
        <v>1</v>
      </c>
      <c r="O84" s="759"/>
      <c r="R84" s="753">
        <f t="shared" si="15"/>
        <v>0.78500000000000003</v>
      </c>
      <c r="S84" s="754">
        <f t="shared" si="16"/>
        <v>0.71500000000000008</v>
      </c>
    </row>
    <row r="85" spans="2:19">
      <c r="B85" s="755">
        <f t="shared" si="12"/>
        <v>2067</v>
      </c>
      <c r="C85" s="756">
        <f t="shared" si="10"/>
        <v>0.15</v>
      </c>
      <c r="D85" s="757">
        <f t="shared" si="10"/>
        <v>0.2</v>
      </c>
      <c r="E85" s="757">
        <f t="shared" si="10"/>
        <v>0.45</v>
      </c>
      <c r="F85" s="757">
        <f t="shared" si="10"/>
        <v>0.05</v>
      </c>
      <c r="G85" s="757">
        <f t="shared" si="10"/>
        <v>0.15</v>
      </c>
      <c r="H85" s="758">
        <f t="shared" si="13"/>
        <v>1</v>
      </c>
      <c r="I85" s="756">
        <f t="shared" si="11"/>
        <v>0.2</v>
      </c>
      <c r="J85" s="757">
        <f t="shared" si="11"/>
        <v>0.3</v>
      </c>
      <c r="K85" s="757">
        <f t="shared" si="11"/>
        <v>0.25</v>
      </c>
      <c r="L85" s="757">
        <f t="shared" si="11"/>
        <v>0.05</v>
      </c>
      <c r="M85" s="757">
        <f t="shared" si="11"/>
        <v>0.2</v>
      </c>
      <c r="N85" s="758">
        <f t="shared" si="14"/>
        <v>1</v>
      </c>
      <c r="O85" s="759"/>
      <c r="R85" s="753">
        <f t="shared" si="15"/>
        <v>0.78500000000000003</v>
      </c>
      <c r="S85" s="754">
        <f t="shared" si="16"/>
        <v>0.71500000000000008</v>
      </c>
    </row>
    <row r="86" spans="2:19">
      <c r="B86" s="755">
        <f t="shared" si="12"/>
        <v>2068</v>
      </c>
      <c r="C86" s="756">
        <f t="shared" si="10"/>
        <v>0.15</v>
      </c>
      <c r="D86" s="757">
        <f t="shared" si="10"/>
        <v>0.2</v>
      </c>
      <c r="E86" s="757">
        <f t="shared" si="10"/>
        <v>0.45</v>
      </c>
      <c r="F86" s="757">
        <f t="shared" si="10"/>
        <v>0.05</v>
      </c>
      <c r="G86" s="757">
        <f t="shared" si="10"/>
        <v>0.15</v>
      </c>
      <c r="H86" s="758">
        <f t="shared" si="13"/>
        <v>1</v>
      </c>
      <c r="I86" s="756">
        <f t="shared" si="11"/>
        <v>0.2</v>
      </c>
      <c r="J86" s="757">
        <f t="shared" si="11"/>
        <v>0.3</v>
      </c>
      <c r="K86" s="757">
        <f t="shared" si="11"/>
        <v>0.25</v>
      </c>
      <c r="L86" s="757">
        <f t="shared" si="11"/>
        <v>0.05</v>
      </c>
      <c r="M86" s="757">
        <f t="shared" si="11"/>
        <v>0.2</v>
      </c>
      <c r="N86" s="758">
        <f t="shared" si="14"/>
        <v>1</v>
      </c>
      <c r="O86" s="759"/>
      <c r="R86" s="753">
        <f t="shared" si="15"/>
        <v>0.78500000000000003</v>
      </c>
      <c r="S86" s="754">
        <f t="shared" si="16"/>
        <v>0.71500000000000008</v>
      </c>
    </row>
    <row r="87" spans="2:19">
      <c r="B87" s="755">
        <f t="shared" si="12"/>
        <v>2069</v>
      </c>
      <c r="C87" s="756">
        <f t="shared" si="10"/>
        <v>0.15</v>
      </c>
      <c r="D87" s="757">
        <f t="shared" si="10"/>
        <v>0.2</v>
      </c>
      <c r="E87" s="757">
        <f t="shared" si="10"/>
        <v>0.45</v>
      </c>
      <c r="F87" s="757">
        <f t="shared" si="10"/>
        <v>0.05</v>
      </c>
      <c r="G87" s="757">
        <f t="shared" si="10"/>
        <v>0.15</v>
      </c>
      <c r="H87" s="758">
        <f t="shared" si="13"/>
        <v>1</v>
      </c>
      <c r="I87" s="756">
        <f t="shared" si="11"/>
        <v>0.2</v>
      </c>
      <c r="J87" s="757">
        <f t="shared" si="11"/>
        <v>0.3</v>
      </c>
      <c r="K87" s="757">
        <f t="shared" si="11"/>
        <v>0.25</v>
      </c>
      <c r="L87" s="757">
        <f t="shared" si="11"/>
        <v>0.05</v>
      </c>
      <c r="M87" s="757">
        <f t="shared" si="11"/>
        <v>0.2</v>
      </c>
      <c r="N87" s="758">
        <f t="shared" si="14"/>
        <v>1</v>
      </c>
      <c r="O87" s="759"/>
      <c r="R87" s="753">
        <f t="shared" si="15"/>
        <v>0.78500000000000003</v>
      </c>
      <c r="S87" s="754">
        <f t="shared" si="16"/>
        <v>0.71500000000000008</v>
      </c>
    </row>
    <row r="88" spans="2:19">
      <c r="B88" s="755">
        <f t="shared" si="12"/>
        <v>2070</v>
      </c>
      <c r="C88" s="756">
        <f t="shared" si="10"/>
        <v>0.15</v>
      </c>
      <c r="D88" s="757">
        <f t="shared" si="10"/>
        <v>0.2</v>
      </c>
      <c r="E88" s="757">
        <f t="shared" si="10"/>
        <v>0.45</v>
      </c>
      <c r="F88" s="757">
        <f t="shared" si="10"/>
        <v>0.05</v>
      </c>
      <c r="G88" s="757">
        <f t="shared" si="10"/>
        <v>0.15</v>
      </c>
      <c r="H88" s="758">
        <f t="shared" si="13"/>
        <v>1</v>
      </c>
      <c r="I88" s="756">
        <f t="shared" si="11"/>
        <v>0.2</v>
      </c>
      <c r="J88" s="757">
        <f t="shared" si="11"/>
        <v>0.3</v>
      </c>
      <c r="K88" s="757">
        <f t="shared" si="11"/>
        <v>0.25</v>
      </c>
      <c r="L88" s="757">
        <f t="shared" si="11"/>
        <v>0.05</v>
      </c>
      <c r="M88" s="757">
        <f t="shared" si="11"/>
        <v>0.2</v>
      </c>
      <c r="N88" s="758">
        <f t="shared" si="14"/>
        <v>1</v>
      </c>
      <c r="O88" s="759"/>
      <c r="R88" s="753">
        <f t="shared" si="15"/>
        <v>0.78500000000000003</v>
      </c>
      <c r="S88" s="754">
        <f t="shared" si="16"/>
        <v>0.71500000000000008</v>
      </c>
    </row>
    <row r="89" spans="2:19">
      <c r="B89" s="755">
        <f t="shared" si="12"/>
        <v>2071</v>
      </c>
      <c r="C89" s="756">
        <f t="shared" si="10"/>
        <v>0.15</v>
      </c>
      <c r="D89" s="757">
        <f t="shared" si="10"/>
        <v>0.2</v>
      </c>
      <c r="E89" s="757">
        <f t="shared" si="10"/>
        <v>0.45</v>
      </c>
      <c r="F89" s="757">
        <f t="shared" si="10"/>
        <v>0.05</v>
      </c>
      <c r="G89" s="757">
        <f t="shared" si="10"/>
        <v>0.15</v>
      </c>
      <c r="H89" s="758">
        <f t="shared" si="13"/>
        <v>1</v>
      </c>
      <c r="I89" s="756">
        <f t="shared" si="11"/>
        <v>0.2</v>
      </c>
      <c r="J89" s="757">
        <f t="shared" si="11"/>
        <v>0.3</v>
      </c>
      <c r="K89" s="757">
        <f t="shared" si="11"/>
        <v>0.25</v>
      </c>
      <c r="L89" s="757">
        <f t="shared" si="11"/>
        <v>0.05</v>
      </c>
      <c r="M89" s="757">
        <f t="shared" si="11"/>
        <v>0.2</v>
      </c>
      <c r="N89" s="758">
        <f t="shared" si="14"/>
        <v>1</v>
      </c>
      <c r="O89" s="759"/>
      <c r="R89" s="753">
        <f t="shared" si="15"/>
        <v>0.78500000000000003</v>
      </c>
      <c r="S89" s="754">
        <f t="shared" si="16"/>
        <v>0.71500000000000008</v>
      </c>
    </row>
    <row r="90" spans="2:19">
      <c r="B90" s="755">
        <f t="shared" si="12"/>
        <v>2072</v>
      </c>
      <c r="C90" s="756">
        <f t="shared" si="10"/>
        <v>0.15</v>
      </c>
      <c r="D90" s="757">
        <f t="shared" si="10"/>
        <v>0.2</v>
      </c>
      <c r="E90" s="757">
        <f t="shared" si="10"/>
        <v>0.45</v>
      </c>
      <c r="F90" s="757">
        <f t="shared" si="10"/>
        <v>0.05</v>
      </c>
      <c r="G90" s="757">
        <f t="shared" si="10"/>
        <v>0.15</v>
      </c>
      <c r="H90" s="758">
        <f t="shared" si="13"/>
        <v>1</v>
      </c>
      <c r="I90" s="756">
        <f t="shared" si="11"/>
        <v>0.2</v>
      </c>
      <c r="J90" s="757">
        <f t="shared" si="11"/>
        <v>0.3</v>
      </c>
      <c r="K90" s="757">
        <f t="shared" si="11"/>
        <v>0.25</v>
      </c>
      <c r="L90" s="757">
        <f t="shared" si="11"/>
        <v>0.05</v>
      </c>
      <c r="M90" s="757">
        <f t="shared" si="11"/>
        <v>0.2</v>
      </c>
      <c r="N90" s="758">
        <f t="shared" si="14"/>
        <v>1</v>
      </c>
      <c r="O90" s="759"/>
      <c r="R90" s="753">
        <f t="shared" si="15"/>
        <v>0.78500000000000003</v>
      </c>
      <c r="S90" s="754">
        <f t="shared" si="16"/>
        <v>0.71500000000000008</v>
      </c>
    </row>
    <row r="91" spans="2:19">
      <c r="B91" s="755">
        <f t="shared" si="12"/>
        <v>2073</v>
      </c>
      <c r="C91" s="756">
        <f t="shared" si="10"/>
        <v>0.15</v>
      </c>
      <c r="D91" s="757">
        <f t="shared" si="10"/>
        <v>0.2</v>
      </c>
      <c r="E91" s="757">
        <f t="shared" si="10"/>
        <v>0.45</v>
      </c>
      <c r="F91" s="757">
        <f t="shared" si="10"/>
        <v>0.05</v>
      </c>
      <c r="G91" s="757">
        <f t="shared" si="10"/>
        <v>0.15</v>
      </c>
      <c r="H91" s="758">
        <f t="shared" si="13"/>
        <v>1</v>
      </c>
      <c r="I91" s="756">
        <f t="shared" si="11"/>
        <v>0.2</v>
      </c>
      <c r="J91" s="757">
        <f t="shared" si="11"/>
        <v>0.3</v>
      </c>
      <c r="K91" s="757">
        <f t="shared" si="11"/>
        <v>0.25</v>
      </c>
      <c r="L91" s="757">
        <f t="shared" si="11"/>
        <v>0.05</v>
      </c>
      <c r="M91" s="757">
        <f t="shared" si="11"/>
        <v>0.2</v>
      </c>
      <c r="N91" s="758">
        <f t="shared" si="14"/>
        <v>1</v>
      </c>
      <c r="O91" s="759"/>
      <c r="R91" s="753">
        <f t="shared" si="15"/>
        <v>0.78500000000000003</v>
      </c>
      <c r="S91" s="754">
        <f t="shared" si="16"/>
        <v>0.71500000000000008</v>
      </c>
    </row>
    <row r="92" spans="2:19">
      <c r="B92" s="755">
        <f t="shared" si="12"/>
        <v>2074</v>
      </c>
      <c r="C92" s="756">
        <f t="shared" si="10"/>
        <v>0.15</v>
      </c>
      <c r="D92" s="757">
        <f t="shared" si="10"/>
        <v>0.2</v>
      </c>
      <c r="E92" s="757">
        <f t="shared" si="10"/>
        <v>0.45</v>
      </c>
      <c r="F92" s="757">
        <f t="shared" si="10"/>
        <v>0.05</v>
      </c>
      <c r="G92" s="757">
        <f t="shared" si="10"/>
        <v>0.15</v>
      </c>
      <c r="H92" s="758">
        <f t="shared" si="13"/>
        <v>1</v>
      </c>
      <c r="I92" s="756">
        <f t="shared" si="11"/>
        <v>0.2</v>
      </c>
      <c r="J92" s="757">
        <f t="shared" si="11"/>
        <v>0.3</v>
      </c>
      <c r="K92" s="757">
        <f t="shared" si="11"/>
        <v>0.25</v>
      </c>
      <c r="L92" s="757">
        <f t="shared" si="11"/>
        <v>0.05</v>
      </c>
      <c r="M92" s="757">
        <f t="shared" si="11"/>
        <v>0.2</v>
      </c>
      <c r="N92" s="758">
        <f t="shared" si="14"/>
        <v>1</v>
      </c>
      <c r="O92" s="759"/>
      <c r="R92" s="753">
        <f t="shared" si="15"/>
        <v>0.78500000000000003</v>
      </c>
      <c r="S92" s="754">
        <f t="shared" si="16"/>
        <v>0.71500000000000008</v>
      </c>
    </row>
    <row r="93" spans="2:19">
      <c r="B93" s="755">
        <f t="shared" si="12"/>
        <v>2075</v>
      </c>
      <c r="C93" s="756">
        <f t="shared" si="10"/>
        <v>0.15</v>
      </c>
      <c r="D93" s="757">
        <f t="shared" si="10"/>
        <v>0.2</v>
      </c>
      <c r="E93" s="757">
        <f t="shared" si="10"/>
        <v>0.45</v>
      </c>
      <c r="F93" s="757">
        <f t="shared" si="10"/>
        <v>0.05</v>
      </c>
      <c r="G93" s="757">
        <f t="shared" si="10"/>
        <v>0.15</v>
      </c>
      <c r="H93" s="758">
        <f t="shared" si="13"/>
        <v>1</v>
      </c>
      <c r="I93" s="756">
        <f t="shared" si="11"/>
        <v>0.2</v>
      </c>
      <c r="J93" s="757">
        <f t="shared" si="11"/>
        <v>0.3</v>
      </c>
      <c r="K93" s="757">
        <f t="shared" si="11"/>
        <v>0.25</v>
      </c>
      <c r="L93" s="757">
        <f t="shared" si="11"/>
        <v>0.05</v>
      </c>
      <c r="M93" s="757">
        <f t="shared" si="11"/>
        <v>0.2</v>
      </c>
      <c r="N93" s="758">
        <f t="shared" si="14"/>
        <v>1</v>
      </c>
      <c r="O93" s="759"/>
      <c r="R93" s="753">
        <f t="shared" si="15"/>
        <v>0.78500000000000003</v>
      </c>
      <c r="S93" s="754">
        <f t="shared" si="16"/>
        <v>0.71500000000000008</v>
      </c>
    </row>
    <row r="94" spans="2:19">
      <c r="B94" s="755">
        <f t="shared" si="12"/>
        <v>2076</v>
      </c>
      <c r="C94" s="756">
        <f t="shared" si="10"/>
        <v>0.15</v>
      </c>
      <c r="D94" s="757">
        <f t="shared" si="10"/>
        <v>0.2</v>
      </c>
      <c r="E94" s="757">
        <f t="shared" si="10"/>
        <v>0.45</v>
      </c>
      <c r="F94" s="757">
        <f t="shared" si="10"/>
        <v>0.05</v>
      </c>
      <c r="G94" s="757">
        <f t="shared" si="10"/>
        <v>0.15</v>
      </c>
      <c r="H94" s="758">
        <f t="shared" si="13"/>
        <v>1</v>
      </c>
      <c r="I94" s="756">
        <f t="shared" si="11"/>
        <v>0.2</v>
      </c>
      <c r="J94" s="757">
        <f t="shared" si="11"/>
        <v>0.3</v>
      </c>
      <c r="K94" s="757">
        <f t="shared" si="11"/>
        <v>0.25</v>
      </c>
      <c r="L94" s="757">
        <f t="shared" si="11"/>
        <v>0.05</v>
      </c>
      <c r="M94" s="757">
        <f t="shared" si="11"/>
        <v>0.2</v>
      </c>
      <c r="N94" s="758">
        <f t="shared" si="14"/>
        <v>1</v>
      </c>
      <c r="O94" s="759"/>
      <c r="R94" s="753">
        <f t="shared" si="15"/>
        <v>0.78500000000000003</v>
      </c>
      <c r="S94" s="754">
        <f t="shared" si="16"/>
        <v>0.71500000000000008</v>
      </c>
    </row>
    <row r="95" spans="2:19">
      <c r="B95" s="755">
        <f t="shared" si="12"/>
        <v>2077</v>
      </c>
      <c r="C95" s="756">
        <f t="shared" si="10"/>
        <v>0.15</v>
      </c>
      <c r="D95" s="757">
        <f t="shared" si="10"/>
        <v>0.2</v>
      </c>
      <c r="E95" s="757">
        <f t="shared" si="10"/>
        <v>0.45</v>
      </c>
      <c r="F95" s="757">
        <f t="shared" si="10"/>
        <v>0.05</v>
      </c>
      <c r="G95" s="757">
        <f t="shared" si="10"/>
        <v>0.15</v>
      </c>
      <c r="H95" s="758">
        <f t="shared" si="13"/>
        <v>1</v>
      </c>
      <c r="I95" s="756">
        <f t="shared" si="11"/>
        <v>0.2</v>
      </c>
      <c r="J95" s="757">
        <f t="shared" si="11"/>
        <v>0.3</v>
      </c>
      <c r="K95" s="757">
        <f t="shared" si="11"/>
        <v>0.25</v>
      </c>
      <c r="L95" s="757">
        <f t="shared" si="11"/>
        <v>0.05</v>
      </c>
      <c r="M95" s="757">
        <f t="shared" si="11"/>
        <v>0.2</v>
      </c>
      <c r="N95" s="758">
        <f t="shared" si="14"/>
        <v>1</v>
      </c>
      <c r="O95" s="759"/>
      <c r="R95" s="753">
        <f t="shared" si="15"/>
        <v>0.78500000000000003</v>
      </c>
      <c r="S95" s="754">
        <f t="shared" si="16"/>
        <v>0.71500000000000008</v>
      </c>
    </row>
    <row r="96" spans="2:19">
      <c r="B96" s="755">
        <f t="shared" si="12"/>
        <v>2078</v>
      </c>
      <c r="C96" s="756">
        <f t="shared" si="10"/>
        <v>0.15</v>
      </c>
      <c r="D96" s="757">
        <f t="shared" si="10"/>
        <v>0.2</v>
      </c>
      <c r="E96" s="757">
        <f t="shared" si="10"/>
        <v>0.45</v>
      </c>
      <c r="F96" s="757">
        <f t="shared" si="10"/>
        <v>0.05</v>
      </c>
      <c r="G96" s="757">
        <f t="shared" si="10"/>
        <v>0.15</v>
      </c>
      <c r="H96" s="758">
        <f t="shared" si="13"/>
        <v>1</v>
      </c>
      <c r="I96" s="756">
        <f t="shared" si="11"/>
        <v>0.2</v>
      </c>
      <c r="J96" s="757">
        <f t="shared" si="11"/>
        <v>0.3</v>
      </c>
      <c r="K96" s="757">
        <f t="shared" si="11"/>
        <v>0.25</v>
      </c>
      <c r="L96" s="757">
        <f t="shared" si="11"/>
        <v>0.05</v>
      </c>
      <c r="M96" s="757">
        <f t="shared" si="11"/>
        <v>0.2</v>
      </c>
      <c r="N96" s="758">
        <f t="shared" si="14"/>
        <v>1</v>
      </c>
      <c r="O96" s="759"/>
      <c r="R96" s="753">
        <f t="shared" si="15"/>
        <v>0.78500000000000003</v>
      </c>
      <c r="S96" s="754">
        <f t="shared" si="16"/>
        <v>0.71500000000000008</v>
      </c>
    </row>
    <row r="97" spans="2:19">
      <c r="B97" s="755">
        <f t="shared" si="12"/>
        <v>2079</v>
      </c>
      <c r="C97" s="756">
        <f t="shared" si="10"/>
        <v>0.15</v>
      </c>
      <c r="D97" s="757">
        <f t="shared" si="10"/>
        <v>0.2</v>
      </c>
      <c r="E97" s="757">
        <f t="shared" si="10"/>
        <v>0.45</v>
      </c>
      <c r="F97" s="757">
        <f t="shared" si="10"/>
        <v>0.05</v>
      </c>
      <c r="G97" s="757">
        <f t="shared" si="10"/>
        <v>0.15</v>
      </c>
      <c r="H97" s="758">
        <f t="shared" si="13"/>
        <v>1</v>
      </c>
      <c r="I97" s="756">
        <f t="shared" si="11"/>
        <v>0.2</v>
      </c>
      <c r="J97" s="757">
        <f t="shared" si="11"/>
        <v>0.3</v>
      </c>
      <c r="K97" s="757">
        <f t="shared" si="11"/>
        <v>0.25</v>
      </c>
      <c r="L97" s="757">
        <f t="shared" si="11"/>
        <v>0.05</v>
      </c>
      <c r="M97" s="757">
        <f t="shared" si="11"/>
        <v>0.2</v>
      </c>
      <c r="N97" s="758">
        <f t="shared" si="14"/>
        <v>1</v>
      </c>
      <c r="O97" s="759"/>
      <c r="R97" s="753">
        <f t="shared" si="15"/>
        <v>0.78500000000000003</v>
      </c>
      <c r="S97" s="754">
        <f t="shared" si="16"/>
        <v>0.71500000000000008</v>
      </c>
    </row>
    <row r="98" spans="2:19" ht="13.5" thickBot="1">
      <c r="B98" s="760">
        <f t="shared" si="12"/>
        <v>2080</v>
      </c>
      <c r="C98" s="761">
        <f t="shared" si="10"/>
        <v>0.15</v>
      </c>
      <c r="D98" s="762">
        <f t="shared" si="10"/>
        <v>0.2</v>
      </c>
      <c r="E98" s="762">
        <f t="shared" si="10"/>
        <v>0.45</v>
      </c>
      <c r="F98" s="762">
        <f t="shared" si="10"/>
        <v>0.05</v>
      </c>
      <c r="G98" s="762">
        <f t="shared" si="10"/>
        <v>0.15</v>
      </c>
      <c r="H98" s="763">
        <f t="shared" si="13"/>
        <v>1</v>
      </c>
      <c r="I98" s="761">
        <f t="shared" si="11"/>
        <v>0.2</v>
      </c>
      <c r="J98" s="762">
        <f t="shared" si="11"/>
        <v>0.3</v>
      </c>
      <c r="K98" s="762">
        <f t="shared" si="11"/>
        <v>0.25</v>
      </c>
      <c r="L98" s="762">
        <f t="shared" si="11"/>
        <v>0.05</v>
      </c>
      <c r="M98" s="762">
        <f t="shared" si="11"/>
        <v>0.2</v>
      </c>
      <c r="N98" s="763">
        <f t="shared" si="14"/>
        <v>1</v>
      </c>
      <c r="O98" s="764"/>
      <c r="R98" s="765">
        <f t="shared" si="15"/>
        <v>0.78500000000000003</v>
      </c>
      <c r="S98" s="765">
        <f t="shared" si="16"/>
        <v>0.71500000000000008</v>
      </c>
    </row>
    <row r="99" spans="2:19">
      <c r="H99" s="766"/>
    </row>
    <row r="100" spans="2:19">
      <c r="H100" s="766"/>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topLeftCell="A27" workbookViewId="0">
      <selection activeCell="C24" sqref="C24:C43"/>
    </sheetView>
  </sheetViews>
  <sheetFormatPr defaultColWidth="11.42578125" defaultRowHeight="12.75"/>
  <cols>
    <col min="1" max="1" width="2.28515625" style="585" customWidth="1"/>
    <col min="2" max="2" width="6.28515625" style="585" customWidth="1"/>
    <col min="3" max="3" width="9.28515625" style="585" customWidth="1"/>
    <col min="4" max="4" width="7.42578125" style="585" customWidth="1"/>
    <col min="5" max="14" width="8" style="585" customWidth="1"/>
    <col min="15" max="16" width="8.42578125" style="585" customWidth="1"/>
    <col min="17" max="17" width="3.85546875" style="585" customWidth="1"/>
    <col min="18" max="18" width="3.42578125" style="585" customWidth="1"/>
    <col min="19" max="21" width="11.42578125" style="585" hidden="1" customWidth="1"/>
    <col min="22" max="22" width="10.28515625" style="585" hidden="1" customWidth="1"/>
    <col min="23" max="23" width="9.7109375" style="585" hidden="1" customWidth="1"/>
    <col min="24" max="24" width="9.42578125" style="585" hidden="1" customWidth="1"/>
    <col min="25" max="27" width="11.42578125" style="585" hidden="1" customWidth="1"/>
    <col min="28" max="28" width="3.42578125" style="585" customWidth="1"/>
    <col min="29" max="29" width="15" style="585" customWidth="1"/>
    <col min="30" max="30" width="10.85546875" style="585" customWidth="1"/>
    <col min="31" max="16384" width="11.42578125" style="585"/>
  </cols>
  <sheetData>
    <row r="2" spans="2:30">
      <c r="C2" s="586" t="s">
        <v>34</v>
      </c>
      <c r="S2" s="586" t="s">
        <v>300</v>
      </c>
      <c r="AC2" s="585" t="s">
        <v>6</v>
      </c>
      <c r="AD2" s="770">
        <v>0.435</v>
      </c>
    </row>
    <row r="3" spans="2:30">
      <c r="B3" s="587"/>
      <c r="C3" s="587"/>
      <c r="S3" s="587"/>
      <c r="AC3" s="585" t="s">
        <v>256</v>
      </c>
      <c r="AD3" s="770">
        <v>0.129</v>
      </c>
    </row>
    <row r="4" spans="2:30">
      <c r="B4" s="587"/>
      <c r="C4" s="587" t="s">
        <v>38</v>
      </c>
      <c r="S4" s="587" t="s">
        <v>301</v>
      </c>
      <c r="AC4" s="585" t="s">
        <v>2</v>
      </c>
      <c r="AD4" s="770">
        <v>9.9000000000000005E-2</v>
      </c>
    </row>
    <row r="5" spans="2:30">
      <c r="B5" s="587"/>
      <c r="C5" s="587"/>
      <c r="S5" s="587" t="s">
        <v>38</v>
      </c>
      <c r="AC5" s="585" t="s">
        <v>16</v>
      </c>
      <c r="AD5" s="770">
        <v>2.7E-2</v>
      </c>
    </row>
    <row r="6" spans="2:30">
      <c r="B6" s="587"/>
      <c r="S6" s="587"/>
      <c r="AC6" s="585" t="s">
        <v>331</v>
      </c>
      <c r="AD6" s="770">
        <v>8.9999999999999993E-3</v>
      </c>
    </row>
    <row r="7" spans="2:30" ht="13.5" thickBot="1">
      <c r="B7" s="587"/>
      <c r="C7" s="588"/>
      <c r="S7" s="587"/>
      <c r="AC7" s="585" t="s">
        <v>332</v>
      </c>
      <c r="AD7" s="770">
        <v>7.1999999999999995E-2</v>
      </c>
    </row>
    <row r="8" spans="2:30" ht="13.5" thickBot="1">
      <c r="B8" s="587"/>
      <c r="D8" s="589">
        <v>6.2100000000000002E-2</v>
      </c>
      <c r="E8" s="590">
        <f>AD2</f>
        <v>0.435</v>
      </c>
      <c r="F8" s="591">
        <f>AD3</f>
        <v>0.129</v>
      </c>
      <c r="G8" s="591">
        <v>0</v>
      </c>
      <c r="H8" s="591">
        <v>0</v>
      </c>
      <c r="I8" s="591">
        <f>AD4</f>
        <v>9.9000000000000005E-2</v>
      </c>
      <c r="J8" s="591">
        <f>AD5</f>
        <v>2.7E-2</v>
      </c>
      <c r="K8" s="591">
        <f>AD6</f>
        <v>8.9999999999999993E-3</v>
      </c>
      <c r="L8" s="591">
        <f>AD7</f>
        <v>7.1999999999999995E-2</v>
      </c>
      <c r="M8" s="591">
        <f>AD8</f>
        <v>3.3000000000000002E-2</v>
      </c>
      <c r="N8" s="591">
        <f>AD9</f>
        <v>0.04</v>
      </c>
      <c r="O8" s="591">
        <f>AD10</f>
        <v>0.156</v>
      </c>
      <c r="P8" s="592">
        <f>SUM(E8:O8)</f>
        <v>1</v>
      </c>
      <c r="S8" s="587"/>
      <c r="T8" s="587"/>
      <c r="AC8" s="585" t="s">
        <v>231</v>
      </c>
      <c r="AD8" s="770">
        <v>3.3000000000000002E-2</v>
      </c>
    </row>
    <row r="9" spans="2:30" ht="13.5" thickBot="1">
      <c r="B9" s="593"/>
      <c r="C9" s="594"/>
      <c r="D9" s="595"/>
      <c r="E9" s="930" t="s">
        <v>41</v>
      </c>
      <c r="F9" s="931"/>
      <c r="G9" s="931"/>
      <c r="H9" s="931"/>
      <c r="I9" s="931"/>
      <c r="J9" s="931"/>
      <c r="K9" s="931"/>
      <c r="L9" s="931"/>
      <c r="M9" s="931"/>
      <c r="N9" s="931"/>
      <c r="O9" s="931"/>
      <c r="P9" s="596"/>
      <c r="AC9" s="585" t="s">
        <v>232</v>
      </c>
      <c r="AD9" s="770">
        <v>0.04</v>
      </c>
    </row>
    <row r="10" spans="2:30" ht="21.75" customHeight="1" thickBot="1">
      <c r="B10" s="932" t="s">
        <v>1</v>
      </c>
      <c r="C10" s="932" t="s">
        <v>33</v>
      </c>
      <c r="D10" s="932" t="s">
        <v>40</v>
      </c>
      <c r="E10" s="932" t="s">
        <v>228</v>
      </c>
      <c r="F10" s="932" t="s">
        <v>271</v>
      </c>
      <c r="G10" s="922" t="s">
        <v>267</v>
      </c>
      <c r="H10" s="932" t="s">
        <v>270</v>
      </c>
      <c r="I10" s="922" t="s">
        <v>2</v>
      </c>
      <c r="J10" s="932" t="s">
        <v>16</v>
      </c>
      <c r="K10" s="922" t="s">
        <v>229</v>
      </c>
      <c r="L10" s="919" t="s">
        <v>273</v>
      </c>
      <c r="M10" s="920"/>
      <c r="N10" s="920"/>
      <c r="O10" s="921"/>
      <c r="P10" s="932" t="s">
        <v>27</v>
      </c>
      <c r="AC10" s="585" t="s">
        <v>233</v>
      </c>
      <c r="AD10" s="770">
        <v>0.156</v>
      </c>
    </row>
    <row r="11" spans="2:30" s="598" customFormat="1" ht="42" customHeight="1" thickBot="1">
      <c r="B11" s="933"/>
      <c r="C11" s="933"/>
      <c r="D11" s="933"/>
      <c r="E11" s="933"/>
      <c r="F11" s="933"/>
      <c r="G11" s="924"/>
      <c r="H11" s="933"/>
      <c r="I11" s="924"/>
      <c r="J11" s="933"/>
      <c r="K11" s="924"/>
      <c r="L11" s="597" t="s">
        <v>230</v>
      </c>
      <c r="M11" s="597" t="s">
        <v>231</v>
      </c>
      <c r="N11" s="597" t="s">
        <v>232</v>
      </c>
      <c r="O11" s="597" t="s">
        <v>233</v>
      </c>
      <c r="P11" s="933"/>
      <c r="S11" s="364" t="s">
        <v>1</v>
      </c>
      <c r="T11" s="368" t="s">
        <v>302</v>
      </c>
      <c r="U11" s="364" t="s">
        <v>303</v>
      </c>
      <c r="V11" s="368" t="s">
        <v>304</v>
      </c>
      <c r="W11" s="364" t="s">
        <v>40</v>
      </c>
      <c r="X11" s="368" t="s">
        <v>305</v>
      </c>
    </row>
    <row r="12" spans="2:30" s="605" customFormat="1" ht="26.25" thickBot="1">
      <c r="B12" s="599"/>
      <c r="C12" s="600" t="s">
        <v>15</v>
      </c>
      <c r="D12" s="600" t="s">
        <v>24</v>
      </c>
      <c r="E12" s="601" t="s">
        <v>24</v>
      </c>
      <c r="F12" s="602" t="s">
        <v>24</v>
      </c>
      <c r="G12" s="602" t="s">
        <v>24</v>
      </c>
      <c r="H12" s="602" t="s">
        <v>24</v>
      </c>
      <c r="I12" s="602" t="s">
        <v>24</v>
      </c>
      <c r="J12" s="602" t="s">
        <v>24</v>
      </c>
      <c r="K12" s="602" t="s">
        <v>24</v>
      </c>
      <c r="L12" s="602" t="s">
        <v>24</v>
      </c>
      <c r="M12" s="602" t="s">
        <v>24</v>
      </c>
      <c r="N12" s="602" t="s">
        <v>24</v>
      </c>
      <c r="O12" s="603" t="s">
        <v>24</v>
      </c>
      <c r="P12" s="604" t="s">
        <v>39</v>
      </c>
      <c r="S12" s="606"/>
      <c r="T12" s="607" t="s">
        <v>306</v>
      </c>
      <c r="U12" s="606" t="s">
        <v>307</v>
      </c>
      <c r="V12" s="607" t="s">
        <v>15</v>
      </c>
      <c r="W12" s="608" t="s">
        <v>24</v>
      </c>
      <c r="X12" s="607" t="s">
        <v>15</v>
      </c>
    </row>
    <row r="13" spans="2:30">
      <c r="B13" s="609">
        <f>year</f>
        <v>2000</v>
      </c>
      <c r="C13" s="610"/>
      <c r="D13" s="611">
        <v>1</v>
      </c>
      <c r="E13" s="612">
        <f t="shared" ref="E13:O28" si="0">E$8</f>
        <v>0.435</v>
      </c>
      <c r="F13" s="612">
        <f t="shared" si="0"/>
        <v>0.129</v>
      </c>
      <c r="G13" s="612">
        <f t="shared" si="0"/>
        <v>0</v>
      </c>
      <c r="H13" s="612">
        <f t="shared" si="0"/>
        <v>0</v>
      </c>
      <c r="I13" s="612">
        <f t="shared" si="0"/>
        <v>9.9000000000000005E-2</v>
      </c>
      <c r="J13" s="612">
        <f t="shared" si="0"/>
        <v>2.7E-2</v>
      </c>
      <c r="K13" s="612">
        <f t="shared" si="0"/>
        <v>8.9999999999999993E-3</v>
      </c>
      <c r="L13" s="612">
        <f t="shared" si="0"/>
        <v>7.1999999999999995E-2</v>
      </c>
      <c r="M13" s="612">
        <f t="shared" si="0"/>
        <v>3.3000000000000002E-2</v>
      </c>
      <c r="N13" s="612">
        <f t="shared" si="0"/>
        <v>0.04</v>
      </c>
      <c r="O13" s="612">
        <f t="shared" si="0"/>
        <v>0.156</v>
      </c>
      <c r="P13" s="613">
        <f t="shared" ref="P13:P44" si="1">SUM(E13:O13)</f>
        <v>1</v>
      </c>
      <c r="S13" s="609">
        <f>year</f>
        <v>2000</v>
      </c>
      <c r="T13" s="614">
        <v>0</v>
      </c>
      <c r="U13" s="614">
        <v>5</v>
      </c>
      <c r="V13" s="615">
        <f>T13*U13</f>
        <v>0</v>
      </c>
      <c r="W13" s="616">
        <v>1</v>
      </c>
      <c r="X13" s="617">
        <f t="shared" ref="X13:X44" si="2">V13*W13</f>
        <v>0</v>
      </c>
    </row>
    <row r="14" spans="2:30">
      <c r="B14" s="618">
        <f t="shared" ref="B14:B45" si="3">B13+1</f>
        <v>2001</v>
      </c>
      <c r="C14" s="610"/>
      <c r="D14" s="611">
        <v>1</v>
      </c>
      <c r="E14" s="612">
        <f t="shared" si="0"/>
        <v>0.435</v>
      </c>
      <c r="F14" s="612">
        <f t="shared" si="0"/>
        <v>0.129</v>
      </c>
      <c r="G14" s="612">
        <f t="shared" si="0"/>
        <v>0</v>
      </c>
      <c r="H14" s="612">
        <f t="shared" si="0"/>
        <v>0</v>
      </c>
      <c r="I14" s="612">
        <f t="shared" si="0"/>
        <v>9.9000000000000005E-2</v>
      </c>
      <c r="J14" s="612">
        <f t="shared" si="0"/>
        <v>2.7E-2</v>
      </c>
      <c r="K14" s="612">
        <f t="shared" si="0"/>
        <v>8.9999999999999993E-3</v>
      </c>
      <c r="L14" s="612">
        <f t="shared" si="0"/>
        <v>7.1999999999999995E-2</v>
      </c>
      <c r="M14" s="612">
        <f t="shared" si="0"/>
        <v>3.3000000000000002E-2</v>
      </c>
      <c r="N14" s="612">
        <f t="shared" si="0"/>
        <v>0.04</v>
      </c>
      <c r="O14" s="612">
        <f t="shared" si="0"/>
        <v>0.156</v>
      </c>
      <c r="P14" s="619">
        <f t="shared" si="1"/>
        <v>1</v>
      </c>
      <c r="S14" s="618">
        <f t="shared" ref="S14:S77" si="4">S13+1</f>
        <v>2001</v>
      </c>
      <c r="T14" s="620">
        <v>0</v>
      </c>
      <c r="U14" s="620">
        <v>5</v>
      </c>
      <c r="V14" s="621">
        <f>T14*U14</f>
        <v>0</v>
      </c>
      <c r="W14" s="622">
        <v>1</v>
      </c>
      <c r="X14" s="623">
        <f t="shared" si="2"/>
        <v>0</v>
      </c>
    </row>
    <row r="15" spans="2:30">
      <c r="B15" s="618">
        <f t="shared" si="3"/>
        <v>2002</v>
      </c>
      <c r="C15" s="610"/>
      <c r="D15" s="611">
        <v>1</v>
      </c>
      <c r="E15" s="612">
        <f t="shared" si="0"/>
        <v>0.435</v>
      </c>
      <c r="F15" s="612">
        <f t="shared" si="0"/>
        <v>0.129</v>
      </c>
      <c r="G15" s="612">
        <f t="shared" si="0"/>
        <v>0</v>
      </c>
      <c r="H15" s="612">
        <f t="shared" si="0"/>
        <v>0</v>
      </c>
      <c r="I15" s="612">
        <f t="shared" si="0"/>
        <v>9.9000000000000005E-2</v>
      </c>
      <c r="J15" s="612">
        <f t="shared" si="0"/>
        <v>2.7E-2</v>
      </c>
      <c r="K15" s="612">
        <f t="shared" si="0"/>
        <v>8.9999999999999993E-3</v>
      </c>
      <c r="L15" s="612">
        <f t="shared" si="0"/>
        <v>7.1999999999999995E-2</v>
      </c>
      <c r="M15" s="612">
        <f t="shared" si="0"/>
        <v>3.3000000000000002E-2</v>
      </c>
      <c r="N15" s="612">
        <f t="shared" si="0"/>
        <v>0.04</v>
      </c>
      <c r="O15" s="612">
        <f t="shared" si="0"/>
        <v>0.156</v>
      </c>
      <c r="P15" s="619">
        <f t="shared" si="1"/>
        <v>1</v>
      </c>
      <c r="S15" s="618">
        <f t="shared" si="4"/>
        <v>2002</v>
      </c>
      <c r="T15" s="620">
        <v>0</v>
      </c>
      <c r="U15" s="620">
        <v>5</v>
      </c>
      <c r="V15" s="621">
        <f t="shared" ref="V15:V78" si="5">T15*U15</f>
        <v>0</v>
      </c>
      <c r="W15" s="622">
        <v>1</v>
      </c>
      <c r="X15" s="623">
        <f t="shared" si="2"/>
        <v>0</v>
      </c>
    </row>
    <row r="16" spans="2:30">
      <c r="B16" s="618">
        <f t="shared" si="3"/>
        <v>2003</v>
      </c>
      <c r="C16" s="610"/>
      <c r="D16" s="611">
        <v>1</v>
      </c>
      <c r="E16" s="612">
        <f t="shared" si="0"/>
        <v>0.435</v>
      </c>
      <c r="F16" s="612">
        <f t="shared" si="0"/>
        <v>0.129</v>
      </c>
      <c r="G16" s="612">
        <f t="shared" si="0"/>
        <v>0</v>
      </c>
      <c r="H16" s="612">
        <f t="shared" si="0"/>
        <v>0</v>
      </c>
      <c r="I16" s="612">
        <f t="shared" si="0"/>
        <v>9.9000000000000005E-2</v>
      </c>
      <c r="J16" s="612">
        <f t="shared" si="0"/>
        <v>2.7E-2</v>
      </c>
      <c r="K16" s="612">
        <f t="shared" si="0"/>
        <v>8.9999999999999993E-3</v>
      </c>
      <c r="L16" s="612">
        <f t="shared" si="0"/>
        <v>7.1999999999999995E-2</v>
      </c>
      <c r="M16" s="612">
        <f t="shared" si="0"/>
        <v>3.3000000000000002E-2</v>
      </c>
      <c r="N16" s="612">
        <f t="shared" si="0"/>
        <v>0.04</v>
      </c>
      <c r="O16" s="612">
        <f t="shared" si="0"/>
        <v>0.156</v>
      </c>
      <c r="P16" s="619">
        <f t="shared" si="1"/>
        <v>1</v>
      </c>
      <c r="S16" s="618">
        <f t="shared" si="4"/>
        <v>2003</v>
      </c>
      <c r="T16" s="620">
        <v>0</v>
      </c>
      <c r="U16" s="620">
        <v>5</v>
      </c>
      <c r="V16" s="621">
        <f t="shared" si="5"/>
        <v>0</v>
      </c>
      <c r="W16" s="622">
        <v>1</v>
      </c>
      <c r="X16" s="623">
        <f t="shared" si="2"/>
        <v>0</v>
      </c>
    </row>
    <row r="17" spans="2:24">
      <c r="B17" s="618">
        <f t="shared" si="3"/>
        <v>2004</v>
      </c>
      <c r="C17" s="610"/>
      <c r="D17" s="611">
        <v>1</v>
      </c>
      <c r="E17" s="612">
        <f t="shared" si="0"/>
        <v>0.435</v>
      </c>
      <c r="F17" s="612">
        <f t="shared" si="0"/>
        <v>0.129</v>
      </c>
      <c r="G17" s="612">
        <f t="shared" si="0"/>
        <v>0</v>
      </c>
      <c r="H17" s="612">
        <f t="shared" si="0"/>
        <v>0</v>
      </c>
      <c r="I17" s="612">
        <f t="shared" si="0"/>
        <v>9.9000000000000005E-2</v>
      </c>
      <c r="J17" s="612">
        <f t="shared" si="0"/>
        <v>2.7E-2</v>
      </c>
      <c r="K17" s="612">
        <f t="shared" si="0"/>
        <v>8.9999999999999993E-3</v>
      </c>
      <c r="L17" s="612">
        <f t="shared" si="0"/>
        <v>7.1999999999999995E-2</v>
      </c>
      <c r="M17" s="612">
        <f t="shared" si="0"/>
        <v>3.3000000000000002E-2</v>
      </c>
      <c r="N17" s="612">
        <f t="shared" si="0"/>
        <v>0.04</v>
      </c>
      <c r="O17" s="612">
        <f t="shared" si="0"/>
        <v>0.156</v>
      </c>
      <c r="P17" s="619">
        <f t="shared" si="1"/>
        <v>1</v>
      </c>
      <c r="S17" s="618">
        <f t="shared" si="4"/>
        <v>2004</v>
      </c>
      <c r="T17" s="620">
        <v>0</v>
      </c>
      <c r="U17" s="620">
        <v>5</v>
      </c>
      <c r="V17" s="621">
        <f t="shared" si="5"/>
        <v>0</v>
      </c>
      <c r="W17" s="622">
        <v>1</v>
      </c>
      <c r="X17" s="623">
        <f t="shared" si="2"/>
        <v>0</v>
      </c>
    </row>
    <row r="18" spans="2:24">
      <c r="B18" s="618">
        <f t="shared" si="3"/>
        <v>2005</v>
      </c>
      <c r="C18" s="610"/>
      <c r="D18" s="611">
        <v>1</v>
      </c>
      <c r="E18" s="612">
        <f t="shared" si="0"/>
        <v>0.435</v>
      </c>
      <c r="F18" s="612">
        <f t="shared" si="0"/>
        <v>0.129</v>
      </c>
      <c r="G18" s="612">
        <f t="shared" si="0"/>
        <v>0</v>
      </c>
      <c r="H18" s="612">
        <f t="shared" si="0"/>
        <v>0</v>
      </c>
      <c r="I18" s="612">
        <f t="shared" si="0"/>
        <v>9.9000000000000005E-2</v>
      </c>
      <c r="J18" s="612">
        <f t="shared" si="0"/>
        <v>2.7E-2</v>
      </c>
      <c r="K18" s="612">
        <f t="shared" si="0"/>
        <v>8.9999999999999993E-3</v>
      </c>
      <c r="L18" s="612">
        <f t="shared" si="0"/>
        <v>7.1999999999999995E-2</v>
      </c>
      <c r="M18" s="612">
        <f t="shared" si="0"/>
        <v>3.3000000000000002E-2</v>
      </c>
      <c r="N18" s="612">
        <f t="shared" si="0"/>
        <v>0.04</v>
      </c>
      <c r="O18" s="612">
        <f t="shared" si="0"/>
        <v>0.156</v>
      </c>
      <c r="P18" s="619">
        <f t="shared" si="1"/>
        <v>1</v>
      </c>
      <c r="S18" s="618">
        <f t="shared" si="4"/>
        <v>2005</v>
      </c>
      <c r="T18" s="620">
        <v>0</v>
      </c>
      <c r="U18" s="620">
        <v>5</v>
      </c>
      <c r="V18" s="621">
        <f t="shared" si="5"/>
        <v>0</v>
      </c>
      <c r="W18" s="622">
        <v>1</v>
      </c>
      <c r="X18" s="623">
        <f t="shared" si="2"/>
        <v>0</v>
      </c>
    </row>
    <row r="19" spans="2:24">
      <c r="B19" s="618">
        <f t="shared" si="3"/>
        <v>2006</v>
      </c>
      <c r="C19" s="610"/>
      <c r="D19" s="611">
        <v>1</v>
      </c>
      <c r="E19" s="612">
        <f t="shared" si="0"/>
        <v>0.435</v>
      </c>
      <c r="F19" s="612">
        <f t="shared" si="0"/>
        <v>0.129</v>
      </c>
      <c r="G19" s="612">
        <f t="shared" si="0"/>
        <v>0</v>
      </c>
      <c r="H19" s="612">
        <f t="shared" si="0"/>
        <v>0</v>
      </c>
      <c r="I19" s="612">
        <f t="shared" si="0"/>
        <v>9.9000000000000005E-2</v>
      </c>
      <c r="J19" s="612">
        <f t="shared" si="0"/>
        <v>2.7E-2</v>
      </c>
      <c r="K19" s="612">
        <f t="shared" si="0"/>
        <v>8.9999999999999993E-3</v>
      </c>
      <c r="L19" s="612">
        <f t="shared" si="0"/>
        <v>7.1999999999999995E-2</v>
      </c>
      <c r="M19" s="612">
        <f t="shared" si="0"/>
        <v>3.3000000000000002E-2</v>
      </c>
      <c r="N19" s="612">
        <f t="shared" si="0"/>
        <v>0.04</v>
      </c>
      <c r="O19" s="612">
        <f t="shared" si="0"/>
        <v>0.156</v>
      </c>
      <c r="P19" s="619">
        <f t="shared" si="1"/>
        <v>1</v>
      </c>
      <c r="S19" s="618">
        <f t="shared" si="4"/>
        <v>2006</v>
      </c>
      <c r="T19" s="620">
        <v>0</v>
      </c>
      <c r="U19" s="620">
        <v>5</v>
      </c>
      <c r="V19" s="621">
        <f t="shared" si="5"/>
        <v>0</v>
      </c>
      <c r="W19" s="622">
        <v>1</v>
      </c>
      <c r="X19" s="623">
        <f t="shared" si="2"/>
        <v>0</v>
      </c>
    </row>
    <row r="20" spans="2:24">
      <c r="B20" s="618">
        <f t="shared" si="3"/>
        <v>2007</v>
      </c>
      <c r="C20" s="610"/>
      <c r="D20" s="611">
        <v>1</v>
      </c>
      <c r="E20" s="612">
        <f t="shared" si="0"/>
        <v>0.435</v>
      </c>
      <c r="F20" s="612">
        <f t="shared" si="0"/>
        <v>0.129</v>
      </c>
      <c r="G20" s="612">
        <f t="shared" si="0"/>
        <v>0</v>
      </c>
      <c r="H20" s="612">
        <f t="shared" si="0"/>
        <v>0</v>
      </c>
      <c r="I20" s="612">
        <f t="shared" si="0"/>
        <v>9.9000000000000005E-2</v>
      </c>
      <c r="J20" s="612">
        <f t="shared" si="0"/>
        <v>2.7E-2</v>
      </c>
      <c r="K20" s="612">
        <f t="shared" si="0"/>
        <v>8.9999999999999993E-3</v>
      </c>
      <c r="L20" s="612">
        <f t="shared" si="0"/>
        <v>7.1999999999999995E-2</v>
      </c>
      <c r="M20" s="612">
        <f t="shared" si="0"/>
        <v>3.3000000000000002E-2</v>
      </c>
      <c r="N20" s="612">
        <f t="shared" si="0"/>
        <v>0.04</v>
      </c>
      <c r="O20" s="612">
        <f t="shared" si="0"/>
        <v>0.156</v>
      </c>
      <c r="P20" s="619">
        <f t="shared" si="1"/>
        <v>1</v>
      </c>
      <c r="S20" s="618">
        <f t="shared" si="4"/>
        <v>2007</v>
      </c>
      <c r="T20" s="620">
        <v>0</v>
      </c>
      <c r="U20" s="620">
        <v>5</v>
      </c>
      <c r="V20" s="621">
        <f t="shared" si="5"/>
        <v>0</v>
      </c>
      <c r="W20" s="622">
        <v>1</v>
      </c>
      <c r="X20" s="623">
        <f t="shared" si="2"/>
        <v>0</v>
      </c>
    </row>
    <row r="21" spans="2:24">
      <c r="B21" s="618">
        <f t="shared" si="3"/>
        <v>2008</v>
      </c>
      <c r="C21" s="610"/>
      <c r="D21" s="611">
        <v>1</v>
      </c>
      <c r="E21" s="612">
        <f>E$8</f>
        <v>0.435</v>
      </c>
      <c r="F21" s="612">
        <f t="shared" si="0"/>
        <v>0.129</v>
      </c>
      <c r="G21" s="612">
        <f t="shared" si="0"/>
        <v>0</v>
      </c>
      <c r="H21" s="612">
        <f t="shared" si="0"/>
        <v>0</v>
      </c>
      <c r="I21" s="612">
        <f t="shared" si="0"/>
        <v>9.9000000000000005E-2</v>
      </c>
      <c r="J21" s="612">
        <f t="shared" si="0"/>
        <v>2.7E-2</v>
      </c>
      <c r="K21" s="612">
        <f t="shared" si="0"/>
        <v>8.9999999999999993E-3</v>
      </c>
      <c r="L21" s="612">
        <f t="shared" si="0"/>
        <v>7.1999999999999995E-2</v>
      </c>
      <c r="M21" s="612">
        <f t="shared" si="0"/>
        <v>3.3000000000000002E-2</v>
      </c>
      <c r="N21" s="612">
        <f t="shared" si="0"/>
        <v>0.04</v>
      </c>
      <c r="O21" s="612">
        <f t="shared" si="0"/>
        <v>0.156</v>
      </c>
      <c r="P21" s="619">
        <f t="shared" si="1"/>
        <v>1</v>
      </c>
      <c r="S21" s="618">
        <f t="shared" si="4"/>
        <v>2008</v>
      </c>
      <c r="T21" s="620">
        <v>0</v>
      </c>
      <c r="U21" s="620">
        <v>5</v>
      </c>
      <c r="V21" s="621">
        <f t="shared" si="5"/>
        <v>0</v>
      </c>
      <c r="W21" s="622">
        <v>1</v>
      </c>
      <c r="X21" s="623">
        <f t="shared" si="2"/>
        <v>0</v>
      </c>
    </row>
    <row r="22" spans="2:24">
      <c r="B22" s="618">
        <f t="shared" si="3"/>
        <v>2009</v>
      </c>
      <c r="C22" s="610"/>
      <c r="D22" s="611">
        <v>1</v>
      </c>
      <c r="E22" s="612">
        <f t="shared" si="0"/>
        <v>0.435</v>
      </c>
      <c r="F22" s="612">
        <f t="shared" si="0"/>
        <v>0.129</v>
      </c>
      <c r="G22" s="612">
        <f t="shared" si="0"/>
        <v>0</v>
      </c>
      <c r="H22" s="612">
        <f t="shared" si="0"/>
        <v>0</v>
      </c>
      <c r="I22" s="612">
        <f t="shared" si="0"/>
        <v>9.9000000000000005E-2</v>
      </c>
      <c r="J22" s="612">
        <f t="shared" si="0"/>
        <v>2.7E-2</v>
      </c>
      <c r="K22" s="612">
        <f t="shared" si="0"/>
        <v>8.9999999999999993E-3</v>
      </c>
      <c r="L22" s="612">
        <f t="shared" si="0"/>
        <v>7.1999999999999995E-2</v>
      </c>
      <c r="M22" s="612">
        <f t="shared" si="0"/>
        <v>3.3000000000000002E-2</v>
      </c>
      <c r="N22" s="612">
        <f t="shared" si="0"/>
        <v>0.04</v>
      </c>
      <c r="O22" s="612">
        <f t="shared" si="0"/>
        <v>0.156</v>
      </c>
      <c r="P22" s="619">
        <f t="shared" si="1"/>
        <v>1</v>
      </c>
      <c r="S22" s="618">
        <f t="shared" si="4"/>
        <v>2009</v>
      </c>
      <c r="T22" s="620">
        <v>0</v>
      </c>
      <c r="U22" s="620">
        <v>5</v>
      </c>
      <c r="V22" s="621">
        <f t="shared" si="5"/>
        <v>0</v>
      </c>
      <c r="W22" s="622">
        <v>1</v>
      </c>
      <c r="X22" s="623">
        <f t="shared" si="2"/>
        <v>0</v>
      </c>
    </row>
    <row r="23" spans="2:24">
      <c r="B23" s="618">
        <f t="shared" si="3"/>
        <v>2010</v>
      </c>
      <c r="C23" s="610"/>
      <c r="D23" s="611">
        <v>1</v>
      </c>
      <c r="E23" s="612">
        <f t="shared" ref="E23:O38" si="6">E$8</f>
        <v>0.435</v>
      </c>
      <c r="F23" s="612">
        <f t="shared" si="6"/>
        <v>0.129</v>
      </c>
      <c r="G23" s="612">
        <f t="shared" si="0"/>
        <v>0</v>
      </c>
      <c r="H23" s="612">
        <f t="shared" si="6"/>
        <v>0</v>
      </c>
      <c r="I23" s="612">
        <f t="shared" si="0"/>
        <v>9.9000000000000005E-2</v>
      </c>
      <c r="J23" s="612">
        <f t="shared" si="6"/>
        <v>2.7E-2</v>
      </c>
      <c r="K23" s="612">
        <f t="shared" si="6"/>
        <v>8.9999999999999993E-3</v>
      </c>
      <c r="L23" s="612">
        <f t="shared" si="6"/>
        <v>7.1999999999999995E-2</v>
      </c>
      <c r="M23" s="612">
        <f t="shared" si="6"/>
        <v>3.3000000000000002E-2</v>
      </c>
      <c r="N23" s="612">
        <f t="shared" si="6"/>
        <v>0.04</v>
      </c>
      <c r="O23" s="612">
        <f t="shared" si="6"/>
        <v>0.156</v>
      </c>
      <c r="P23" s="619">
        <f t="shared" si="1"/>
        <v>1</v>
      </c>
      <c r="S23" s="618">
        <f t="shared" si="4"/>
        <v>2010</v>
      </c>
      <c r="T23" s="620">
        <v>0</v>
      </c>
      <c r="U23" s="620">
        <v>5</v>
      </c>
      <c r="V23" s="621">
        <f t="shared" si="5"/>
        <v>0</v>
      </c>
      <c r="W23" s="622">
        <v>1</v>
      </c>
      <c r="X23" s="623">
        <f t="shared" si="2"/>
        <v>0</v>
      </c>
    </row>
    <row r="24" spans="2:24">
      <c r="B24" s="618">
        <f t="shared" si="3"/>
        <v>2011</v>
      </c>
      <c r="C24" s="610">
        <f>'[2]Fraksi pengelolaan sampah BaU'!B29</f>
        <v>210.42193163299999</v>
      </c>
      <c r="D24" s="611">
        <v>1</v>
      </c>
      <c r="E24" s="612">
        <f t="shared" si="6"/>
        <v>0.435</v>
      </c>
      <c r="F24" s="612">
        <f t="shared" si="6"/>
        <v>0.129</v>
      </c>
      <c r="G24" s="612">
        <f t="shared" si="0"/>
        <v>0</v>
      </c>
      <c r="H24" s="612">
        <f t="shared" si="6"/>
        <v>0</v>
      </c>
      <c r="I24" s="612">
        <f t="shared" si="0"/>
        <v>9.9000000000000005E-2</v>
      </c>
      <c r="J24" s="612">
        <f t="shared" si="6"/>
        <v>2.7E-2</v>
      </c>
      <c r="K24" s="612">
        <f t="shared" si="6"/>
        <v>8.9999999999999993E-3</v>
      </c>
      <c r="L24" s="612">
        <f t="shared" si="6"/>
        <v>7.1999999999999995E-2</v>
      </c>
      <c r="M24" s="612">
        <f t="shared" si="6"/>
        <v>3.3000000000000002E-2</v>
      </c>
      <c r="N24" s="612">
        <f t="shared" si="6"/>
        <v>0.04</v>
      </c>
      <c r="O24" s="612">
        <f t="shared" si="6"/>
        <v>0.156</v>
      </c>
      <c r="P24" s="619">
        <f t="shared" si="1"/>
        <v>1</v>
      </c>
      <c r="S24" s="618">
        <f t="shared" si="4"/>
        <v>2011</v>
      </c>
      <c r="T24" s="620">
        <v>0</v>
      </c>
      <c r="U24" s="620">
        <v>5</v>
      </c>
      <c r="V24" s="621">
        <f t="shared" si="5"/>
        <v>0</v>
      </c>
      <c r="W24" s="622">
        <v>1</v>
      </c>
      <c r="X24" s="623">
        <f t="shared" si="2"/>
        <v>0</v>
      </c>
    </row>
    <row r="25" spans="2:24">
      <c r="B25" s="618">
        <f t="shared" si="3"/>
        <v>2012</v>
      </c>
      <c r="C25" s="610">
        <f>'[2]Fraksi pengelolaan sampah BaU'!B30</f>
        <v>214.934521496</v>
      </c>
      <c r="D25" s="611">
        <v>1</v>
      </c>
      <c r="E25" s="612">
        <f t="shared" si="6"/>
        <v>0.435</v>
      </c>
      <c r="F25" s="612">
        <f t="shared" si="6"/>
        <v>0.129</v>
      </c>
      <c r="G25" s="612">
        <f t="shared" si="0"/>
        <v>0</v>
      </c>
      <c r="H25" s="612">
        <f t="shared" si="6"/>
        <v>0</v>
      </c>
      <c r="I25" s="612">
        <f t="shared" si="0"/>
        <v>9.9000000000000005E-2</v>
      </c>
      <c r="J25" s="612">
        <f t="shared" si="6"/>
        <v>2.7E-2</v>
      </c>
      <c r="K25" s="612">
        <f t="shared" si="6"/>
        <v>8.9999999999999993E-3</v>
      </c>
      <c r="L25" s="612">
        <f t="shared" si="6"/>
        <v>7.1999999999999995E-2</v>
      </c>
      <c r="M25" s="612">
        <f t="shared" si="6"/>
        <v>3.3000000000000002E-2</v>
      </c>
      <c r="N25" s="612">
        <f t="shared" si="6"/>
        <v>0.04</v>
      </c>
      <c r="O25" s="612">
        <f t="shared" si="6"/>
        <v>0.156</v>
      </c>
      <c r="P25" s="619">
        <f t="shared" si="1"/>
        <v>1</v>
      </c>
      <c r="S25" s="618">
        <f t="shared" si="4"/>
        <v>2012</v>
      </c>
      <c r="T25" s="620">
        <v>0</v>
      </c>
      <c r="U25" s="620">
        <v>5</v>
      </c>
      <c r="V25" s="621">
        <f t="shared" si="5"/>
        <v>0</v>
      </c>
      <c r="W25" s="622">
        <v>1</v>
      </c>
      <c r="X25" s="623">
        <f t="shared" si="2"/>
        <v>0</v>
      </c>
    </row>
    <row r="26" spans="2:24">
      <c r="B26" s="618">
        <f t="shared" si="3"/>
        <v>2013</v>
      </c>
      <c r="C26" s="610">
        <f>'[2]Fraksi pengelolaan sampah BaU'!B31</f>
        <v>220.03132421799998</v>
      </c>
      <c r="D26" s="611">
        <v>1</v>
      </c>
      <c r="E26" s="612">
        <f t="shared" si="6"/>
        <v>0.435</v>
      </c>
      <c r="F26" s="612">
        <f t="shared" si="6"/>
        <v>0.129</v>
      </c>
      <c r="G26" s="612">
        <f t="shared" si="0"/>
        <v>0</v>
      </c>
      <c r="H26" s="612">
        <f t="shared" si="6"/>
        <v>0</v>
      </c>
      <c r="I26" s="612">
        <f t="shared" si="0"/>
        <v>9.9000000000000005E-2</v>
      </c>
      <c r="J26" s="612">
        <f t="shared" si="6"/>
        <v>2.7E-2</v>
      </c>
      <c r="K26" s="612">
        <f t="shared" si="6"/>
        <v>8.9999999999999993E-3</v>
      </c>
      <c r="L26" s="612">
        <f t="shared" si="6"/>
        <v>7.1999999999999995E-2</v>
      </c>
      <c r="M26" s="612">
        <f t="shared" si="6"/>
        <v>3.3000000000000002E-2</v>
      </c>
      <c r="N26" s="612">
        <f t="shared" si="6"/>
        <v>0.04</v>
      </c>
      <c r="O26" s="612">
        <f t="shared" si="6"/>
        <v>0.156</v>
      </c>
      <c r="P26" s="619">
        <f t="shared" si="1"/>
        <v>1</v>
      </c>
      <c r="S26" s="618">
        <f t="shared" si="4"/>
        <v>2013</v>
      </c>
      <c r="T26" s="620">
        <v>0</v>
      </c>
      <c r="U26" s="620">
        <v>5</v>
      </c>
      <c r="V26" s="621">
        <f t="shared" si="5"/>
        <v>0</v>
      </c>
      <c r="W26" s="622">
        <v>1</v>
      </c>
      <c r="X26" s="623">
        <f t="shared" si="2"/>
        <v>0</v>
      </c>
    </row>
    <row r="27" spans="2:24">
      <c r="B27" s="618">
        <f t="shared" si="3"/>
        <v>2014</v>
      </c>
      <c r="C27" s="610">
        <f>'[2]Fraksi pengelolaan sampah BaU'!B32</f>
        <v>225.087944308</v>
      </c>
      <c r="D27" s="611">
        <v>1</v>
      </c>
      <c r="E27" s="612">
        <f t="shared" si="6"/>
        <v>0.435</v>
      </c>
      <c r="F27" s="612">
        <f t="shared" si="6"/>
        <v>0.129</v>
      </c>
      <c r="G27" s="612">
        <f t="shared" si="0"/>
        <v>0</v>
      </c>
      <c r="H27" s="612">
        <f t="shared" si="6"/>
        <v>0</v>
      </c>
      <c r="I27" s="612">
        <f t="shared" si="0"/>
        <v>9.9000000000000005E-2</v>
      </c>
      <c r="J27" s="612">
        <f t="shared" si="6"/>
        <v>2.7E-2</v>
      </c>
      <c r="K27" s="612">
        <f t="shared" si="6"/>
        <v>8.9999999999999993E-3</v>
      </c>
      <c r="L27" s="612">
        <f t="shared" si="6"/>
        <v>7.1999999999999995E-2</v>
      </c>
      <c r="M27" s="612">
        <f t="shared" si="6"/>
        <v>3.3000000000000002E-2</v>
      </c>
      <c r="N27" s="612">
        <f t="shared" si="6"/>
        <v>0.04</v>
      </c>
      <c r="O27" s="612">
        <f t="shared" si="6"/>
        <v>0.156</v>
      </c>
      <c r="P27" s="619">
        <f t="shared" si="1"/>
        <v>1</v>
      </c>
      <c r="S27" s="618">
        <f t="shared" si="4"/>
        <v>2014</v>
      </c>
      <c r="T27" s="620">
        <v>0</v>
      </c>
      <c r="U27" s="620">
        <v>5</v>
      </c>
      <c r="V27" s="621">
        <f t="shared" si="5"/>
        <v>0</v>
      </c>
      <c r="W27" s="622">
        <v>1</v>
      </c>
      <c r="X27" s="623">
        <f t="shared" si="2"/>
        <v>0</v>
      </c>
    </row>
    <row r="28" spans="2:24">
      <c r="B28" s="618">
        <f t="shared" si="3"/>
        <v>2015</v>
      </c>
      <c r="C28" s="610">
        <f>'[2]Fraksi pengelolaan sampah BaU'!B33</f>
        <v>230.11672230999997</v>
      </c>
      <c r="D28" s="611">
        <v>1</v>
      </c>
      <c r="E28" s="612">
        <f t="shared" si="6"/>
        <v>0.435</v>
      </c>
      <c r="F28" s="612">
        <f t="shared" si="6"/>
        <v>0.129</v>
      </c>
      <c r="G28" s="612">
        <f t="shared" si="0"/>
        <v>0</v>
      </c>
      <c r="H28" s="612">
        <f t="shared" si="6"/>
        <v>0</v>
      </c>
      <c r="I28" s="612">
        <f t="shared" si="0"/>
        <v>9.9000000000000005E-2</v>
      </c>
      <c r="J28" s="612">
        <f t="shared" si="6"/>
        <v>2.7E-2</v>
      </c>
      <c r="K28" s="612">
        <f t="shared" si="6"/>
        <v>8.9999999999999993E-3</v>
      </c>
      <c r="L28" s="612">
        <f t="shared" si="6"/>
        <v>7.1999999999999995E-2</v>
      </c>
      <c r="M28" s="612">
        <f t="shared" si="6"/>
        <v>3.3000000000000002E-2</v>
      </c>
      <c r="N28" s="612">
        <f t="shared" si="6"/>
        <v>0.04</v>
      </c>
      <c r="O28" s="612">
        <f t="shared" si="6"/>
        <v>0.156</v>
      </c>
      <c r="P28" s="619">
        <f t="shared" si="1"/>
        <v>1</v>
      </c>
      <c r="S28" s="618">
        <f t="shared" si="4"/>
        <v>2015</v>
      </c>
      <c r="T28" s="620">
        <v>0</v>
      </c>
      <c r="U28" s="620">
        <v>5</v>
      </c>
      <c r="V28" s="621">
        <f t="shared" si="5"/>
        <v>0</v>
      </c>
      <c r="W28" s="622">
        <v>1</v>
      </c>
      <c r="X28" s="623">
        <f t="shared" si="2"/>
        <v>0</v>
      </c>
    </row>
    <row r="29" spans="2:24">
      <c r="B29" s="618">
        <f t="shared" si="3"/>
        <v>2016</v>
      </c>
      <c r="C29" s="610">
        <f>'[2]Fraksi pengelolaan sampah BaU'!B34</f>
        <v>235.106092125</v>
      </c>
      <c r="D29" s="611">
        <v>1</v>
      </c>
      <c r="E29" s="612">
        <f t="shared" si="6"/>
        <v>0.435</v>
      </c>
      <c r="F29" s="612">
        <f t="shared" si="6"/>
        <v>0.129</v>
      </c>
      <c r="G29" s="612">
        <f t="shared" si="6"/>
        <v>0</v>
      </c>
      <c r="H29" s="612">
        <f t="shared" si="6"/>
        <v>0</v>
      </c>
      <c r="I29" s="612">
        <f t="shared" si="6"/>
        <v>9.9000000000000005E-2</v>
      </c>
      <c r="J29" s="612">
        <f t="shared" si="6"/>
        <v>2.7E-2</v>
      </c>
      <c r="K29" s="612">
        <f t="shared" si="6"/>
        <v>8.9999999999999993E-3</v>
      </c>
      <c r="L29" s="612">
        <f t="shared" si="6"/>
        <v>7.1999999999999995E-2</v>
      </c>
      <c r="M29" s="612">
        <f t="shared" si="6"/>
        <v>3.3000000000000002E-2</v>
      </c>
      <c r="N29" s="612">
        <f t="shared" si="6"/>
        <v>0.04</v>
      </c>
      <c r="O29" s="612">
        <f t="shared" si="6"/>
        <v>0.156</v>
      </c>
      <c r="P29" s="619">
        <f t="shared" si="1"/>
        <v>1</v>
      </c>
      <c r="S29" s="618">
        <f t="shared" si="4"/>
        <v>2016</v>
      </c>
      <c r="T29" s="620">
        <v>0</v>
      </c>
      <c r="U29" s="620">
        <v>5</v>
      </c>
      <c r="V29" s="621">
        <f t="shared" si="5"/>
        <v>0</v>
      </c>
      <c r="W29" s="622">
        <v>1</v>
      </c>
      <c r="X29" s="623">
        <f t="shared" si="2"/>
        <v>0</v>
      </c>
    </row>
    <row r="30" spans="2:24">
      <c r="B30" s="618">
        <f t="shared" si="3"/>
        <v>2017</v>
      </c>
      <c r="C30" s="610">
        <f>'[2]Fraksi pengelolaan sampah BaU'!B35</f>
        <v>247.77931214080493</v>
      </c>
      <c r="D30" s="611">
        <v>1</v>
      </c>
      <c r="E30" s="612">
        <f t="shared" si="6"/>
        <v>0.435</v>
      </c>
      <c r="F30" s="612">
        <f t="shared" si="6"/>
        <v>0.129</v>
      </c>
      <c r="G30" s="612">
        <f t="shared" si="6"/>
        <v>0</v>
      </c>
      <c r="H30" s="612">
        <f t="shared" si="6"/>
        <v>0</v>
      </c>
      <c r="I30" s="612">
        <f t="shared" si="6"/>
        <v>9.9000000000000005E-2</v>
      </c>
      <c r="J30" s="612">
        <f t="shared" si="6"/>
        <v>2.7E-2</v>
      </c>
      <c r="K30" s="612">
        <f t="shared" si="6"/>
        <v>8.9999999999999993E-3</v>
      </c>
      <c r="L30" s="612">
        <f t="shared" si="6"/>
        <v>7.1999999999999995E-2</v>
      </c>
      <c r="M30" s="612">
        <f t="shared" si="6"/>
        <v>3.3000000000000002E-2</v>
      </c>
      <c r="N30" s="612">
        <f t="shared" si="6"/>
        <v>0.04</v>
      </c>
      <c r="O30" s="612">
        <f t="shared" si="6"/>
        <v>0.156</v>
      </c>
      <c r="P30" s="619">
        <f t="shared" si="1"/>
        <v>1</v>
      </c>
      <c r="S30" s="618">
        <f t="shared" si="4"/>
        <v>2017</v>
      </c>
      <c r="T30" s="620">
        <v>0</v>
      </c>
      <c r="U30" s="620">
        <v>5</v>
      </c>
      <c r="V30" s="621">
        <f t="shared" si="5"/>
        <v>0</v>
      </c>
      <c r="W30" s="622">
        <v>1</v>
      </c>
      <c r="X30" s="623">
        <f t="shared" si="2"/>
        <v>0</v>
      </c>
    </row>
    <row r="31" spans="2:24">
      <c r="B31" s="618">
        <f t="shared" si="3"/>
        <v>2018</v>
      </c>
      <c r="C31" s="610">
        <f>'[2]Fraksi pengelolaan sampah BaU'!B36</f>
        <v>260.58709757834117</v>
      </c>
      <c r="D31" s="611">
        <v>1</v>
      </c>
      <c r="E31" s="612">
        <f t="shared" si="6"/>
        <v>0.435</v>
      </c>
      <c r="F31" s="612">
        <f t="shared" si="6"/>
        <v>0.129</v>
      </c>
      <c r="G31" s="612">
        <f t="shared" si="6"/>
        <v>0</v>
      </c>
      <c r="H31" s="612">
        <f t="shared" si="6"/>
        <v>0</v>
      </c>
      <c r="I31" s="612">
        <f t="shared" si="6"/>
        <v>9.9000000000000005E-2</v>
      </c>
      <c r="J31" s="612">
        <f t="shared" si="6"/>
        <v>2.7E-2</v>
      </c>
      <c r="K31" s="612">
        <f t="shared" si="6"/>
        <v>8.9999999999999993E-3</v>
      </c>
      <c r="L31" s="612">
        <f t="shared" si="6"/>
        <v>7.1999999999999995E-2</v>
      </c>
      <c r="M31" s="612">
        <f t="shared" si="6"/>
        <v>3.3000000000000002E-2</v>
      </c>
      <c r="N31" s="612">
        <f t="shared" si="6"/>
        <v>0.04</v>
      </c>
      <c r="O31" s="612">
        <f t="shared" si="6"/>
        <v>0.156</v>
      </c>
      <c r="P31" s="619">
        <f t="shared" si="1"/>
        <v>1</v>
      </c>
      <c r="S31" s="618">
        <f t="shared" si="4"/>
        <v>2018</v>
      </c>
      <c r="T31" s="620">
        <v>0</v>
      </c>
      <c r="U31" s="620">
        <v>5</v>
      </c>
      <c r="V31" s="621">
        <f t="shared" si="5"/>
        <v>0</v>
      </c>
      <c r="W31" s="622">
        <v>1</v>
      </c>
      <c r="X31" s="623">
        <f t="shared" si="2"/>
        <v>0</v>
      </c>
    </row>
    <row r="32" spans="2:24">
      <c r="B32" s="618">
        <f t="shared" si="3"/>
        <v>2019</v>
      </c>
      <c r="C32" s="610">
        <f>'[2]Fraksi pengelolaan sampah BaU'!B37</f>
        <v>273.88696157547224</v>
      </c>
      <c r="D32" s="611">
        <v>1</v>
      </c>
      <c r="E32" s="612">
        <f t="shared" si="6"/>
        <v>0.435</v>
      </c>
      <c r="F32" s="612">
        <f t="shared" si="6"/>
        <v>0.129</v>
      </c>
      <c r="G32" s="612">
        <f t="shared" si="6"/>
        <v>0</v>
      </c>
      <c r="H32" s="612">
        <f t="shared" si="6"/>
        <v>0</v>
      </c>
      <c r="I32" s="612">
        <f t="shared" si="6"/>
        <v>9.9000000000000005E-2</v>
      </c>
      <c r="J32" s="612">
        <f t="shared" si="6"/>
        <v>2.7E-2</v>
      </c>
      <c r="K32" s="612">
        <f t="shared" si="6"/>
        <v>8.9999999999999993E-3</v>
      </c>
      <c r="L32" s="612">
        <f t="shared" si="6"/>
        <v>7.1999999999999995E-2</v>
      </c>
      <c r="M32" s="612">
        <f t="shared" si="6"/>
        <v>3.3000000000000002E-2</v>
      </c>
      <c r="N32" s="612">
        <f t="shared" si="6"/>
        <v>0.04</v>
      </c>
      <c r="O32" s="612">
        <f t="shared" si="6"/>
        <v>0.156</v>
      </c>
      <c r="P32" s="619">
        <f t="shared" si="1"/>
        <v>1</v>
      </c>
      <c r="S32" s="618">
        <f t="shared" si="4"/>
        <v>2019</v>
      </c>
      <c r="T32" s="620">
        <v>0</v>
      </c>
      <c r="U32" s="620">
        <v>5</v>
      </c>
      <c r="V32" s="621">
        <f t="shared" si="5"/>
        <v>0</v>
      </c>
      <c r="W32" s="622">
        <v>1</v>
      </c>
      <c r="X32" s="623">
        <f t="shared" si="2"/>
        <v>0</v>
      </c>
    </row>
    <row r="33" spans="2:24">
      <c r="B33" s="618">
        <f t="shared" si="3"/>
        <v>2020</v>
      </c>
      <c r="C33" s="610">
        <f>'[2]Fraksi pengelolaan sampah BaU'!B38</f>
        <v>287.69567187625665</v>
      </c>
      <c r="D33" s="611">
        <v>1</v>
      </c>
      <c r="E33" s="612">
        <f t="shared" ref="E33:O48" si="7">E$8</f>
        <v>0.435</v>
      </c>
      <c r="F33" s="612">
        <f t="shared" si="7"/>
        <v>0.129</v>
      </c>
      <c r="G33" s="612">
        <f t="shared" si="6"/>
        <v>0</v>
      </c>
      <c r="H33" s="612">
        <f t="shared" si="7"/>
        <v>0</v>
      </c>
      <c r="I33" s="612">
        <f t="shared" si="6"/>
        <v>9.9000000000000005E-2</v>
      </c>
      <c r="J33" s="612">
        <f t="shared" si="7"/>
        <v>2.7E-2</v>
      </c>
      <c r="K33" s="612">
        <f t="shared" si="7"/>
        <v>8.9999999999999993E-3</v>
      </c>
      <c r="L33" s="612">
        <f t="shared" si="7"/>
        <v>7.1999999999999995E-2</v>
      </c>
      <c r="M33" s="612">
        <f t="shared" si="7"/>
        <v>3.3000000000000002E-2</v>
      </c>
      <c r="N33" s="612">
        <f t="shared" si="7"/>
        <v>0.04</v>
      </c>
      <c r="O33" s="612">
        <f t="shared" si="7"/>
        <v>0.156</v>
      </c>
      <c r="P33" s="619">
        <f t="shared" si="1"/>
        <v>1</v>
      </c>
      <c r="S33" s="618">
        <f t="shared" si="4"/>
        <v>2020</v>
      </c>
      <c r="T33" s="620">
        <v>0</v>
      </c>
      <c r="U33" s="620">
        <v>5</v>
      </c>
      <c r="V33" s="621">
        <f t="shared" si="5"/>
        <v>0</v>
      </c>
      <c r="W33" s="622">
        <v>1</v>
      </c>
      <c r="X33" s="623">
        <f t="shared" si="2"/>
        <v>0</v>
      </c>
    </row>
    <row r="34" spans="2:24">
      <c r="B34" s="618">
        <f t="shared" si="3"/>
        <v>2021</v>
      </c>
      <c r="C34" s="610">
        <f>'[2]Fraksi pengelolaan sampah BaU'!B39</f>
        <v>302.03053140561661</v>
      </c>
      <c r="D34" s="611">
        <v>1</v>
      </c>
      <c r="E34" s="612">
        <f t="shared" si="7"/>
        <v>0.435</v>
      </c>
      <c r="F34" s="612">
        <f t="shared" si="7"/>
        <v>0.129</v>
      </c>
      <c r="G34" s="612">
        <f t="shared" si="6"/>
        <v>0</v>
      </c>
      <c r="H34" s="612">
        <f t="shared" si="7"/>
        <v>0</v>
      </c>
      <c r="I34" s="612">
        <f t="shared" si="6"/>
        <v>9.9000000000000005E-2</v>
      </c>
      <c r="J34" s="612">
        <f t="shared" si="7"/>
        <v>2.7E-2</v>
      </c>
      <c r="K34" s="612">
        <f t="shared" si="7"/>
        <v>8.9999999999999993E-3</v>
      </c>
      <c r="L34" s="612">
        <f t="shared" si="7"/>
        <v>7.1999999999999995E-2</v>
      </c>
      <c r="M34" s="612">
        <f t="shared" si="7"/>
        <v>3.3000000000000002E-2</v>
      </c>
      <c r="N34" s="612">
        <f t="shared" si="7"/>
        <v>0.04</v>
      </c>
      <c r="O34" s="612">
        <f t="shared" si="7"/>
        <v>0.156</v>
      </c>
      <c r="P34" s="619">
        <f t="shared" si="1"/>
        <v>1</v>
      </c>
      <c r="S34" s="618">
        <f t="shared" si="4"/>
        <v>2021</v>
      </c>
      <c r="T34" s="620">
        <v>0</v>
      </c>
      <c r="U34" s="620">
        <v>5</v>
      </c>
      <c r="V34" s="621">
        <f t="shared" si="5"/>
        <v>0</v>
      </c>
      <c r="W34" s="622">
        <v>1</v>
      </c>
      <c r="X34" s="623">
        <f t="shared" si="2"/>
        <v>0</v>
      </c>
    </row>
    <row r="35" spans="2:24">
      <c r="B35" s="618">
        <f t="shared" si="3"/>
        <v>2022</v>
      </c>
      <c r="C35" s="610">
        <f>'[2]Fraksi pengelolaan sampah BaU'!B40</f>
        <v>316.90939466033643</v>
      </c>
      <c r="D35" s="611">
        <v>1</v>
      </c>
      <c r="E35" s="612">
        <f t="shared" si="7"/>
        <v>0.435</v>
      </c>
      <c r="F35" s="612">
        <f t="shared" si="7"/>
        <v>0.129</v>
      </c>
      <c r="G35" s="612">
        <f t="shared" si="6"/>
        <v>0</v>
      </c>
      <c r="H35" s="612">
        <f t="shared" si="7"/>
        <v>0</v>
      </c>
      <c r="I35" s="612">
        <f t="shared" si="6"/>
        <v>9.9000000000000005E-2</v>
      </c>
      <c r="J35" s="612">
        <f t="shared" si="7"/>
        <v>2.7E-2</v>
      </c>
      <c r="K35" s="612">
        <f t="shared" si="7"/>
        <v>8.9999999999999993E-3</v>
      </c>
      <c r="L35" s="612">
        <f t="shared" si="7"/>
        <v>7.1999999999999995E-2</v>
      </c>
      <c r="M35" s="612">
        <f t="shared" si="7"/>
        <v>3.3000000000000002E-2</v>
      </c>
      <c r="N35" s="612">
        <f t="shared" si="7"/>
        <v>0.04</v>
      </c>
      <c r="O35" s="612">
        <f t="shared" si="7"/>
        <v>0.156</v>
      </c>
      <c r="P35" s="619">
        <f t="shared" si="1"/>
        <v>1</v>
      </c>
      <c r="S35" s="618">
        <f t="shared" si="4"/>
        <v>2022</v>
      </c>
      <c r="T35" s="620">
        <v>0</v>
      </c>
      <c r="U35" s="620">
        <v>5</v>
      </c>
      <c r="V35" s="621">
        <f t="shared" si="5"/>
        <v>0</v>
      </c>
      <c r="W35" s="622">
        <v>1</v>
      </c>
      <c r="X35" s="623">
        <f t="shared" si="2"/>
        <v>0</v>
      </c>
    </row>
    <row r="36" spans="2:24">
      <c r="B36" s="618">
        <f t="shared" si="3"/>
        <v>2023</v>
      </c>
      <c r="C36" s="610">
        <f>'[2]Fraksi pengelolaan sampah BaU'!B41</f>
        <v>332.35068458800038</v>
      </c>
      <c r="D36" s="611">
        <v>1</v>
      </c>
      <c r="E36" s="612">
        <f t="shared" si="7"/>
        <v>0.435</v>
      </c>
      <c r="F36" s="612">
        <f t="shared" si="7"/>
        <v>0.129</v>
      </c>
      <c r="G36" s="612">
        <f t="shared" si="6"/>
        <v>0</v>
      </c>
      <c r="H36" s="612">
        <f t="shared" si="7"/>
        <v>0</v>
      </c>
      <c r="I36" s="612">
        <f t="shared" si="6"/>
        <v>9.9000000000000005E-2</v>
      </c>
      <c r="J36" s="612">
        <f t="shared" si="7"/>
        <v>2.7E-2</v>
      </c>
      <c r="K36" s="612">
        <f t="shared" si="7"/>
        <v>8.9999999999999993E-3</v>
      </c>
      <c r="L36" s="612">
        <f t="shared" si="7"/>
        <v>7.1999999999999995E-2</v>
      </c>
      <c r="M36" s="612">
        <f t="shared" si="7"/>
        <v>3.3000000000000002E-2</v>
      </c>
      <c r="N36" s="612">
        <f t="shared" si="7"/>
        <v>0.04</v>
      </c>
      <c r="O36" s="612">
        <f t="shared" si="7"/>
        <v>0.156</v>
      </c>
      <c r="P36" s="619">
        <f t="shared" si="1"/>
        <v>1</v>
      </c>
      <c r="S36" s="618">
        <f t="shared" si="4"/>
        <v>2023</v>
      </c>
      <c r="T36" s="620">
        <v>0</v>
      </c>
      <c r="U36" s="620">
        <v>5</v>
      </c>
      <c r="V36" s="621">
        <f t="shared" si="5"/>
        <v>0</v>
      </c>
      <c r="W36" s="622">
        <v>1</v>
      </c>
      <c r="X36" s="623">
        <f t="shared" si="2"/>
        <v>0</v>
      </c>
    </row>
    <row r="37" spans="2:24">
      <c r="B37" s="618">
        <f t="shared" si="3"/>
        <v>2024</v>
      </c>
      <c r="C37" s="610">
        <f>'[2]Fraksi pengelolaan sampah BaU'!B42</f>
        <v>348.37340996809735</v>
      </c>
      <c r="D37" s="611">
        <v>1</v>
      </c>
      <c r="E37" s="612">
        <f t="shared" si="7"/>
        <v>0.435</v>
      </c>
      <c r="F37" s="612">
        <f t="shared" si="7"/>
        <v>0.129</v>
      </c>
      <c r="G37" s="612">
        <f t="shared" si="6"/>
        <v>0</v>
      </c>
      <c r="H37" s="612">
        <f t="shared" si="7"/>
        <v>0</v>
      </c>
      <c r="I37" s="612">
        <f t="shared" si="6"/>
        <v>9.9000000000000005E-2</v>
      </c>
      <c r="J37" s="612">
        <f t="shared" si="7"/>
        <v>2.7E-2</v>
      </c>
      <c r="K37" s="612">
        <f t="shared" si="7"/>
        <v>8.9999999999999993E-3</v>
      </c>
      <c r="L37" s="612">
        <f t="shared" si="7"/>
        <v>7.1999999999999995E-2</v>
      </c>
      <c r="M37" s="612">
        <f t="shared" si="7"/>
        <v>3.3000000000000002E-2</v>
      </c>
      <c r="N37" s="612">
        <f t="shared" si="7"/>
        <v>0.04</v>
      </c>
      <c r="O37" s="612">
        <f t="shared" si="7"/>
        <v>0.156</v>
      </c>
      <c r="P37" s="619">
        <f t="shared" si="1"/>
        <v>1</v>
      </c>
      <c r="S37" s="618">
        <f t="shared" si="4"/>
        <v>2024</v>
      </c>
      <c r="T37" s="620">
        <v>0</v>
      </c>
      <c r="U37" s="620">
        <v>5</v>
      </c>
      <c r="V37" s="621">
        <f t="shared" si="5"/>
        <v>0</v>
      </c>
      <c r="W37" s="622">
        <v>1</v>
      </c>
      <c r="X37" s="623">
        <f t="shared" si="2"/>
        <v>0</v>
      </c>
    </row>
    <row r="38" spans="2:24">
      <c r="B38" s="618">
        <f t="shared" si="3"/>
        <v>2025</v>
      </c>
      <c r="C38" s="610">
        <f>'[2]Fraksi pengelolaan sampah BaU'!B43</f>
        <v>364.9971833099259</v>
      </c>
      <c r="D38" s="611">
        <v>1</v>
      </c>
      <c r="E38" s="612">
        <f t="shared" si="7"/>
        <v>0.435</v>
      </c>
      <c r="F38" s="612">
        <f t="shared" si="7"/>
        <v>0.129</v>
      </c>
      <c r="G38" s="612">
        <f t="shared" si="6"/>
        <v>0</v>
      </c>
      <c r="H38" s="612">
        <f t="shared" si="7"/>
        <v>0</v>
      </c>
      <c r="I38" s="612">
        <f t="shared" si="6"/>
        <v>9.9000000000000005E-2</v>
      </c>
      <c r="J38" s="612">
        <f t="shared" si="7"/>
        <v>2.7E-2</v>
      </c>
      <c r="K38" s="612">
        <f t="shared" si="7"/>
        <v>8.9999999999999993E-3</v>
      </c>
      <c r="L38" s="612">
        <f t="shared" si="7"/>
        <v>7.1999999999999995E-2</v>
      </c>
      <c r="M38" s="612">
        <f t="shared" si="7"/>
        <v>3.3000000000000002E-2</v>
      </c>
      <c r="N38" s="612">
        <f t="shared" si="7"/>
        <v>0.04</v>
      </c>
      <c r="O38" s="612">
        <f t="shared" si="7"/>
        <v>0.156</v>
      </c>
      <c r="P38" s="619">
        <f t="shared" si="1"/>
        <v>1</v>
      </c>
      <c r="S38" s="618">
        <f t="shared" si="4"/>
        <v>2025</v>
      </c>
      <c r="T38" s="620">
        <v>0</v>
      </c>
      <c r="U38" s="620">
        <v>5</v>
      </c>
      <c r="V38" s="621">
        <f t="shared" si="5"/>
        <v>0</v>
      </c>
      <c r="W38" s="622">
        <v>1</v>
      </c>
      <c r="X38" s="623">
        <f t="shared" si="2"/>
        <v>0</v>
      </c>
    </row>
    <row r="39" spans="2:24">
      <c r="B39" s="618">
        <f t="shared" si="3"/>
        <v>2026</v>
      </c>
      <c r="C39" s="610">
        <f>'[2]Fraksi pengelolaan sampah BaU'!B44</f>
        <v>382.24223928235591</v>
      </c>
      <c r="D39" s="611">
        <v>1</v>
      </c>
      <c r="E39" s="612">
        <f t="shared" si="7"/>
        <v>0.435</v>
      </c>
      <c r="F39" s="612">
        <f t="shared" si="7"/>
        <v>0.129</v>
      </c>
      <c r="G39" s="612">
        <f t="shared" si="7"/>
        <v>0</v>
      </c>
      <c r="H39" s="612">
        <f t="shared" si="7"/>
        <v>0</v>
      </c>
      <c r="I39" s="612">
        <f t="shared" si="7"/>
        <v>9.9000000000000005E-2</v>
      </c>
      <c r="J39" s="612">
        <f t="shared" si="7"/>
        <v>2.7E-2</v>
      </c>
      <c r="K39" s="612">
        <f t="shared" si="7"/>
        <v>8.9999999999999993E-3</v>
      </c>
      <c r="L39" s="612">
        <f t="shared" si="7"/>
        <v>7.1999999999999995E-2</v>
      </c>
      <c r="M39" s="612">
        <f t="shared" si="7"/>
        <v>3.3000000000000002E-2</v>
      </c>
      <c r="N39" s="612">
        <f t="shared" si="7"/>
        <v>0.04</v>
      </c>
      <c r="O39" s="612">
        <f t="shared" si="7"/>
        <v>0.156</v>
      </c>
      <c r="P39" s="619">
        <f t="shared" si="1"/>
        <v>1</v>
      </c>
      <c r="S39" s="618">
        <f t="shared" si="4"/>
        <v>2026</v>
      </c>
      <c r="T39" s="620">
        <v>0</v>
      </c>
      <c r="U39" s="620">
        <v>5</v>
      </c>
      <c r="V39" s="621">
        <f t="shared" si="5"/>
        <v>0</v>
      </c>
      <c r="W39" s="622">
        <v>1</v>
      </c>
      <c r="X39" s="623">
        <f t="shared" si="2"/>
        <v>0</v>
      </c>
    </row>
    <row r="40" spans="2:24">
      <c r="B40" s="618">
        <f t="shared" si="3"/>
        <v>2027</v>
      </c>
      <c r="C40" s="610">
        <f>'[2]Fraksi pengelolaan sampah BaU'!B45</f>
        <v>400.12945369093268</v>
      </c>
      <c r="D40" s="611">
        <v>1</v>
      </c>
      <c r="E40" s="612">
        <f t="shared" si="7"/>
        <v>0.435</v>
      </c>
      <c r="F40" s="612">
        <f t="shared" si="7"/>
        <v>0.129</v>
      </c>
      <c r="G40" s="612">
        <f t="shared" si="7"/>
        <v>0</v>
      </c>
      <c r="H40" s="612">
        <f t="shared" si="7"/>
        <v>0</v>
      </c>
      <c r="I40" s="612">
        <f t="shared" si="7"/>
        <v>9.9000000000000005E-2</v>
      </c>
      <c r="J40" s="612">
        <f t="shared" si="7"/>
        <v>2.7E-2</v>
      </c>
      <c r="K40" s="612">
        <f t="shared" si="7"/>
        <v>8.9999999999999993E-3</v>
      </c>
      <c r="L40" s="612">
        <f t="shared" si="7"/>
        <v>7.1999999999999995E-2</v>
      </c>
      <c r="M40" s="612">
        <f t="shared" si="7"/>
        <v>3.3000000000000002E-2</v>
      </c>
      <c r="N40" s="612">
        <f t="shared" si="7"/>
        <v>0.04</v>
      </c>
      <c r="O40" s="612">
        <f t="shared" si="7"/>
        <v>0.156</v>
      </c>
      <c r="P40" s="619">
        <f t="shared" si="1"/>
        <v>1</v>
      </c>
      <c r="S40" s="618">
        <f t="shared" si="4"/>
        <v>2027</v>
      </c>
      <c r="T40" s="620">
        <v>0</v>
      </c>
      <c r="U40" s="620">
        <v>5</v>
      </c>
      <c r="V40" s="621">
        <f t="shared" si="5"/>
        <v>0</v>
      </c>
      <c r="W40" s="622">
        <v>1</v>
      </c>
      <c r="X40" s="623">
        <f t="shared" si="2"/>
        <v>0</v>
      </c>
    </row>
    <row r="41" spans="2:24">
      <c r="B41" s="618">
        <f t="shared" si="3"/>
        <v>2028</v>
      </c>
      <c r="C41" s="610">
        <f>'[2]Fraksi pengelolaan sampah BaU'!B46</f>
        <v>418.6803630182535</v>
      </c>
      <c r="D41" s="611">
        <v>1</v>
      </c>
      <c r="E41" s="612">
        <f t="shared" si="7"/>
        <v>0.435</v>
      </c>
      <c r="F41" s="612">
        <f t="shared" si="7"/>
        <v>0.129</v>
      </c>
      <c r="G41" s="612">
        <f t="shared" si="7"/>
        <v>0</v>
      </c>
      <c r="H41" s="612">
        <f t="shared" si="7"/>
        <v>0</v>
      </c>
      <c r="I41" s="612">
        <f t="shared" si="7"/>
        <v>9.9000000000000005E-2</v>
      </c>
      <c r="J41" s="612">
        <f t="shared" si="7"/>
        <v>2.7E-2</v>
      </c>
      <c r="K41" s="612">
        <f t="shared" si="7"/>
        <v>8.9999999999999993E-3</v>
      </c>
      <c r="L41" s="612">
        <f t="shared" si="7"/>
        <v>7.1999999999999995E-2</v>
      </c>
      <c r="M41" s="612">
        <f t="shared" si="7"/>
        <v>3.3000000000000002E-2</v>
      </c>
      <c r="N41" s="612">
        <f t="shared" si="7"/>
        <v>0.04</v>
      </c>
      <c r="O41" s="612">
        <f t="shared" si="7"/>
        <v>0.156</v>
      </c>
      <c r="P41" s="619">
        <f t="shared" si="1"/>
        <v>1</v>
      </c>
      <c r="S41" s="618">
        <f t="shared" si="4"/>
        <v>2028</v>
      </c>
      <c r="T41" s="620">
        <v>0</v>
      </c>
      <c r="U41" s="620">
        <v>5</v>
      </c>
      <c r="V41" s="621">
        <f t="shared" si="5"/>
        <v>0</v>
      </c>
      <c r="W41" s="622">
        <v>1</v>
      </c>
      <c r="X41" s="623">
        <f t="shared" si="2"/>
        <v>0</v>
      </c>
    </row>
    <row r="42" spans="2:24">
      <c r="B42" s="618">
        <f t="shared" si="3"/>
        <v>2029</v>
      </c>
      <c r="C42" s="610">
        <f>'[2]Fraksi pengelolaan sampah BaU'!B47</f>
        <v>437.91718454400518</v>
      </c>
      <c r="D42" s="611">
        <v>1</v>
      </c>
      <c r="E42" s="612">
        <f t="shared" si="7"/>
        <v>0.435</v>
      </c>
      <c r="F42" s="612">
        <f t="shared" si="7"/>
        <v>0.129</v>
      </c>
      <c r="G42" s="612">
        <f t="shared" si="7"/>
        <v>0</v>
      </c>
      <c r="H42" s="612">
        <f t="shared" si="7"/>
        <v>0</v>
      </c>
      <c r="I42" s="612">
        <f t="shared" si="7"/>
        <v>9.9000000000000005E-2</v>
      </c>
      <c r="J42" s="612">
        <f t="shared" si="7"/>
        <v>2.7E-2</v>
      </c>
      <c r="K42" s="612">
        <f t="shared" si="7"/>
        <v>8.9999999999999993E-3</v>
      </c>
      <c r="L42" s="612">
        <f t="shared" si="7"/>
        <v>7.1999999999999995E-2</v>
      </c>
      <c r="M42" s="612">
        <f t="shared" si="7"/>
        <v>3.3000000000000002E-2</v>
      </c>
      <c r="N42" s="612">
        <f t="shared" si="7"/>
        <v>0.04</v>
      </c>
      <c r="O42" s="612">
        <f t="shared" si="7"/>
        <v>0.156</v>
      </c>
      <c r="P42" s="619">
        <f t="shared" si="1"/>
        <v>1</v>
      </c>
      <c r="S42" s="618">
        <f t="shared" si="4"/>
        <v>2029</v>
      </c>
      <c r="T42" s="620">
        <v>0</v>
      </c>
      <c r="U42" s="620">
        <v>5</v>
      </c>
      <c r="V42" s="621">
        <f t="shared" si="5"/>
        <v>0</v>
      </c>
      <c r="W42" s="622">
        <v>1</v>
      </c>
      <c r="X42" s="623">
        <f t="shared" si="2"/>
        <v>0</v>
      </c>
    </row>
    <row r="43" spans="2:24">
      <c r="B43" s="618">
        <f t="shared" si="3"/>
        <v>2030</v>
      </c>
      <c r="C43" s="610">
        <f>'[2]Fraksi pengelolaan sampah BaU'!B48</f>
        <v>458.16731819999995</v>
      </c>
      <c r="D43" s="611">
        <v>1</v>
      </c>
      <c r="E43" s="612">
        <f t="shared" ref="E43:O58" si="8">E$8</f>
        <v>0.435</v>
      </c>
      <c r="F43" s="612">
        <f t="shared" si="8"/>
        <v>0.129</v>
      </c>
      <c r="G43" s="612">
        <f t="shared" si="7"/>
        <v>0</v>
      </c>
      <c r="H43" s="612">
        <f t="shared" si="8"/>
        <v>0</v>
      </c>
      <c r="I43" s="612">
        <f t="shared" si="7"/>
        <v>9.9000000000000005E-2</v>
      </c>
      <c r="J43" s="612">
        <f t="shared" si="8"/>
        <v>2.7E-2</v>
      </c>
      <c r="K43" s="612">
        <f t="shared" si="8"/>
        <v>8.9999999999999993E-3</v>
      </c>
      <c r="L43" s="612">
        <f t="shared" si="8"/>
        <v>7.1999999999999995E-2</v>
      </c>
      <c r="M43" s="612">
        <f t="shared" si="8"/>
        <v>3.3000000000000002E-2</v>
      </c>
      <c r="N43" s="612">
        <f t="shared" si="8"/>
        <v>0.04</v>
      </c>
      <c r="O43" s="612">
        <f t="shared" si="8"/>
        <v>0.156</v>
      </c>
      <c r="P43" s="619">
        <f t="shared" si="1"/>
        <v>1</v>
      </c>
      <c r="S43" s="618">
        <f t="shared" si="4"/>
        <v>2030</v>
      </c>
      <c r="T43" s="620">
        <v>0</v>
      </c>
      <c r="U43" s="620">
        <v>5</v>
      </c>
      <c r="V43" s="621">
        <f t="shared" si="5"/>
        <v>0</v>
      </c>
      <c r="W43" s="622">
        <v>1</v>
      </c>
      <c r="X43" s="623">
        <f t="shared" si="2"/>
        <v>0</v>
      </c>
    </row>
    <row r="44" spans="2:24">
      <c r="B44" s="618">
        <f t="shared" si="3"/>
        <v>2031</v>
      </c>
      <c r="C44" s="624"/>
      <c r="D44" s="611">
        <v>1</v>
      </c>
      <c r="E44" s="612">
        <f t="shared" si="8"/>
        <v>0.435</v>
      </c>
      <c r="F44" s="612">
        <f t="shared" si="8"/>
        <v>0.129</v>
      </c>
      <c r="G44" s="612">
        <f t="shared" si="7"/>
        <v>0</v>
      </c>
      <c r="H44" s="612">
        <f t="shared" si="8"/>
        <v>0</v>
      </c>
      <c r="I44" s="612">
        <f t="shared" si="7"/>
        <v>9.9000000000000005E-2</v>
      </c>
      <c r="J44" s="612">
        <f t="shared" si="8"/>
        <v>2.7E-2</v>
      </c>
      <c r="K44" s="612">
        <f t="shared" si="8"/>
        <v>8.9999999999999993E-3</v>
      </c>
      <c r="L44" s="612">
        <f t="shared" si="8"/>
        <v>7.1999999999999995E-2</v>
      </c>
      <c r="M44" s="612">
        <f t="shared" si="8"/>
        <v>3.3000000000000002E-2</v>
      </c>
      <c r="N44" s="612">
        <f t="shared" si="8"/>
        <v>0.04</v>
      </c>
      <c r="O44" s="612">
        <f t="shared" si="8"/>
        <v>0.156</v>
      </c>
      <c r="P44" s="619">
        <f t="shared" si="1"/>
        <v>1</v>
      </c>
      <c r="S44" s="618">
        <f t="shared" si="4"/>
        <v>2031</v>
      </c>
      <c r="T44" s="620">
        <v>0</v>
      </c>
      <c r="U44" s="620">
        <v>5</v>
      </c>
      <c r="V44" s="621">
        <f t="shared" si="5"/>
        <v>0</v>
      </c>
      <c r="W44" s="622">
        <v>1</v>
      </c>
      <c r="X44" s="623">
        <f t="shared" si="2"/>
        <v>0</v>
      </c>
    </row>
    <row r="45" spans="2:24">
      <c r="B45" s="618">
        <f t="shared" si="3"/>
        <v>2032</v>
      </c>
      <c r="C45" s="624"/>
      <c r="D45" s="611">
        <v>1</v>
      </c>
      <c r="E45" s="612">
        <f t="shared" si="8"/>
        <v>0.435</v>
      </c>
      <c r="F45" s="612">
        <f t="shared" si="8"/>
        <v>0.129</v>
      </c>
      <c r="G45" s="612">
        <f t="shared" si="7"/>
        <v>0</v>
      </c>
      <c r="H45" s="612">
        <f t="shared" si="8"/>
        <v>0</v>
      </c>
      <c r="I45" s="612">
        <f t="shared" si="7"/>
        <v>9.9000000000000005E-2</v>
      </c>
      <c r="J45" s="612">
        <f t="shared" si="8"/>
        <v>2.7E-2</v>
      </c>
      <c r="K45" s="612">
        <f t="shared" si="8"/>
        <v>8.9999999999999993E-3</v>
      </c>
      <c r="L45" s="612">
        <f t="shared" si="8"/>
        <v>7.1999999999999995E-2</v>
      </c>
      <c r="M45" s="612">
        <f t="shared" si="8"/>
        <v>3.3000000000000002E-2</v>
      </c>
      <c r="N45" s="612">
        <f t="shared" si="8"/>
        <v>0.04</v>
      </c>
      <c r="O45" s="612">
        <f t="shared" si="8"/>
        <v>0.156</v>
      </c>
      <c r="P45" s="619">
        <f t="shared" ref="P45:P76" si="9">SUM(E45:O45)</f>
        <v>1</v>
      </c>
      <c r="S45" s="618">
        <f t="shared" si="4"/>
        <v>2032</v>
      </c>
      <c r="T45" s="620">
        <v>0</v>
      </c>
      <c r="U45" s="620">
        <v>5</v>
      </c>
      <c r="V45" s="621">
        <f t="shared" si="5"/>
        <v>0</v>
      </c>
      <c r="W45" s="622">
        <v>1</v>
      </c>
      <c r="X45" s="623">
        <f t="shared" ref="X45:X76" si="10">V45*W45</f>
        <v>0</v>
      </c>
    </row>
    <row r="46" spans="2:24">
      <c r="B46" s="618">
        <f t="shared" ref="B46:B77" si="11">B45+1</f>
        <v>2033</v>
      </c>
      <c r="C46" s="624"/>
      <c r="D46" s="611">
        <v>1</v>
      </c>
      <c r="E46" s="612">
        <f t="shared" si="8"/>
        <v>0.435</v>
      </c>
      <c r="F46" s="612">
        <f t="shared" si="8"/>
        <v>0.129</v>
      </c>
      <c r="G46" s="612">
        <f t="shared" si="7"/>
        <v>0</v>
      </c>
      <c r="H46" s="612">
        <f t="shared" si="8"/>
        <v>0</v>
      </c>
      <c r="I46" s="612">
        <f t="shared" si="7"/>
        <v>9.9000000000000005E-2</v>
      </c>
      <c r="J46" s="612">
        <f t="shared" si="8"/>
        <v>2.7E-2</v>
      </c>
      <c r="K46" s="612">
        <f t="shared" si="8"/>
        <v>8.9999999999999993E-3</v>
      </c>
      <c r="L46" s="612">
        <f t="shared" si="8"/>
        <v>7.1999999999999995E-2</v>
      </c>
      <c r="M46" s="612">
        <f t="shared" si="8"/>
        <v>3.3000000000000002E-2</v>
      </c>
      <c r="N46" s="612">
        <f t="shared" si="8"/>
        <v>0.04</v>
      </c>
      <c r="O46" s="612">
        <f t="shared" si="8"/>
        <v>0.156</v>
      </c>
      <c r="P46" s="619">
        <f t="shared" si="9"/>
        <v>1</v>
      </c>
      <c r="S46" s="618">
        <f t="shared" si="4"/>
        <v>2033</v>
      </c>
      <c r="T46" s="620">
        <v>0</v>
      </c>
      <c r="U46" s="620">
        <v>5</v>
      </c>
      <c r="V46" s="621">
        <f t="shared" si="5"/>
        <v>0</v>
      </c>
      <c r="W46" s="622">
        <v>1</v>
      </c>
      <c r="X46" s="623">
        <f t="shared" si="10"/>
        <v>0</v>
      </c>
    </row>
    <row r="47" spans="2:24">
      <c r="B47" s="618">
        <f t="shared" si="11"/>
        <v>2034</v>
      </c>
      <c r="C47" s="624"/>
      <c r="D47" s="611">
        <v>1</v>
      </c>
      <c r="E47" s="612">
        <f t="shared" si="8"/>
        <v>0.435</v>
      </c>
      <c r="F47" s="612">
        <f t="shared" si="8"/>
        <v>0.129</v>
      </c>
      <c r="G47" s="612">
        <f t="shared" si="7"/>
        <v>0</v>
      </c>
      <c r="H47" s="612">
        <f t="shared" si="8"/>
        <v>0</v>
      </c>
      <c r="I47" s="612">
        <f t="shared" si="7"/>
        <v>9.9000000000000005E-2</v>
      </c>
      <c r="J47" s="612">
        <f t="shared" si="8"/>
        <v>2.7E-2</v>
      </c>
      <c r="K47" s="612">
        <f t="shared" si="8"/>
        <v>8.9999999999999993E-3</v>
      </c>
      <c r="L47" s="612">
        <f t="shared" si="8"/>
        <v>7.1999999999999995E-2</v>
      </c>
      <c r="M47" s="612">
        <f t="shared" si="8"/>
        <v>3.3000000000000002E-2</v>
      </c>
      <c r="N47" s="612">
        <f t="shared" si="8"/>
        <v>0.04</v>
      </c>
      <c r="O47" s="612">
        <f t="shared" si="8"/>
        <v>0.156</v>
      </c>
      <c r="P47" s="619">
        <f t="shared" si="9"/>
        <v>1</v>
      </c>
      <c r="S47" s="618">
        <f t="shared" si="4"/>
        <v>2034</v>
      </c>
      <c r="T47" s="620">
        <v>0</v>
      </c>
      <c r="U47" s="620">
        <v>5</v>
      </c>
      <c r="V47" s="621">
        <f t="shared" si="5"/>
        <v>0</v>
      </c>
      <c r="W47" s="622">
        <v>1</v>
      </c>
      <c r="X47" s="623">
        <f t="shared" si="10"/>
        <v>0</v>
      </c>
    </row>
    <row r="48" spans="2:24">
      <c r="B48" s="618">
        <f t="shared" si="11"/>
        <v>2035</v>
      </c>
      <c r="C48" s="624"/>
      <c r="D48" s="611">
        <v>1</v>
      </c>
      <c r="E48" s="612">
        <f t="shared" si="8"/>
        <v>0.435</v>
      </c>
      <c r="F48" s="612">
        <f t="shared" si="8"/>
        <v>0.129</v>
      </c>
      <c r="G48" s="612">
        <f t="shared" si="7"/>
        <v>0</v>
      </c>
      <c r="H48" s="612">
        <f t="shared" si="8"/>
        <v>0</v>
      </c>
      <c r="I48" s="612">
        <f t="shared" si="7"/>
        <v>9.9000000000000005E-2</v>
      </c>
      <c r="J48" s="612">
        <f t="shared" si="8"/>
        <v>2.7E-2</v>
      </c>
      <c r="K48" s="612">
        <f t="shared" si="8"/>
        <v>8.9999999999999993E-3</v>
      </c>
      <c r="L48" s="612">
        <f t="shared" si="8"/>
        <v>7.1999999999999995E-2</v>
      </c>
      <c r="M48" s="612">
        <f t="shared" si="8"/>
        <v>3.3000000000000002E-2</v>
      </c>
      <c r="N48" s="612">
        <f t="shared" si="8"/>
        <v>0.04</v>
      </c>
      <c r="O48" s="612">
        <f t="shared" si="8"/>
        <v>0.156</v>
      </c>
      <c r="P48" s="619">
        <f t="shared" si="9"/>
        <v>1</v>
      </c>
      <c r="S48" s="618">
        <f t="shared" si="4"/>
        <v>2035</v>
      </c>
      <c r="T48" s="620">
        <v>0</v>
      </c>
      <c r="U48" s="620">
        <v>5</v>
      </c>
      <c r="V48" s="621">
        <f t="shared" si="5"/>
        <v>0</v>
      </c>
      <c r="W48" s="622">
        <v>1</v>
      </c>
      <c r="X48" s="623">
        <f t="shared" si="10"/>
        <v>0</v>
      </c>
    </row>
    <row r="49" spans="2:24">
      <c r="B49" s="618">
        <f t="shared" si="11"/>
        <v>2036</v>
      </c>
      <c r="C49" s="624"/>
      <c r="D49" s="611">
        <v>1</v>
      </c>
      <c r="E49" s="612">
        <f t="shared" si="8"/>
        <v>0.435</v>
      </c>
      <c r="F49" s="612">
        <f t="shared" si="8"/>
        <v>0.129</v>
      </c>
      <c r="G49" s="612">
        <f t="shared" si="8"/>
        <v>0</v>
      </c>
      <c r="H49" s="612">
        <f t="shared" si="8"/>
        <v>0</v>
      </c>
      <c r="I49" s="612">
        <f t="shared" si="8"/>
        <v>9.9000000000000005E-2</v>
      </c>
      <c r="J49" s="612">
        <f t="shared" si="8"/>
        <v>2.7E-2</v>
      </c>
      <c r="K49" s="612">
        <f t="shared" si="8"/>
        <v>8.9999999999999993E-3</v>
      </c>
      <c r="L49" s="612">
        <f t="shared" si="8"/>
        <v>7.1999999999999995E-2</v>
      </c>
      <c r="M49" s="612">
        <f t="shared" si="8"/>
        <v>3.3000000000000002E-2</v>
      </c>
      <c r="N49" s="612">
        <f t="shared" si="8"/>
        <v>0.04</v>
      </c>
      <c r="O49" s="612">
        <f t="shared" si="8"/>
        <v>0.156</v>
      </c>
      <c r="P49" s="619">
        <f t="shared" si="9"/>
        <v>1</v>
      </c>
      <c r="S49" s="618">
        <f t="shared" si="4"/>
        <v>2036</v>
      </c>
      <c r="T49" s="620">
        <v>0</v>
      </c>
      <c r="U49" s="620">
        <v>5</v>
      </c>
      <c r="V49" s="621">
        <f t="shared" si="5"/>
        <v>0</v>
      </c>
      <c r="W49" s="622">
        <v>1</v>
      </c>
      <c r="X49" s="623">
        <f t="shared" si="10"/>
        <v>0</v>
      </c>
    </row>
    <row r="50" spans="2:24">
      <c r="B50" s="618">
        <f t="shared" si="11"/>
        <v>2037</v>
      </c>
      <c r="C50" s="624"/>
      <c r="D50" s="611">
        <v>1</v>
      </c>
      <c r="E50" s="612">
        <f t="shared" si="8"/>
        <v>0.435</v>
      </c>
      <c r="F50" s="612">
        <f t="shared" si="8"/>
        <v>0.129</v>
      </c>
      <c r="G50" s="612">
        <f t="shared" si="8"/>
        <v>0</v>
      </c>
      <c r="H50" s="612">
        <f t="shared" si="8"/>
        <v>0</v>
      </c>
      <c r="I50" s="612">
        <f t="shared" si="8"/>
        <v>9.9000000000000005E-2</v>
      </c>
      <c r="J50" s="612">
        <f t="shared" si="8"/>
        <v>2.7E-2</v>
      </c>
      <c r="K50" s="612">
        <f t="shared" si="8"/>
        <v>8.9999999999999993E-3</v>
      </c>
      <c r="L50" s="612">
        <f t="shared" si="8"/>
        <v>7.1999999999999995E-2</v>
      </c>
      <c r="M50" s="612">
        <f t="shared" si="8"/>
        <v>3.3000000000000002E-2</v>
      </c>
      <c r="N50" s="612">
        <f t="shared" si="8"/>
        <v>0.04</v>
      </c>
      <c r="O50" s="612">
        <f t="shared" si="8"/>
        <v>0.156</v>
      </c>
      <c r="P50" s="619">
        <f t="shared" si="9"/>
        <v>1</v>
      </c>
      <c r="S50" s="618">
        <f t="shared" si="4"/>
        <v>2037</v>
      </c>
      <c r="T50" s="620">
        <v>0</v>
      </c>
      <c r="U50" s="620">
        <v>5</v>
      </c>
      <c r="V50" s="621">
        <f t="shared" si="5"/>
        <v>0</v>
      </c>
      <c r="W50" s="622">
        <v>1</v>
      </c>
      <c r="X50" s="623">
        <f t="shared" si="10"/>
        <v>0</v>
      </c>
    </row>
    <row r="51" spans="2:24">
      <c r="B51" s="618">
        <f t="shared" si="11"/>
        <v>2038</v>
      </c>
      <c r="C51" s="624"/>
      <c r="D51" s="611">
        <v>1</v>
      </c>
      <c r="E51" s="612">
        <f t="shared" si="8"/>
        <v>0.435</v>
      </c>
      <c r="F51" s="612">
        <f t="shared" si="8"/>
        <v>0.129</v>
      </c>
      <c r="G51" s="612">
        <f t="shared" si="8"/>
        <v>0</v>
      </c>
      <c r="H51" s="612">
        <f t="shared" si="8"/>
        <v>0</v>
      </c>
      <c r="I51" s="612">
        <f t="shared" si="8"/>
        <v>9.9000000000000005E-2</v>
      </c>
      <c r="J51" s="612">
        <f t="shared" si="8"/>
        <v>2.7E-2</v>
      </c>
      <c r="K51" s="612">
        <f t="shared" si="8"/>
        <v>8.9999999999999993E-3</v>
      </c>
      <c r="L51" s="612">
        <f t="shared" si="8"/>
        <v>7.1999999999999995E-2</v>
      </c>
      <c r="M51" s="612">
        <f t="shared" si="8"/>
        <v>3.3000000000000002E-2</v>
      </c>
      <c r="N51" s="612">
        <f t="shared" si="8"/>
        <v>0.04</v>
      </c>
      <c r="O51" s="612">
        <f t="shared" si="8"/>
        <v>0.156</v>
      </c>
      <c r="P51" s="619">
        <f t="shared" si="9"/>
        <v>1</v>
      </c>
      <c r="S51" s="618">
        <f t="shared" si="4"/>
        <v>2038</v>
      </c>
      <c r="T51" s="620">
        <v>0</v>
      </c>
      <c r="U51" s="620">
        <v>5</v>
      </c>
      <c r="V51" s="621">
        <f t="shared" si="5"/>
        <v>0</v>
      </c>
      <c r="W51" s="622">
        <v>1</v>
      </c>
      <c r="X51" s="623">
        <f t="shared" si="10"/>
        <v>0</v>
      </c>
    </row>
    <row r="52" spans="2:24">
      <c r="B52" s="618">
        <f t="shared" si="11"/>
        <v>2039</v>
      </c>
      <c r="C52" s="624"/>
      <c r="D52" s="611">
        <v>1</v>
      </c>
      <c r="E52" s="612">
        <f t="shared" si="8"/>
        <v>0.435</v>
      </c>
      <c r="F52" s="612">
        <f t="shared" si="8"/>
        <v>0.129</v>
      </c>
      <c r="G52" s="612">
        <f t="shared" si="8"/>
        <v>0</v>
      </c>
      <c r="H52" s="612">
        <f t="shared" si="8"/>
        <v>0</v>
      </c>
      <c r="I52" s="612">
        <f t="shared" si="8"/>
        <v>9.9000000000000005E-2</v>
      </c>
      <c r="J52" s="612">
        <f t="shared" si="8"/>
        <v>2.7E-2</v>
      </c>
      <c r="K52" s="612">
        <f t="shared" si="8"/>
        <v>8.9999999999999993E-3</v>
      </c>
      <c r="L52" s="612">
        <f t="shared" si="8"/>
        <v>7.1999999999999995E-2</v>
      </c>
      <c r="M52" s="612">
        <f t="shared" si="8"/>
        <v>3.3000000000000002E-2</v>
      </c>
      <c r="N52" s="612">
        <f t="shared" si="8"/>
        <v>0.04</v>
      </c>
      <c r="O52" s="612">
        <f t="shared" si="8"/>
        <v>0.156</v>
      </c>
      <c r="P52" s="619">
        <f t="shared" si="9"/>
        <v>1</v>
      </c>
      <c r="S52" s="618">
        <f t="shared" si="4"/>
        <v>2039</v>
      </c>
      <c r="T52" s="620">
        <v>0</v>
      </c>
      <c r="U52" s="620">
        <v>5</v>
      </c>
      <c r="V52" s="621">
        <f t="shared" si="5"/>
        <v>0</v>
      </c>
      <c r="W52" s="622">
        <v>1</v>
      </c>
      <c r="X52" s="623">
        <f t="shared" si="10"/>
        <v>0</v>
      </c>
    </row>
    <row r="53" spans="2:24">
      <c r="B53" s="618">
        <f t="shared" si="11"/>
        <v>2040</v>
      </c>
      <c r="C53" s="624"/>
      <c r="D53" s="611">
        <v>1</v>
      </c>
      <c r="E53" s="612">
        <f t="shared" ref="E53:O68" si="12">E$8</f>
        <v>0.435</v>
      </c>
      <c r="F53" s="612">
        <f t="shared" si="12"/>
        <v>0.129</v>
      </c>
      <c r="G53" s="612">
        <f t="shared" si="8"/>
        <v>0</v>
      </c>
      <c r="H53" s="612">
        <f t="shared" si="12"/>
        <v>0</v>
      </c>
      <c r="I53" s="612">
        <f t="shared" si="8"/>
        <v>9.9000000000000005E-2</v>
      </c>
      <c r="J53" s="612">
        <f t="shared" si="12"/>
        <v>2.7E-2</v>
      </c>
      <c r="K53" s="612">
        <f t="shared" si="12"/>
        <v>8.9999999999999993E-3</v>
      </c>
      <c r="L53" s="612">
        <f t="shared" si="12"/>
        <v>7.1999999999999995E-2</v>
      </c>
      <c r="M53" s="612">
        <f t="shared" si="12"/>
        <v>3.3000000000000002E-2</v>
      </c>
      <c r="N53" s="612">
        <f t="shared" si="12"/>
        <v>0.04</v>
      </c>
      <c r="O53" s="612">
        <f t="shared" si="12"/>
        <v>0.156</v>
      </c>
      <c r="P53" s="619">
        <f t="shared" si="9"/>
        <v>1</v>
      </c>
      <c r="S53" s="618">
        <f t="shared" si="4"/>
        <v>2040</v>
      </c>
      <c r="T53" s="620">
        <v>0</v>
      </c>
      <c r="U53" s="620">
        <v>5</v>
      </c>
      <c r="V53" s="621">
        <f t="shared" si="5"/>
        <v>0</v>
      </c>
      <c r="W53" s="622">
        <v>1</v>
      </c>
      <c r="X53" s="623">
        <f t="shared" si="10"/>
        <v>0</v>
      </c>
    </row>
    <row r="54" spans="2:24">
      <c r="B54" s="618">
        <f t="shared" si="11"/>
        <v>2041</v>
      </c>
      <c r="C54" s="624"/>
      <c r="D54" s="611">
        <v>1</v>
      </c>
      <c r="E54" s="612">
        <f t="shared" si="12"/>
        <v>0.435</v>
      </c>
      <c r="F54" s="612">
        <f t="shared" si="12"/>
        <v>0.129</v>
      </c>
      <c r="G54" s="612">
        <f t="shared" si="8"/>
        <v>0</v>
      </c>
      <c r="H54" s="612">
        <f t="shared" si="12"/>
        <v>0</v>
      </c>
      <c r="I54" s="612">
        <f t="shared" si="8"/>
        <v>9.9000000000000005E-2</v>
      </c>
      <c r="J54" s="612">
        <f t="shared" si="12"/>
        <v>2.7E-2</v>
      </c>
      <c r="K54" s="612">
        <f t="shared" si="12"/>
        <v>8.9999999999999993E-3</v>
      </c>
      <c r="L54" s="612">
        <f t="shared" si="12"/>
        <v>7.1999999999999995E-2</v>
      </c>
      <c r="M54" s="612">
        <f t="shared" si="12"/>
        <v>3.3000000000000002E-2</v>
      </c>
      <c r="N54" s="612">
        <f t="shared" si="12"/>
        <v>0.04</v>
      </c>
      <c r="O54" s="612">
        <f t="shared" si="12"/>
        <v>0.156</v>
      </c>
      <c r="P54" s="619">
        <f t="shared" si="9"/>
        <v>1</v>
      </c>
      <c r="S54" s="618">
        <f t="shared" si="4"/>
        <v>2041</v>
      </c>
      <c r="T54" s="620">
        <v>0</v>
      </c>
      <c r="U54" s="620">
        <v>5</v>
      </c>
      <c r="V54" s="621">
        <f t="shared" si="5"/>
        <v>0</v>
      </c>
      <c r="W54" s="622">
        <v>1</v>
      </c>
      <c r="X54" s="623">
        <f t="shared" si="10"/>
        <v>0</v>
      </c>
    </row>
    <row r="55" spans="2:24">
      <c r="B55" s="618">
        <f t="shared" si="11"/>
        <v>2042</v>
      </c>
      <c r="C55" s="624"/>
      <c r="D55" s="611">
        <v>1</v>
      </c>
      <c r="E55" s="612">
        <f t="shared" si="12"/>
        <v>0.435</v>
      </c>
      <c r="F55" s="612">
        <f t="shared" si="12"/>
        <v>0.129</v>
      </c>
      <c r="G55" s="612">
        <f t="shared" si="8"/>
        <v>0</v>
      </c>
      <c r="H55" s="612">
        <f t="shared" si="12"/>
        <v>0</v>
      </c>
      <c r="I55" s="612">
        <f t="shared" si="8"/>
        <v>9.9000000000000005E-2</v>
      </c>
      <c r="J55" s="612">
        <f t="shared" si="12"/>
        <v>2.7E-2</v>
      </c>
      <c r="K55" s="612">
        <f t="shared" si="12"/>
        <v>8.9999999999999993E-3</v>
      </c>
      <c r="L55" s="612">
        <f t="shared" si="12"/>
        <v>7.1999999999999995E-2</v>
      </c>
      <c r="M55" s="612">
        <f t="shared" si="12"/>
        <v>3.3000000000000002E-2</v>
      </c>
      <c r="N55" s="612">
        <f t="shared" si="12"/>
        <v>0.04</v>
      </c>
      <c r="O55" s="612">
        <f t="shared" si="12"/>
        <v>0.156</v>
      </c>
      <c r="P55" s="619">
        <f t="shared" si="9"/>
        <v>1</v>
      </c>
      <c r="S55" s="618">
        <f t="shared" si="4"/>
        <v>2042</v>
      </c>
      <c r="T55" s="620">
        <v>0</v>
      </c>
      <c r="U55" s="620">
        <v>5</v>
      </c>
      <c r="V55" s="621">
        <f t="shared" si="5"/>
        <v>0</v>
      </c>
      <c r="W55" s="622">
        <v>1</v>
      </c>
      <c r="X55" s="623">
        <f t="shared" si="10"/>
        <v>0</v>
      </c>
    </row>
    <row r="56" spans="2:24">
      <c r="B56" s="618">
        <f t="shared" si="11"/>
        <v>2043</v>
      </c>
      <c r="C56" s="624"/>
      <c r="D56" s="611">
        <v>1</v>
      </c>
      <c r="E56" s="612">
        <f t="shared" si="12"/>
        <v>0.435</v>
      </c>
      <c r="F56" s="612">
        <f t="shared" si="12"/>
        <v>0.129</v>
      </c>
      <c r="G56" s="612">
        <f t="shared" si="8"/>
        <v>0</v>
      </c>
      <c r="H56" s="612">
        <f t="shared" si="12"/>
        <v>0</v>
      </c>
      <c r="I56" s="612">
        <f t="shared" si="8"/>
        <v>9.9000000000000005E-2</v>
      </c>
      <c r="J56" s="612">
        <f t="shared" si="12"/>
        <v>2.7E-2</v>
      </c>
      <c r="K56" s="612">
        <f t="shared" si="12"/>
        <v>8.9999999999999993E-3</v>
      </c>
      <c r="L56" s="612">
        <f t="shared" si="12"/>
        <v>7.1999999999999995E-2</v>
      </c>
      <c r="M56" s="612">
        <f t="shared" si="12"/>
        <v>3.3000000000000002E-2</v>
      </c>
      <c r="N56" s="612">
        <f t="shared" si="12"/>
        <v>0.04</v>
      </c>
      <c r="O56" s="612">
        <f t="shared" si="12"/>
        <v>0.156</v>
      </c>
      <c r="P56" s="619">
        <f t="shared" si="9"/>
        <v>1</v>
      </c>
      <c r="S56" s="618">
        <f t="shared" si="4"/>
        <v>2043</v>
      </c>
      <c r="T56" s="620">
        <v>0</v>
      </c>
      <c r="U56" s="620">
        <v>5</v>
      </c>
      <c r="V56" s="621">
        <f t="shared" si="5"/>
        <v>0</v>
      </c>
      <c r="W56" s="622">
        <v>1</v>
      </c>
      <c r="X56" s="623">
        <f t="shared" si="10"/>
        <v>0</v>
      </c>
    </row>
    <row r="57" spans="2:24">
      <c r="B57" s="618">
        <f t="shared" si="11"/>
        <v>2044</v>
      </c>
      <c r="C57" s="624"/>
      <c r="D57" s="611">
        <v>1</v>
      </c>
      <c r="E57" s="612">
        <f t="shared" si="12"/>
        <v>0.435</v>
      </c>
      <c r="F57" s="612">
        <f t="shared" si="12"/>
        <v>0.129</v>
      </c>
      <c r="G57" s="612">
        <f t="shared" si="8"/>
        <v>0</v>
      </c>
      <c r="H57" s="612">
        <f t="shared" si="12"/>
        <v>0</v>
      </c>
      <c r="I57" s="612">
        <f t="shared" si="8"/>
        <v>9.9000000000000005E-2</v>
      </c>
      <c r="J57" s="612">
        <f t="shared" si="12"/>
        <v>2.7E-2</v>
      </c>
      <c r="K57" s="612">
        <f t="shared" si="12"/>
        <v>8.9999999999999993E-3</v>
      </c>
      <c r="L57" s="612">
        <f t="shared" si="12"/>
        <v>7.1999999999999995E-2</v>
      </c>
      <c r="M57" s="612">
        <f t="shared" si="12"/>
        <v>3.3000000000000002E-2</v>
      </c>
      <c r="N57" s="612">
        <f t="shared" si="12"/>
        <v>0.04</v>
      </c>
      <c r="O57" s="612">
        <f t="shared" si="12"/>
        <v>0.156</v>
      </c>
      <c r="P57" s="619">
        <f t="shared" si="9"/>
        <v>1</v>
      </c>
      <c r="S57" s="618">
        <f t="shared" si="4"/>
        <v>2044</v>
      </c>
      <c r="T57" s="620">
        <v>0</v>
      </c>
      <c r="U57" s="620">
        <v>5</v>
      </c>
      <c r="V57" s="621">
        <f t="shared" si="5"/>
        <v>0</v>
      </c>
      <c r="W57" s="622">
        <v>1</v>
      </c>
      <c r="X57" s="623">
        <f t="shared" si="10"/>
        <v>0</v>
      </c>
    </row>
    <row r="58" spans="2:24">
      <c r="B58" s="618">
        <f t="shared" si="11"/>
        <v>2045</v>
      </c>
      <c r="C58" s="624"/>
      <c r="D58" s="611">
        <v>1</v>
      </c>
      <c r="E58" s="612">
        <f t="shared" si="12"/>
        <v>0.435</v>
      </c>
      <c r="F58" s="612">
        <f t="shared" si="12"/>
        <v>0.129</v>
      </c>
      <c r="G58" s="612">
        <f t="shared" si="8"/>
        <v>0</v>
      </c>
      <c r="H58" s="612">
        <f t="shared" si="12"/>
        <v>0</v>
      </c>
      <c r="I58" s="612">
        <f t="shared" si="8"/>
        <v>9.9000000000000005E-2</v>
      </c>
      <c r="J58" s="612">
        <f t="shared" si="12"/>
        <v>2.7E-2</v>
      </c>
      <c r="K58" s="612">
        <f t="shared" si="12"/>
        <v>8.9999999999999993E-3</v>
      </c>
      <c r="L58" s="612">
        <f t="shared" si="12"/>
        <v>7.1999999999999995E-2</v>
      </c>
      <c r="M58" s="612">
        <f t="shared" si="12"/>
        <v>3.3000000000000002E-2</v>
      </c>
      <c r="N58" s="612">
        <f t="shared" si="12"/>
        <v>0.04</v>
      </c>
      <c r="O58" s="612">
        <f t="shared" si="12"/>
        <v>0.156</v>
      </c>
      <c r="P58" s="619">
        <f t="shared" si="9"/>
        <v>1</v>
      </c>
      <c r="S58" s="618">
        <f t="shared" si="4"/>
        <v>2045</v>
      </c>
      <c r="T58" s="620">
        <v>0</v>
      </c>
      <c r="U58" s="620">
        <v>5</v>
      </c>
      <c r="V58" s="621">
        <f t="shared" si="5"/>
        <v>0</v>
      </c>
      <c r="W58" s="622">
        <v>1</v>
      </c>
      <c r="X58" s="623">
        <f t="shared" si="10"/>
        <v>0</v>
      </c>
    </row>
    <row r="59" spans="2:24">
      <c r="B59" s="618">
        <f t="shared" si="11"/>
        <v>2046</v>
      </c>
      <c r="C59" s="624"/>
      <c r="D59" s="611">
        <v>1</v>
      </c>
      <c r="E59" s="612">
        <f t="shared" si="12"/>
        <v>0.435</v>
      </c>
      <c r="F59" s="612">
        <f t="shared" si="12"/>
        <v>0.129</v>
      </c>
      <c r="G59" s="612">
        <f t="shared" si="12"/>
        <v>0</v>
      </c>
      <c r="H59" s="612">
        <f t="shared" si="12"/>
        <v>0</v>
      </c>
      <c r="I59" s="612">
        <f t="shared" si="12"/>
        <v>9.9000000000000005E-2</v>
      </c>
      <c r="J59" s="612">
        <f t="shared" si="12"/>
        <v>2.7E-2</v>
      </c>
      <c r="K59" s="612">
        <f t="shared" si="12"/>
        <v>8.9999999999999993E-3</v>
      </c>
      <c r="L59" s="612">
        <f t="shared" si="12"/>
        <v>7.1999999999999995E-2</v>
      </c>
      <c r="M59" s="612">
        <f t="shared" si="12"/>
        <v>3.3000000000000002E-2</v>
      </c>
      <c r="N59" s="612">
        <f t="shared" si="12"/>
        <v>0.04</v>
      </c>
      <c r="O59" s="612">
        <f t="shared" si="12"/>
        <v>0.156</v>
      </c>
      <c r="P59" s="619">
        <f t="shared" si="9"/>
        <v>1</v>
      </c>
      <c r="S59" s="618">
        <f t="shared" si="4"/>
        <v>2046</v>
      </c>
      <c r="T59" s="620">
        <v>0</v>
      </c>
      <c r="U59" s="620">
        <v>5</v>
      </c>
      <c r="V59" s="621">
        <f t="shared" si="5"/>
        <v>0</v>
      </c>
      <c r="W59" s="622">
        <v>1</v>
      </c>
      <c r="X59" s="623">
        <f t="shared" si="10"/>
        <v>0</v>
      </c>
    </row>
    <row r="60" spans="2:24">
      <c r="B60" s="618">
        <f t="shared" si="11"/>
        <v>2047</v>
      </c>
      <c r="C60" s="624"/>
      <c r="D60" s="611">
        <v>1</v>
      </c>
      <c r="E60" s="612">
        <f t="shared" si="12"/>
        <v>0.435</v>
      </c>
      <c r="F60" s="612">
        <f t="shared" si="12"/>
        <v>0.129</v>
      </c>
      <c r="G60" s="612">
        <f t="shared" si="12"/>
        <v>0</v>
      </c>
      <c r="H60" s="612">
        <f t="shared" si="12"/>
        <v>0</v>
      </c>
      <c r="I60" s="612">
        <f t="shared" si="12"/>
        <v>9.9000000000000005E-2</v>
      </c>
      <c r="J60" s="612">
        <f t="shared" si="12"/>
        <v>2.7E-2</v>
      </c>
      <c r="K60" s="612">
        <f t="shared" si="12"/>
        <v>8.9999999999999993E-3</v>
      </c>
      <c r="L60" s="612">
        <f t="shared" si="12"/>
        <v>7.1999999999999995E-2</v>
      </c>
      <c r="M60" s="612">
        <f t="shared" si="12"/>
        <v>3.3000000000000002E-2</v>
      </c>
      <c r="N60" s="612">
        <f t="shared" si="12"/>
        <v>0.04</v>
      </c>
      <c r="O60" s="612">
        <f t="shared" si="12"/>
        <v>0.156</v>
      </c>
      <c r="P60" s="619">
        <f t="shared" si="9"/>
        <v>1</v>
      </c>
      <c r="S60" s="618">
        <f t="shared" si="4"/>
        <v>2047</v>
      </c>
      <c r="T60" s="620">
        <v>0</v>
      </c>
      <c r="U60" s="620">
        <v>5</v>
      </c>
      <c r="V60" s="621">
        <f t="shared" si="5"/>
        <v>0</v>
      </c>
      <c r="W60" s="622">
        <v>1</v>
      </c>
      <c r="X60" s="623">
        <f t="shared" si="10"/>
        <v>0</v>
      </c>
    </row>
    <row r="61" spans="2:24">
      <c r="B61" s="618">
        <f t="shared" si="11"/>
        <v>2048</v>
      </c>
      <c r="C61" s="624"/>
      <c r="D61" s="611">
        <v>1</v>
      </c>
      <c r="E61" s="612">
        <f t="shared" si="12"/>
        <v>0.435</v>
      </c>
      <c r="F61" s="612">
        <f t="shared" si="12"/>
        <v>0.129</v>
      </c>
      <c r="G61" s="612">
        <f t="shared" si="12"/>
        <v>0</v>
      </c>
      <c r="H61" s="612">
        <f t="shared" si="12"/>
        <v>0</v>
      </c>
      <c r="I61" s="612">
        <f t="shared" si="12"/>
        <v>9.9000000000000005E-2</v>
      </c>
      <c r="J61" s="612">
        <f t="shared" si="12"/>
        <v>2.7E-2</v>
      </c>
      <c r="K61" s="612">
        <f t="shared" si="12"/>
        <v>8.9999999999999993E-3</v>
      </c>
      <c r="L61" s="612">
        <f t="shared" si="12"/>
        <v>7.1999999999999995E-2</v>
      </c>
      <c r="M61" s="612">
        <f t="shared" si="12"/>
        <v>3.3000000000000002E-2</v>
      </c>
      <c r="N61" s="612">
        <f t="shared" si="12"/>
        <v>0.04</v>
      </c>
      <c r="O61" s="612">
        <f t="shared" si="12"/>
        <v>0.156</v>
      </c>
      <c r="P61" s="619">
        <f t="shared" si="9"/>
        <v>1</v>
      </c>
      <c r="S61" s="618">
        <f t="shared" si="4"/>
        <v>2048</v>
      </c>
      <c r="T61" s="620">
        <v>0</v>
      </c>
      <c r="U61" s="620">
        <v>5</v>
      </c>
      <c r="V61" s="621">
        <f t="shared" si="5"/>
        <v>0</v>
      </c>
      <c r="W61" s="622">
        <v>1</v>
      </c>
      <c r="X61" s="623">
        <f t="shared" si="10"/>
        <v>0</v>
      </c>
    </row>
    <row r="62" spans="2:24">
      <c r="B62" s="618">
        <f t="shared" si="11"/>
        <v>2049</v>
      </c>
      <c r="C62" s="624"/>
      <c r="D62" s="611">
        <v>1</v>
      </c>
      <c r="E62" s="612">
        <f t="shared" si="12"/>
        <v>0.435</v>
      </c>
      <c r="F62" s="612">
        <f t="shared" si="12"/>
        <v>0.129</v>
      </c>
      <c r="G62" s="612">
        <f t="shared" si="12"/>
        <v>0</v>
      </c>
      <c r="H62" s="612">
        <f t="shared" si="12"/>
        <v>0</v>
      </c>
      <c r="I62" s="612">
        <f t="shared" si="12"/>
        <v>9.9000000000000005E-2</v>
      </c>
      <c r="J62" s="612">
        <f t="shared" si="12"/>
        <v>2.7E-2</v>
      </c>
      <c r="K62" s="612">
        <f t="shared" si="12"/>
        <v>8.9999999999999993E-3</v>
      </c>
      <c r="L62" s="612">
        <f t="shared" si="12"/>
        <v>7.1999999999999995E-2</v>
      </c>
      <c r="M62" s="612">
        <f t="shared" si="12"/>
        <v>3.3000000000000002E-2</v>
      </c>
      <c r="N62" s="612">
        <f t="shared" si="12"/>
        <v>0.04</v>
      </c>
      <c r="O62" s="612">
        <f t="shared" si="12"/>
        <v>0.156</v>
      </c>
      <c r="P62" s="619">
        <f t="shared" si="9"/>
        <v>1</v>
      </c>
      <c r="S62" s="618">
        <f t="shared" si="4"/>
        <v>2049</v>
      </c>
      <c r="T62" s="620">
        <v>0</v>
      </c>
      <c r="U62" s="620">
        <v>5</v>
      </c>
      <c r="V62" s="621">
        <f t="shared" si="5"/>
        <v>0</v>
      </c>
      <c r="W62" s="622">
        <v>1</v>
      </c>
      <c r="X62" s="623">
        <f t="shared" si="10"/>
        <v>0</v>
      </c>
    </row>
    <row r="63" spans="2:24">
      <c r="B63" s="618">
        <f t="shared" si="11"/>
        <v>2050</v>
      </c>
      <c r="C63" s="624"/>
      <c r="D63" s="611">
        <v>1</v>
      </c>
      <c r="E63" s="612">
        <f t="shared" ref="E63:O78" si="13">E$8</f>
        <v>0.435</v>
      </c>
      <c r="F63" s="612">
        <f t="shared" si="13"/>
        <v>0.129</v>
      </c>
      <c r="G63" s="612">
        <f t="shared" si="12"/>
        <v>0</v>
      </c>
      <c r="H63" s="612">
        <f t="shared" si="13"/>
        <v>0</v>
      </c>
      <c r="I63" s="612">
        <f t="shared" si="12"/>
        <v>9.9000000000000005E-2</v>
      </c>
      <c r="J63" s="612">
        <f t="shared" si="13"/>
        <v>2.7E-2</v>
      </c>
      <c r="K63" s="612">
        <f t="shared" si="13"/>
        <v>8.9999999999999993E-3</v>
      </c>
      <c r="L63" s="612">
        <f t="shared" si="13"/>
        <v>7.1999999999999995E-2</v>
      </c>
      <c r="M63" s="612">
        <f t="shared" si="13"/>
        <v>3.3000000000000002E-2</v>
      </c>
      <c r="N63" s="612">
        <f t="shared" si="13"/>
        <v>0.04</v>
      </c>
      <c r="O63" s="612">
        <f t="shared" si="13"/>
        <v>0.156</v>
      </c>
      <c r="P63" s="619">
        <f t="shared" si="9"/>
        <v>1</v>
      </c>
      <c r="S63" s="618">
        <f t="shared" si="4"/>
        <v>2050</v>
      </c>
      <c r="T63" s="620">
        <v>0</v>
      </c>
      <c r="U63" s="620">
        <v>5</v>
      </c>
      <c r="V63" s="621">
        <f t="shared" si="5"/>
        <v>0</v>
      </c>
      <c r="W63" s="622">
        <v>1</v>
      </c>
      <c r="X63" s="623">
        <f t="shared" si="10"/>
        <v>0</v>
      </c>
    </row>
    <row r="64" spans="2:24">
      <c r="B64" s="618">
        <f t="shared" si="11"/>
        <v>2051</v>
      </c>
      <c r="C64" s="624"/>
      <c r="D64" s="611">
        <v>1</v>
      </c>
      <c r="E64" s="612">
        <f t="shared" si="13"/>
        <v>0.435</v>
      </c>
      <c r="F64" s="612">
        <f t="shared" si="13"/>
        <v>0.129</v>
      </c>
      <c r="G64" s="612">
        <f t="shared" si="12"/>
        <v>0</v>
      </c>
      <c r="H64" s="612">
        <f t="shared" si="13"/>
        <v>0</v>
      </c>
      <c r="I64" s="612">
        <f t="shared" si="12"/>
        <v>9.9000000000000005E-2</v>
      </c>
      <c r="J64" s="612">
        <f t="shared" si="13"/>
        <v>2.7E-2</v>
      </c>
      <c r="K64" s="612">
        <f t="shared" si="13"/>
        <v>8.9999999999999993E-3</v>
      </c>
      <c r="L64" s="612">
        <f t="shared" si="13"/>
        <v>7.1999999999999995E-2</v>
      </c>
      <c r="M64" s="612">
        <f t="shared" si="13"/>
        <v>3.3000000000000002E-2</v>
      </c>
      <c r="N64" s="612">
        <f t="shared" si="13"/>
        <v>0.04</v>
      </c>
      <c r="O64" s="612">
        <f t="shared" si="13"/>
        <v>0.156</v>
      </c>
      <c r="P64" s="619">
        <f t="shared" si="9"/>
        <v>1</v>
      </c>
      <c r="S64" s="618">
        <f t="shared" si="4"/>
        <v>2051</v>
      </c>
      <c r="T64" s="620">
        <v>0</v>
      </c>
      <c r="U64" s="620">
        <v>5</v>
      </c>
      <c r="V64" s="621">
        <f t="shared" si="5"/>
        <v>0</v>
      </c>
      <c r="W64" s="622">
        <v>1</v>
      </c>
      <c r="X64" s="623">
        <f t="shared" si="10"/>
        <v>0</v>
      </c>
    </row>
    <row r="65" spans="2:24">
      <c r="B65" s="618">
        <f t="shared" si="11"/>
        <v>2052</v>
      </c>
      <c r="C65" s="624"/>
      <c r="D65" s="611">
        <v>1</v>
      </c>
      <c r="E65" s="612">
        <f t="shared" si="13"/>
        <v>0.435</v>
      </c>
      <c r="F65" s="612">
        <f t="shared" si="13"/>
        <v>0.129</v>
      </c>
      <c r="G65" s="612">
        <f t="shared" si="12"/>
        <v>0</v>
      </c>
      <c r="H65" s="612">
        <f t="shared" si="13"/>
        <v>0</v>
      </c>
      <c r="I65" s="612">
        <f t="shared" si="12"/>
        <v>9.9000000000000005E-2</v>
      </c>
      <c r="J65" s="612">
        <f t="shared" si="13"/>
        <v>2.7E-2</v>
      </c>
      <c r="K65" s="612">
        <f t="shared" si="13"/>
        <v>8.9999999999999993E-3</v>
      </c>
      <c r="L65" s="612">
        <f t="shared" si="13"/>
        <v>7.1999999999999995E-2</v>
      </c>
      <c r="M65" s="612">
        <f t="shared" si="13"/>
        <v>3.3000000000000002E-2</v>
      </c>
      <c r="N65" s="612">
        <f t="shared" si="13"/>
        <v>0.04</v>
      </c>
      <c r="O65" s="612">
        <f t="shared" si="13"/>
        <v>0.156</v>
      </c>
      <c r="P65" s="619">
        <f t="shared" si="9"/>
        <v>1</v>
      </c>
      <c r="S65" s="618">
        <f t="shared" si="4"/>
        <v>2052</v>
      </c>
      <c r="T65" s="620">
        <v>0</v>
      </c>
      <c r="U65" s="620">
        <v>5</v>
      </c>
      <c r="V65" s="621">
        <f t="shared" si="5"/>
        <v>0</v>
      </c>
      <c r="W65" s="622">
        <v>1</v>
      </c>
      <c r="X65" s="623">
        <f t="shared" si="10"/>
        <v>0</v>
      </c>
    </row>
    <row r="66" spans="2:24">
      <c r="B66" s="618">
        <f t="shared" si="11"/>
        <v>2053</v>
      </c>
      <c r="C66" s="624"/>
      <c r="D66" s="611">
        <v>1</v>
      </c>
      <c r="E66" s="612">
        <f t="shared" si="13"/>
        <v>0.435</v>
      </c>
      <c r="F66" s="612">
        <f t="shared" si="13"/>
        <v>0.129</v>
      </c>
      <c r="G66" s="612">
        <f t="shared" si="12"/>
        <v>0</v>
      </c>
      <c r="H66" s="612">
        <f t="shared" si="13"/>
        <v>0</v>
      </c>
      <c r="I66" s="612">
        <f t="shared" si="12"/>
        <v>9.9000000000000005E-2</v>
      </c>
      <c r="J66" s="612">
        <f t="shared" si="13"/>
        <v>2.7E-2</v>
      </c>
      <c r="K66" s="612">
        <f t="shared" si="13"/>
        <v>8.9999999999999993E-3</v>
      </c>
      <c r="L66" s="612">
        <f t="shared" si="13"/>
        <v>7.1999999999999995E-2</v>
      </c>
      <c r="M66" s="612">
        <f t="shared" si="13"/>
        <v>3.3000000000000002E-2</v>
      </c>
      <c r="N66" s="612">
        <f t="shared" si="13"/>
        <v>0.04</v>
      </c>
      <c r="O66" s="612">
        <f t="shared" si="13"/>
        <v>0.156</v>
      </c>
      <c r="P66" s="619">
        <f t="shared" si="9"/>
        <v>1</v>
      </c>
      <c r="S66" s="618">
        <f t="shared" si="4"/>
        <v>2053</v>
      </c>
      <c r="T66" s="620">
        <v>0</v>
      </c>
      <c r="U66" s="620">
        <v>5</v>
      </c>
      <c r="V66" s="621">
        <f t="shared" si="5"/>
        <v>0</v>
      </c>
      <c r="W66" s="622">
        <v>1</v>
      </c>
      <c r="X66" s="623">
        <f t="shared" si="10"/>
        <v>0</v>
      </c>
    </row>
    <row r="67" spans="2:24">
      <c r="B67" s="618">
        <f t="shared" si="11"/>
        <v>2054</v>
      </c>
      <c r="C67" s="624"/>
      <c r="D67" s="611">
        <v>1</v>
      </c>
      <c r="E67" s="612">
        <f t="shared" si="13"/>
        <v>0.435</v>
      </c>
      <c r="F67" s="612">
        <f t="shared" si="13"/>
        <v>0.129</v>
      </c>
      <c r="G67" s="612">
        <f t="shared" si="12"/>
        <v>0</v>
      </c>
      <c r="H67" s="612">
        <f t="shared" si="13"/>
        <v>0</v>
      </c>
      <c r="I67" s="612">
        <f t="shared" si="12"/>
        <v>9.9000000000000005E-2</v>
      </c>
      <c r="J67" s="612">
        <f t="shared" si="13"/>
        <v>2.7E-2</v>
      </c>
      <c r="K67" s="612">
        <f t="shared" si="13"/>
        <v>8.9999999999999993E-3</v>
      </c>
      <c r="L67" s="612">
        <f t="shared" si="13"/>
        <v>7.1999999999999995E-2</v>
      </c>
      <c r="M67" s="612">
        <f t="shared" si="13"/>
        <v>3.3000000000000002E-2</v>
      </c>
      <c r="N67" s="612">
        <f t="shared" si="13"/>
        <v>0.04</v>
      </c>
      <c r="O67" s="612">
        <f t="shared" si="13"/>
        <v>0.156</v>
      </c>
      <c r="P67" s="619">
        <f t="shared" si="9"/>
        <v>1</v>
      </c>
      <c r="S67" s="618">
        <f t="shared" si="4"/>
        <v>2054</v>
      </c>
      <c r="T67" s="620">
        <v>0</v>
      </c>
      <c r="U67" s="620">
        <v>5</v>
      </c>
      <c r="V67" s="621">
        <f t="shared" si="5"/>
        <v>0</v>
      </c>
      <c r="W67" s="622">
        <v>1</v>
      </c>
      <c r="X67" s="623">
        <f t="shared" si="10"/>
        <v>0</v>
      </c>
    </row>
    <row r="68" spans="2:24">
      <c r="B68" s="618">
        <f t="shared" si="11"/>
        <v>2055</v>
      </c>
      <c r="C68" s="624"/>
      <c r="D68" s="611">
        <v>1</v>
      </c>
      <c r="E68" s="612">
        <f t="shared" si="13"/>
        <v>0.435</v>
      </c>
      <c r="F68" s="612">
        <f t="shared" si="13"/>
        <v>0.129</v>
      </c>
      <c r="G68" s="612">
        <f t="shared" si="12"/>
        <v>0</v>
      </c>
      <c r="H68" s="612">
        <f t="shared" si="13"/>
        <v>0</v>
      </c>
      <c r="I68" s="612">
        <f t="shared" si="12"/>
        <v>9.9000000000000005E-2</v>
      </c>
      <c r="J68" s="612">
        <f t="shared" si="13"/>
        <v>2.7E-2</v>
      </c>
      <c r="K68" s="612">
        <f t="shared" si="13"/>
        <v>8.9999999999999993E-3</v>
      </c>
      <c r="L68" s="612">
        <f t="shared" si="13"/>
        <v>7.1999999999999995E-2</v>
      </c>
      <c r="M68" s="612">
        <f t="shared" si="13"/>
        <v>3.3000000000000002E-2</v>
      </c>
      <c r="N68" s="612">
        <f t="shared" si="13"/>
        <v>0.04</v>
      </c>
      <c r="O68" s="612">
        <f t="shared" si="13"/>
        <v>0.156</v>
      </c>
      <c r="P68" s="619">
        <f t="shared" si="9"/>
        <v>1</v>
      </c>
      <c r="S68" s="618">
        <f t="shared" si="4"/>
        <v>2055</v>
      </c>
      <c r="T68" s="620">
        <v>0</v>
      </c>
      <c r="U68" s="620">
        <v>5</v>
      </c>
      <c r="V68" s="621">
        <f t="shared" si="5"/>
        <v>0</v>
      </c>
      <c r="W68" s="622">
        <v>1</v>
      </c>
      <c r="X68" s="623">
        <f t="shared" si="10"/>
        <v>0</v>
      </c>
    </row>
    <row r="69" spans="2:24">
      <c r="B69" s="618">
        <f t="shared" si="11"/>
        <v>2056</v>
      </c>
      <c r="C69" s="624"/>
      <c r="D69" s="611">
        <v>1</v>
      </c>
      <c r="E69" s="612">
        <f t="shared" si="13"/>
        <v>0.435</v>
      </c>
      <c r="F69" s="612">
        <f t="shared" si="13"/>
        <v>0.129</v>
      </c>
      <c r="G69" s="612">
        <f t="shared" si="13"/>
        <v>0</v>
      </c>
      <c r="H69" s="612">
        <f t="shared" si="13"/>
        <v>0</v>
      </c>
      <c r="I69" s="612">
        <f t="shared" si="13"/>
        <v>9.9000000000000005E-2</v>
      </c>
      <c r="J69" s="612">
        <f t="shared" si="13"/>
        <v>2.7E-2</v>
      </c>
      <c r="K69" s="612">
        <f t="shared" si="13"/>
        <v>8.9999999999999993E-3</v>
      </c>
      <c r="L69" s="612">
        <f t="shared" si="13"/>
        <v>7.1999999999999995E-2</v>
      </c>
      <c r="M69" s="612">
        <f t="shared" si="13"/>
        <v>3.3000000000000002E-2</v>
      </c>
      <c r="N69" s="612">
        <f t="shared" si="13"/>
        <v>0.04</v>
      </c>
      <c r="O69" s="612">
        <f t="shared" si="13"/>
        <v>0.156</v>
      </c>
      <c r="P69" s="619">
        <f t="shared" si="9"/>
        <v>1</v>
      </c>
      <c r="S69" s="618">
        <f t="shared" si="4"/>
        <v>2056</v>
      </c>
      <c r="T69" s="620">
        <v>0</v>
      </c>
      <c r="U69" s="620">
        <v>5</v>
      </c>
      <c r="V69" s="621">
        <f t="shared" si="5"/>
        <v>0</v>
      </c>
      <c r="W69" s="622">
        <v>1</v>
      </c>
      <c r="X69" s="623">
        <f t="shared" si="10"/>
        <v>0</v>
      </c>
    </row>
    <row r="70" spans="2:24">
      <c r="B70" s="618">
        <f t="shared" si="11"/>
        <v>2057</v>
      </c>
      <c r="C70" s="624"/>
      <c r="D70" s="611">
        <v>1</v>
      </c>
      <c r="E70" s="612">
        <f t="shared" si="13"/>
        <v>0.435</v>
      </c>
      <c r="F70" s="612">
        <f t="shared" si="13"/>
        <v>0.129</v>
      </c>
      <c r="G70" s="612">
        <f t="shared" si="13"/>
        <v>0</v>
      </c>
      <c r="H70" s="612">
        <f t="shared" si="13"/>
        <v>0</v>
      </c>
      <c r="I70" s="612">
        <f t="shared" si="13"/>
        <v>9.9000000000000005E-2</v>
      </c>
      <c r="J70" s="612">
        <f t="shared" si="13"/>
        <v>2.7E-2</v>
      </c>
      <c r="K70" s="612">
        <f t="shared" si="13"/>
        <v>8.9999999999999993E-3</v>
      </c>
      <c r="L70" s="612">
        <f t="shared" si="13"/>
        <v>7.1999999999999995E-2</v>
      </c>
      <c r="M70" s="612">
        <f t="shared" si="13"/>
        <v>3.3000000000000002E-2</v>
      </c>
      <c r="N70" s="612">
        <f t="shared" si="13"/>
        <v>0.04</v>
      </c>
      <c r="O70" s="612">
        <f t="shared" si="13"/>
        <v>0.156</v>
      </c>
      <c r="P70" s="619">
        <f t="shared" si="9"/>
        <v>1</v>
      </c>
      <c r="S70" s="618">
        <f t="shared" si="4"/>
        <v>2057</v>
      </c>
      <c r="T70" s="620">
        <v>0</v>
      </c>
      <c r="U70" s="620">
        <v>5</v>
      </c>
      <c r="V70" s="621">
        <f t="shared" si="5"/>
        <v>0</v>
      </c>
      <c r="W70" s="622">
        <v>1</v>
      </c>
      <c r="X70" s="623">
        <f t="shared" si="10"/>
        <v>0</v>
      </c>
    </row>
    <row r="71" spans="2:24">
      <c r="B71" s="618">
        <f t="shared" si="11"/>
        <v>2058</v>
      </c>
      <c r="C71" s="624"/>
      <c r="D71" s="611">
        <v>1</v>
      </c>
      <c r="E71" s="612">
        <f t="shared" si="13"/>
        <v>0.435</v>
      </c>
      <c r="F71" s="612">
        <f t="shared" si="13"/>
        <v>0.129</v>
      </c>
      <c r="G71" s="612">
        <f t="shared" si="13"/>
        <v>0</v>
      </c>
      <c r="H71" s="612">
        <f t="shared" si="13"/>
        <v>0</v>
      </c>
      <c r="I71" s="612">
        <f t="shared" si="13"/>
        <v>9.9000000000000005E-2</v>
      </c>
      <c r="J71" s="612">
        <f t="shared" si="13"/>
        <v>2.7E-2</v>
      </c>
      <c r="K71" s="612">
        <f t="shared" si="13"/>
        <v>8.9999999999999993E-3</v>
      </c>
      <c r="L71" s="612">
        <f t="shared" si="13"/>
        <v>7.1999999999999995E-2</v>
      </c>
      <c r="M71" s="612">
        <f t="shared" si="13"/>
        <v>3.3000000000000002E-2</v>
      </c>
      <c r="N71" s="612">
        <f t="shared" si="13"/>
        <v>0.04</v>
      </c>
      <c r="O71" s="612">
        <f t="shared" si="13"/>
        <v>0.156</v>
      </c>
      <c r="P71" s="619">
        <f t="shared" si="9"/>
        <v>1</v>
      </c>
      <c r="S71" s="618">
        <f t="shared" si="4"/>
        <v>2058</v>
      </c>
      <c r="T71" s="620">
        <v>0</v>
      </c>
      <c r="U71" s="620">
        <v>5</v>
      </c>
      <c r="V71" s="621">
        <f t="shared" si="5"/>
        <v>0</v>
      </c>
      <c r="W71" s="622">
        <v>1</v>
      </c>
      <c r="X71" s="623">
        <f t="shared" si="10"/>
        <v>0</v>
      </c>
    </row>
    <row r="72" spans="2:24">
      <c r="B72" s="618">
        <f t="shared" si="11"/>
        <v>2059</v>
      </c>
      <c r="C72" s="624"/>
      <c r="D72" s="611">
        <v>1</v>
      </c>
      <c r="E72" s="612">
        <f t="shared" si="13"/>
        <v>0.435</v>
      </c>
      <c r="F72" s="612">
        <f t="shared" si="13"/>
        <v>0.129</v>
      </c>
      <c r="G72" s="612">
        <f t="shared" si="13"/>
        <v>0</v>
      </c>
      <c r="H72" s="612">
        <f t="shared" si="13"/>
        <v>0</v>
      </c>
      <c r="I72" s="612">
        <f t="shared" si="13"/>
        <v>9.9000000000000005E-2</v>
      </c>
      <c r="J72" s="612">
        <f t="shared" si="13"/>
        <v>2.7E-2</v>
      </c>
      <c r="K72" s="612">
        <f t="shared" si="13"/>
        <v>8.9999999999999993E-3</v>
      </c>
      <c r="L72" s="612">
        <f t="shared" si="13"/>
        <v>7.1999999999999995E-2</v>
      </c>
      <c r="M72" s="612">
        <f t="shared" si="13"/>
        <v>3.3000000000000002E-2</v>
      </c>
      <c r="N72" s="612">
        <f t="shared" si="13"/>
        <v>0.04</v>
      </c>
      <c r="O72" s="612">
        <f t="shared" si="13"/>
        <v>0.156</v>
      </c>
      <c r="P72" s="619">
        <f t="shared" si="9"/>
        <v>1</v>
      </c>
      <c r="S72" s="618">
        <f t="shared" si="4"/>
        <v>2059</v>
      </c>
      <c r="T72" s="620">
        <v>0</v>
      </c>
      <c r="U72" s="620">
        <v>5</v>
      </c>
      <c r="V72" s="621">
        <f t="shared" si="5"/>
        <v>0</v>
      </c>
      <c r="W72" s="622">
        <v>1</v>
      </c>
      <c r="X72" s="623">
        <f t="shared" si="10"/>
        <v>0</v>
      </c>
    </row>
    <row r="73" spans="2:24">
      <c r="B73" s="618">
        <f t="shared" si="11"/>
        <v>2060</v>
      </c>
      <c r="C73" s="624"/>
      <c r="D73" s="611">
        <v>1</v>
      </c>
      <c r="E73" s="612">
        <f t="shared" ref="E73:O88" si="14">E$8</f>
        <v>0.435</v>
      </c>
      <c r="F73" s="612">
        <f t="shared" si="14"/>
        <v>0.129</v>
      </c>
      <c r="G73" s="612">
        <f t="shared" si="13"/>
        <v>0</v>
      </c>
      <c r="H73" s="612">
        <f t="shared" si="14"/>
        <v>0</v>
      </c>
      <c r="I73" s="612">
        <f t="shared" si="13"/>
        <v>9.9000000000000005E-2</v>
      </c>
      <c r="J73" s="612">
        <f t="shared" si="14"/>
        <v>2.7E-2</v>
      </c>
      <c r="K73" s="612">
        <f t="shared" si="14"/>
        <v>8.9999999999999993E-3</v>
      </c>
      <c r="L73" s="612">
        <f t="shared" si="14"/>
        <v>7.1999999999999995E-2</v>
      </c>
      <c r="M73" s="612">
        <f t="shared" si="14"/>
        <v>3.3000000000000002E-2</v>
      </c>
      <c r="N73" s="612">
        <f t="shared" si="14"/>
        <v>0.04</v>
      </c>
      <c r="O73" s="612">
        <f t="shared" si="14"/>
        <v>0.156</v>
      </c>
      <c r="P73" s="619">
        <f t="shared" si="9"/>
        <v>1</v>
      </c>
      <c r="S73" s="618">
        <f t="shared" si="4"/>
        <v>2060</v>
      </c>
      <c r="T73" s="620">
        <v>0</v>
      </c>
      <c r="U73" s="620">
        <v>5</v>
      </c>
      <c r="V73" s="621">
        <f t="shared" si="5"/>
        <v>0</v>
      </c>
      <c r="W73" s="622">
        <v>1</v>
      </c>
      <c r="X73" s="623">
        <f t="shared" si="10"/>
        <v>0</v>
      </c>
    </row>
    <row r="74" spans="2:24">
      <c r="B74" s="618">
        <f t="shared" si="11"/>
        <v>2061</v>
      </c>
      <c r="C74" s="624"/>
      <c r="D74" s="611">
        <v>1</v>
      </c>
      <c r="E74" s="612">
        <f t="shared" si="14"/>
        <v>0.435</v>
      </c>
      <c r="F74" s="612">
        <f t="shared" si="14"/>
        <v>0.129</v>
      </c>
      <c r="G74" s="612">
        <f t="shared" si="13"/>
        <v>0</v>
      </c>
      <c r="H74" s="612">
        <f t="shared" si="14"/>
        <v>0</v>
      </c>
      <c r="I74" s="612">
        <f t="shared" si="13"/>
        <v>9.9000000000000005E-2</v>
      </c>
      <c r="J74" s="612">
        <f t="shared" si="14"/>
        <v>2.7E-2</v>
      </c>
      <c r="K74" s="612">
        <f t="shared" si="14"/>
        <v>8.9999999999999993E-3</v>
      </c>
      <c r="L74" s="612">
        <f t="shared" si="14"/>
        <v>7.1999999999999995E-2</v>
      </c>
      <c r="M74" s="612">
        <f t="shared" si="14"/>
        <v>3.3000000000000002E-2</v>
      </c>
      <c r="N74" s="612">
        <f t="shared" si="14"/>
        <v>0.04</v>
      </c>
      <c r="O74" s="612">
        <f t="shared" si="14"/>
        <v>0.156</v>
      </c>
      <c r="P74" s="619">
        <f t="shared" si="9"/>
        <v>1</v>
      </c>
      <c r="S74" s="618">
        <f t="shared" si="4"/>
        <v>2061</v>
      </c>
      <c r="T74" s="620">
        <v>0</v>
      </c>
      <c r="U74" s="620">
        <v>5</v>
      </c>
      <c r="V74" s="621">
        <f t="shared" si="5"/>
        <v>0</v>
      </c>
      <c r="W74" s="622">
        <v>1</v>
      </c>
      <c r="X74" s="623">
        <f t="shared" si="10"/>
        <v>0</v>
      </c>
    </row>
    <row r="75" spans="2:24">
      <c r="B75" s="618">
        <f t="shared" si="11"/>
        <v>2062</v>
      </c>
      <c r="C75" s="624"/>
      <c r="D75" s="611">
        <v>1</v>
      </c>
      <c r="E75" s="612">
        <f t="shared" si="14"/>
        <v>0.435</v>
      </c>
      <c r="F75" s="612">
        <f t="shared" si="14"/>
        <v>0.129</v>
      </c>
      <c r="G75" s="612">
        <f t="shared" si="13"/>
        <v>0</v>
      </c>
      <c r="H75" s="612">
        <f t="shared" si="14"/>
        <v>0</v>
      </c>
      <c r="I75" s="612">
        <f t="shared" si="13"/>
        <v>9.9000000000000005E-2</v>
      </c>
      <c r="J75" s="612">
        <f t="shared" si="14"/>
        <v>2.7E-2</v>
      </c>
      <c r="K75" s="612">
        <f t="shared" si="14"/>
        <v>8.9999999999999993E-3</v>
      </c>
      <c r="L75" s="612">
        <f t="shared" si="14"/>
        <v>7.1999999999999995E-2</v>
      </c>
      <c r="M75" s="612">
        <f t="shared" si="14"/>
        <v>3.3000000000000002E-2</v>
      </c>
      <c r="N75" s="612">
        <f t="shared" si="14"/>
        <v>0.04</v>
      </c>
      <c r="O75" s="612">
        <f t="shared" si="14"/>
        <v>0.156</v>
      </c>
      <c r="P75" s="619">
        <f t="shared" si="9"/>
        <v>1</v>
      </c>
      <c r="S75" s="618">
        <f t="shared" si="4"/>
        <v>2062</v>
      </c>
      <c r="T75" s="620">
        <v>0</v>
      </c>
      <c r="U75" s="620">
        <v>5</v>
      </c>
      <c r="V75" s="621">
        <f t="shared" si="5"/>
        <v>0</v>
      </c>
      <c r="W75" s="622">
        <v>1</v>
      </c>
      <c r="X75" s="623">
        <f t="shared" si="10"/>
        <v>0</v>
      </c>
    </row>
    <row r="76" spans="2:24">
      <c r="B76" s="618">
        <f t="shared" si="11"/>
        <v>2063</v>
      </c>
      <c r="C76" s="624"/>
      <c r="D76" s="611">
        <v>1</v>
      </c>
      <c r="E76" s="612">
        <f t="shared" si="14"/>
        <v>0.435</v>
      </c>
      <c r="F76" s="612">
        <f t="shared" si="14"/>
        <v>0.129</v>
      </c>
      <c r="G76" s="612">
        <f t="shared" si="13"/>
        <v>0</v>
      </c>
      <c r="H76" s="612">
        <f t="shared" si="14"/>
        <v>0</v>
      </c>
      <c r="I76" s="612">
        <f t="shared" si="13"/>
        <v>9.9000000000000005E-2</v>
      </c>
      <c r="J76" s="612">
        <f t="shared" si="14"/>
        <v>2.7E-2</v>
      </c>
      <c r="K76" s="612">
        <f t="shared" si="14"/>
        <v>8.9999999999999993E-3</v>
      </c>
      <c r="L76" s="612">
        <f t="shared" si="14"/>
        <v>7.1999999999999995E-2</v>
      </c>
      <c r="M76" s="612">
        <f t="shared" si="14"/>
        <v>3.3000000000000002E-2</v>
      </c>
      <c r="N76" s="612">
        <f t="shared" si="14"/>
        <v>0.04</v>
      </c>
      <c r="O76" s="612">
        <f t="shared" si="14"/>
        <v>0.156</v>
      </c>
      <c r="P76" s="619">
        <f t="shared" si="9"/>
        <v>1</v>
      </c>
      <c r="S76" s="618">
        <f t="shared" si="4"/>
        <v>2063</v>
      </c>
      <c r="T76" s="620">
        <v>0</v>
      </c>
      <c r="U76" s="620">
        <v>5</v>
      </c>
      <c r="V76" s="621">
        <f t="shared" si="5"/>
        <v>0</v>
      </c>
      <c r="W76" s="622">
        <v>1</v>
      </c>
      <c r="X76" s="623">
        <f t="shared" si="10"/>
        <v>0</v>
      </c>
    </row>
    <row r="77" spans="2:24">
      <c r="B77" s="618">
        <f t="shared" si="11"/>
        <v>2064</v>
      </c>
      <c r="C77" s="624"/>
      <c r="D77" s="611">
        <v>1</v>
      </c>
      <c r="E77" s="612">
        <f t="shared" si="14"/>
        <v>0.435</v>
      </c>
      <c r="F77" s="612">
        <f t="shared" si="14"/>
        <v>0.129</v>
      </c>
      <c r="G77" s="612">
        <f t="shared" si="13"/>
        <v>0</v>
      </c>
      <c r="H77" s="612">
        <f t="shared" si="14"/>
        <v>0</v>
      </c>
      <c r="I77" s="612">
        <f t="shared" si="13"/>
        <v>9.9000000000000005E-2</v>
      </c>
      <c r="J77" s="612">
        <f t="shared" si="14"/>
        <v>2.7E-2</v>
      </c>
      <c r="K77" s="612">
        <f t="shared" si="14"/>
        <v>8.9999999999999993E-3</v>
      </c>
      <c r="L77" s="612">
        <f t="shared" si="14"/>
        <v>7.1999999999999995E-2</v>
      </c>
      <c r="M77" s="612">
        <f t="shared" si="14"/>
        <v>3.3000000000000002E-2</v>
      </c>
      <c r="N77" s="612">
        <f t="shared" si="14"/>
        <v>0.04</v>
      </c>
      <c r="O77" s="612">
        <f t="shared" si="14"/>
        <v>0.156</v>
      </c>
      <c r="P77" s="619">
        <f t="shared" ref="P77:P93" si="15">SUM(E77:O77)</f>
        <v>1</v>
      </c>
      <c r="S77" s="618">
        <f t="shared" si="4"/>
        <v>2064</v>
      </c>
      <c r="T77" s="620">
        <v>0</v>
      </c>
      <c r="U77" s="620">
        <v>5</v>
      </c>
      <c r="V77" s="621">
        <f t="shared" si="5"/>
        <v>0</v>
      </c>
      <c r="W77" s="622">
        <v>1</v>
      </c>
      <c r="X77" s="623">
        <f t="shared" ref="X77:X93" si="16">V77*W77</f>
        <v>0</v>
      </c>
    </row>
    <row r="78" spans="2:24">
      <c r="B78" s="618">
        <f t="shared" ref="B78:B93" si="17">B77+1</f>
        <v>2065</v>
      </c>
      <c r="C78" s="624"/>
      <c r="D78" s="611">
        <v>1</v>
      </c>
      <c r="E78" s="612">
        <f t="shared" si="14"/>
        <v>0.435</v>
      </c>
      <c r="F78" s="612">
        <f t="shared" si="14"/>
        <v>0.129</v>
      </c>
      <c r="G78" s="612">
        <f t="shared" si="13"/>
        <v>0</v>
      </c>
      <c r="H78" s="612">
        <f t="shared" si="14"/>
        <v>0</v>
      </c>
      <c r="I78" s="612">
        <f t="shared" si="13"/>
        <v>9.9000000000000005E-2</v>
      </c>
      <c r="J78" s="612">
        <f t="shared" si="14"/>
        <v>2.7E-2</v>
      </c>
      <c r="K78" s="612">
        <f t="shared" si="14"/>
        <v>8.9999999999999993E-3</v>
      </c>
      <c r="L78" s="612">
        <f t="shared" si="14"/>
        <v>7.1999999999999995E-2</v>
      </c>
      <c r="M78" s="612">
        <f t="shared" si="14"/>
        <v>3.3000000000000002E-2</v>
      </c>
      <c r="N78" s="612">
        <f t="shared" si="14"/>
        <v>0.04</v>
      </c>
      <c r="O78" s="612">
        <f t="shared" si="14"/>
        <v>0.156</v>
      </c>
      <c r="P78" s="619">
        <f t="shared" si="15"/>
        <v>1</v>
      </c>
      <c r="S78" s="618">
        <f t="shared" ref="S78:S93" si="18">S77+1</f>
        <v>2065</v>
      </c>
      <c r="T78" s="620">
        <v>0</v>
      </c>
      <c r="U78" s="620">
        <v>5</v>
      </c>
      <c r="V78" s="621">
        <f t="shared" si="5"/>
        <v>0</v>
      </c>
      <c r="W78" s="622">
        <v>1</v>
      </c>
      <c r="X78" s="623">
        <f t="shared" si="16"/>
        <v>0</v>
      </c>
    </row>
    <row r="79" spans="2:24">
      <c r="B79" s="618">
        <f t="shared" si="17"/>
        <v>2066</v>
      </c>
      <c r="C79" s="624"/>
      <c r="D79" s="611">
        <v>1</v>
      </c>
      <c r="E79" s="612">
        <f t="shared" si="14"/>
        <v>0.435</v>
      </c>
      <c r="F79" s="612">
        <f t="shared" si="14"/>
        <v>0.129</v>
      </c>
      <c r="G79" s="612">
        <f t="shared" si="14"/>
        <v>0</v>
      </c>
      <c r="H79" s="612">
        <f t="shared" si="14"/>
        <v>0</v>
      </c>
      <c r="I79" s="612">
        <f t="shared" si="14"/>
        <v>9.9000000000000005E-2</v>
      </c>
      <c r="J79" s="612">
        <f t="shared" si="14"/>
        <v>2.7E-2</v>
      </c>
      <c r="K79" s="612">
        <f t="shared" si="14"/>
        <v>8.9999999999999993E-3</v>
      </c>
      <c r="L79" s="612">
        <f t="shared" si="14"/>
        <v>7.1999999999999995E-2</v>
      </c>
      <c r="M79" s="612">
        <f t="shared" si="14"/>
        <v>3.3000000000000002E-2</v>
      </c>
      <c r="N79" s="612">
        <f t="shared" si="14"/>
        <v>0.04</v>
      </c>
      <c r="O79" s="612">
        <f t="shared" si="14"/>
        <v>0.156</v>
      </c>
      <c r="P79" s="619">
        <f t="shared" si="15"/>
        <v>1</v>
      </c>
      <c r="S79" s="618">
        <f t="shared" si="18"/>
        <v>2066</v>
      </c>
      <c r="T79" s="620">
        <v>0</v>
      </c>
      <c r="U79" s="620">
        <v>5</v>
      </c>
      <c r="V79" s="621">
        <f t="shared" ref="V79:V93" si="19">T79*U79</f>
        <v>0</v>
      </c>
      <c r="W79" s="622">
        <v>1</v>
      </c>
      <c r="X79" s="623">
        <f t="shared" si="16"/>
        <v>0</v>
      </c>
    </row>
    <row r="80" spans="2:24">
      <c r="B80" s="618">
        <f t="shared" si="17"/>
        <v>2067</v>
      </c>
      <c r="C80" s="624"/>
      <c r="D80" s="611">
        <v>1</v>
      </c>
      <c r="E80" s="612">
        <f t="shared" si="14"/>
        <v>0.435</v>
      </c>
      <c r="F80" s="612">
        <f t="shared" si="14"/>
        <v>0.129</v>
      </c>
      <c r="G80" s="612">
        <f t="shared" si="14"/>
        <v>0</v>
      </c>
      <c r="H80" s="612">
        <f t="shared" si="14"/>
        <v>0</v>
      </c>
      <c r="I80" s="612">
        <f t="shared" si="14"/>
        <v>9.9000000000000005E-2</v>
      </c>
      <c r="J80" s="612">
        <f t="shared" si="14"/>
        <v>2.7E-2</v>
      </c>
      <c r="K80" s="612">
        <f t="shared" si="14"/>
        <v>8.9999999999999993E-3</v>
      </c>
      <c r="L80" s="612">
        <f t="shared" si="14"/>
        <v>7.1999999999999995E-2</v>
      </c>
      <c r="M80" s="612">
        <f t="shared" si="14"/>
        <v>3.3000000000000002E-2</v>
      </c>
      <c r="N80" s="612">
        <f t="shared" si="14"/>
        <v>0.04</v>
      </c>
      <c r="O80" s="612">
        <f t="shared" si="14"/>
        <v>0.156</v>
      </c>
      <c r="P80" s="619">
        <f t="shared" si="15"/>
        <v>1</v>
      </c>
      <c r="S80" s="618">
        <f t="shared" si="18"/>
        <v>2067</v>
      </c>
      <c r="T80" s="620">
        <v>0</v>
      </c>
      <c r="U80" s="620">
        <v>5</v>
      </c>
      <c r="V80" s="621">
        <f t="shared" si="19"/>
        <v>0</v>
      </c>
      <c r="W80" s="622">
        <v>1</v>
      </c>
      <c r="X80" s="623">
        <f t="shared" si="16"/>
        <v>0</v>
      </c>
    </row>
    <row r="81" spans="2:24">
      <c r="B81" s="618">
        <f t="shared" si="17"/>
        <v>2068</v>
      </c>
      <c r="C81" s="624"/>
      <c r="D81" s="611">
        <v>1</v>
      </c>
      <c r="E81" s="612">
        <f t="shared" si="14"/>
        <v>0.435</v>
      </c>
      <c r="F81" s="612">
        <f t="shared" si="14"/>
        <v>0.129</v>
      </c>
      <c r="G81" s="612">
        <f t="shared" si="14"/>
        <v>0</v>
      </c>
      <c r="H81" s="612">
        <f t="shared" si="14"/>
        <v>0</v>
      </c>
      <c r="I81" s="612">
        <f t="shared" si="14"/>
        <v>9.9000000000000005E-2</v>
      </c>
      <c r="J81" s="612">
        <f t="shared" si="14"/>
        <v>2.7E-2</v>
      </c>
      <c r="K81" s="612">
        <f t="shared" si="14"/>
        <v>8.9999999999999993E-3</v>
      </c>
      <c r="L81" s="612">
        <f t="shared" si="14"/>
        <v>7.1999999999999995E-2</v>
      </c>
      <c r="M81" s="612">
        <f t="shared" si="14"/>
        <v>3.3000000000000002E-2</v>
      </c>
      <c r="N81" s="612">
        <f t="shared" si="14"/>
        <v>0.04</v>
      </c>
      <c r="O81" s="612">
        <f t="shared" si="14"/>
        <v>0.156</v>
      </c>
      <c r="P81" s="619">
        <f t="shared" si="15"/>
        <v>1</v>
      </c>
      <c r="S81" s="618">
        <f t="shared" si="18"/>
        <v>2068</v>
      </c>
      <c r="T81" s="620">
        <v>0</v>
      </c>
      <c r="U81" s="620">
        <v>5</v>
      </c>
      <c r="V81" s="621">
        <f t="shared" si="19"/>
        <v>0</v>
      </c>
      <c r="W81" s="622">
        <v>1</v>
      </c>
      <c r="X81" s="623">
        <f t="shared" si="16"/>
        <v>0</v>
      </c>
    </row>
    <row r="82" spans="2:24">
      <c r="B82" s="618">
        <f t="shared" si="17"/>
        <v>2069</v>
      </c>
      <c r="C82" s="624"/>
      <c r="D82" s="611">
        <v>1</v>
      </c>
      <c r="E82" s="612">
        <f t="shared" si="14"/>
        <v>0.435</v>
      </c>
      <c r="F82" s="612">
        <f t="shared" si="14"/>
        <v>0.129</v>
      </c>
      <c r="G82" s="612">
        <f t="shared" si="14"/>
        <v>0</v>
      </c>
      <c r="H82" s="612">
        <f t="shared" si="14"/>
        <v>0</v>
      </c>
      <c r="I82" s="612">
        <f t="shared" si="14"/>
        <v>9.9000000000000005E-2</v>
      </c>
      <c r="J82" s="612">
        <f t="shared" si="14"/>
        <v>2.7E-2</v>
      </c>
      <c r="K82" s="612">
        <f t="shared" si="14"/>
        <v>8.9999999999999993E-3</v>
      </c>
      <c r="L82" s="612">
        <f t="shared" si="14"/>
        <v>7.1999999999999995E-2</v>
      </c>
      <c r="M82" s="612">
        <f t="shared" si="14"/>
        <v>3.3000000000000002E-2</v>
      </c>
      <c r="N82" s="612">
        <f t="shared" si="14"/>
        <v>0.04</v>
      </c>
      <c r="O82" s="612">
        <f t="shared" si="14"/>
        <v>0.156</v>
      </c>
      <c r="P82" s="619">
        <f t="shared" si="15"/>
        <v>1</v>
      </c>
      <c r="S82" s="618">
        <f t="shared" si="18"/>
        <v>2069</v>
      </c>
      <c r="T82" s="620">
        <v>0</v>
      </c>
      <c r="U82" s="620">
        <v>5</v>
      </c>
      <c r="V82" s="621">
        <f t="shared" si="19"/>
        <v>0</v>
      </c>
      <c r="W82" s="622">
        <v>1</v>
      </c>
      <c r="X82" s="623">
        <f t="shared" si="16"/>
        <v>0</v>
      </c>
    </row>
    <row r="83" spans="2:24">
      <c r="B83" s="618">
        <f t="shared" si="17"/>
        <v>2070</v>
      </c>
      <c r="C83" s="624"/>
      <c r="D83" s="611">
        <v>1</v>
      </c>
      <c r="E83" s="612">
        <f t="shared" ref="E83:O93" si="20">E$8</f>
        <v>0.435</v>
      </c>
      <c r="F83" s="612">
        <f t="shared" si="20"/>
        <v>0.129</v>
      </c>
      <c r="G83" s="612">
        <f t="shared" si="14"/>
        <v>0</v>
      </c>
      <c r="H83" s="612">
        <f t="shared" si="20"/>
        <v>0</v>
      </c>
      <c r="I83" s="612">
        <f t="shared" si="14"/>
        <v>9.9000000000000005E-2</v>
      </c>
      <c r="J83" s="612">
        <f t="shared" si="20"/>
        <v>2.7E-2</v>
      </c>
      <c r="K83" s="612">
        <f t="shared" si="20"/>
        <v>8.9999999999999993E-3</v>
      </c>
      <c r="L83" s="612">
        <f t="shared" si="20"/>
        <v>7.1999999999999995E-2</v>
      </c>
      <c r="M83" s="612">
        <f t="shared" si="20"/>
        <v>3.3000000000000002E-2</v>
      </c>
      <c r="N83" s="612">
        <f t="shared" si="20"/>
        <v>0.04</v>
      </c>
      <c r="O83" s="612">
        <f t="shared" si="20"/>
        <v>0.156</v>
      </c>
      <c r="P83" s="619">
        <f t="shared" si="15"/>
        <v>1</v>
      </c>
      <c r="S83" s="618">
        <f t="shared" si="18"/>
        <v>2070</v>
      </c>
      <c r="T83" s="620">
        <v>0</v>
      </c>
      <c r="U83" s="620">
        <v>5</v>
      </c>
      <c r="V83" s="621">
        <f t="shared" si="19"/>
        <v>0</v>
      </c>
      <c r="W83" s="622">
        <v>1</v>
      </c>
      <c r="X83" s="623">
        <f t="shared" si="16"/>
        <v>0</v>
      </c>
    </row>
    <row r="84" spans="2:24">
      <c r="B84" s="618">
        <f t="shared" si="17"/>
        <v>2071</v>
      </c>
      <c r="C84" s="624"/>
      <c r="D84" s="611">
        <v>1</v>
      </c>
      <c r="E84" s="612">
        <f t="shared" si="20"/>
        <v>0.435</v>
      </c>
      <c r="F84" s="612">
        <f t="shared" si="20"/>
        <v>0.129</v>
      </c>
      <c r="G84" s="612">
        <f t="shared" si="14"/>
        <v>0</v>
      </c>
      <c r="H84" s="612">
        <f t="shared" si="20"/>
        <v>0</v>
      </c>
      <c r="I84" s="612">
        <f t="shared" si="14"/>
        <v>9.9000000000000005E-2</v>
      </c>
      <c r="J84" s="612">
        <f t="shared" si="20"/>
        <v>2.7E-2</v>
      </c>
      <c r="K84" s="612">
        <f t="shared" si="20"/>
        <v>8.9999999999999993E-3</v>
      </c>
      <c r="L84" s="612">
        <f t="shared" si="20"/>
        <v>7.1999999999999995E-2</v>
      </c>
      <c r="M84" s="612">
        <f t="shared" si="20"/>
        <v>3.3000000000000002E-2</v>
      </c>
      <c r="N84" s="612">
        <f t="shared" si="20"/>
        <v>0.04</v>
      </c>
      <c r="O84" s="612">
        <f t="shared" si="20"/>
        <v>0.156</v>
      </c>
      <c r="P84" s="619">
        <f t="shared" si="15"/>
        <v>1</v>
      </c>
      <c r="S84" s="618">
        <f t="shared" si="18"/>
        <v>2071</v>
      </c>
      <c r="T84" s="620">
        <v>0</v>
      </c>
      <c r="U84" s="620">
        <v>5</v>
      </c>
      <c r="V84" s="621">
        <f t="shared" si="19"/>
        <v>0</v>
      </c>
      <c r="W84" s="622">
        <v>1</v>
      </c>
      <c r="X84" s="623">
        <f t="shared" si="16"/>
        <v>0</v>
      </c>
    </row>
    <row r="85" spans="2:24">
      <c r="B85" s="618">
        <f t="shared" si="17"/>
        <v>2072</v>
      </c>
      <c r="C85" s="624"/>
      <c r="D85" s="611">
        <v>1</v>
      </c>
      <c r="E85" s="612">
        <f t="shared" si="20"/>
        <v>0.435</v>
      </c>
      <c r="F85" s="612">
        <f t="shared" si="20"/>
        <v>0.129</v>
      </c>
      <c r="G85" s="612">
        <f t="shared" si="14"/>
        <v>0</v>
      </c>
      <c r="H85" s="612">
        <f t="shared" si="20"/>
        <v>0</v>
      </c>
      <c r="I85" s="612">
        <f t="shared" si="14"/>
        <v>9.9000000000000005E-2</v>
      </c>
      <c r="J85" s="612">
        <f t="shared" si="20"/>
        <v>2.7E-2</v>
      </c>
      <c r="K85" s="612">
        <f t="shared" si="20"/>
        <v>8.9999999999999993E-3</v>
      </c>
      <c r="L85" s="612">
        <f t="shared" si="20"/>
        <v>7.1999999999999995E-2</v>
      </c>
      <c r="M85" s="612">
        <f t="shared" si="20"/>
        <v>3.3000000000000002E-2</v>
      </c>
      <c r="N85" s="612">
        <f t="shared" si="20"/>
        <v>0.04</v>
      </c>
      <c r="O85" s="612">
        <f t="shared" si="20"/>
        <v>0.156</v>
      </c>
      <c r="P85" s="619">
        <f t="shared" si="15"/>
        <v>1</v>
      </c>
      <c r="S85" s="618">
        <f t="shared" si="18"/>
        <v>2072</v>
      </c>
      <c r="T85" s="620">
        <v>0</v>
      </c>
      <c r="U85" s="620">
        <v>5</v>
      </c>
      <c r="V85" s="621">
        <f t="shared" si="19"/>
        <v>0</v>
      </c>
      <c r="W85" s="622">
        <v>1</v>
      </c>
      <c r="X85" s="623">
        <f t="shared" si="16"/>
        <v>0</v>
      </c>
    </row>
    <row r="86" spans="2:24">
      <c r="B86" s="618">
        <f t="shared" si="17"/>
        <v>2073</v>
      </c>
      <c r="C86" s="624"/>
      <c r="D86" s="611">
        <v>1</v>
      </c>
      <c r="E86" s="612">
        <f t="shared" si="20"/>
        <v>0.435</v>
      </c>
      <c r="F86" s="612">
        <f t="shared" si="20"/>
        <v>0.129</v>
      </c>
      <c r="G86" s="612">
        <f t="shared" si="14"/>
        <v>0</v>
      </c>
      <c r="H86" s="612">
        <f t="shared" si="20"/>
        <v>0</v>
      </c>
      <c r="I86" s="612">
        <f t="shared" si="14"/>
        <v>9.9000000000000005E-2</v>
      </c>
      <c r="J86" s="612">
        <f t="shared" si="20"/>
        <v>2.7E-2</v>
      </c>
      <c r="K86" s="612">
        <f t="shared" si="20"/>
        <v>8.9999999999999993E-3</v>
      </c>
      <c r="L86" s="612">
        <f t="shared" si="20"/>
        <v>7.1999999999999995E-2</v>
      </c>
      <c r="M86" s="612">
        <f t="shared" si="20"/>
        <v>3.3000000000000002E-2</v>
      </c>
      <c r="N86" s="612">
        <f t="shared" si="20"/>
        <v>0.04</v>
      </c>
      <c r="O86" s="612">
        <f t="shared" si="20"/>
        <v>0.156</v>
      </c>
      <c r="P86" s="619">
        <f t="shared" si="15"/>
        <v>1</v>
      </c>
      <c r="S86" s="618">
        <f t="shared" si="18"/>
        <v>2073</v>
      </c>
      <c r="T86" s="620">
        <v>0</v>
      </c>
      <c r="U86" s="620">
        <v>5</v>
      </c>
      <c r="V86" s="621">
        <f t="shared" si="19"/>
        <v>0</v>
      </c>
      <c r="W86" s="622">
        <v>1</v>
      </c>
      <c r="X86" s="623">
        <f t="shared" si="16"/>
        <v>0</v>
      </c>
    </row>
    <row r="87" spans="2:24">
      <c r="B87" s="618">
        <f t="shared" si="17"/>
        <v>2074</v>
      </c>
      <c r="C87" s="624"/>
      <c r="D87" s="611">
        <v>1</v>
      </c>
      <c r="E87" s="612">
        <f t="shared" si="20"/>
        <v>0.435</v>
      </c>
      <c r="F87" s="612">
        <f t="shared" si="20"/>
        <v>0.129</v>
      </c>
      <c r="G87" s="612">
        <f t="shared" si="14"/>
        <v>0</v>
      </c>
      <c r="H87" s="612">
        <f t="shared" si="20"/>
        <v>0</v>
      </c>
      <c r="I87" s="612">
        <f t="shared" si="14"/>
        <v>9.9000000000000005E-2</v>
      </c>
      <c r="J87" s="612">
        <f t="shared" si="20"/>
        <v>2.7E-2</v>
      </c>
      <c r="K87" s="612">
        <f t="shared" si="20"/>
        <v>8.9999999999999993E-3</v>
      </c>
      <c r="L87" s="612">
        <f t="shared" si="20"/>
        <v>7.1999999999999995E-2</v>
      </c>
      <c r="M87" s="612">
        <f t="shared" si="20"/>
        <v>3.3000000000000002E-2</v>
      </c>
      <c r="N87" s="612">
        <f t="shared" si="20"/>
        <v>0.04</v>
      </c>
      <c r="O87" s="612">
        <f t="shared" si="20"/>
        <v>0.156</v>
      </c>
      <c r="P87" s="619">
        <f t="shared" si="15"/>
        <v>1</v>
      </c>
      <c r="S87" s="618">
        <f t="shared" si="18"/>
        <v>2074</v>
      </c>
      <c r="T87" s="620">
        <v>0</v>
      </c>
      <c r="U87" s="620">
        <v>5</v>
      </c>
      <c r="V87" s="621">
        <f t="shared" si="19"/>
        <v>0</v>
      </c>
      <c r="W87" s="622">
        <v>1</v>
      </c>
      <c r="X87" s="623">
        <f t="shared" si="16"/>
        <v>0</v>
      </c>
    </row>
    <row r="88" spans="2:24">
      <c r="B88" s="618">
        <f t="shared" si="17"/>
        <v>2075</v>
      </c>
      <c r="C88" s="624"/>
      <c r="D88" s="611">
        <v>1</v>
      </c>
      <c r="E88" s="612">
        <f t="shared" si="20"/>
        <v>0.435</v>
      </c>
      <c r="F88" s="612">
        <f t="shared" si="20"/>
        <v>0.129</v>
      </c>
      <c r="G88" s="612">
        <f t="shared" si="14"/>
        <v>0</v>
      </c>
      <c r="H88" s="612">
        <f t="shared" si="20"/>
        <v>0</v>
      </c>
      <c r="I88" s="612">
        <f t="shared" si="14"/>
        <v>9.9000000000000005E-2</v>
      </c>
      <c r="J88" s="612">
        <f t="shared" si="20"/>
        <v>2.7E-2</v>
      </c>
      <c r="K88" s="612">
        <f t="shared" si="20"/>
        <v>8.9999999999999993E-3</v>
      </c>
      <c r="L88" s="612">
        <f t="shared" si="20"/>
        <v>7.1999999999999995E-2</v>
      </c>
      <c r="M88" s="612">
        <f t="shared" si="20"/>
        <v>3.3000000000000002E-2</v>
      </c>
      <c r="N88" s="612">
        <f t="shared" si="20"/>
        <v>0.04</v>
      </c>
      <c r="O88" s="612">
        <f t="shared" si="20"/>
        <v>0.156</v>
      </c>
      <c r="P88" s="619">
        <f t="shared" si="15"/>
        <v>1</v>
      </c>
      <c r="S88" s="618">
        <f t="shared" si="18"/>
        <v>2075</v>
      </c>
      <c r="T88" s="620">
        <v>0</v>
      </c>
      <c r="U88" s="620">
        <v>5</v>
      </c>
      <c r="V88" s="621">
        <f t="shared" si="19"/>
        <v>0</v>
      </c>
      <c r="W88" s="622">
        <v>1</v>
      </c>
      <c r="X88" s="623">
        <f t="shared" si="16"/>
        <v>0</v>
      </c>
    </row>
    <row r="89" spans="2:24">
      <c r="B89" s="618">
        <f t="shared" si="17"/>
        <v>2076</v>
      </c>
      <c r="C89" s="624"/>
      <c r="D89" s="611">
        <v>1</v>
      </c>
      <c r="E89" s="612">
        <f t="shared" si="20"/>
        <v>0.435</v>
      </c>
      <c r="F89" s="612">
        <f t="shared" si="20"/>
        <v>0.129</v>
      </c>
      <c r="G89" s="612">
        <f t="shared" si="20"/>
        <v>0</v>
      </c>
      <c r="H89" s="612">
        <f t="shared" si="20"/>
        <v>0</v>
      </c>
      <c r="I89" s="612">
        <f t="shared" si="20"/>
        <v>9.9000000000000005E-2</v>
      </c>
      <c r="J89" s="612">
        <f t="shared" si="20"/>
        <v>2.7E-2</v>
      </c>
      <c r="K89" s="612">
        <f t="shared" si="20"/>
        <v>8.9999999999999993E-3</v>
      </c>
      <c r="L89" s="612">
        <f t="shared" si="20"/>
        <v>7.1999999999999995E-2</v>
      </c>
      <c r="M89" s="612">
        <f t="shared" si="20"/>
        <v>3.3000000000000002E-2</v>
      </c>
      <c r="N89" s="612">
        <f t="shared" si="20"/>
        <v>0.04</v>
      </c>
      <c r="O89" s="612">
        <f t="shared" si="20"/>
        <v>0.156</v>
      </c>
      <c r="P89" s="619">
        <f t="shared" si="15"/>
        <v>1</v>
      </c>
      <c r="S89" s="618">
        <f t="shared" si="18"/>
        <v>2076</v>
      </c>
      <c r="T89" s="620">
        <v>0</v>
      </c>
      <c r="U89" s="620">
        <v>5</v>
      </c>
      <c r="V89" s="621">
        <f t="shared" si="19"/>
        <v>0</v>
      </c>
      <c r="W89" s="622">
        <v>1</v>
      </c>
      <c r="X89" s="623">
        <f t="shared" si="16"/>
        <v>0</v>
      </c>
    </row>
    <row r="90" spans="2:24">
      <c r="B90" s="618">
        <f t="shared" si="17"/>
        <v>2077</v>
      </c>
      <c r="C90" s="624"/>
      <c r="D90" s="611">
        <v>1</v>
      </c>
      <c r="E90" s="612">
        <f t="shared" si="20"/>
        <v>0.435</v>
      </c>
      <c r="F90" s="612">
        <f t="shared" si="20"/>
        <v>0.129</v>
      </c>
      <c r="G90" s="612">
        <f t="shared" si="20"/>
        <v>0</v>
      </c>
      <c r="H90" s="612">
        <f t="shared" si="20"/>
        <v>0</v>
      </c>
      <c r="I90" s="612">
        <f t="shared" si="20"/>
        <v>9.9000000000000005E-2</v>
      </c>
      <c r="J90" s="612">
        <f t="shared" si="20"/>
        <v>2.7E-2</v>
      </c>
      <c r="K90" s="612">
        <f t="shared" si="20"/>
        <v>8.9999999999999993E-3</v>
      </c>
      <c r="L90" s="612">
        <f t="shared" si="20"/>
        <v>7.1999999999999995E-2</v>
      </c>
      <c r="M90" s="612">
        <f t="shared" si="20"/>
        <v>3.3000000000000002E-2</v>
      </c>
      <c r="N90" s="612">
        <f t="shared" si="20"/>
        <v>0.04</v>
      </c>
      <c r="O90" s="612">
        <f t="shared" si="20"/>
        <v>0.156</v>
      </c>
      <c r="P90" s="619">
        <f t="shared" si="15"/>
        <v>1</v>
      </c>
      <c r="S90" s="618">
        <f t="shared" si="18"/>
        <v>2077</v>
      </c>
      <c r="T90" s="620">
        <v>0</v>
      </c>
      <c r="U90" s="620">
        <v>5</v>
      </c>
      <c r="V90" s="621">
        <f t="shared" si="19"/>
        <v>0</v>
      </c>
      <c r="W90" s="622">
        <v>1</v>
      </c>
      <c r="X90" s="623">
        <f t="shared" si="16"/>
        <v>0</v>
      </c>
    </row>
    <row r="91" spans="2:24">
      <c r="B91" s="618">
        <f t="shared" si="17"/>
        <v>2078</v>
      </c>
      <c r="C91" s="624"/>
      <c r="D91" s="611">
        <v>1</v>
      </c>
      <c r="E91" s="612">
        <f t="shared" si="20"/>
        <v>0.435</v>
      </c>
      <c r="F91" s="612">
        <f t="shared" si="20"/>
        <v>0.129</v>
      </c>
      <c r="G91" s="612">
        <f t="shared" si="20"/>
        <v>0</v>
      </c>
      <c r="H91" s="612">
        <f t="shared" si="20"/>
        <v>0</v>
      </c>
      <c r="I91" s="612">
        <f t="shared" si="20"/>
        <v>9.9000000000000005E-2</v>
      </c>
      <c r="J91" s="612">
        <f t="shared" si="20"/>
        <v>2.7E-2</v>
      </c>
      <c r="K91" s="612">
        <f t="shared" si="20"/>
        <v>8.9999999999999993E-3</v>
      </c>
      <c r="L91" s="612">
        <f t="shared" si="20"/>
        <v>7.1999999999999995E-2</v>
      </c>
      <c r="M91" s="612">
        <f t="shared" si="20"/>
        <v>3.3000000000000002E-2</v>
      </c>
      <c r="N91" s="612">
        <f t="shared" si="20"/>
        <v>0.04</v>
      </c>
      <c r="O91" s="612">
        <f t="shared" si="20"/>
        <v>0.156</v>
      </c>
      <c r="P91" s="619">
        <f t="shared" si="15"/>
        <v>1</v>
      </c>
      <c r="S91" s="618">
        <f t="shared" si="18"/>
        <v>2078</v>
      </c>
      <c r="T91" s="620">
        <v>0</v>
      </c>
      <c r="U91" s="620">
        <v>5</v>
      </c>
      <c r="V91" s="621">
        <f t="shared" si="19"/>
        <v>0</v>
      </c>
      <c r="W91" s="622">
        <v>1</v>
      </c>
      <c r="X91" s="623">
        <f t="shared" si="16"/>
        <v>0</v>
      </c>
    </row>
    <row r="92" spans="2:24">
      <c r="B92" s="618">
        <f t="shared" si="17"/>
        <v>2079</v>
      </c>
      <c r="C92" s="624"/>
      <c r="D92" s="611">
        <v>1</v>
      </c>
      <c r="E92" s="612">
        <f t="shared" si="20"/>
        <v>0.435</v>
      </c>
      <c r="F92" s="612">
        <f t="shared" si="20"/>
        <v>0.129</v>
      </c>
      <c r="G92" s="612">
        <f t="shared" si="20"/>
        <v>0</v>
      </c>
      <c r="H92" s="612">
        <f t="shared" si="20"/>
        <v>0</v>
      </c>
      <c r="I92" s="612">
        <f t="shared" si="20"/>
        <v>9.9000000000000005E-2</v>
      </c>
      <c r="J92" s="612">
        <f t="shared" si="20"/>
        <v>2.7E-2</v>
      </c>
      <c r="K92" s="612">
        <f t="shared" si="20"/>
        <v>8.9999999999999993E-3</v>
      </c>
      <c r="L92" s="612">
        <f t="shared" si="20"/>
        <v>7.1999999999999995E-2</v>
      </c>
      <c r="M92" s="612">
        <f t="shared" si="20"/>
        <v>3.3000000000000002E-2</v>
      </c>
      <c r="N92" s="612">
        <f t="shared" si="20"/>
        <v>0.04</v>
      </c>
      <c r="O92" s="612">
        <f t="shared" si="20"/>
        <v>0.156</v>
      </c>
      <c r="P92" s="619">
        <f t="shared" si="15"/>
        <v>1</v>
      </c>
      <c r="S92" s="618">
        <f t="shared" si="18"/>
        <v>2079</v>
      </c>
      <c r="T92" s="620">
        <v>0</v>
      </c>
      <c r="U92" s="620">
        <v>5</v>
      </c>
      <c r="V92" s="621">
        <f t="shared" si="19"/>
        <v>0</v>
      </c>
      <c r="W92" s="622">
        <v>1</v>
      </c>
      <c r="X92" s="623">
        <f t="shared" si="16"/>
        <v>0</v>
      </c>
    </row>
    <row r="93" spans="2:24" ht="13.5" thickBot="1">
      <c r="B93" s="625">
        <f t="shared" si="17"/>
        <v>2080</v>
      </c>
      <c r="C93" s="626"/>
      <c r="D93" s="611">
        <v>1</v>
      </c>
      <c r="E93" s="627">
        <f t="shared" si="20"/>
        <v>0.435</v>
      </c>
      <c r="F93" s="627">
        <f t="shared" si="20"/>
        <v>0.129</v>
      </c>
      <c r="G93" s="627">
        <f t="shared" si="20"/>
        <v>0</v>
      </c>
      <c r="H93" s="627">
        <f t="shared" si="20"/>
        <v>0</v>
      </c>
      <c r="I93" s="627">
        <f t="shared" si="20"/>
        <v>9.9000000000000005E-2</v>
      </c>
      <c r="J93" s="627">
        <f t="shared" si="20"/>
        <v>2.7E-2</v>
      </c>
      <c r="K93" s="627">
        <f t="shared" si="20"/>
        <v>8.9999999999999993E-3</v>
      </c>
      <c r="L93" s="627">
        <f t="shared" si="20"/>
        <v>7.1999999999999995E-2</v>
      </c>
      <c r="M93" s="627">
        <f t="shared" si="20"/>
        <v>3.3000000000000002E-2</v>
      </c>
      <c r="N93" s="627">
        <f t="shared" si="20"/>
        <v>0.04</v>
      </c>
      <c r="O93" s="628">
        <f t="shared" si="20"/>
        <v>0.156</v>
      </c>
      <c r="P93" s="629">
        <f t="shared" si="15"/>
        <v>1</v>
      </c>
      <c r="S93" s="625">
        <f t="shared" si="18"/>
        <v>2080</v>
      </c>
      <c r="T93" s="630">
        <v>0</v>
      </c>
      <c r="U93" s="631">
        <v>5</v>
      </c>
      <c r="V93" s="632">
        <f t="shared" si="19"/>
        <v>0</v>
      </c>
      <c r="W93" s="633">
        <v>1</v>
      </c>
      <c r="X93" s="634">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P10:P11"/>
    <mergeCell ref="B10:B11"/>
    <mergeCell ref="C10:C11"/>
    <mergeCell ref="D10:D11"/>
    <mergeCell ref="E10:E11"/>
    <mergeCell ref="F10:F11"/>
    <mergeCell ref="E9:O9"/>
    <mergeCell ref="J10:J11"/>
    <mergeCell ref="L10:O10"/>
    <mergeCell ref="H10:H11"/>
    <mergeCell ref="K10:K11"/>
    <mergeCell ref="G10:G11"/>
    <mergeCell ref="I10:I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6" activePane="bottomLeft" state="frozen"/>
      <selection pane="bottomLeft" activeCell="C6" sqref="C6"/>
    </sheetView>
  </sheetViews>
  <sheetFormatPr defaultColWidth="8.85546875" defaultRowHeight="12.75"/>
  <cols>
    <col min="1" max="1" width="8.85546875" style="380"/>
    <col min="2" max="2" width="7.42578125" style="380" customWidth="1"/>
    <col min="3" max="3" width="10.42578125" style="380" customWidth="1"/>
    <col min="4" max="4" width="10.28515625" style="380" customWidth="1"/>
    <col min="5" max="5" width="11.140625" style="380" customWidth="1"/>
    <col min="6" max="7" width="11.42578125" style="380" customWidth="1"/>
    <col min="8" max="8" width="8.7109375" style="380" customWidth="1"/>
    <col min="9" max="9" width="11" style="380" customWidth="1"/>
    <col min="10" max="16384" width="8.85546875" style="380"/>
  </cols>
  <sheetData>
    <row r="2" spans="2:16" ht="18">
      <c r="B2" s="379" t="s">
        <v>241</v>
      </c>
    </row>
    <row r="3" spans="2:16" ht="13.5" thickBot="1">
      <c r="B3" s="416" t="s">
        <v>274</v>
      </c>
    </row>
    <row r="4" spans="2:16" ht="25.5">
      <c r="B4" s="421" t="s">
        <v>1</v>
      </c>
      <c r="C4" s="422" t="s">
        <v>6</v>
      </c>
      <c r="D4" s="423" t="s">
        <v>269</v>
      </c>
      <c r="E4" s="423" t="s">
        <v>267</v>
      </c>
      <c r="F4" s="423" t="s">
        <v>139</v>
      </c>
      <c r="G4" s="423" t="s">
        <v>2</v>
      </c>
      <c r="H4" s="422" t="s">
        <v>16</v>
      </c>
      <c r="I4" s="422" t="s">
        <v>229</v>
      </c>
      <c r="J4" s="422" t="s">
        <v>230</v>
      </c>
      <c r="K4" s="422" t="s">
        <v>231</v>
      </c>
      <c r="L4" s="422" t="s">
        <v>232</v>
      </c>
      <c r="M4" s="424" t="s">
        <v>233</v>
      </c>
      <c r="N4" s="424" t="s">
        <v>146</v>
      </c>
      <c r="O4" s="424" t="s">
        <v>204</v>
      </c>
      <c r="P4" s="424" t="s">
        <v>308</v>
      </c>
    </row>
    <row r="5" spans="2:16" ht="13.5" thickBot="1">
      <c r="B5" s="425"/>
      <c r="C5" s="420" t="s">
        <v>24</v>
      </c>
      <c r="D5" s="420" t="s">
        <v>24</v>
      </c>
      <c r="E5" s="420" t="s">
        <v>24</v>
      </c>
      <c r="F5" s="420" t="s">
        <v>24</v>
      </c>
      <c r="G5" s="420" t="s">
        <v>24</v>
      </c>
      <c r="H5" s="420" t="s">
        <v>24</v>
      </c>
      <c r="I5" s="420" t="s">
        <v>24</v>
      </c>
      <c r="J5" s="420" t="s">
        <v>24</v>
      </c>
      <c r="K5" s="420" t="s">
        <v>24</v>
      </c>
      <c r="L5" s="420" t="s">
        <v>24</v>
      </c>
      <c r="M5" s="420" t="s">
        <v>24</v>
      </c>
      <c r="N5" s="420" t="s">
        <v>24</v>
      </c>
      <c r="O5" s="420" t="s">
        <v>24</v>
      </c>
      <c r="P5" s="420" t="s">
        <v>24</v>
      </c>
    </row>
    <row r="6" spans="2:16">
      <c r="B6" s="386">
        <f>year</f>
        <v>2000</v>
      </c>
      <c r="C6" s="419">
        <v>0.59</v>
      </c>
      <c r="D6" s="419">
        <v>0.44</v>
      </c>
      <c r="E6" s="419">
        <v>0.44</v>
      </c>
      <c r="F6" s="419">
        <v>0.56999999999999995</v>
      </c>
      <c r="G6" s="419">
        <v>0.56999999999999995</v>
      </c>
      <c r="H6" s="419">
        <v>0.73</v>
      </c>
      <c r="I6" s="419">
        <v>0.89</v>
      </c>
      <c r="J6" s="419">
        <v>0.56999999999999995</v>
      </c>
      <c r="K6" s="419">
        <v>0.97</v>
      </c>
      <c r="L6" s="419">
        <v>0.66</v>
      </c>
      <c r="M6" s="419">
        <v>0.95</v>
      </c>
      <c r="N6" s="419">
        <v>0</v>
      </c>
      <c r="O6" s="419">
        <v>0</v>
      </c>
      <c r="P6" s="419">
        <v>0</v>
      </c>
    </row>
    <row r="7" spans="2:16">
      <c r="B7" s="381">
        <f>B6+1</f>
        <v>2001</v>
      </c>
      <c r="C7" s="419">
        <v>0.59</v>
      </c>
      <c r="D7" s="419">
        <v>0.44</v>
      </c>
      <c r="E7" s="419">
        <v>0.44</v>
      </c>
      <c r="F7" s="419">
        <v>0.56999999999999995</v>
      </c>
      <c r="G7" s="419">
        <v>0.56999999999999995</v>
      </c>
      <c r="H7" s="419">
        <v>0.73</v>
      </c>
      <c r="I7" s="419">
        <v>0.89</v>
      </c>
      <c r="J7" s="419">
        <v>0.56999999999999995</v>
      </c>
      <c r="K7" s="419">
        <v>0.97</v>
      </c>
      <c r="L7" s="419">
        <v>0.66</v>
      </c>
      <c r="M7" s="419">
        <v>0.95</v>
      </c>
      <c r="N7" s="419">
        <v>0</v>
      </c>
      <c r="O7" s="419">
        <v>0</v>
      </c>
      <c r="P7" s="419">
        <v>0</v>
      </c>
    </row>
    <row r="8" spans="2:16">
      <c r="B8" s="381">
        <f t="shared" ref="B8:B71" si="0">B7+1</f>
        <v>2002</v>
      </c>
      <c r="C8" s="419">
        <v>0.59</v>
      </c>
      <c r="D8" s="419">
        <v>0.44</v>
      </c>
      <c r="E8" s="419">
        <v>0.44</v>
      </c>
      <c r="F8" s="419">
        <v>0.56999999999999995</v>
      </c>
      <c r="G8" s="419">
        <v>0.56999999999999995</v>
      </c>
      <c r="H8" s="419">
        <v>0.73</v>
      </c>
      <c r="I8" s="419">
        <v>0.89</v>
      </c>
      <c r="J8" s="419">
        <v>0.56999999999999995</v>
      </c>
      <c r="K8" s="419">
        <v>0.97</v>
      </c>
      <c r="L8" s="419">
        <v>0.66</v>
      </c>
      <c r="M8" s="419">
        <v>0.95</v>
      </c>
      <c r="N8" s="419">
        <v>0</v>
      </c>
      <c r="O8" s="419">
        <v>0</v>
      </c>
      <c r="P8" s="419">
        <v>0</v>
      </c>
    </row>
    <row r="9" spans="2:16">
      <c r="B9" s="381">
        <f t="shared" si="0"/>
        <v>2003</v>
      </c>
      <c r="C9" s="419">
        <v>0.59</v>
      </c>
      <c r="D9" s="419">
        <v>0.44</v>
      </c>
      <c r="E9" s="419">
        <v>0.44</v>
      </c>
      <c r="F9" s="419">
        <v>0.56999999999999995</v>
      </c>
      <c r="G9" s="419">
        <v>0.56999999999999995</v>
      </c>
      <c r="H9" s="419">
        <v>0.73</v>
      </c>
      <c r="I9" s="419">
        <v>0.89</v>
      </c>
      <c r="J9" s="419">
        <v>0.56999999999999995</v>
      </c>
      <c r="K9" s="419">
        <v>0.97</v>
      </c>
      <c r="L9" s="419">
        <v>0.66</v>
      </c>
      <c r="M9" s="419">
        <v>0.95</v>
      </c>
      <c r="N9" s="419">
        <v>0</v>
      </c>
      <c r="O9" s="419">
        <v>0</v>
      </c>
      <c r="P9" s="419">
        <v>0</v>
      </c>
    </row>
    <row r="10" spans="2:16">
      <c r="B10" s="381">
        <f t="shared" si="0"/>
        <v>2004</v>
      </c>
      <c r="C10" s="419">
        <v>0.59</v>
      </c>
      <c r="D10" s="419">
        <v>0.44</v>
      </c>
      <c r="E10" s="419">
        <v>0.44</v>
      </c>
      <c r="F10" s="419">
        <v>0.56999999999999995</v>
      </c>
      <c r="G10" s="419">
        <v>0.56999999999999995</v>
      </c>
      <c r="H10" s="419">
        <v>0.73</v>
      </c>
      <c r="I10" s="419">
        <v>0.89</v>
      </c>
      <c r="J10" s="419">
        <v>0.56999999999999995</v>
      </c>
      <c r="K10" s="419">
        <v>0.97</v>
      </c>
      <c r="L10" s="419">
        <v>0.66</v>
      </c>
      <c r="M10" s="419">
        <v>0.95</v>
      </c>
      <c r="N10" s="419">
        <v>0</v>
      </c>
      <c r="O10" s="419">
        <v>0</v>
      </c>
      <c r="P10" s="419">
        <v>0</v>
      </c>
    </row>
    <row r="11" spans="2:16">
      <c r="B11" s="381">
        <f t="shared" si="0"/>
        <v>2005</v>
      </c>
      <c r="C11" s="419">
        <v>0.59</v>
      </c>
      <c r="D11" s="419">
        <v>0.44</v>
      </c>
      <c r="E11" s="419">
        <v>0.44</v>
      </c>
      <c r="F11" s="419">
        <v>0.56999999999999995</v>
      </c>
      <c r="G11" s="419">
        <v>0.56999999999999995</v>
      </c>
      <c r="H11" s="419">
        <v>0.73</v>
      </c>
      <c r="I11" s="419">
        <v>0.89</v>
      </c>
      <c r="J11" s="419">
        <v>0.56999999999999995</v>
      </c>
      <c r="K11" s="419">
        <v>0.97</v>
      </c>
      <c r="L11" s="419">
        <v>0.66</v>
      </c>
      <c r="M11" s="419">
        <v>0.95</v>
      </c>
      <c r="N11" s="419">
        <v>0</v>
      </c>
      <c r="O11" s="419">
        <v>0</v>
      </c>
      <c r="P11" s="419">
        <v>0</v>
      </c>
    </row>
    <row r="12" spans="2:16">
      <c r="B12" s="381">
        <f t="shared" si="0"/>
        <v>2006</v>
      </c>
      <c r="C12" s="419">
        <v>0.59</v>
      </c>
      <c r="D12" s="419">
        <v>0.44</v>
      </c>
      <c r="E12" s="419">
        <v>0.44</v>
      </c>
      <c r="F12" s="419">
        <v>0.56999999999999995</v>
      </c>
      <c r="G12" s="419">
        <v>0.56999999999999995</v>
      </c>
      <c r="H12" s="419">
        <v>0.73</v>
      </c>
      <c r="I12" s="419">
        <v>0.89</v>
      </c>
      <c r="J12" s="419">
        <v>0.56999999999999995</v>
      </c>
      <c r="K12" s="419">
        <v>0.97</v>
      </c>
      <c r="L12" s="419">
        <v>0.66</v>
      </c>
      <c r="M12" s="419">
        <v>0.95</v>
      </c>
      <c r="N12" s="419">
        <v>0</v>
      </c>
      <c r="O12" s="419">
        <v>0</v>
      </c>
      <c r="P12" s="419">
        <v>0</v>
      </c>
    </row>
    <row r="13" spans="2:16">
      <c r="B13" s="381">
        <f t="shared" si="0"/>
        <v>2007</v>
      </c>
      <c r="C13" s="419">
        <v>0.59</v>
      </c>
      <c r="D13" s="419">
        <v>0.44</v>
      </c>
      <c r="E13" s="419">
        <v>0.44</v>
      </c>
      <c r="F13" s="419">
        <v>0.56999999999999995</v>
      </c>
      <c r="G13" s="419">
        <v>0.56999999999999995</v>
      </c>
      <c r="H13" s="419">
        <v>0.73</v>
      </c>
      <c r="I13" s="419">
        <v>0.89</v>
      </c>
      <c r="J13" s="419">
        <v>0.56999999999999995</v>
      </c>
      <c r="K13" s="419">
        <v>0.97</v>
      </c>
      <c r="L13" s="419">
        <v>0.66</v>
      </c>
      <c r="M13" s="419">
        <v>0.95</v>
      </c>
      <c r="N13" s="419">
        <v>0</v>
      </c>
      <c r="O13" s="419">
        <v>0</v>
      </c>
      <c r="P13" s="419">
        <v>0</v>
      </c>
    </row>
    <row r="14" spans="2:16">
      <c r="B14" s="381">
        <f t="shared" si="0"/>
        <v>2008</v>
      </c>
      <c r="C14" s="419">
        <v>0.59</v>
      </c>
      <c r="D14" s="419">
        <v>0.44</v>
      </c>
      <c r="E14" s="419">
        <v>0.44</v>
      </c>
      <c r="F14" s="419">
        <v>0.56999999999999995</v>
      </c>
      <c r="G14" s="419">
        <v>0.56999999999999995</v>
      </c>
      <c r="H14" s="419">
        <v>0.73</v>
      </c>
      <c r="I14" s="419">
        <v>0.89</v>
      </c>
      <c r="J14" s="419">
        <v>0.56999999999999995</v>
      </c>
      <c r="K14" s="419">
        <v>0.97</v>
      </c>
      <c r="L14" s="419">
        <v>0.66</v>
      </c>
      <c r="M14" s="419">
        <v>0.95</v>
      </c>
      <c r="N14" s="419">
        <v>0</v>
      </c>
      <c r="O14" s="419">
        <v>0</v>
      </c>
      <c r="P14" s="419">
        <v>0</v>
      </c>
    </row>
    <row r="15" spans="2:16">
      <c r="B15" s="381">
        <f t="shared" si="0"/>
        <v>2009</v>
      </c>
      <c r="C15" s="419">
        <v>0.59</v>
      </c>
      <c r="D15" s="419">
        <v>0.44</v>
      </c>
      <c r="E15" s="419">
        <v>0.44</v>
      </c>
      <c r="F15" s="419">
        <v>0.56999999999999995</v>
      </c>
      <c r="G15" s="419">
        <v>0.56999999999999995</v>
      </c>
      <c r="H15" s="419">
        <v>0.73</v>
      </c>
      <c r="I15" s="419">
        <v>0.89</v>
      </c>
      <c r="J15" s="419">
        <v>0.56999999999999995</v>
      </c>
      <c r="K15" s="419">
        <v>0.97</v>
      </c>
      <c r="L15" s="419">
        <v>0.66</v>
      </c>
      <c r="M15" s="419">
        <v>0.95</v>
      </c>
      <c r="N15" s="419">
        <v>0</v>
      </c>
      <c r="O15" s="419">
        <v>0</v>
      </c>
      <c r="P15" s="419">
        <v>0</v>
      </c>
    </row>
    <row r="16" spans="2:16">
      <c r="B16" s="381">
        <f t="shared" si="0"/>
        <v>2010</v>
      </c>
      <c r="C16" s="419">
        <v>0.59</v>
      </c>
      <c r="D16" s="419">
        <v>0.44</v>
      </c>
      <c r="E16" s="419">
        <v>0.44</v>
      </c>
      <c r="F16" s="419">
        <v>0.56999999999999995</v>
      </c>
      <c r="G16" s="419">
        <v>0.56999999999999995</v>
      </c>
      <c r="H16" s="419">
        <v>0.73</v>
      </c>
      <c r="I16" s="419">
        <v>0.89</v>
      </c>
      <c r="J16" s="419">
        <v>0.56999999999999995</v>
      </c>
      <c r="K16" s="419">
        <v>0.97</v>
      </c>
      <c r="L16" s="419">
        <v>0.66</v>
      </c>
      <c r="M16" s="419">
        <v>0.95</v>
      </c>
      <c r="N16" s="419">
        <v>0</v>
      </c>
      <c r="O16" s="419">
        <v>0</v>
      </c>
      <c r="P16" s="419">
        <v>0</v>
      </c>
    </row>
    <row r="17" spans="2:20">
      <c r="B17" s="381">
        <f t="shared" si="0"/>
        <v>2011</v>
      </c>
      <c r="C17" s="419">
        <v>0.59</v>
      </c>
      <c r="D17" s="419">
        <v>0.44</v>
      </c>
      <c r="E17" s="419">
        <v>0.44</v>
      </c>
      <c r="F17" s="419">
        <v>0.56999999999999995</v>
      </c>
      <c r="G17" s="419">
        <v>0.56999999999999995</v>
      </c>
      <c r="H17" s="419">
        <v>0.73</v>
      </c>
      <c r="I17" s="419">
        <v>0.89</v>
      </c>
      <c r="J17" s="419">
        <v>0.56999999999999995</v>
      </c>
      <c r="K17" s="419">
        <v>0.97</v>
      </c>
      <c r="L17" s="419">
        <v>0.66</v>
      </c>
      <c r="M17" s="419">
        <v>0.95</v>
      </c>
      <c r="N17" s="419">
        <v>0</v>
      </c>
      <c r="O17" s="419">
        <v>0</v>
      </c>
      <c r="P17" s="419">
        <v>0</v>
      </c>
    </row>
    <row r="18" spans="2:20">
      <c r="B18" s="381">
        <f t="shared" si="0"/>
        <v>2012</v>
      </c>
      <c r="C18" s="419">
        <v>0.59</v>
      </c>
      <c r="D18" s="419">
        <v>0.44</v>
      </c>
      <c r="E18" s="419">
        <v>0.44</v>
      </c>
      <c r="F18" s="419">
        <v>0.56999999999999995</v>
      </c>
      <c r="G18" s="419">
        <v>0.56999999999999995</v>
      </c>
      <c r="H18" s="419">
        <v>0.73</v>
      </c>
      <c r="I18" s="419">
        <v>0.89</v>
      </c>
      <c r="J18" s="419">
        <v>0.56999999999999995</v>
      </c>
      <c r="K18" s="419">
        <v>0.97</v>
      </c>
      <c r="L18" s="419">
        <v>0.66</v>
      </c>
      <c r="M18" s="419">
        <v>0.95</v>
      </c>
      <c r="N18" s="419">
        <v>0</v>
      </c>
      <c r="O18" s="419">
        <v>0</v>
      </c>
      <c r="P18" s="419">
        <v>0</v>
      </c>
      <c r="S18" s="382"/>
      <c r="T18" s="383"/>
    </row>
    <row r="19" spans="2:20">
      <c r="B19" s="381">
        <f t="shared" si="0"/>
        <v>2013</v>
      </c>
      <c r="C19" s="419">
        <v>0.59</v>
      </c>
      <c r="D19" s="419">
        <v>0.44</v>
      </c>
      <c r="E19" s="419">
        <v>0.44</v>
      </c>
      <c r="F19" s="419">
        <v>0.56999999999999995</v>
      </c>
      <c r="G19" s="419">
        <v>0.56999999999999995</v>
      </c>
      <c r="H19" s="419">
        <v>0.73</v>
      </c>
      <c r="I19" s="419">
        <v>0.89</v>
      </c>
      <c r="J19" s="419">
        <v>0.56999999999999995</v>
      </c>
      <c r="K19" s="419">
        <v>0.97</v>
      </c>
      <c r="L19" s="419">
        <v>0.66</v>
      </c>
      <c r="M19" s="419">
        <v>0.95</v>
      </c>
      <c r="N19" s="419">
        <v>0</v>
      </c>
      <c r="O19" s="419">
        <v>0</v>
      </c>
      <c r="P19" s="419">
        <v>0</v>
      </c>
      <c r="S19" s="382"/>
      <c r="T19" s="384"/>
    </row>
    <row r="20" spans="2:20">
      <c r="B20" s="381">
        <f t="shared" si="0"/>
        <v>2014</v>
      </c>
      <c r="C20" s="419">
        <v>0.59</v>
      </c>
      <c r="D20" s="419">
        <v>0.44</v>
      </c>
      <c r="E20" s="419">
        <v>0.44</v>
      </c>
      <c r="F20" s="419">
        <v>0.56999999999999995</v>
      </c>
      <c r="G20" s="419">
        <v>0.56999999999999995</v>
      </c>
      <c r="H20" s="419">
        <v>0.73</v>
      </c>
      <c r="I20" s="419">
        <v>0.89</v>
      </c>
      <c r="J20" s="419">
        <v>0.56999999999999995</v>
      </c>
      <c r="K20" s="419">
        <v>0.97</v>
      </c>
      <c r="L20" s="419">
        <v>0.66</v>
      </c>
      <c r="M20" s="419">
        <v>0.95</v>
      </c>
      <c r="N20" s="419">
        <v>0</v>
      </c>
      <c r="O20" s="419">
        <v>0</v>
      </c>
      <c r="P20" s="419">
        <v>0</v>
      </c>
      <c r="S20" s="382"/>
      <c r="T20" s="384"/>
    </row>
    <row r="21" spans="2:20">
      <c r="B21" s="381">
        <f t="shared" si="0"/>
        <v>2015</v>
      </c>
      <c r="C21" s="419">
        <v>0.59</v>
      </c>
      <c r="D21" s="419">
        <v>0.44</v>
      </c>
      <c r="E21" s="419">
        <v>0.44</v>
      </c>
      <c r="F21" s="419">
        <v>0.56999999999999995</v>
      </c>
      <c r="G21" s="419">
        <v>0.56999999999999995</v>
      </c>
      <c r="H21" s="419">
        <v>0.73</v>
      </c>
      <c r="I21" s="419">
        <v>0.89</v>
      </c>
      <c r="J21" s="419">
        <v>0.56999999999999995</v>
      </c>
      <c r="K21" s="419">
        <v>0.97</v>
      </c>
      <c r="L21" s="419">
        <v>0.66</v>
      </c>
      <c r="M21" s="419">
        <v>0.95</v>
      </c>
      <c r="N21" s="419">
        <v>0</v>
      </c>
      <c r="O21" s="419">
        <v>0</v>
      </c>
      <c r="P21" s="419">
        <v>0</v>
      </c>
      <c r="S21" s="382"/>
      <c r="T21" s="384"/>
    </row>
    <row r="22" spans="2:20">
      <c r="B22" s="381">
        <f t="shared" si="0"/>
        <v>2016</v>
      </c>
      <c r="C22" s="419">
        <v>0.59</v>
      </c>
      <c r="D22" s="419">
        <v>0.44</v>
      </c>
      <c r="E22" s="419">
        <v>0.44</v>
      </c>
      <c r="F22" s="419">
        <v>0.56999999999999995</v>
      </c>
      <c r="G22" s="419">
        <v>0.56999999999999995</v>
      </c>
      <c r="H22" s="419">
        <v>0.73</v>
      </c>
      <c r="I22" s="419">
        <v>0.89</v>
      </c>
      <c r="J22" s="419">
        <v>0.56999999999999995</v>
      </c>
      <c r="K22" s="419">
        <v>0.97</v>
      </c>
      <c r="L22" s="419">
        <v>0.66</v>
      </c>
      <c r="M22" s="419">
        <v>0.95</v>
      </c>
      <c r="N22" s="419">
        <v>0</v>
      </c>
      <c r="O22" s="419">
        <v>0</v>
      </c>
      <c r="P22" s="419">
        <v>0</v>
      </c>
      <c r="S22" s="382"/>
      <c r="T22" s="384"/>
    </row>
    <row r="23" spans="2:20">
      <c r="B23" s="381">
        <f t="shared" si="0"/>
        <v>2017</v>
      </c>
      <c r="C23" s="419">
        <v>0.59</v>
      </c>
      <c r="D23" s="419">
        <v>0.44</v>
      </c>
      <c r="E23" s="419">
        <v>0.44</v>
      </c>
      <c r="F23" s="419">
        <v>0.56999999999999995</v>
      </c>
      <c r="G23" s="419">
        <v>0.56999999999999995</v>
      </c>
      <c r="H23" s="419">
        <v>0.73</v>
      </c>
      <c r="I23" s="419">
        <v>0.89</v>
      </c>
      <c r="J23" s="419">
        <v>0.56999999999999995</v>
      </c>
      <c r="K23" s="419">
        <v>0.97</v>
      </c>
      <c r="L23" s="419">
        <v>0.66</v>
      </c>
      <c r="M23" s="419">
        <v>0.95</v>
      </c>
      <c r="N23" s="419">
        <v>0</v>
      </c>
      <c r="O23" s="419">
        <v>0</v>
      </c>
      <c r="P23" s="419">
        <v>0</v>
      </c>
      <c r="S23" s="382"/>
      <c r="T23" s="384"/>
    </row>
    <row r="24" spans="2:20">
      <c r="B24" s="381">
        <f t="shared" si="0"/>
        <v>2018</v>
      </c>
      <c r="C24" s="419">
        <v>0.59</v>
      </c>
      <c r="D24" s="419">
        <v>0.44</v>
      </c>
      <c r="E24" s="419">
        <v>0.44</v>
      </c>
      <c r="F24" s="419">
        <v>0.56999999999999995</v>
      </c>
      <c r="G24" s="419">
        <v>0.56999999999999995</v>
      </c>
      <c r="H24" s="419">
        <v>0.73</v>
      </c>
      <c r="I24" s="419">
        <v>0.89</v>
      </c>
      <c r="J24" s="419">
        <v>0.56999999999999995</v>
      </c>
      <c r="K24" s="419">
        <v>0.97</v>
      </c>
      <c r="L24" s="419">
        <v>0.66</v>
      </c>
      <c r="M24" s="419">
        <v>0.95</v>
      </c>
      <c r="N24" s="419">
        <v>0</v>
      </c>
      <c r="O24" s="419">
        <v>0</v>
      </c>
      <c r="P24" s="419">
        <v>0</v>
      </c>
      <c r="S24" s="382"/>
      <c r="T24" s="384"/>
    </row>
    <row r="25" spans="2:20">
      <c r="B25" s="381">
        <f t="shared" si="0"/>
        <v>2019</v>
      </c>
      <c r="C25" s="419">
        <v>0.59</v>
      </c>
      <c r="D25" s="419">
        <v>0.44</v>
      </c>
      <c r="E25" s="419">
        <v>0.44</v>
      </c>
      <c r="F25" s="419">
        <v>0.56999999999999995</v>
      </c>
      <c r="G25" s="419">
        <v>0.56999999999999995</v>
      </c>
      <c r="H25" s="419">
        <v>0.73</v>
      </c>
      <c r="I25" s="419">
        <v>0.89</v>
      </c>
      <c r="J25" s="419">
        <v>0.56999999999999995</v>
      </c>
      <c r="K25" s="419">
        <v>0.97</v>
      </c>
      <c r="L25" s="419">
        <v>0.66</v>
      </c>
      <c r="M25" s="419">
        <v>0.95</v>
      </c>
      <c r="N25" s="419">
        <v>0</v>
      </c>
      <c r="O25" s="419">
        <v>0</v>
      </c>
      <c r="P25" s="419">
        <v>0</v>
      </c>
      <c r="S25" s="382"/>
      <c r="T25" s="384"/>
    </row>
    <row r="26" spans="2:20">
      <c r="B26" s="381">
        <f t="shared" si="0"/>
        <v>2020</v>
      </c>
      <c r="C26" s="419">
        <v>0.59</v>
      </c>
      <c r="D26" s="419">
        <v>0.44</v>
      </c>
      <c r="E26" s="419">
        <v>0.44</v>
      </c>
      <c r="F26" s="419">
        <v>0.56999999999999995</v>
      </c>
      <c r="G26" s="419">
        <v>0.56999999999999995</v>
      </c>
      <c r="H26" s="419">
        <v>0.73</v>
      </c>
      <c r="I26" s="419">
        <v>0.89</v>
      </c>
      <c r="J26" s="419">
        <v>0.56999999999999995</v>
      </c>
      <c r="K26" s="419">
        <v>0.97</v>
      </c>
      <c r="L26" s="419">
        <v>0.66</v>
      </c>
      <c r="M26" s="419">
        <v>0.95</v>
      </c>
      <c r="N26" s="419">
        <v>0</v>
      </c>
      <c r="O26" s="419">
        <v>0</v>
      </c>
      <c r="P26" s="419">
        <v>0</v>
      </c>
      <c r="S26" s="382"/>
      <c r="T26" s="384"/>
    </row>
    <row r="27" spans="2:20">
      <c r="B27" s="381">
        <f t="shared" si="0"/>
        <v>2021</v>
      </c>
      <c r="C27" s="419">
        <v>0.59</v>
      </c>
      <c r="D27" s="419">
        <v>0.44</v>
      </c>
      <c r="E27" s="419">
        <v>0.44</v>
      </c>
      <c r="F27" s="419">
        <v>0.56999999999999995</v>
      </c>
      <c r="G27" s="419">
        <v>0.56999999999999995</v>
      </c>
      <c r="H27" s="419">
        <v>0.73</v>
      </c>
      <c r="I27" s="419">
        <v>0.89</v>
      </c>
      <c r="J27" s="419">
        <v>0.56999999999999995</v>
      </c>
      <c r="K27" s="419">
        <v>0.97</v>
      </c>
      <c r="L27" s="419">
        <v>0.66</v>
      </c>
      <c r="M27" s="419">
        <v>0.95</v>
      </c>
      <c r="N27" s="419">
        <v>0</v>
      </c>
      <c r="O27" s="419">
        <v>0</v>
      </c>
      <c r="P27" s="419">
        <v>0</v>
      </c>
      <c r="S27" s="385"/>
      <c r="T27" s="384"/>
    </row>
    <row r="28" spans="2:20">
      <c r="B28" s="381">
        <f t="shared" si="0"/>
        <v>2022</v>
      </c>
      <c r="C28" s="419">
        <v>0.59</v>
      </c>
      <c r="D28" s="419">
        <v>0.44</v>
      </c>
      <c r="E28" s="419">
        <v>0.44</v>
      </c>
      <c r="F28" s="419">
        <v>0.56999999999999995</v>
      </c>
      <c r="G28" s="419">
        <v>0.56999999999999995</v>
      </c>
      <c r="H28" s="419">
        <v>0.73</v>
      </c>
      <c r="I28" s="419">
        <v>0.89</v>
      </c>
      <c r="J28" s="419">
        <v>0.56999999999999995</v>
      </c>
      <c r="K28" s="419">
        <v>0.97</v>
      </c>
      <c r="L28" s="419">
        <v>0.66</v>
      </c>
      <c r="M28" s="419">
        <v>0.95</v>
      </c>
      <c r="N28" s="419">
        <v>0</v>
      </c>
      <c r="O28" s="419">
        <v>0</v>
      </c>
      <c r="P28" s="419">
        <v>0</v>
      </c>
    </row>
    <row r="29" spans="2:20">
      <c r="B29" s="381">
        <f t="shared" si="0"/>
        <v>2023</v>
      </c>
      <c r="C29" s="419">
        <v>0.59</v>
      </c>
      <c r="D29" s="419">
        <v>0.44</v>
      </c>
      <c r="E29" s="419">
        <v>0.44</v>
      </c>
      <c r="F29" s="419">
        <v>0.56999999999999995</v>
      </c>
      <c r="G29" s="419">
        <v>0.56999999999999995</v>
      </c>
      <c r="H29" s="419">
        <v>0.73</v>
      </c>
      <c r="I29" s="419">
        <v>0.89</v>
      </c>
      <c r="J29" s="419">
        <v>0.56999999999999995</v>
      </c>
      <c r="K29" s="419">
        <v>0.97</v>
      </c>
      <c r="L29" s="419">
        <v>0.66</v>
      </c>
      <c r="M29" s="419">
        <v>0.95</v>
      </c>
      <c r="N29" s="419">
        <v>0</v>
      </c>
      <c r="O29" s="419">
        <v>0</v>
      </c>
      <c r="P29" s="419">
        <v>0</v>
      </c>
    </row>
    <row r="30" spans="2:20">
      <c r="B30" s="381">
        <f t="shared" si="0"/>
        <v>2024</v>
      </c>
      <c r="C30" s="419">
        <v>0.59</v>
      </c>
      <c r="D30" s="419">
        <v>0.44</v>
      </c>
      <c r="E30" s="419">
        <v>0.44</v>
      </c>
      <c r="F30" s="419">
        <v>0.56999999999999995</v>
      </c>
      <c r="G30" s="419">
        <v>0.56999999999999995</v>
      </c>
      <c r="H30" s="419">
        <v>0.73</v>
      </c>
      <c r="I30" s="419">
        <v>0.89</v>
      </c>
      <c r="J30" s="419">
        <v>0.56999999999999995</v>
      </c>
      <c r="K30" s="419">
        <v>0.97</v>
      </c>
      <c r="L30" s="419">
        <v>0.66</v>
      </c>
      <c r="M30" s="419">
        <v>0.95</v>
      </c>
      <c r="N30" s="419">
        <v>0</v>
      </c>
      <c r="O30" s="419">
        <v>0</v>
      </c>
      <c r="P30" s="419">
        <v>0</v>
      </c>
    </row>
    <row r="31" spans="2:20">
      <c r="B31" s="381">
        <f t="shared" si="0"/>
        <v>2025</v>
      </c>
      <c r="C31" s="419">
        <v>0.59</v>
      </c>
      <c r="D31" s="419">
        <v>0.44</v>
      </c>
      <c r="E31" s="419">
        <v>0.44</v>
      </c>
      <c r="F31" s="419">
        <v>0.56999999999999995</v>
      </c>
      <c r="G31" s="419">
        <v>0.56999999999999995</v>
      </c>
      <c r="H31" s="419">
        <v>0.73</v>
      </c>
      <c r="I31" s="419">
        <v>0.89</v>
      </c>
      <c r="J31" s="419">
        <v>0.56999999999999995</v>
      </c>
      <c r="K31" s="419">
        <v>0.97</v>
      </c>
      <c r="L31" s="419">
        <v>0.66</v>
      </c>
      <c r="M31" s="419">
        <v>0.95</v>
      </c>
      <c r="N31" s="419">
        <v>0</v>
      </c>
      <c r="O31" s="419">
        <v>0</v>
      </c>
      <c r="P31" s="419">
        <v>0</v>
      </c>
    </row>
    <row r="32" spans="2:20">
      <c r="B32" s="381">
        <f t="shared" si="0"/>
        <v>2026</v>
      </c>
      <c r="C32" s="419">
        <v>0.59</v>
      </c>
      <c r="D32" s="419">
        <v>0.44</v>
      </c>
      <c r="E32" s="419">
        <v>0.44</v>
      </c>
      <c r="F32" s="419">
        <v>0.56999999999999995</v>
      </c>
      <c r="G32" s="419">
        <v>0.56999999999999995</v>
      </c>
      <c r="H32" s="419">
        <v>0.73</v>
      </c>
      <c r="I32" s="419">
        <v>0.89</v>
      </c>
      <c r="J32" s="419">
        <v>0.56999999999999995</v>
      </c>
      <c r="K32" s="419">
        <v>0.97</v>
      </c>
      <c r="L32" s="419">
        <v>0.66</v>
      </c>
      <c r="M32" s="419">
        <v>0.95</v>
      </c>
      <c r="N32" s="419">
        <v>0</v>
      </c>
      <c r="O32" s="419">
        <v>0</v>
      </c>
      <c r="P32" s="419">
        <v>0</v>
      </c>
    </row>
    <row r="33" spans="2:16">
      <c r="B33" s="381">
        <f t="shared" si="0"/>
        <v>2027</v>
      </c>
      <c r="C33" s="419">
        <v>0.59</v>
      </c>
      <c r="D33" s="419">
        <v>0.44</v>
      </c>
      <c r="E33" s="419">
        <v>0.44</v>
      </c>
      <c r="F33" s="419">
        <v>0.56999999999999995</v>
      </c>
      <c r="G33" s="419">
        <v>0.56999999999999995</v>
      </c>
      <c r="H33" s="419">
        <v>0.73</v>
      </c>
      <c r="I33" s="419">
        <v>0.89</v>
      </c>
      <c r="J33" s="419">
        <v>0.56999999999999995</v>
      </c>
      <c r="K33" s="419">
        <v>0.97</v>
      </c>
      <c r="L33" s="419">
        <v>0.66</v>
      </c>
      <c r="M33" s="419">
        <v>0.95</v>
      </c>
      <c r="N33" s="419">
        <v>0</v>
      </c>
      <c r="O33" s="419">
        <v>0</v>
      </c>
      <c r="P33" s="419">
        <v>0</v>
      </c>
    </row>
    <row r="34" spans="2:16">
      <c r="B34" s="381">
        <f t="shared" si="0"/>
        <v>2028</v>
      </c>
      <c r="C34" s="419">
        <v>0.59</v>
      </c>
      <c r="D34" s="419">
        <v>0.44</v>
      </c>
      <c r="E34" s="419">
        <v>0.44</v>
      </c>
      <c r="F34" s="419">
        <v>0.56999999999999995</v>
      </c>
      <c r="G34" s="419">
        <v>0.56999999999999995</v>
      </c>
      <c r="H34" s="419">
        <v>0.73</v>
      </c>
      <c r="I34" s="419">
        <v>0.89</v>
      </c>
      <c r="J34" s="419">
        <v>0.56999999999999995</v>
      </c>
      <c r="K34" s="419">
        <v>0.97</v>
      </c>
      <c r="L34" s="419">
        <v>0.66</v>
      </c>
      <c r="M34" s="419">
        <v>0.95</v>
      </c>
      <c r="N34" s="419">
        <v>0</v>
      </c>
      <c r="O34" s="419">
        <v>0</v>
      </c>
      <c r="P34" s="419">
        <v>0</v>
      </c>
    </row>
    <row r="35" spans="2:16">
      <c r="B35" s="381">
        <f t="shared" si="0"/>
        <v>2029</v>
      </c>
      <c r="C35" s="419">
        <v>0.59</v>
      </c>
      <c r="D35" s="419">
        <v>0.44</v>
      </c>
      <c r="E35" s="419">
        <v>0.44</v>
      </c>
      <c r="F35" s="419">
        <v>0.56999999999999995</v>
      </c>
      <c r="G35" s="419">
        <v>0.56999999999999995</v>
      </c>
      <c r="H35" s="419">
        <v>0.73</v>
      </c>
      <c r="I35" s="419">
        <v>0.89</v>
      </c>
      <c r="J35" s="419">
        <v>0.56999999999999995</v>
      </c>
      <c r="K35" s="419">
        <v>0.97</v>
      </c>
      <c r="L35" s="419">
        <v>0.66</v>
      </c>
      <c r="M35" s="419">
        <v>0.95</v>
      </c>
      <c r="N35" s="419">
        <v>0</v>
      </c>
      <c r="O35" s="419">
        <v>0</v>
      </c>
      <c r="P35" s="419">
        <v>0</v>
      </c>
    </row>
    <row r="36" spans="2:16">
      <c r="B36" s="381">
        <f t="shared" si="0"/>
        <v>2030</v>
      </c>
      <c r="C36" s="419">
        <v>0.59</v>
      </c>
      <c r="D36" s="419">
        <v>0.44</v>
      </c>
      <c r="E36" s="419">
        <v>0.44</v>
      </c>
      <c r="F36" s="419">
        <v>0.56999999999999995</v>
      </c>
      <c r="G36" s="419">
        <v>0.56999999999999995</v>
      </c>
      <c r="H36" s="419">
        <v>0.73</v>
      </c>
      <c r="I36" s="419">
        <v>0.89</v>
      </c>
      <c r="J36" s="419">
        <v>0.56999999999999995</v>
      </c>
      <c r="K36" s="419">
        <v>0.97</v>
      </c>
      <c r="L36" s="419">
        <v>0.66</v>
      </c>
      <c r="M36" s="419">
        <v>0.95</v>
      </c>
      <c r="N36" s="419">
        <v>0</v>
      </c>
      <c r="O36" s="419">
        <v>0</v>
      </c>
      <c r="P36" s="419">
        <v>0</v>
      </c>
    </row>
    <row r="37" spans="2:16">
      <c r="B37" s="381">
        <f t="shared" si="0"/>
        <v>2031</v>
      </c>
      <c r="C37" s="419">
        <v>0.59</v>
      </c>
      <c r="D37" s="419">
        <v>0.44</v>
      </c>
      <c r="E37" s="419">
        <v>0.44</v>
      </c>
      <c r="F37" s="419">
        <v>0.56999999999999995</v>
      </c>
      <c r="G37" s="419">
        <v>0.56999999999999995</v>
      </c>
      <c r="H37" s="419">
        <v>0.73</v>
      </c>
      <c r="I37" s="419">
        <v>0.89</v>
      </c>
      <c r="J37" s="419">
        <v>0.56999999999999995</v>
      </c>
      <c r="K37" s="419">
        <v>0.97</v>
      </c>
      <c r="L37" s="419">
        <v>0.66</v>
      </c>
      <c r="M37" s="419">
        <v>0.95</v>
      </c>
      <c r="N37" s="419">
        <v>0</v>
      </c>
      <c r="O37" s="419">
        <v>0</v>
      </c>
      <c r="P37" s="419">
        <v>0</v>
      </c>
    </row>
    <row r="38" spans="2:16">
      <c r="B38" s="381">
        <f t="shared" si="0"/>
        <v>2032</v>
      </c>
      <c r="C38" s="419">
        <v>0.59</v>
      </c>
      <c r="D38" s="419">
        <v>0.44</v>
      </c>
      <c r="E38" s="419">
        <v>0.44</v>
      </c>
      <c r="F38" s="419">
        <v>0.56999999999999995</v>
      </c>
      <c r="G38" s="419">
        <v>0.56999999999999995</v>
      </c>
      <c r="H38" s="419">
        <v>0.73</v>
      </c>
      <c r="I38" s="419">
        <v>0.89</v>
      </c>
      <c r="J38" s="419">
        <v>0.56999999999999995</v>
      </c>
      <c r="K38" s="419">
        <v>0.97</v>
      </c>
      <c r="L38" s="419">
        <v>0.66</v>
      </c>
      <c r="M38" s="419">
        <v>0.95</v>
      </c>
      <c r="N38" s="419">
        <v>0</v>
      </c>
      <c r="O38" s="419">
        <v>0</v>
      </c>
      <c r="P38" s="419">
        <v>0</v>
      </c>
    </row>
    <row r="39" spans="2:16">
      <c r="B39" s="381">
        <f t="shared" si="0"/>
        <v>2033</v>
      </c>
      <c r="C39" s="419">
        <v>0.59</v>
      </c>
      <c r="D39" s="419">
        <v>0.44</v>
      </c>
      <c r="E39" s="419">
        <v>0.44</v>
      </c>
      <c r="F39" s="419">
        <v>0.56999999999999995</v>
      </c>
      <c r="G39" s="419">
        <v>0.56999999999999995</v>
      </c>
      <c r="H39" s="419">
        <v>0.73</v>
      </c>
      <c r="I39" s="419">
        <v>0.89</v>
      </c>
      <c r="J39" s="419">
        <v>0.56999999999999995</v>
      </c>
      <c r="K39" s="419">
        <v>0.97</v>
      </c>
      <c r="L39" s="419">
        <v>0.66</v>
      </c>
      <c r="M39" s="419">
        <v>0.95</v>
      </c>
      <c r="N39" s="419">
        <v>0</v>
      </c>
      <c r="O39" s="419">
        <v>0</v>
      </c>
      <c r="P39" s="419">
        <v>0</v>
      </c>
    </row>
    <row r="40" spans="2:16">
      <c r="B40" s="381">
        <f t="shared" si="0"/>
        <v>2034</v>
      </c>
      <c r="C40" s="419">
        <v>0.59</v>
      </c>
      <c r="D40" s="419">
        <v>0.44</v>
      </c>
      <c r="E40" s="419">
        <v>0.44</v>
      </c>
      <c r="F40" s="419">
        <v>0.56999999999999995</v>
      </c>
      <c r="G40" s="419">
        <v>0.56999999999999995</v>
      </c>
      <c r="H40" s="419">
        <v>0.73</v>
      </c>
      <c r="I40" s="419">
        <v>0.89</v>
      </c>
      <c r="J40" s="419">
        <v>0.56999999999999995</v>
      </c>
      <c r="K40" s="419">
        <v>0.97</v>
      </c>
      <c r="L40" s="419">
        <v>0.66</v>
      </c>
      <c r="M40" s="419">
        <v>0.95</v>
      </c>
      <c r="N40" s="419">
        <v>0</v>
      </c>
      <c r="O40" s="419">
        <v>0</v>
      </c>
      <c r="P40" s="419">
        <v>0</v>
      </c>
    </row>
    <row r="41" spans="2:16">
      <c r="B41" s="381">
        <f t="shared" si="0"/>
        <v>2035</v>
      </c>
      <c r="C41" s="419">
        <v>0.59</v>
      </c>
      <c r="D41" s="419">
        <v>0.44</v>
      </c>
      <c r="E41" s="419">
        <v>0.44</v>
      </c>
      <c r="F41" s="419">
        <v>0.56999999999999995</v>
      </c>
      <c r="G41" s="419">
        <v>0.56999999999999995</v>
      </c>
      <c r="H41" s="419">
        <v>0.73</v>
      </c>
      <c r="I41" s="419">
        <v>0.89</v>
      </c>
      <c r="J41" s="419">
        <v>0.56999999999999995</v>
      </c>
      <c r="K41" s="419">
        <v>0.97</v>
      </c>
      <c r="L41" s="419">
        <v>0.66</v>
      </c>
      <c r="M41" s="419">
        <v>0.95</v>
      </c>
      <c r="N41" s="419">
        <v>0</v>
      </c>
      <c r="O41" s="419">
        <v>0</v>
      </c>
      <c r="P41" s="419">
        <v>0</v>
      </c>
    </row>
    <row r="42" spans="2:16">
      <c r="B42" s="381">
        <f t="shared" si="0"/>
        <v>2036</v>
      </c>
      <c r="C42" s="419">
        <v>0.59</v>
      </c>
      <c r="D42" s="419">
        <v>0.44</v>
      </c>
      <c r="E42" s="419">
        <v>0.44</v>
      </c>
      <c r="F42" s="419">
        <v>0.56999999999999995</v>
      </c>
      <c r="G42" s="419">
        <v>0.56999999999999995</v>
      </c>
      <c r="H42" s="419">
        <v>0.73</v>
      </c>
      <c r="I42" s="419">
        <v>0.89</v>
      </c>
      <c r="J42" s="419">
        <v>0.56999999999999995</v>
      </c>
      <c r="K42" s="419">
        <v>0.97</v>
      </c>
      <c r="L42" s="419">
        <v>0.66</v>
      </c>
      <c r="M42" s="419">
        <v>0.95</v>
      </c>
      <c r="N42" s="419">
        <v>0</v>
      </c>
      <c r="O42" s="419">
        <v>0</v>
      </c>
      <c r="P42" s="419">
        <v>0</v>
      </c>
    </row>
    <row r="43" spans="2:16">
      <c r="B43" s="381">
        <f t="shared" si="0"/>
        <v>2037</v>
      </c>
      <c r="C43" s="419">
        <v>0.59</v>
      </c>
      <c r="D43" s="419">
        <v>0.44</v>
      </c>
      <c r="E43" s="419">
        <v>0.44</v>
      </c>
      <c r="F43" s="419">
        <v>0.56999999999999995</v>
      </c>
      <c r="G43" s="419">
        <v>0.56999999999999995</v>
      </c>
      <c r="H43" s="419">
        <v>0.73</v>
      </c>
      <c r="I43" s="419">
        <v>0.89</v>
      </c>
      <c r="J43" s="419">
        <v>0.56999999999999995</v>
      </c>
      <c r="K43" s="419">
        <v>0.97</v>
      </c>
      <c r="L43" s="419">
        <v>0.66</v>
      </c>
      <c r="M43" s="419">
        <v>0.95</v>
      </c>
      <c r="N43" s="419">
        <v>0</v>
      </c>
      <c r="O43" s="419">
        <v>0</v>
      </c>
      <c r="P43" s="419">
        <v>0</v>
      </c>
    </row>
    <row r="44" spans="2:16">
      <c r="B44" s="381">
        <f t="shared" si="0"/>
        <v>2038</v>
      </c>
      <c r="C44" s="419">
        <v>0.59</v>
      </c>
      <c r="D44" s="419">
        <v>0.44</v>
      </c>
      <c r="E44" s="419">
        <v>0.44</v>
      </c>
      <c r="F44" s="419">
        <v>0.56999999999999995</v>
      </c>
      <c r="G44" s="419">
        <v>0.56999999999999995</v>
      </c>
      <c r="H44" s="419">
        <v>0.73</v>
      </c>
      <c r="I44" s="419">
        <v>0.89</v>
      </c>
      <c r="J44" s="419">
        <v>0.56999999999999995</v>
      </c>
      <c r="K44" s="419">
        <v>0.97</v>
      </c>
      <c r="L44" s="419">
        <v>0.66</v>
      </c>
      <c r="M44" s="419">
        <v>0.95</v>
      </c>
      <c r="N44" s="419">
        <v>0</v>
      </c>
      <c r="O44" s="419">
        <v>0</v>
      </c>
      <c r="P44" s="419">
        <v>0</v>
      </c>
    </row>
    <row r="45" spans="2:16">
      <c r="B45" s="381">
        <f t="shared" si="0"/>
        <v>2039</v>
      </c>
      <c r="C45" s="419">
        <v>0.59</v>
      </c>
      <c r="D45" s="419">
        <v>0.44</v>
      </c>
      <c r="E45" s="419">
        <v>0.44</v>
      </c>
      <c r="F45" s="419">
        <v>0.56999999999999995</v>
      </c>
      <c r="G45" s="419">
        <v>0.56999999999999995</v>
      </c>
      <c r="H45" s="419">
        <v>0.73</v>
      </c>
      <c r="I45" s="419">
        <v>0.89</v>
      </c>
      <c r="J45" s="419">
        <v>0.56999999999999995</v>
      </c>
      <c r="K45" s="419">
        <v>0.97</v>
      </c>
      <c r="L45" s="419">
        <v>0.66</v>
      </c>
      <c r="M45" s="419">
        <v>0.95</v>
      </c>
      <c r="N45" s="419">
        <v>0</v>
      </c>
      <c r="O45" s="419">
        <v>0</v>
      </c>
      <c r="P45" s="419">
        <v>0</v>
      </c>
    </row>
    <row r="46" spans="2:16">
      <c r="B46" s="381">
        <f t="shared" si="0"/>
        <v>2040</v>
      </c>
      <c r="C46" s="419">
        <v>0.59</v>
      </c>
      <c r="D46" s="419">
        <v>0.44</v>
      </c>
      <c r="E46" s="419">
        <v>0.44</v>
      </c>
      <c r="F46" s="419">
        <v>0.56999999999999995</v>
      </c>
      <c r="G46" s="419">
        <v>0.56999999999999995</v>
      </c>
      <c r="H46" s="419">
        <v>0.73</v>
      </c>
      <c r="I46" s="419">
        <v>0.89</v>
      </c>
      <c r="J46" s="419">
        <v>0.56999999999999995</v>
      </c>
      <c r="K46" s="419">
        <v>0.97</v>
      </c>
      <c r="L46" s="419">
        <v>0.66</v>
      </c>
      <c r="M46" s="419">
        <v>0.95</v>
      </c>
      <c r="N46" s="419">
        <v>0</v>
      </c>
      <c r="O46" s="419">
        <v>0</v>
      </c>
      <c r="P46" s="419">
        <v>0</v>
      </c>
    </row>
    <row r="47" spans="2:16">
      <c r="B47" s="381">
        <f t="shared" si="0"/>
        <v>2041</v>
      </c>
      <c r="C47" s="419">
        <v>0.59</v>
      </c>
      <c r="D47" s="419">
        <v>0.44</v>
      </c>
      <c r="E47" s="419">
        <v>0.44</v>
      </c>
      <c r="F47" s="419">
        <v>0.56999999999999995</v>
      </c>
      <c r="G47" s="419">
        <v>0.56999999999999995</v>
      </c>
      <c r="H47" s="419">
        <v>0.73</v>
      </c>
      <c r="I47" s="419">
        <v>0.89</v>
      </c>
      <c r="J47" s="419">
        <v>0.56999999999999995</v>
      </c>
      <c r="K47" s="419">
        <v>0.97</v>
      </c>
      <c r="L47" s="419">
        <v>0.66</v>
      </c>
      <c r="M47" s="419">
        <v>0.95</v>
      </c>
      <c r="N47" s="419">
        <v>0</v>
      </c>
      <c r="O47" s="419">
        <v>0</v>
      </c>
      <c r="P47" s="419">
        <v>0</v>
      </c>
    </row>
    <row r="48" spans="2:16">
      <c r="B48" s="381">
        <f t="shared" si="0"/>
        <v>2042</v>
      </c>
      <c r="C48" s="419">
        <v>0.59</v>
      </c>
      <c r="D48" s="419">
        <v>0.44</v>
      </c>
      <c r="E48" s="419">
        <v>0.44</v>
      </c>
      <c r="F48" s="419">
        <v>0.56999999999999995</v>
      </c>
      <c r="G48" s="419">
        <v>0.56999999999999995</v>
      </c>
      <c r="H48" s="419">
        <v>0.73</v>
      </c>
      <c r="I48" s="419">
        <v>0.89</v>
      </c>
      <c r="J48" s="419">
        <v>0.56999999999999995</v>
      </c>
      <c r="K48" s="419">
        <v>0.97</v>
      </c>
      <c r="L48" s="419">
        <v>0.66</v>
      </c>
      <c r="M48" s="419">
        <v>0.95</v>
      </c>
      <c r="N48" s="419">
        <v>0</v>
      </c>
      <c r="O48" s="419">
        <v>0</v>
      </c>
      <c r="P48" s="419">
        <v>0</v>
      </c>
    </row>
    <row r="49" spans="2:16">
      <c r="B49" s="381">
        <f t="shared" si="0"/>
        <v>2043</v>
      </c>
      <c r="C49" s="419">
        <v>0.59</v>
      </c>
      <c r="D49" s="419">
        <v>0.44</v>
      </c>
      <c r="E49" s="419">
        <v>0.44</v>
      </c>
      <c r="F49" s="419">
        <v>0.56999999999999995</v>
      </c>
      <c r="G49" s="419">
        <v>0.56999999999999995</v>
      </c>
      <c r="H49" s="419">
        <v>0.73</v>
      </c>
      <c r="I49" s="419">
        <v>0.89</v>
      </c>
      <c r="J49" s="419">
        <v>0.56999999999999995</v>
      </c>
      <c r="K49" s="419">
        <v>0.97</v>
      </c>
      <c r="L49" s="419">
        <v>0.66</v>
      </c>
      <c r="M49" s="419">
        <v>0.95</v>
      </c>
      <c r="N49" s="419">
        <v>0</v>
      </c>
      <c r="O49" s="419">
        <v>0</v>
      </c>
      <c r="P49" s="419">
        <v>0</v>
      </c>
    </row>
    <row r="50" spans="2:16">
      <c r="B50" s="381">
        <f t="shared" si="0"/>
        <v>2044</v>
      </c>
      <c r="C50" s="419">
        <v>0.59</v>
      </c>
      <c r="D50" s="419">
        <v>0.44</v>
      </c>
      <c r="E50" s="419">
        <v>0.44</v>
      </c>
      <c r="F50" s="419">
        <v>0.56999999999999995</v>
      </c>
      <c r="G50" s="419">
        <v>0.56999999999999995</v>
      </c>
      <c r="H50" s="419">
        <v>0.73</v>
      </c>
      <c r="I50" s="419">
        <v>0.89</v>
      </c>
      <c r="J50" s="419">
        <v>0.56999999999999995</v>
      </c>
      <c r="K50" s="419">
        <v>0.97</v>
      </c>
      <c r="L50" s="419">
        <v>0.66</v>
      </c>
      <c r="M50" s="419">
        <v>0.95</v>
      </c>
      <c r="N50" s="419">
        <v>0</v>
      </c>
      <c r="O50" s="419">
        <v>0</v>
      </c>
      <c r="P50" s="419">
        <v>0</v>
      </c>
    </row>
    <row r="51" spans="2:16">
      <c r="B51" s="381">
        <f t="shared" si="0"/>
        <v>2045</v>
      </c>
      <c r="C51" s="419">
        <v>0.59</v>
      </c>
      <c r="D51" s="419">
        <v>0.44</v>
      </c>
      <c r="E51" s="419">
        <v>0.44</v>
      </c>
      <c r="F51" s="419">
        <v>0.56999999999999995</v>
      </c>
      <c r="G51" s="419">
        <v>0.56999999999999995</v>
      </c>
      <c r="H51" s="419">
        <v>0.73</v>
      </c>
      <c r="I51" s="419">
        <v>0.89</v>
      </c>
      <c r="J51" s="419">
        <v>0.56999999999999995</v>
      </c>
      <c r="K51" s="419">
        <v>0.97</v>
      </c>
      <c r="L51" s="419">
        <v>0.66</v>
      </c>
      <c r="M51" s="419">
        <v>0.95</v>
      </c>
      <c r="N51" s="419">
        <v>0</v>
      </c>
      <c r="O51" s="419">
        <v>0</v>
      </c>
      <c r="P51" s="419">
        <v>0</v>
      </c>
    </row>
    <row r="52" spans="2:16">
      <c r="B52" s="381">
        <f t="shared" si="0"/>
        <v>2046</v>
      </c>
      <c r="C52" s="419">
        <v>0.59</v>
      </c>
      <c r="D52" s="419">
        <v>0.44</v>
      </c>
      <c r="E52" s="419">
        <v>0.44</v>
      </c>
      <c r="F52" s="419">
        <v>0.56999999999999995</v>
      </c>
      <c r="G52" s="419">
        <v>0.56999999999999995</v>
      </c>
      <c r="H52" s="419">
        <v>0.73</v>
      </c>
      <c r="I52" s="419">
        <v>0.89</v>
      </c>
      <c r="J52" s="419">
        <v>0.56999999999999995</v>
      </c>
      <c r="K52" s="419">
        <v>0.97</v>
      </c>
      <c r="L52" s="419">
        <v>0.66</v>
      </c>
      <c r="M52" s="419">
        <v>0.95</v>
      </c>
      <c r="N52" s="419">
        <v>0</v>
      </c>
      <c r="O52" s="419">
        <v>0</v>
      </c>
      <c r="P52" s="419">
        <v>0</v>
      </c>
    </row>
    <row r="53" spans="2:16">
      <c r="B53" s="381">
        <f t="shared" si="0"/>
        <v>2047</v>
      </c>
      <c r="C53" s="419">
        <v>0.59</v>
      </c>
      <c r="D53" s="419">
        <v>0.44</v>
      </c>
      <c r="E53" s="419">
        <v>0.44</v>
      </c>
      <c r="F53" s="419">
        <v>0.56999999999999995</v>
      </c>
      <c r="G53" s="419">
        <v>0.56999999999999995</v>
      </c>
      <c r="H53" s="419">
        <v>0.73</v>
      </c>
      <c r="I53" s="419">
        <v>0.89</v>
      </c>
      <c r="J53" s="419">
        <v>0.56999999999999995</v>
      </c>
      <c r="K53" s="419">
        <v>0.97</v>
      </c>
      <c r="L53" s="419">
        <v>0.66</v>
      </c>
      <c r="M53" s="419">
        <v>0.95</v>
      </c>
      <c r="N53" s="419">
        <v>0</v>
      </c>
      <c r="O53" s="419">
        <v>0</v>
      </c>
      <c r="P53" s="419">
        <v>0</v>
      </c>
    </row>
    <row r="54" spans="2:16">
      <c r="B54" s="381">
        <f t="shared" si="0"/>
        <v>2048</v>
      </c>
      <c r="C54" s="419">
        <v>0.59</v>
      </c>
      <c r="D54" s="419">
        <v>0.44</v>
      </c>
      <c r="E54" s="419">
        <v>0.44</v>
      </c>
      <c r="F54" s="419">
        <v>0.56999999999999995</v>
      </c>
      <c r="G54" s="419">
        <v>0.56999999999999995</v>
      </c>
      <c r="H54" s="419">
        <v>0.73</v>
      </c>
      <c r="I54" s="419">
        <v>0.89</v>
      </c>
      <c r="J54" s="419">
        <v>0.56999999999999995</v>
      </c>
      <c r="K54" s="419">
        <v>0.97</v>
      </c>
      <c r="L54" s="419">
        <v>0.66</v>
      </c>
      <c r="M54" s="419">
        <v>0.95</v>
      </c>
      <c r="N54" s="419">
        <v>0</v>
      </c>
      <c r="O54" s="419">
        <v>0</v>
      </c>
      <c r="P54" s="419">
        <v>0</v>
      </c>
    </row>
    <row r="55" spans="2:16">
      <c r="B55" s="381">
        <f t="shared" si="0"/>
        <v>2049</v>
      </c>
      <c r="C55" s="419">
        <v>0.59</v>
      </c>
      <c r="D55" s="419">
        <v>0.44</v>
      </c>
      <c r="E55" s="419">
        <v>0.44</v>
      </c>
      <c r="F55" s="419">
        <v>0.56999999999999995</v>
      </c>
      <c r="G55" s="419">
        <v>0.56999999999999995</v>
      </c>
      <c r="H55" s="419">
        <v>0.73</v>
      </c>
      <c r="I55" s="419">
        <v>0.89</v>
      </c>
      <c r="J55" s="419">
        <v>0.56999999999999995</v>
      </c>
      <c r="K55" s="419">
        <v>0.97</v>
      </c>
      <c r="L55" s="419">
        <v>0.66</v>
      </c>
      <c r="M55" s="419">
        <v>0.95</v>
      </c>
      <c r="N55" s="419">
        <v>0</v>
      </c>
      <c r="O55" s="419">
        <v>0</v>
      </c>
      <c r="P55" s="419">
        <v>0</v>
      </c>
    </row>
    <row r="56" spans="2:16">
      <c r="B56" s="381">
        <f t="shared" si="0"/>
        <v>2050</v>
      </c>
      <c r="C56" s="419">
        <v>0.59</v>
      </c>
      <c r="D56" s="419">
        <v>0.44</v>
      </c>
      <c r="E56" s="419">
        <v>0.44</v>
      </c>
      <c r="F56" s="419">
        <v>0.56999999999999995</v>
      </c>
      <c r="G56" s="419">
        <v>0.56999999999999995</v>
      </c>
      <c r="H56" s="419">
        <v>0.73</v>
      </c>
      <c r="I56" s="419">
        <v>0.89</v>
      </c>
      <c r="J56" s="419">
        <v>0.56999999999999995</v>
      </c>
      <c r="K56" s="419">
        <v>0.97</v>
      </c>
      <c r="L56" s="419">
        <v>0.66</v>
      </c>
      <c r="M56" s="419">
        <v>0.95</v>
      </c>
      <c r="N56" s="419">
        <v>0</v>
      </c>
      <c r="O56" s="419">
        <v>0</v>
      </c>
      <c r="P56" s="419">
        <v>0</v>
      </c>
    </row>
    <row r="57" spans="2:16">
      <c r="B57" s="381">
        <f t="shared" si="0"/>
        <v>2051</v>
      </c>
      <c r="C57" s="419">
        <v>0.59</v>
      </c>
      <c r="D57" s="419">
        <v>0.44</v>
      </c>
      <c r="E57" s="419">
        <v>0.44</v>
      </c>
      <c r="F57" s="419">
        <v>0.56999999999999995</v>
      </c>
      <c r="G57" s="419">
        <v>0.56999999999999995</v>
      </c>
      <c r="H57" s="419">
        <v>0.73</v>
      </c>
      <c r="I57" s="419">
        <v>0.89</v>
      </c>
      <c r="J57" s="419">
        <v>0.56999999999999995</v>
      </c>
      <c r="K57" s="419">
        <v>0.97</v>
      </c>
      <c r="L57" s="419">
        <v>0.66</v>
      </c>
      <c r="M57" s="419">
        <v>0.95</v>
      </c>
      <c r="N57" s="419">
        <v>0</v>
      </c>
      <c r="O57" s="419">
        <v>0</v>
      </c>
      <c r="P57" s="419">
        <v>0</v>
      </c>
    </row>
    <row r="58" spans="2:16">
      <c r="B58" s="381">
        <f t="shared" si="0"/>
        <v>2052</v>
      </c>
      <c r="C58" s="419">
        <v>0.59</v>
      </c>
      <c r="D58" s="419">
        <v>0.44</v>
      </c>
      <c r="E58" s="419">
        <v>0.44</v>
      </c>
      <c r="F58" s="419">
        <v>0.56999999999999995</v>
      </c>
      <c r="G58" s="419">
        <v>0.56999999999999995</v>
      </c>
      <c r="H58" s="419">
        <v>0.73</v>
      </c>
      <c r="I58" s="419">
        <v>0.89</v>
      </c>
      <c r="J58" s="419">
        <v>0.56999999999999995</v>
      </c>
      <c r="K58" s="419">
        <v>0.97</v>
      </c>
      <c r="L58" s="419">
        <v>0.66</v>
      </c>
      <c r="M58" s="419">
        <v>0.95</v>
      </c>
      <c r="N58" s="419">
        <v>0</v>
      </c>
      <c r="O58" s="419">
        <v>0</v>
      </c>
      <c r="P58" s="419">
        <v>0</v>
      </c>
    </row>
    <row r="59" spans="2:16">
      <c r="B59" s="381">
        <f t="shared" si="0"/>
        <v>2053</v>
      </c>
      <c r="C59" s="419">
        <v>0.59</v>
      </c>
      <c r="D59" s="419">
        <v>0.44</v>
      </c>
      <c r="E59" s="419">
        <v>0.44</v>
      </c>
      <c r="F59" s="419">
        <v>0.56999999999999995</v>
      </c>
      <c r="G59" s="419">
        <v>0.56999999999999995</v>
      </c>
      <c r="H59" s="419">
        <v>0.73</v>
      </c>
      <c r="I59" s="419">
        <v>0.89</v>
      </c>
      <c r="J59" s="419">
        <v>0.56999999999999995</v>
      </c>
      <c r="K59" s="419">
        <v>0.97</v>
      </c>
      <c r="L59" s="419">
        <v>0.66</v>
      </c>
      <c r="M59" s="419">
        <v>0.95</v>
      </c>
      <c r="N59" s="419">
        <v>0</v>
      </c>
      <c r="O59" s="419">
        <v>0</v>
      </c>
      <c r="P59" s="419">
        <v>0</v>
      </c>
    </row>
    <row r="60" spans="2:16">
      <c r="B60" s="381">
        <f t="shared" si="0"/>
        <v>2054</v>
      </c>
      <c r="C60" s="419">
        <v>0.59</v>
      </c>
      <c r="D60" s="419">
        <v>0.44</v>
      </c>
      <c r="E60" s="419">
        <v>0.44</v>
      </c>
      <c r="F60" s="419">
        <v>0.56999999999999995</v>
      </c>
      <c r="G60" s="419">
        <v>0.56999999999999995</v>
      </c>
      <c r="H60" s="419">
        <v>0.73</v>
      </c>
      <c r="I60" s="419">
        <v>0.89</v>
      </c>
      <c r="J60" s="419">
        <v>0.56999999999999995</v>
      </c>
      <c r="K60" s="419">
        <v>0.97</v>
      </c>
      <c r="L60" s="419">
        <v>0.66</v>
      </c>
      <c r="M60" s="419">
        <v>0.95</v>
      </c>
      <c r="N60" s="419">
        <v>0</v>
      </c>
      <c r="O60" s="419">
        <v>0</v>
      </c>
      <c r="P60" s="419">
        <v>0</v>
      </c>
    </row>
    <row r="61" spans="2:16">
      <c r="B61" s="381">
        <f t="shared" si="0"/>
        <v>2055</v>
      </c>
      <c r="C61" s="419">
        <v>0.59</v>
      </c>
      <c r="D61" s="419">
        <v>0.44</v>
      </c>
      <c r="E61" s="419">
        <v>0.44</v>
      </c>
      <c r="F61" s="419">
        <v>0.56999999999999995</v>
      </c>
      <c r="G61" s="419">
        <v>0.56999999999999995</v>
      </c>
      <c r="H61" s="419">
        <v>0.73</v>
      </c>
      <c r="I61" s="419">
        <v>0.89</v>
      </c>
      <c r="J61" s="419">
        <v>0.56999999999999995</v>
      </c>
      <c r="K61" s="419">
        <v>0.97</v>
      </c>
      <c r="L61" s="419">
        <v>0.66</v>
      </c>
      <c r="M61" s="419">
        <v>0.95</v>
      </c>
      <c r="N61" s="419">
        <v>0</v>
      </c>
      <c r="O61" s="419">
        <v>0</v>
      </c>
      <c r="P61" s="419">
        <v>0</v>
      </c>
    </row>
    <row r="62" spans="2:16">
      <c r="B62" s="381">
        <f t="shared" si="0"/>
        <v>2056</v>
      </c>
      <c r="C62" s="419">
        <v>0.59</v>
      </c>
      <c r="D62" s="419">
        <v>0.44</v>
      </c>
      <c r="E62" s="419">
        <v>0.44</v>
      </c>
      <c r="F62" s="419">
        <v>0.56999999999999995</v>
      </c>
      <c r="G62" s="419">
        <v>0.56999999999999995</v>
      </c>
      <c r="H62" s="419">
        <v>0.73</v>
      </c>
      <c r="I62" s="419">
        <v>0.89</v>
      </c>
      <c r="J62" s="419">
        <v>0.56999999999999995</v>
      </c>
      <c r="K62" s="419">
        <v>0.97</v>
      </c>
      <c r="L62" s="419">
        <v>0.66</v>
      </c>
      <c r="M62" s="419">
        <v>0.95</v>
      </c>
      <c r="N62" s="419">
        <v>0</v>
      </c>
      <c r="O62" s="419">
        <v>0</v>
      </c>
      <c r="P62" s="419">
        <v>0</v>
      </c>
    </row>
    <row r="63" spans="2:16">
      <c r="B63" s="381">
        <f t="shared" si="0"/>
        <v>2057</v>
      </c>
      <c r="C63" s="419">
        <v>0.59</v>
      </c>
      <c r="D63" s="419">
        <v>0.44</v>
      </c>
      <c r="E63" s="419">
        <v>0.44</v>
      </c>
      <c r="F63" s="419">
        <v>0.56999999999999995</v>
      </c>
      <c r="G63" s="419">
        <v>0.56999999999999995</v>
      </c>
      <c r="H63" s="419">
        <v>0.73</v>
      </c>
      <c r="I63" s="419">
        <v>0.89</v>
      </c>
      <c r="J63" s="419">
        <v>0.56999999999999995</v>
      </c>
      <c r="K63" s="419">
        <v>0.97</v>
      </c>
      <c r="L63" s="419">
        <v>0.66</v>
      </c>
      <c r="M63" s="419">
        <v>0.95</v>
      </c>
      <c r="N63" s="419">
        <v>0</v>
      </c>
      <c r="O63" s="419">
        <v>0</v>
      </c>
      <c r="P63" s="419">
        <v>0</v>
      </c>
    </row>
    <row r="64" spans="2:16">
      <c r="B64" s="381">
        <f t="shared" si="0"/>
        <v>2058</v>
      </c>
      <c r="C64" s="419">
        <v>0.59</v>
      </c>
      <c r="D64" s="419">
        <v>0.44</v>
      </c>
      <c r="E64" s="419">
        <v>0.44</v>
      </c>
      <c r="F64" s="419">
        <v>0.56999999999999995</v>
      </c>
      <c r="G64" s="419">
        <v>0.56999999999999995</v>
      </c>
      <c r="H64" s="419">
        <v>0.73</v>
      </c>
      <c r="I64" s="419">
        <v>0.89</v>
      </c>
      <c r="J64" s="419">
        <v>0.56999999999999995</v>
      </c>
      <c r="K64" s="419">
        <v>0.97</v>
      </c>
      <c r="L64" s="419">
        <v>0.66</v>
      </c>
      <c r="M64" s="419">
        <v>0.95</v>
      </c>
      <c r="N64" s="419">
        <v>0</v>
      </c>
      <c r="O64" s="419">
        <v>0</v>
      </c>
      <c r="P64" s="419">
        <v>0</v>
      </c>
    </row>
    <row r="65" spans="2:16">
      <c r="B65" s="381">
        <f t="shared" si="0"/>
        <v>2059</v>
      </c>
      <c r="C65" s="419">
        <v>0.59</v>
      </c>
      <c r="D65" s="419">
        <v>0.44</v>
      </c>
      <c r="E65" s="419">
        <v>0.44</v>
      </c>
      <c r="F65" s="419">
        <v>0.56999999999999995</v>
      </c>
      <c r="G65" s="419">
        <v>0.56999999999999995</v>
      </c>
      <c r="H65" s="419">
        <v>0.73</v>
      </c>
      <c r="I65" s="419">
        <v>0.89</v>
      </c>
      <c r="J65" s="419">
        <v>0.56999999999999995</v>
      </c>
      <c r="K65" s="419">
        <v>0.97</v>
      </c>
      <c r="L65" s="419">
        <v>0.66</v>
      </c>
      <c r="M65" s="419">
        <v>0.95</v>
      </c>
      <c r="N65" s="419">
        <v>0</v>
      </c>
      <c r="O65" s="419">
        <v>0</v>
      </c>
      <c r="P65" s="419">
        <v>0</v>
      </c>
    </row>
    <row r="66" spans="2:16">
      <c r="B66" s="381">
        <f t="shared" si="0"/>
        <v>2060</v>
      </c>
      <c r="C66" s="419">
        <v>0.59</v>
      </c>
      <c r="D66" s="419">
        <v>0.44</v>
      </c>
      <c r="E66" s="419">
        <v>0.44</v>
      </c>
      <c r="F66" s="419">
        <v>0.56999999999999995</v>
      </c>
      <c r="G66" s="419">
        <v>0.56999999999999995</v>
      </c>
      <c r="H66" s="419">
        <v>0.73</v>
      </c>
      <c r="I66" s="419">
        <v>0.89</v>
      </c>
      <c r="J66" s="419">
        <v>0.56999999999999995</v>
      </c>
      <c r="K66" s="419">
        <v>0.97</v>
      </c>
      <c r="L66" s="419">
        <v>0.66</v>
      </c>
      <c r="M66" s="419">
        <v>0.95</v>
      </c>
      <c r="N66" s="419">
        <v>0</v>
      </c>
      <c r="O66" s="419">
        <v>0</v>
      </c>
      <c r="P66" s="419">
        <v>0</v>
      </c>
    </row>
    <row r="67" spans="2:16">
      <c r="B67" s="381">
        <f t="shared" si="0"/>
        <v>2061</v>
      </c>
      <c r="C67" s="419">
        <v>0.59</v>
      </c>
      <c r="D67" s="419">
        <v>0.44</v>
      </c>
      <c r="E67" s="419">
        <v>0.44</v>
      </c>
      <c r="F67" s="419">
        <v>0.56999999999999995</v>
      </c>
      <c r="G67" s="419">
        <v>0.56999999999999995</v>
      </c>
      <c r="H67" s="419">
        <v>0.73</v>
      </c>
      <c r="I67" s="419">
        <v>0.89</v>
      </c>
      <c r="J67" s="419">
        <v>0.56999999999999995</v>
      </c>
      <c r="K67" s="419">
        <v>0.97</v>
      </c>
      <c r="L67" s="419">
        <v>0.66</v>
      </c>
      <c r="M67" s="419">
        <v>0.95</v>
      </c>
      <c r="N67" s="419">
        <v>0</v>
      </c>
      <c r="O67" s="419">
        <v>0</v>
      </c>
      <c r="P67" s="419">
        <v>0</v>
      </c>
    </row>
    <row r="68" spans="2:16">
      <c r="B68" s="381">
        <f t="shared" si="0"/>
        <v>2062</v>
      </c>
      <c r="C68" s="419">
        <v>0.59</v>
      </c>
      <c r="D68" s="419">
        <v>0.44</v>
      </c>
      <c r="E68" s="419">
        <v>0.44</v>
      </c>
      <c r="F68" s="419">
        <v>0.56999999999999995</v>
      </c>
      <c r="G68" s="419">
        <v>0.56999999999999995</v>
      </c>
      <c r="H68" s="419">
        <v>0.73</v>
      </c>
      <c r="I68" s="419">
        <v>0.89</v>
      </c>
      <c r="J68" s="419">
        <v>0.56999999999999995</v>
      </c>
      <c r="K68" s="419">
        <v>0.97</v>
      </c>
      <c r="L68" s="419">
        <v>0.66</v>
      </c>
      <c r="M68" s="419">
        <v>0.95</v>
      </c>
      <c r="N68" s="419">
        <v>0</v>
      </c>
      <c r="O68" s="419">
        <v>0</v>
      </c>
      <c r="P68" s="419">
        <v>0</v>
      </c>
    </row>
    <row r="69" spans="2:16">
      <c r="B69" s="381">
        <f t="shared" si="0"/>
        <v>2063</v>
      </c>
      <c r="C69" s="419">
        <v>0.59</v>
      </c>
      <c r="D69" s="419">
        <v>0.44</v>
      </c>
      <c r="E69" s="419">
        <v>0.44</v>
      </c>
      <c r="F69" s="419">
        <v>0.56999999999999995</v>
      </c>
      <c r="G69" s="419">
        <v>0.56999999999999995</v>
      </c>
      <c r="H69" s="419">
        <v>0.73</v>
      </c>
      <c r="I69" s="419">
        <v>0.89</v>
      </c>
      <c r="J69" s="419">
        <v>0.56999999999999995</v>
      </c>
      <c r="K69" s="419">
        <v>0.97</v>
      </c>
      <c r="L69" s="419">
        <v>0.66</v>
      </c>
      <c r="M69" s="419">
        <v>0.95</v>
      </c>
      <c r="N69" s="419">
        <v>0</v>
      </c>
      <c r="O69" s="419">
        <v>0</v>
      </c>
      <c r="P69" s="419">
        <v>0</v>
      </c>
    </row>
    <row r="70" spans="2:16">
      <c r="B70" s="381">
        <f t="shared" si="0"/>
        <v>2064</v>
      </c>
      <c r="C70" s="419">
        <v>0.59</v>
      </c>
      <c r="D70" s="419">
        <v>0.44</v>
      </c>
      <c r="E70" s="419">
        <v>0.44</v>
      </c>
      <c r="F70" s="419">
        <v>0.56999999999999995</v>
      </c>
      <c r="G70" s="419">
        <v>0.56999999999999995</v>
      </c>
      <c r="H70" s="419">
        <v>0.73</v>
      </c>
      <c r="I70" s="419">
        <v>0.89</v>
      </c>
      <c r="J70" s="419">
        <v>0.56999999999999995</v>
      </c>
      <c r="K70" s="419">
        <v>0.97</v>
      </c>
      <c r="L70" s="419">
        <v>0.66</v>
      </c>
      <c r="M70" s="419">
        <v>0.95</v>
      </c>
      <c r="N70" s="419">
        <v>0</v>
      </c>
      <c r="O70" s="419">
        <v>0</v>
      </c>
      <c r="P70" s="419">
        <v>0</v>
      </c>
    </row>
    <row r="71" spans="2:16">
      <c r="B71" s="381">
        <f t="shared" si="0"/>
        <v>2065</v>
      </c>
      <c r="C71" s="419">
        <v>0.59</v>
      </c>
      <c r="D71" s="419">
        <v>0.44</v>
      </c>
      <c r="E71" s="419">
        <v>0.44</v>
      </c>
      <c r="F71" s="419">
        <v>0.56999999999999995</v>
      </c>
      <c r="G71" s="419">
        <v>0.56999999999999995</v>
      </c>
      <c r="H71" s="419">
        <v>0.73</v>
      </c>
      <c r="I71" s="419">
        <v>0.89</v>
      </c>
      <c r="J71" s="419">
        <v>0.56999999999999995</v>
      </c>
      <c r="K71" s="419">
        <v>0.97</v>
      </c>
      <c r="L71" s="419">
        <v>0.66</v>
      </c>
      <c r="M71" s="419">
        <v>0.95</v>
      </c>
      <c r="N71" s="419">
        <v>0</v>
      </c>
      <c r="O71" s="419">
        <v>0</v>
      </c>
      <c r="P71" s="419">
        <v>0</v>
      </c>
    </row>
    <row r="72" spans="2:16">
      <c r="B72" s="381">
        <f t="shared" ref="B72:B86" si="1">B71+1</f>
        <v>2066</v>
      </c>
      <c r="C72" s="419">
        <v>0.59</v>
      </c>
      <c r="D72" s="419">
        <v>0.44</v>
      </c>
      <c r="E72" s="419">
        <v>0.44</v>
      </c>
      <c r="F72" s="419">
        <v>0.56999999999999995</v>
      </c>
      <c r="G72" s="419">
        <v>0.56999999999999995</v>
      </c>
      <c r="H72" s="419">
        <v>0.73</v>
      </c>
      <c r="I72" s="419">
        <v>0.89</v>
      </c>
      <c r="J72" s="419">
        <v>0.56999999999999995</v>
      </c>
      <c r="K72" s="419">
        <v>0.97</v>
      </c>
      <c r="L72" s="419">
        <v>0.66</v>
      </c>
      <c r="M72" s="419">
        <v>0.95</v>
      </c>
      <c r="N72" s="419">
        <v>0</v>
      </c>
      <c r="O72" s="419">
        <v>0</v>
      </c>
      <c r="P72" s="419">
        <v>0</v>
      </c>
    </row>
    <row r="73" spans="2:16">
      <c r="B73" s="381">
        <f t="shared" si="1"/>
        <v>2067</v>
      </c>
      <c r="C73" s="419">
        <v>0.59</v>
      </c>
      <c r="D73" s="419">
        <v>0.44</v>
      </c>
      <c r="E73" s="419">
        <v>0.44</v>
      </c>
      <c r="F73" s="419">
        <v>0.56999999999999995</v>
      </c>
      <c r="G73" s="419">
        <v>0.56999999999999995</v>
      </c>
      <c r="H73" s="419">
        <v>0.73</v>
      </c>
      <c r="I73" s="419">
        <v>0.89</v>
      </c>
      <c r="J73" s="419">
        <v>0.56999999999999995</v>
      </c>
      <c r="K73" s="419">
        <v>0.97</v>
      </c>
      <c r="L73" s="419">
        <v>0.66</v>
      </c>
      <c r="M73" s="419">
        <v>0.95</v>
      </c>
      <c r="N73" s="419">
        <v>0</v>
      </c>
      <c r="O73" s="419">
        <v>0</v>
      </c>
      <c r="P73" s="419">
        <v>0</v>
      </c>
    </row>
    <row r="74" spans="2:16">
      <c r="B74" s="381">
        <f t="shared" si="1"/>
        <v>2068</v>
      </c>
      <c r="C74" s="419">
        <v>0.59</v>
      </c>
      <c r="D74" s="419">
        <v>0.44</v>
      </c>
      <c r="E74" s="419">
        <v>0.44</v>
      </c>
      <c r="F74" s="419">
        <v>0.56999999999999995</v>
      </c>
      <c r="G74" s="419">
        <v>0.56999999999999995</v>
      </c>
      <c r="H74" s="419">
        <v>0.73</v>
      </c>
      <c r="I74" s="419">
        <v>0.89</v>
      </c>
      <c r="J74" s="419">
        <v>0.56999999999999995</v>
      </c>
      <c r="K74" s="419">
        <v>0.97</v>
      </c>
      <c r="L74" s="419">
        <v>0.66</v>
      </c>
      <c r="M74" s="419">
        <v>0.95</v>
      </c>
      <c r="N74" s="419">
        <v>0</v>
      </c>
      <c r="O74" s="419">
        <v>0</v>
      </c>
      <c r="P74" s="419">
        <v>0</v>
      </c>
    </row>
    <row r="75" spans="2:16">
      <c r="B75" s="381">
        <f t="shared" si="1"/>
        <v>2069</v>
      </c>
      <c r="C75" s="419">
        <v>0.59</v>
      </c>
      <c r="D75" s="419">
        <v>0.44</v>
      </c>
      <c r="E75" s="419">
        <v>0.44</v>
      </c>
      <c r="F75" s="419">
        <v>0.56999999999999995</v>
      </c>
      <c r="G75" s="419">
        <v>0.56999999999999995</v>
      </c>
      <c r="H75" s="419">
        <v>0.73</v>
      </c>
      <c r="I75" s="419">
        <v>0.89</v>
      </c>
      <c r="J75" s="419">
        <v>0.56999999999999995</v>
      </c>
      <c r="K75" s="419">
        <v>0.97</v>
      </c>
      <c r="L75" s="419">
        <v>0.66</v>
      </c>
      <c r="M75" s="419">
        <v>0.95</v>
      </c>
      <c r="N75" s="419">
        <v>0</v>
      </c>
      <c r="O75" s="419">
        <v>0</v>
      </c>
      <c r="P75" s="419">
        <v>0</v>
      </c>
    </row>
    <row r="76" spans="2:16">
      <c r="B76" s="381">
        <f t="shared" si="1"/>
        <v>2070</v>
      </c>
      <c r="C76" s="419">
        <v>0.59</v>
      </c>
      <c r="D76" s="419">
        <v>0.44</v>
      </c>
      <c r="E76" s="419">
        <v>0.44</v>
      </c>
      <c r="F76" s="419">
        <v>0.56999999999999995</v>
      </c>
      <c r="G76" s="419">
        <v>0.56999999999999995</v>
      </c>
      <c r="H76" s="419">
        <v>0.73</v>
      </c>
      <c r="I76" s="419">
        <v>0.89</v>
      </c>
      <c r="J76" s="419">
        <v>0.56999999999999995</v>
      </c>
      <c r="K76" s="419">
        <v>0.97</v>
      </c>
      <c r="L76" s="419">
        <v>0.66</v>
      </c>
      <c r="M76" s="419">
        <v>0.95</v>
      </c>
      <c r="N76" s="419">
        <v>0</v>
      </c>
      <c r="O76" s="419">
        <v>0</v>
      </c>
      <c r="P76" s="419">
        <v>0</v>
      </c>
    </row>
    <row r="77" spans="2:16">
      <c r="B77" s="381">
        <f t="shared" si="1"/>
        <v>2071</v>
      </c>
      <c r="C77" s="419">
        <v>0.59</v>
      </c>
      <c r="D77" s="419">
        <v>0.44</v>
      </c>
      <c r="E77" s="419">
        <v>0.44</v>
      </c>
      <c r="F77" s="419">
        <v>0.56999999999999995</v>
      </c>
      <c r="G77" s="419">
        <v>0.56999999999999995</v>
      </c>
      <c r="H77" s="419">
        <v>0.73</v>
      </c>
      <c r="I77" s="419">
        <v>0.89</v>
      </c>
      <c r="J77" s="419">
        <v>0.56999999999999995</v>
      </c>
      <c r="K77" s="419">
        <v>0.97</v>
      </c>
      <c r="L77" s="419">
        <v>0.66</v>
      </c>
      <c r="M77" s="419">
        <v>0.95</v>
      </c>
      <c r="N77" s="419">
        <v>0</v>
      </c>
      <c r="O77" s="419">
        <v>0</v>
      </c>
      <c r="P77" s="419">
        <v>0</v>
      </c>
    </row>
    <row r="78" spans="2:16">
      <c r="B78" s="381">
        <f t="shared" si="1"/>
        <v>2072</v>
      </c>
      <c r="C78" s="419">
        <v>0.59</v>
      </c>
      <c r="D78" s="419">
        <v>0.44</v>
      </c>
      <c r="E78" s="419">
        <v>0.44</v>
      </c>
      <c r="F78" s="419">
        <v>0.56999999999999995</v>
      </c>
      <c r="G78" s="419">
        <v>0.56999999999999995</v>
      </c>
      <c r="H78" s="419">
        <v>0.73</v>
      </c>
      <c r="I78" s="419">
        <v>0.89</v>
      </c>
      <c r="J78" s="419">
        <v>0.56999999999999995</v>
      </c>
      <c r="K78" s="419">
        <v>0.97</v>
      </c>
      <c r="L78" s="419">
        <v>0.66</v>
      </c>
      <c r="M78" s="419">
        <v>0.95</v>
      </c>
      <c r="N78" s="419">
        <v>0</v>
      </c>
      <c r="O78" s="419">
        <v>0</v>
      </c>
      <c r="P78" s="419">
        <v>0</v>
      </c>
    </row>
    <row r="79" spans="2:16">
      <c r="B79" s="381">
        <f t="shared" si="1"/>
        <v>2073</v>
      </c>
      <c r="C79" s="419">
        <v>0.59</v>
      </c>
      <c r="D79" s="419">
        <v>0.44</v>
      </c>
      <c r="E79" s="419">
        <v>0.44</v>
      </c>
      <c r="F79" s="419">
        <v>0.56999999999999995</v>
      </c>
      <c r="G79" s="419">
        <v>0.56999999999999995</v>
      </c>
      <c r="H79" s="419">
        <v>0.73</v>
      </c>
      <c r="I79" s="419">
        <v>0.89</v>
      </c>
      <c r="J79" s="419">
        <v>0.56999999999999995</v>
      </c>
      <c r="K79" s="419">
        <v>0.97</v>
      </c>
      <c r="L79" s="419">
        <v>0.66</v>
      </c>
      <c r="M79" s="419">
        <v>0.95</v>
      </c>
      <c r="N79" s="419">
        <v>0</v>
      </c>
      <c r="O79" s="419">
        <v>0</v>
      </c>
      <c r="P79" s="419">
        <v>0</v>
      </c>
    </row>
    <row r="80" spans="2:16">
      <c r="B80" s="381">
        <f t="shared" si="1"/>
        <v>2074</v>
      </c>
      <c r="C80" s="419">
        <v>0.59</v>
      </c>
      <c r="D80" s="419">
        <v>0.44</v>
      </c>
      <c r="E80" s="419">
        <v>0.44</v>
      </c>
      <c r="F80" s="419">
        <v>0.56999999999999995</v>
      </c>
      <c r="G80" s="419">
        <v>0.56999999999999995</v>
      </c>
      <c r="H80" s="419">
        <v>0.73</v>
      </c>
      <c r="I80" s="419">
        <v>0.89</v>
      </c>
      <c r="J80" s="419">
        <v>0.56999999999999995</v>
      </c>
      <c r="K80" s="419">
        <v>0.97</v>
      </c>
      <c r="L80" s="419">
        <v>0.66</v>
      </c>
      <c r="M80" s="419">
        <v>0.95</v>
      </c>
      <c r="N80" s="419">
        <v>0</v>
      </c>
      <c r="O80" s="419">
        <v>0</v>
      </c>
      <c r="P80" s="419">
        <v>0</v>
      </c>
    </row>
    <row r="81" spans="2:16">
      <c r="B81" s="381">
        <f t="shared" si="1"/>
        <v>2075</v>
      </c>
      <c r="C81" s="419">
        <v>0.59</v>
      </c>
      <c r="D81" s="419">
        <v>0.44</v>
      </c>
      <c r="E81" s="419">
        <v>0.44</v>
      </c>
      <c r="F81" s="419">
        <v>0.56999999999999995</v>
      </c>
      <c r="G81" s="419">
        <v>0.56999999999999995</v>
      </c>
      <c r="H81" s="419">
        <v>0.73</v>
      </c>
      <c r="I81" s="419">
        <v>0.89</v>
      </c>
      <c r="J81" s="419">
        <v>0.56999999999999995</v>
      </c>
      <c r="K81" s="419">
        <v>0.97</v>
      </c>
      <c r="L81" s="419">
        <v>0.66</v>
      </c>
      <c r="M81" s="419">
        <v>0.95</v>
      </c>
      <c r="N81" s="419">
        <v>0</v>
      </c>
      <c r="O81" s="419">
        <v>0</v>
      </c>
      <c r="P81" s="419">
        <v>0</v>
      </c>
    </row>
    <row r="82" spans="2:16">
      <c r="B82" s="381">
        <f t="shared" si="1"/>
        <v>2076</v>
      </c>
      <c r="C82" s="419">
        <v>0.59</v>
      </c>
      <c r="D82" s="419">
        <v>0.44</v>
      </c>
      <c r="E82" s="419">
        <v>0.44</v>
      </c>
      <c r="F82" s="419">
        <v>0.56999999999999995</v>
      </c>
      <c r="G82" s="419">
        <v>0.56999999999999995</v>
      </c>
      <c r="H82" s="419">
        <v>0.73</v>
      </c>
      <c r="I82" s="419">
        <v>0.89</v>
      </c>
      <c r="J82" s="419">
        <v>0.56999999999999995</v>
      </c>
      <c r="K82" s="419">
        <v>0.97</v>
      </c>
      <c r="L82" s="419">
        <v>0.66</v>
      </c>
      <c r="M82" s="419">
        <v>0.95</v>
      </c>
      <c r="N82" s="419">
        <v>0</v>
      </c>
      <c r="O82" s="419">
        <v>0</v>
      </c>
      <c r="P82" s="419">
        <v>0</v>
      </c>
    </row>
    <row r="83" spans="2:16">
      <c r="B83" s="381">
        <f t="shared" si="1"/>
        <v>2077</v>
      </c>
      <c r="C83" s="419">
        <v>0.59</v>
      </c>
      <c r="D83" s="419">
        <v>0.44</v>
      </c>
      <c r="E83" s="419">
        <v>0.44</v>
      </c>
      <c r="F83" s="419">
        <v>0.56999999999999995</v>
      </c>
      <c r="G83" s="419">
        <v>0.56999999999999995</v>
      </c>
      <c r="H83" s="419">
        <v>0.73</v>
      </c>
      <c r="I83" s="419">
        <v>0.89</v>
      </c>
      <c r="J83" s="419">
        <v>0.56999999999999995</v>
      </c>
      <c r="K83" s="419">
        <v>0.97</v>
      </c>
      <c r="L83" s="419">
        <v>0.66</v>
      </c>
      <c r="M83" s="419">
        <v>0.95</v>
      </c>
      <c r="N83" s="419">
        <v>0</v>
      </c>
      <c r="O83" s="419">
        <v>0</v>
      </c>
      <c r="P83" s="419">
        <v>0</v>
      </c>
    </row>
    <row r="84" spans="2:16">
      <c r="B84" s="381">
        <f t="shared" si="1"/>
        <v>2078</v>
      </c>
      <c r="C84" s="419">
        <v>0.59</v>
      </c>
      <c r="D84" s="419">
        <v>0.44</v>
      </c>
      <c r="E84" s="419">
        <v>0.44</v>
      </c>
      <c r="F84" s="419">
        <v>0.56999999999999995</v>
      </c>
      <c r="G84" s="419">
        <v>0.56999999999999995</v>
      </c>
      <c r="H84" s="419">
        <v>0.73</v>
      </c>
      <c r="I84" s="419">
        <v>0.89</v>
      </c>
      <c r="J84" s="419">
        <v>0.56999999999999995</v>
      </c>
      <c r="K84" s="419">
        <v>0.97</v>
      </c>
      <c r="L84" s="419">
        <v>0.66</v>
      </c>
      <c r="M84" s="419">
        <v>0.95</v>
      </c>
      <c r="N84" s="419">
        <v>0</v>
      </c>
      <c r="O84" s="419">
        <v>0</v>
      </c>
      <c r="P84" s="419">
        <v>0</v>
      </c>
    </row>
    <row r="85" spans="2:16">
      <c r="B85" s="381">
        <f t="shared" si="1"/>
        <v>2079</v>
      </c>
      <c r="C85" s="419">
        <v>0.59</v>
      </c>
      <c r="D85" s="419">
        <v>0.44</v>
      </c>
      <c r="E85" s="419">
        <v>0.44</v>
      </c>
      <c r="F85" s="419">
        <v>0.56999999999999995</v>
      </c>
      <c r="G85" s="419">
        <v>0.56999999999999995</v>
      </c>
      <c r="H85" s="419">
        <v>0.73</v>
      </c>
      <c r="I85" s="419">
        <v>0.89</v>
      </c>
      <c r="J85" s="419">
        <v>0.56999999999999995</v>
      </c>
      <c r="K85" s="419">
        <v>0.97</v>
      </c>
      <c r="L85" s="419">
        <v>0.66</v>
      </c>
      <c r="M85" s="419">
        <v>0.95</v>
      </c>
      <c r="N85" s="419">
        <v>0</v>
      </c>
      <c r="O85" s="419">
        <v>0</v>
      </c>
      <c r="P85" s="419">
        <v>0</v>
      </c>
    </row>
    <row r="86" spans="2:16">
      <c r="B86" s="381">
        <f t="shared" si="1"/>
        <v>2080</v>
      </c>
      <c r="C86" s="419">
        <v>0.59</v>
      </c>
      <c r="D86" s="419">
        <v>0.44</v>
      </c>
      <c r="E86" s="419">
        <v>0.44</v>
      </c>
      <c r="F86" s="419">
        <v>0.56999999999999995</v>
      </c>
      <c r="G86" s="419">
        <v>0.56999999999999995</v>
      </c>
      <c r="H86" s="419">
        <v>0.73</v>
      </c>
      <c r="I86" s="419">
        <v>0.89</v>
      </c>
      <c r="J86" s="419">
        <v>0.56999999999999995</v>
      </c>
      <c r="K86" s="419">
        <v>0.97</v>
      </c>
      <c r="L86" s="419">
        <v>0.66</v>
      </c>
      <c r="M86" s="419">
        <v>0.95</v>
      </c>
      <c r="N86" s="419">
        <v>0</v>
      </c>
      <c r="O86" s="419">
        <v>0</v>
      </c>
      <c r="P86" s="419">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29" activePane="bottomRight" state="frozen"/>
      <selection activeCell="E19" sqref="E19"/>
      <selection pane="topRight" activeCell="E19" sqref="E19"/>
      <selection pane="bottomLeft" activeCell="E19" sqref="E19"/>
      <selection pane="bottomRight" activeCell="C14" sqref="C14"/>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934" t="str">
        <f>city</f>
        <v>Kalimantan Timur</v>
      </c>
      <c r="J2" s="935"/>
      <c r="K2" s="935"/>
      <c r="L2" s="935"/>
      <c r="M2" s="935"/>
      <c r="N2" s="935"/>
      <c r="O2" s="935"/>
    </row>
    <row r="3" spans="2:16" ht="16.5" thickBot="1">
      <c r="C3" s="4"/>
      <c r="H3" s="5" t="s">
        <v>276</v>
      </c>
      <c r="I3" s="934" t="str">
        <f>province</f>
        <v>Kalimantan Timur</v>
      </c>
      <c r="J3" s="935"/>
      <c r="K3" s="935"/>
      <c r="L3" s="935"/>
      <c r="M3" s="935"/>
      <c r="N3" s="935"/>
      <c r="O3" s="935"/>
    </row>
    <row r="4" spans="2:16" ht="16.5" thickBot="1">
      <c r="D4" s="4"/>
      <c r="E4" s="4"/>
      <c r="H4" s="5" t="s">
        <v>30</v>
      </c>
      <c r="I4" s="934" t="str">
        <f>country</f>
        <v>Indonesia</v>
      </c>
      <c r="J4" s="935"/>
      <c r="K4" s="935"/>
      <c r="L4" s="935"/>
      <c r="M4" s="935"/>
      <c r="N4" s="935"/>
      <c r="O4" s="935"/>
      <c r="P4" s="538"/>
    </row>
    <row r="5" spans="2:16">
      <c r="C5" s="5"/>
      <c r="D5" s="5"/>
      <c r="E5" s="5"/>
      <c r="F5" s="69"/>
      <c r="G5" s="69"/>
      <c r="P5" s="538"/>
    </row>
    <row r="6" spans="2:16" s="133" customFormat="1">
      <c r="C6" s="69" t="s">
        <v>101</v>
      </c>
      <c r="D6" s="69"/>
      <c r="E6" s="69"/>
      <c r="F6" s="69"/>
      <c r="G6" s="69"/>
      <c r="P6"/>
    </row>
    <row r="7" spans="2:16" s="133" customFormat="1">
      <c r="C7" s="69" t="s">
        <v>96</v>
      </c>
      <c r="D7" s="69"/>
      <c r="E7" s="69"/>
      <c r="F7" s="69"/>
      <c r="G7" s="69"/>
      <c r="P7"/>
    </row>
    <row r="9" spans="2:16" ht="13.5" thickBot="1"/>
    <row r="10" spans="2:16" ht="13.5" thickBot="1">
      <c r="C10" s="940" t="s">
        <v>32</v>
      </c>
      <c r="D10" s="941"/>
      <c r="E10" s="941"/>
      <c r="F10" s="941"/>
      <c r="G10" s="941"/>
      <c r="H10" s="941"/>
      <c r="I10" s="941"/>
      <c r="J10" s="941"/>
      <c r="K10" s="941"/>
      <c r="L10" s="941"/>
      <c r="M10" s="941"/>
      <c r="N10" s="941"/>
      <c r="O10" s="941"/>
      <c r="P10" s="942"/>
    </row>
    <row r="11" spans="2:16" ht="13.5" customHeight="1" thickBot="1">
      <c r="C11" s="923" t="s">
        <v>228</v>
      </c>
      <c r="D11" s="923" t="s">
        <v>262</v>
      </c>
      <c r="E11" s="923" t="s">
        <v>267</v>
      </c>
      <c r="F11" s="923" t="s">
        <v>261</v>
      </c>
      <c r="G11" s="923" t="s">
        <v>2</v>
      </c>
      <c r="H11" s="923" t="s">
        <v>16</v>
      </c>
      <c r="I11" s="923" t="s">
        <v>229</v>
      </c>
      <c r="J11" s="936" t="s">
        <v>273</v>
      </c>
      <c r="K11" s="937"/>
      <c r="L11" s="937"/>
      <c r="M11" s="938"/>
      <c r="N11" s="923" t="s">
        <v>146</v>
      </c>
      <c r="O11" s="923" t="s">
        <v>210</v>
      </c>
      <c r="P11" s="922" t="s">
        <v>308</v>
      </c>
    </row>
    <row r="12" spans="2:16" s="1" customFormat="1">
      <c r="B12" s="364" t="s">
        <v>1</v>
      </c>
      <c r="C12" s="939"/>
      <c r="D12" s="939"/>
      <c r="E12" s="939"/>
      <c r="F12" s="939"/>
      <c r="G12" s="939"/>
      <c r="H12" s="939"/>
      <c r="I12" s="939"/>
      <c r="J12" s="368" t="s">
        <v>230</v>
      </c>
      <c r="K12" s="368" t="s">
        <v>231</v>
      </c>
      <c r="L12" s="368" t="s">
        <v>232</v>
      </c>
      <c r="M12" s="364" t="s">
        <v>233</v>
      </c>
      <c r="N12" s="939"/>
      <c r="O12" s="939"/>
      <c r="P12" s="939"/>
    </row>
    <row r="13" spans="2:16" s="3" customFormat="1" ht="13.5" thickBot="1">
      <c r="B13" s="33"/>
      <c r="C13" s="365" t="s">
        <v>15</v>
      </c>
      <c r="D13" s="366" t="s">
        <v>15</v>
      </c>
      <c r="E13" s="366" t="s">
        <v>15</v>
      </c>
      <c r="F13" s="367" t="s">
        <v>15</v>
      </c>
      <c r="G13" s="366" t="s">
        <v>15</v>
      </c>
      <c r="H13" s="367" t="s">
        <v>15</v>
      </c>
      <c r="I13" s="367" t="s">
        <v>15</v>
      </c>
      <c r="J13" s="367" t="s">
        <v>15</v>
      </c>
      <c r="K13" s="367" t="s">
        <v>15</v>
      </c>
      <c r="L13" s="367" t="s">
        <v>15</v>
      </c>
      <c r="M13" s="367" t="s">
        <v>15</v>
      </c>
      <c r="N13" s="367" t="s">
        <v>15</v>
      </c>
      <c r="O13" s="427" t="s">
        <v>15</v>
      </c>
      <c r="P13" s="427" t="s">
        <v>15</v>
      </c>
    </row>
    <row r="14" spans="2:16">
      <c r="B14" s="129">
        <f>year</f>
        <v>2000</v>
      </c>
      <c r="C14" s="767">
        <f>Activity!$C13*Activity!$D13*Activity!E13</f>
        <v>0</v>
      </c>
      <c r="D14" s="547">
        <f>Activity!$C13*Activity!$D13*Activity!F13</f>
        <v>0</v>
      </c>
      <c r="E14" s="547">
        <f>Activity!$C13*Activity!$D13*Activity!G13</f>
        <v>0</v>
      </c>
      <c r="F14" s="547">
        <f>Activity!$C13*Activity!$D13*Activity!H13</f>
        <v>0</v>
      </c>
      <c r="G14" s="547">
        <f>Activity!$C13*Activity!$D13*Activity!I13</f>
        <v>0</v>
      </c>
      <c r="H14" s="547">
        <f>Activity!$C13*Activity!$D13*Activity!J13</f>
        <v>0</v>
      </c>
      <c r="I14" s="547">
        <f>Activity!$C13*Activity!$D13*Activity!K13</f>
        <v>0</v>
      </c>
      <c r="J14" s="547">
        <f>Activity!$C13*Activity!$D13*Activity!L13</f>
        <v>0</v>
      </c>
      <c r="K14" s="548">
        <f>Activity!$C13*Activity!$D13*Activity!M13</f>
        <v>0</v>
      </c>
      <c r="L14" s="548">
        <f>Activity!$C13*Activity!$D13*Activity!N13</f>
        <v>0</v>
      </c>
      <c r="M14" s="547">
        <f>Activity!$C13*Activity!$D13*Activity!O13</f>
        <v>0</v>
      </c>
      <c r="N14" s="411">
        <v>0</v>
      </c>
      <c r="O14" s="555">
        <f>Activity!C13*Activity!D13</f>
        <v>0</v>
      </c>
      <c r="P14" s="556">
        <f>Activity!X13</f>
        <v>0</v>
      </c>
    </row>
    <row r="15" spans="2:16">
      <c r="B15" s="34">
        <f>B14+1</f>
        <v>2001</v>
      </c>
      <c r="C15" s="768">
        <f>Activity!$C14*Activity!$D14*Activity!E14</f>
        <v>0</v>
      </c>
      <c r="D15" s="550">
        <f>Activity!$C14*Activity!$D14*Activity!F14</f>
        <v>0</v>
      </c>
      <c r="E15" s="548">
        <f>Activity!$C14*Activity!$D14*Activity!G14</f>
        <v>0</v>
      </c>
      <c r="F15" s="550">
        <f>Activity!$C14*Activity!$D14*Activity!H14</f>
        <v>0</v>
      </c>
      <c r="G15" s="550">
        <f>Activity!$C14*Activity!$D14*Activity!I14</f>
        <v>0</v>
      </c>
      <c r="H15" s="550">
        <f>Activity!$C14*Activity!$D14*Activity!J14</f>
        <v>0</v>
      </c>
      <c r="I15" s="550">
        <f>Activity!$C14*Activity!$D14*Activity!K14</f>
        <v>0</v>
      </c>
      <c r="J15" s="551">
        <f>Activity!$C14*Activity!$D14*Activity!L14</f>
        <v>0</v>
      </c>
      <c r="K15" s="550">
        <f>Activity!$C14*Activity!$D14*Activity!M14</f>
        <v>0</v>
      </c>
      <c r="L15" s="550">
        <f>Activity!$C14*Activity!$D14*Activity!N14</f>
        <v>0</v>
      </c>
      <c r="M15" s="548">
        <f>Activity!$C14*Activity!$D14*Activity!O14</f>
        <v>0</v>
      </c>
      <c r="N15" s="412">
        <v>0</v>
      </c>
      <c r="O15" s="550">
        <f>Activity!C14*Activity!D14</f>
        <v>0</v>
      </c>
      <c r="P15" s="557">
        <f>Activity!X14</f>
        <v>0</v>
      </c>
    </row>
    <row r="16" spans="2:16">
      <c r="B16" s="7">
        <f t="shared" ref="B16:B21" si="0">B15+1</f>
        <v>2002</v>
      </c>
      <c r="C16" s="768">
        <f>Activity!$C15*Activity!$D15*Activity!E15</f>
        <v>0</v>
      </c>
      <c r="D16" s="550">
        <f>Activity!$C15*Activity!$D15*Activity!F15</f>
        <v>0</v>
      </c>
      <c r="E16" s="548">
        <f>Activity!$C15*Activity!$D15*Activity!G15</f>
        <v>0</v>
      </c>
      <c r="F16" s="550">
        <f>Activity!$C15*Activity!$D15*Activity!H15</f>
        <v>0</v>
      </c>
      <c r="G16" s="550">
        <f>Activity!$C15*Activity!$D15*Activity!I15</f>
        <v>0</v>
      </c>
      <c r="H16" s="550">
        <f>Activity!$C15*Activity!$D15*Activity!J15</f>
        <v>0</v>
      </c>
      <c r="I16" s="550">
        <f>Activity!$C15*Activity!$D15*Activity!K15</f>
        <v>0</v>
      </c>
      <c r="J16" s="551">
        <f>Activity!$C15*Activity!$D15*Activity!L15</f>
        <v>0</v>
      </c>
      <c r="K16" s="550">
        <f>Activity!$C15*Activity!$D15*Activity!M15</f>
        <v>0</v>
      </c>
      <c r="L16" s="550">
        <f>Activity!$C15*Activity!$D15*Activity!N15</f>
        <v>0</v>
      </c>
      <c r="M16" s="548">
        <f>Activity!$C15*Activity!$D15*Activity!O15</f>
        <v>0</v>
      </c>
      <c r="N16" s="412">
        <v>0</v>
      </c>
      <c r="O16" s="550">
        <f>Activity!C15*Activity!D15</f>
        <v>0</v>
      </c>
      <c r="P16" s="557">
        <f>Activity!X15</f>
        <v>0</v>
      </c>
    </row>
    <row r="17" spans="2:16">
      <c r="B17" s="7">
        <f t="shared" si="0"/>
        <v>2003</v>
      </c>
      <c r="C17" s="768">
        <f>Activity!$C16*Activity!$D16*Activity!E16</f>
        <v>0</v>
      </c>
      <c r="D17" s="550">
        <f>Activity!$C16*Activity!$D16*Activity!F16</f>
        <v>0</v>
      </c>
      <c r="E17" s="548">
        <f>Activity!$C16*Activity!$D16*Activity!G16</f>
        <v>0</v>
      </c>
      <c r="F17" s="550">
        <f>Activity!$C16*Activity!$D16*Activity!H16</f>
        <v>0</v>
      </c>
      <c r="G17" s="550">
        <f>Activity!$C16*Activity!$D16*Activity!I16</f>
        <v>0</v>
      </c>
      <c r="H17" s="550">
        <f>Activity!$C16*Activity!$D16*Activity!J16</f>
        <v>0</v>
      </c>
      <c r="I17" s="550">
        <f>Activity!$C16*Activity!$D16*Activity!K16</f>
        <v>0</v>
      </c>
      <c r="J17" s="551">
        <f>Activity!$C16*Activity!$D16*Activity!L16</f>
        <v>0</v>
      </c>
      <c r="K17" s="550">
        <f>Activity!$C16*Activity!$D16*Activity!M16</f>
        <v>0</v>
      </c>
      <c r="L17" s="550">
        <f>Activity!$C16*Activity!$D16*Activity!N16</f>
        <v>0</v>
      </c>
      <c r="M17" s="548">
        <f>Activity!$C16*Activity!$D16*Activity!O16</f>
        <v>0</v>
      </c>
      <c r="N17" s="412">
        <v>0</v>
      </c>
      <c r="O17" s="550">
        <f>Activity!C16*Activity!D16</f>
        <v>0</v>
      </c>
      <c r="P17" s="557">
        <f>Activity!X16</f>
        <v>0</v>
      </c>
    </row>
    <row r="18" spans="2:16">
      <c r="B18" s="7">
        <f t="shared" si="0"/>
        <v>2004</v>
      </c>
      <c r="C18" s="768">
        <f>Activity!$C17*Activity!$D17*Activity!E17</f>
        <v>0</v>
      </c>
      <c r="D18" s="550">
        <f>Activity!$C17*Activity!$D17*Activity!F17</f>
        <v>0</v>
      </c>
      <c r="E18" s="548">
        <f>Activity!$C17*Activity!$D17*Activity!G17</f>
        <v>0</v>
      </c>
      <c r="F18" s="550">
        <f>Activity!$C17*Activity!$D17*Activity!H17</f>
        <v>0</v>
      </c>
      <c r="G18" s="550">
        <f>Activity!$C17*Activity!$D17*Activity!I17</f>
        <v>0</v>
      </c>
      <c r="H18" s="550">
        <f>Activity!$C17*Activity!$D17*Activity!J17</f>
        <v>0</v>
      </c>
      <c r="I18" s="550">
        <f>Activity!$C17*Activity!$D17*Activity!K17</f>
        <v>0</v>
      </c>
      <c r="J18" s="551">
        <f>Activity!$C17*Activity!$D17*Activity!L17</f>
        <v>0</v>
      </c>
      <c r="K18" s="550">
        <f>Activity!$C17*Activity!$D17*Activity!M17</f>
        <v>0</v>
      </c>
      <c r="L18" s="550">
        <f>Activity!$C17*Activity!$D17*Activity!N17</f>
        <v>0</v>
      </c>
      <c r="M18" s="548">
        <f>Activity!$C17*Activity!$D17*Activity!O17</f>
        <v>0</v>
      </c>
      <c r="N18" s="412">
        <v>0</v>
      </c>
      <c r="O18" s="550">
        <f>Activity!C17*Activity!D17</f>
        <v>0</v>
      </c>
      <c r="P18" s="557">
        <f>Activity!X17</f>
        <v>0</v>
      </c>
    </row>
    <row r="19" spans="2:16">
      <c r="B19" s="7">
        <f t="shared" si="0"/>
        <v>2005</v>
      </c>
      <c r="C19" s="768">
        <f>Activity!$C18*Activity!$D18*Activity!E18</f>
        <v>0</v>
      </c>
      <c r="D19" s="550">
        <f>Activity!$C18*Activity!$D18*Activity!F18</f>
        <v>0</v>
      </c>
      <c r="E19" s="548">
        <f>Activity!$C18*Activity!$D18*Activity!G18</f>
        <v>0</v>
      </c>
      <c r="F19" s="550">
        <f>Activity!$C18*Activity!$D18*Activity!H18</f>
        <v>0</v>
      </c>
      <c r="G19" s="550">
        <f>Activity!$C18*Activity!$D18*Activity!I18</f>
        <v>0</v>
      </c>
      <c r="H19" s="550">
        <f>Activity!$C18*Activity!$D18*Activity!J18</f>
        <v>0</v>
      </c>
      <c r="I19" s="550">
        <f>Activity!$C18*Activity!$D18*Activity!K18</f>
        <v>0</v>
      </c>
      <c r="J19" s="551">
        <f>Activity!$C18*Activity!$D18*Activity!L18</f>
        <v>0</v>
      </c>
      <c r="K19" s="550">
        <f>Activity!$C18*Activity!$D18*Activity!M18</f>
        <v>0</v>
      </c>
      <c r="L19" s="550">
        <f>Activity!$C18*Activity!$D18*Activity!N18</f>
        <v>0</v>
      </c>
      <c r="M19" s="548">
        <f>Activity!$C18*Activity!$D18*Activity!O18</f>
        <v>0</v>
      </c>
      <c r="N19" s="412">
        <v>0</v>
      </c>
      <c r="O19" s="550">
        <f>Activity!C18*Activity!D18</f>
        <v>0</v>
      </c>
      <c r="P19" s="557">
        <f>Activity!X18</f>
        <v>0</v>
      </c>
    </row>
    <row r="20" spans="2:16">
      <c r="B20" s="7">
        <f t="shared" si="0"/>
        <v>2006</v>
      </c>
      <c r="C20" s="768">
        <f>Activity!$C19*Activity!$D19*Activity!E19</f>
        <v>0</v>
      </c>
      <c r="D20" s="550">
        <f>Activity!$C19*Activity!$D19*Activity!F19</f>
        <v>0</v>
      </c>
      <c r="E20" s="548">
        <f>Activity!$C19*Activity!$D19*Activity!G19</f>
        <v>0</v>
      </c>
      <c r="F20" s="550">
        <f>Activity!$C19*Activity!$D19*Activity!H19</f>
        <v>0</v>
      </c>
      <c r="G20" s="550">
        <f>Activity!$C19*Activity!$D19*Activity!I19</f>
        <v>0</v>
      </c>
      <c r="H20" s="550">
        <f>Activity!$C19*Activity!$D19*Activity!J19</f>
        <v>0</v>
      </c>
      <c r="I20" s="550">
        <f>Activity!$C19*Activity!$D19*Activity!K19</f>
        <v>0</v>
      </c>
      <c r="J20" s="551">
        <f>Activity!$C19*Activity!$D19*Activity!L19</f>
        <v>0</v>
      </c>
      <c r="K20" s="550">
        <f>Activity!$C19*Activity!$D19*Activity!M19</f>
        <v>0</v>
      </c>
      <c r="L20" s="550">
        <f>Activity!$C19*Activity!$D19*Activity!N19</f>
        <v>0</v>
      </c>
      <c r="M20" s="548">
        <f>Activity!$C19*Activity!$D19*Activity!O19</f>
        <v>0</v>
      </c>
      <c r="N20" s="412">
        <v>0</v>
      </c>
      <c r="O20" s="550">
        <f>Activity!C19*Activity!D19</f>
        <v>0</v>
      </c>
      <c r="P20" s="557">
        <f>Activity!X19</f>
        <v>0</v>
      </c>
    </row>
    <row r="21" spans="2:16">
      <c r="B21" s="7">
        <f t="shared" si="0"/>
        <v>2007</v>
      </c>
      <c r="C21" s="768">
        <f>Activity!$C20*Activity!$D20*Activity!E20</f>
        <v>0</v>
      </c>
      <c r="D21" s="550">
        <f>Activity!$C20*Activity!$D20*Activity!F20</f>
        <v>0</v>
      </c>
      <c r="E21" s="548">
        <f>Activity!$C20*Activity!$D20*Activity!G20</f>
        <v>0</v>
      </c>
      <c r="F21" s="550">
        <f>Activity!$C20*Activity!$D20*Activity!H20</f>
        <v>0</v>
      </c>
      <c r="G21" s="550">
        <f>Activity!$C20*Activity!$D20*Activity!I20</f>
        <v>0</v>
      </c>
      <c r="H21" s="550">
        <f>Activity!$C20*Activity!$D20*Activity!J20</f>
        <v>0</v>
      </c>
      <c r="I21" s="550">
        <f>Activity!$C20*Activity!$D20*Activity!K20</f>
        <v>0</v>
      </c>
      <c r="J21" s="551">
        <f>Activity!$C20*Activity!$D20*Activity!L20</f>
        <v>0</v>
      </c>
      <c r="K21" s="550">
        <f>Activity!$C20*Activity!$D20*Activity!M20</f>
        <v>0</v>
      </c>
      <c r="L21" s="550">
        <f>Activity!$C20*Activity!$D20*Activity!N20</f>
        <v>0</v>
      </c>
      <c r="M21" s="548">
        <f>Activity!$C20*Activity!$D20*Activity!O20</f>
        <v>0</v>
      </c>
      <c r="N21" s="412">
        <v>0</v>
      </c>
      <c r="O21" s="550">
        <f>Activity!C20*Activity!D20</f>
        <v>0</v>
      </c>
      <c r="P21" s="557">
        <f>Activity!X20</f>
        <v>0</v>
      </c>
    </row>
    <row r="22" spans="2:16">
      <c r="B22" s="7">
        <f t="shared" ref="B22:B85" si="1">B21+1</f>
        <v>2008</v>
      </c>
      <c r="C22" s="768">
        <f>Activity!$C21*Activity!$D21*Activity!E21</f>
        <v>0</v>
      </c>
      <c r="D22" s="550">
        <f>Activity!$C21*Activity!$D21*Activity!F21</f>
        <v>0</v>
      </c>
      <c r="E22" s="548">
        <f>Activity!$C21*Activity!$D21*Activity!G21</f>
        <v>0</v>
      </c>
      <c r="F22" s="550">
        <f>Activity!$C21*Activity!$D21*Activity!H21</f>
        <v>0</v>
      </c>
      <c r="G22" s="550">
        <f>Activity!$C21*Activity!$D21*Activity!I21</f>
        <v>0</v>
      </c>
      <c r="H22" s="550">
        <f>Activity!$C21*Activity!$D21*Activity!J21</f>
        <v>0</v>
      </c>
      <c r="I22" s="550">
        <f>Activity!$C21*Activity!$D21*Activity!K21</f>
        <v>0</v>
      </c>
      <c r="J22" s="551">
        <f>Activity!$C21*Activity!$D21*Activity!L21</f>
        <v>0</v>
      </c>
      <c r="K22" s="550">
        <f>Activity!$C21*Activity!$D21*Activity!M21</f>
        <v>0</v>
      </c>
      <c r="L22" s="550">
        <f>Activity!$C21*Activity!$D21*Activity!N21</f>
        <v>0</v>
      </c>
      <c r="M22" s="548">
        <f>Activity!$C21*Activity!$D21*Activity!O21</f>
        <v>0</v>
      </c>
      <c r="N22" s="412">
        <v>0</v>
      </c>
      <c r="O22" s="550">
        <f>Activity!C21*Activity!D21</f>
        <v>0</v>
      </c>
      <c r="P22" s="557">
        <f>Activity!X21</f>
        <v>0</v>
      </c>
    </row>
    <row r="23" spans="2:16">
      <c r="B23" s="7">
        <f t="shared" si="1"/>
        <v>2009</v>
      </c>
      <c r="C23" s="768">
        <f>Activity!$C22*Activity!$D22*Activity!E22</f>
        <v>0</v>
      </c>
      <c r="D23" s="550">
        <f>Activity!$C22*Activity!$D22*Activity!F22</f>
        <v>0</v>
      </c>
      <c r="E23" s="548">
        <f>Activity!$C22*Activity!$D22*Activity!G22</f>
        <v>0</v>
      </c>
      <c r="F23" s="550">
        <f>Activity!$C22*Activity!$D22*Activity!H22</f>
        <v>0</v>
      </c>
      <c r="G23" s="550">
        <f>Activity!$C22*Activity!$D22*Activity!I22</f>
        <v>0</v>
      </c>
      <c r="H23" s="550">
        <f>Activity!$C22*Activity!$D22*Activity!J22</f>
        <v>0</v>
      </c>
      <c r="I23" s="550">
        <f>Activity!$C22*Activity!$D22*Activity!K22</f>
        <v>0</v>
      </c>
      <c r="J23" s="551">
        <f>Activity!$C22*Activity!$D22*Activity!L22</f>
        <v>0</v>
      </c>
      <c r="K23" s="550">
        <f>Activity!$C22*Activity!$D22*Activity!M22</f>
        <v>0</v>
      </c>
      <c r="L23" s="550">
        <f>Activity!$C22*Activity!$D22*Activity!N22</f>
        <v>0</v>
      </c>
      <c r="M23" s="548">
        <f>Activity!$C22*Activity!$D22*Activity!O22</f>
        <v>0</v>
      </c>
      <c r="N23" s="412">
        <v>0</v>
      </c>
      <c r="O23" s="550">
        <f>Activity!C22*Activity!D22</f>
        <v>0</v>
      </c>
      <c r="P23" s="557">
        <f>Activity!X22</f>
        <v>0</v>
      </c>
    </row>
    <row r="24" spans="2:16">
      <c r="B24" s="7">
        <f t="shared" si="1"/>
        <v>2010</v>
      </c>
      <c r="C24" s="768">
        <f>Activity!$C23*Activity!$D23*Activity!E23</f>
        <v>0</v>
      </c>
      <c r="D24" s="550">
        <f>Activity!$C23*Activity!$D23*Activity!F23</f>
        <v>0</v>
      </c>
      <c r="E24" s="548">
        <f>Activity!$C23*Activity!$D23*Activity!G23</f>
        <v>0</v>
      </c>
      <c r="F24" s="550">
        <f>Activity!$C23*Activity!$D23*Activity!H23</f>
        <v>0</v>
      </c>
      <c r="G24" s="550">
        <f>Activity!$C23*Activity!$D23*Activity!I23</f>
        <v>0</v>
      </c>
      <c r="H24" s="550">
        <f>Activity!$C23*Activity!$D23*Activity!J23</f>
        <v>0</v>
      </c>
      <c r="I24" s="550">
        <f>Activity!$C23*Activity!$D23*Activity!K23</f>
        <v>0</v>
      </c>
      <c r="J24" s="551">
        <f>Activity!$C23*Activity!$D23*Activity!L23</f>
        <v>0</v>
      </c>
      <c r="K24" s="550">
        <f>Activity!$C23*Activity!$D23*Activity!M23</f>
        <v>0</v>
      </c>
      <c r="L24" s="550">
        <f>Activity!$C23*Activity!$D23*Activity!N23</f>
        <v>0</v>
      </c>
      <c r="M24" s="548">
        <f>Activity!$C23*Activity!$D23*Activity!O23</f>
        <v>0</v>
      </c>
      <c r="N24" s="412">
        <v>0</v>
      </c>
      <c r="O24" s="550">
        <f>Activity!C23*Activity!D23</f>
        <v>0</v>
      </c>
      <c r="P24" s="557">
        <f>Activity!X23</f>
        <v>0</v>
      </c>
    </row>
    <row r="25" spans="2:16">
      <c r="B25" s="7">
        <f t="shared" si="1"/>
        <v>2011</v>
      </c>
      <c r="C25" s="769">
        <f>Activity!$C24*Activity!$D24*Activity!E24</f>
        <v>91.533540260354997</v>
      </c>
      <c r="D25" s="550">
        <f>Activity!$C24*Activity!$D24*Activity!F24</f>
        <v>27.144429180656999</v>
      </c>
      <c r="E25" s="548">
        <f>Activity!$C24*Activity!$D24*Activity!G24</f>
        <v>0</v>
      </c>
      <c r="F25" s="550">
        <f>Activity!$C24*Activity!$D24*Activity!H24</f>
        <v>0</v>
      </c>
      <c r="G25" s="550">
        <f>Activity!$C24*Activity!$D24*Activity!I24</f>
        <v>20.831771231666998</v>
      </c>
      <c r="H25" s="550">
        <f>Activity!$C24*Activity!$D24*Activity!J24</f>
        <v>5.6813921540909993</v>
      </c>
      <c r="I25" s="550">
        <f>Activity!$C24*Activity!$D24*Activity!K24</f>
        <v>1.8937973846969998</v>
      </c>
      <c r="J25" s="551">
        <f>Activity!$C24*Activity!$D24*Activity!L24</f>
        <v>15.150379077575998</v>
      </c>
      <c r="K25" s="550">
        <f>Activity!$C24*Activity!$D24*Activity!M24</f>
        <v>6.943923743889</v>
      </c>
      <c r="L25" s="550">
        <f>Activity!$C24*Activity!$D24*Activity!N24</f>
        <v>8.4168772653200001</v>
      </c>
      <c r="M25" s="548">
        <f>Activity!$C24*Activity!$D24*Activity!O24</f>
        <v>32.825821334747999</v>
      </c>
      <c r="N25" s="412">
        <v>0</v>
      </c>
      <c r="O25" s="550">
        <f>Activity!C24*Activity!D24</f>
        <v>210.42193163299999</v>
      </c>
      <c r="P25" s="557">
        <f>Activity!X24</f>
        <v>0</v>
      </c>
    </row>
    <row r="26" spans="2:16">
      <c r="B26" s="7">
        <f t="shared" si="1"/>
        <v>2012</v>
      </c>
      <c r="C26" s="769">
        <f>Activity!$C25*Activity!$D25*Activity!E25</f>
        <v>93.496516850760003</v>
      </c>
      <c r="D26" s="550">
        <f>Activity!$C25*Activity!$D25*Activity!F25</f>
        <v>27.726553272984003</v>
      </c>
      <c r="E26" s="548">
        <f>Activity!$C25*Activity!$D25*Activity!G25</f>
        <v>0</v>
      </c>
      <c r="F26" s="550">
        <f>Activity!$C25*Activity!$D25*Activity!H25</f>
        <v>0</v>
      </c>
      <c r="G26" s="550">
        <f>Activity!$C25*Activity!$D25*Activity!I25</f>
        <v>21.278517628104002</v>
      </c>
      <c r="H26" s="550">
        <f>Activity!$C25*Activity!$D25*Activity!J25</f>
        <v>5.8032320803920001</v>
      </c>
      <c r="I26" s="550">
        <f>Activity!$C25*Activity!$D25*Activity!K25</f>
        <v>1.934410693464</v>
      </c>
      <c r="J26" s="551">
        <f>Activity!$C25*Activity!$D25*Activity!L25</f>
        <v>15.475285547712</v>
      </c>
      <c r="K26" s="550">
        <f>Activity!$C25*Activity!$D25*Activity!M25</f>
        <v>7.0928392093680008</v>
      </c>
      <c r="L26" s="550">
        <f>Activity!$C25*Activity!$D25*Activity!N25</f>
        <v>8.5973808598399994</v>
      </c>
      <c r="M26" s="548">
        <f>Activity!$C25*Activity!$D25*Activity!O25</f>
        <v>33.529785353375999</v>
      </c>
      <c r="N26" s="412">
        <v>0</v>
      </c>
      <c r="O26" s="550">
        <f>Activity!C25*Activity!D25</f>
        <v>214.934521496</v>
      </c>
      <c r="P26" s="557">
        <f>Activity!X25</f>
        <v>0</v>
      </c>
    </row>
    <row r="27" spans="2:16">
      <c r="B27" s="7">
        <f t="shared" si="1"/>
        <v>2013</v>
      </c>
      <c r="C27" s="769">
        <f>Activity!$C26*Activity!$D26*Activity!E26</f>
        <v>95.713626034829986</v>
      </c>
      <c r="D27" s="550">
        <f>Activity!$C26*Activity!$D26*Activity!F26</f>
        <v>28.384040824122</v>
      </c>
      <c r="E27" s="548">
        <f>Activity!$C26*Activity!$D26*Activity!G26</f>
        <v>0</v>
      </c>
      <c r="F27" s="550">
        <f>Activity!$C26*Activity!$D26*Activity!H26</f>
        <v>0</v>
      </c>
      <c r="G27" s="550">
        <f>Activity!$C26*Activity!$D26*Activity!I26</f>
        <v>21.783101097581998</v>
      </c>
      <c r="H27" s="550">
        <f>Activity!$C26*Activity!$D26*Activity!J26</f>
        <v>5.9408457538859993</v>
      </c>
      <c r="I27" s="550">
        <f>Activity!$C26*Activity!$D26*Activity!K26</f>
        <v>1.9802819179619997</v>
      </c>
      <c r="J27" s="551">
        <f>Activity!$C26*Activity!$D26*Activity!L26</f>
        <v>15.842255343695998</v>
      </c>
      <c r="K27" s="550">
        <f>Activity!$C26*Activity!$D26*Activity!M26</f>
        <v>7.2610336991939999</v>
      </c>
      <c r="L27" s="550">
        <f>Activity!$C26*Activity!$D26*Activity!N26</f>
        <v>8.8012529687200001</v>
      </c>
      <c r="M27" s="548">
        <f>Activity!$C26*Activity!$D26*Activity!O26</f>
        <v>34.324886578007998</v>
      </c>
      <c r="N27" s="412">
        <v>0</v>
      </c>
      <c r="O27" s="550">
        <f>Activity!C26*Activity!D26</f>
        <v>220.03132421799998</v>
      </c>
      <c r="P27" s="557">
        <f>Activity!X26</f>
        <v>0</v>
      </c>
    </row>
    <row r="28" spans="2:16">
      <c r="B28" s="7">
        <f t="shared" si="1"/>
        <v>2014</v>
      </c>
      <c r="C28" s="769">
        <f>Activity!$C27*Activity!$D27*Activity!E27</f>
        <v>97.913255773979998</v>
      </c>
      <c r="D28" s="550">
        <f>Activity!$C27*Activity!$D27*Activity!F27</f>
        <v>29.036344815732001</v>
      </c>
      <c r="E28" s="548">
        <f>Activity!$C27*Activity!$D27*Activity!G27</f>
        <v>0</v>
      </c>
      <c r="F28" s="550">
        <f>Activity!$C27*Activity!$D27*Activity!H27</f>
        <v>0</v>
      </c>
      <c r="G28" s="550">
        <f>Activity!$C27*Activity!$D27*Activity!I27</f>
        <v>22.283706486492001</v>
      </c>
      <c r="H28" s="550">
        <f>Activity!$C27*Activity!$D27*Activity!J27</f>
        <v>6.0773744963159997</v>
      </c>
      <c r="I28" s="550">
        <f>Activity!$C27*Activity!$D27*Activity!K27</f>
        <v>2.025791498772</v>
      </c>
      <c r="J28" s="551">
        <f>Activity!$C27*Activity!$D27*Activity!L27</f>
        <v>16.206331990176</v>
      </c>
      <c r="K28" s="550">
        <f>Activity!$C27*Activity!$D27*Activity!M27</f>
        <v>7.4279021621640009</v>
      </c>
      <c r="L28" s="550">
        <f>Activity!$C27*Activity!$D27*Activity!N27</f>
        <v>9.0035177723200004</v>
      </c>
      <c r="M28" s="548">
        <f>Activity!$C27*Activity!$D27*Activity!O27</f>
        <v>35.113719312047998</v>
      </c>
      <c r="N28" s="412">
        <v>0</v>
      </c>
      <c r="O28" s="550">
        <f>Activity!C27*Activity!D27</f>
        <v>225.087944308</v>
      </c>
      <c r="P28" s="557">
        <f>Activity!X27</f>
        <v>0</v>
      </c>
    </row>
    <row r="29" spans="2:16">
      <c r="B29" s="7">
        <f t="shared" si="1"/>
        <v>2015</v>
      </c>
      <c r="C29" s="769">
        <f>Activity!$C28*Activity!$D28*Activity!E28</f>
        <v>100.10077420484998</v>
      </c>
      <c r="D29" s="550">
        <f>Activity!$C28*Activity!$D28*Activity!F28</f>
        <v>29.685057177989997</v>
      </c>
      <c r="E29" s="548">
        <f>Activity!$C28*Activity!$D28*Activity!G28</f>
        <v>0</v>
      </c>
      <c r="F29" s="550">
        <f>Activity!$C28*Activity!$D28*Activity!H28</f>
        <v>0</v>
      </c>
      <c r="G29" s="550">
        <f>Activity!$C28*Activity!$D28*Activity!I28</f>
        <v>22.781555508689998</v>
      </c>
      <c r="H29" s="550">
        <f>Activity!$C28*Activity!$D28*Activity!J28</f>
        <v>6.2131515023699988</v>
      </c>
      <c r="I29" s="550">
        <f>Activity!$C28*Activity!$D28*Activity!K28</f>
        <v>2.0710505007899997</v>
      </c>
      <c r="J29" s="551">
        <f>Activity!$C28*Activity!$D28*Activity!L28</f>
        <v>16.568404006319998</v>
      </c>
      <c r="K29" s="550">
        <f>Activity!$C28*Activity!$D28*Activity!M28</f>
        <v>7.5938518362299998</v>
      </c>
      <c r="L29" s="550">
        <f>Activity!$C28*Activity!$D28*Activity!N28</f>
        <v>9.2046688923999991</v>
      </c>
      <c r="M29" s="548">
        <f>Activity!$C28*Activity!$D28*Activity!O28</f>
        <v>35.898208680359993</v>
      </c>
      <c r="N29" s="412">
        <v>0</v>
      </c>
      <c r="O29" s="550">
        <f>Activity!C28*Activity!D28</f>
        <v>230.11672230999997</v>
      </c>
      <c r="P29" s="557">
        <f>Activity!X28</f>
        <v>0</v>
      </c>
    </row>
    <row r="30" spans="2:16">
      <c r="B30" s="7">
        <f t="shared" si="1"/>
        <v>2016</v>
      </c>
      <c r="C30" s="769">
        <f>Activity!$C29*Activity!$D29*Activity!E29</f>
        <v>102.271150074375</v>
      </c>
      <c r="D30" s="550">
        <f>Activity!$C29*Activity!$D29*Activity!F29</f>
        <v>30.328685884125001</v>
      </c>
      <c r="E30" s="548">
        <f>Activity!$C29*Activity!$D29*Activity!G29</f>
        <v>0</v>
      </c>
      <c r="F30" s="550">
        <f>Activity!$C29*Activity!$D29*Activity!H29</f>
        <v>0</v>
      </c>
      <c r="G30" s="550">
        <f>Activity!$C29*Activity!$D29*Activity!I29</f>
        <v>23.275503120375003</v>
      </c>
      <c r="H30" s="550">
        <f>Activity!$C29*Activity!$D29*Activity!J29</f>
        <v>6.3478644873750003</v>
      </c>
      <c r="I30" s="550">
        <f>Activity!$C29*Activity!$D29*Activity!K29</f>
        <v>2.1159548291249997</v>
      </c>
      <c r="J30" s="551">
        <f>Activity!$C29*Activity!$D29*Activity!L29</f>
        <v>16.927638632999997</v>
      </c>
      <c r="K30" s="550">
        <f>Activity!$C29*Activity!$D29*Activity!M29</f>
        <v>7.7585010401250001</v>
      </c>
      <c r="L30" s="550">
        <f>Activity!$C29*Activity!$D29*Activity!N29</f>
        <v>9.4042436850000009</v>
      </c>
      <c r="M30" s="548">
        <f>Activity!$C29*Activity!$D29*Activity!O29</f>
        <v>36.676550371499999</v>
      </c>
      <c r="N30" s="412">
        <v>0</v>
      </c>
      <c r="O30" s="550">
        <f>Activity!C29*Activity!D29</f>
        <v>235.106092125</v>
      </c>
      <c r="P30" s="557">
        <f>Activity!X29</f>
        <v>0</v>
      </c>
    </row>
    <row r="31" spans="2:16">
      <c r="B31" s="7">
        <f t="shared" si="1"/>
        <v>2017</v>
      </c>
      <c r="C31" s="769">
        <f>Activity!$C30*Activity!$D30*Activity!E30</f>
        <v>107.78400078125014</v>
      </c>
      <c r="D31" s="550">
        <f>Activity!$C30*Activity!$D30*Activity!F30</f>
        <v>31.963531266163837</v>
      </c>
      <c r="E31" s="548">
        <f>Activity!$C30*Activity!$D30*Activity!G30</f>
        <v>0</v>
      </c>
      <c r="F31" s="550">
        <f>Activity!$C30*Activity!$D30*Activity!H30</f>
        <v>0</v>
      </c>
      <c r="G31" s="550">
        <f>Activity!$C30*Activity!$D30*Activity!I30</f>
        <v>24.530151901939689</v>
      </c>
      <c r="H31" s="550">
        <f>Activity!$C30*Activity!$D30*Activity!J30</f>
        <v>6.6900414278017335</v>
      </c>
      <c r="I31" s="550">
        <f>Activity!$C30*Activity!$D30*Activity!K30</f>
        <v>2.2300138092672444</v>
      </c>
      <c r="J31" s="551">
        <f>Activity!$C30*Activity!$D30*Activity!L30</f>
        <v>17.840110474137955</v>
      </c>
      <c r="K31" s="550">
        <f>Activity!$C30*Activity!$D30*Activity!M30</f>
        <v>8.1767173006465637</v>
      </c>
      <c r="L31" s="550">
        <f>Activity!$C30*Activity!$D30*Activity!N30</f>
        <v>9.9111724856321981</v>
      </c>
      <c r="M31" s="548">
        <f>Activity!$C30*Activity!$D30*Activity!O30</f>
        <v>38.653572693965572</v>
      </c>
      <c r="N31" s="412">
        <v>0</v>
      </c>
      <c r="O31" s="550">
        <f>Activity!C30*Activity!D30</f>
        <v>247.77931214080493</v>
      </c>
      <c r="P31" s="557">
        <f>Activity!X30</f>
        <v>0</v>
      </c>
    </row>
    <row r="32" spans="2:16">
      <c r="B32" s="7">
        <f t="shared" si="1"/>
        <v>2018</v>
      </c>
      <c r="C32" s="769">
        <f>Activity!$C31*Activity!$D31*Activity!E31</f>
        <v>113.3553874465784</v>
      </c>
      <c r="D32" s="550">
        <f>Activity!$C31*Activity!$D31*Activity!F31</f>
        <v>33.615735587606011</v>
      </c>
      <c r="E32" s="548">
        <f>Activity!$C31*Activity!$D31*Activity!G31</f>
        <v>0</v>
      </c>
      <c r="F32" s="550">
        <f>Activity!$C31*Activity!$D31*Activity!H31</f>
        <v>0</v>
      </c>
      <c r="G32" s="550">
        <f>Activity!$C31*Activity!$D31*Activity!I31</f>
        <v>25.798122660255778</v>
      </c>
      <c r="H32" s="550">
        <f>Activity!$C31*Activity!$D31*Activity!J31</f>
        <v>7.035851634615212</v>
      </c>
      <c r="I32" s="550">
        <f>Activity!$C31*Activity!$D31*Activity!K31</f>
        <v>2.3452838782050702</v>
      </c>
      <c r="J32" s="551">
        <f>Activity!$C31*Activity!$D31*Activity!L31</f>
        <v>18.762271025640562</v>
      </c>
      <c r="K32" s="550">
        <f>Activity!$C31*Activity!$D31*Activity!M31</f>
        <v>8.5993742200852594</v>
      </c>
      <c r="L32" s="550">
        <f>Activity!$C31*Activity!$D31*Activity!N31</f>
        <v>10.423483903133647</v>
      </c>
      <c r="M32" s="548">
        <f>Activity!$C31*Activity!$D31*Activity!O31</f>
        <v>40.651587222221224</v>
      </c>
      <c r="N32" s="412">
        <v>0</v>
      </c>
      <c r="O32" s="550">
        <f>Activity!C31*Activity!D31</f>
        <v>260.58709757834117</v>
      </c>
      <c r="P32" s="557">
        <f>Activity!X31</f>
        <v>0</v>
      </c>
    </row>
    <row r="33" spans="2:16">
      <c r="B33" s="7">
        <f t="shared" si="1"/>
        <v>2019</v>
      </c>
      <c r="C33" s="769">
        <f>Activity!$C32*Activity!$D32*Activity!E32</f>
        <v>119.14082828533043</v>
      </c>
      <c r="D33" s="550">
        <f>Activity!$C32*Activity!$D32*Activity!F32</f>
        <v>35.331418043235921</v>
      </c>
      <c r="E33" s="548">
        <f>Activity!$C32*Activity!$D32*Activity!G32</f>
        <v>0</v>
      </c>
      <c r="F33" s="550">
        <f>Activity!$C32*Activity!$D32*Activity!H32</f>
        <v>0</v>
      </c>
      <c r="G33" s="550">
        <f>Activity!$C32*Activity!$D32*Activity!I32</f>
        <v>27.114809195971752</v>
      </c>
      <c r="H33" s="550">
        <f>Activity!$C32*Activity!$D32*Activity!J32</f>
        <v>7.3949479625377501</v>
      </c>
      <c r="I33" s="550">
        <f>Activity!$C32*Activity!$D32*Activity!K32</f>
        <v>2.4649826541792499</v>
      </c>
      <c r="J33" s="551">
        <f>Activity!$C32*Activity!$D32*Activity!L32</f>
        <v>19.719861233433999</v>
      </c>
      <c r="K33" s="550">
        <f>Activity!$C32*Activity!$D32*Activity!M32</f>
        <v>9.0382697319905851</v>
      </c>
      <c r="L33" s="550">
        <f>Activity!$C32*Activity!$D32*Activity!N32</f>
        <v>10.95547846301889</v>
      </c>
      <c r="M33" s="548">
        <f>Activity!$C32*Activity!$D32*Activity!O32</f>
        <v>42.72636600577367</v>
      </c>
      <c r="N33" s="412">
        <v>0</v>
      </c>
      <c r="O33" s="550">
        <f>Activity!C32*Activity!D32</f>
        <v>273.88696157547224</v>
      </c>
      <c r="P33" s="557">
        <f>Activity!X32</f>
        <v>0</v>
      </c>
    </row>
    <row r="34" spans="2:16">
      <c r="B34" s="7">
        <f t="shared" si="1"/>
        <v>2020</v>
      </c>
      <c r="C34" s="769">
        <f>Activity!$C33*Activity!$D33*Activity!E33</f>
        <v>125.14761726617165</v>
      </c>
      <c r="D34" s="550">
        <f>Activity!$C33*Activity!$D33*Activity!F33</f>
        <v>37.11274167203711</v>
      </c>
      <c r="E34" s="548">
        <f>Activity!$C33*Activity!$D33*Activity!G33</f>
        <v>0</v>
      </c>
      <c r="F34" s="550">
        <f>Activity!$C33*Activity!$D33*Activity!H33</f>
        <v>0</v>
      </c>
      <c r="G34" s="550">
        <f>Activity!$C33*Activity!$D33*Activity!I33</f>
        <v>28.481871515749411</v>
      </c>
      <c r="H34" s="550">
        <f>Activity!$C33*Activity!$D33*Activity!J33</f>
        <v>7.7677831406589295</v>
      </c>
      <c r="I34" s="550">
        <f>Activity!$C33*Activity!$D33*Activity!K33</f>
        <v>2.5892610468863095</v>
      </c>
      <c r="J34" s="551">
        <f>Activity!$C33*Activity!$D33*Activity!L33</f>
        <v>20.714088375090476</v>
      </c>
      <c r="K34" s="550">
        <f>Activity!$C33*Activity!$D33*Activity!M33</f>
        <v>9.4939571719164704</v>
      </c>
      <c r="L34" s="550">
        <f>Activity!$C33*Activity!$D33*Activity!N33</f>
        <v>11.507826875050267</v>
      </c>
      <c r="M34" s="548">
        <f>Activity!$C33*Activity!$D33*Activity!O33</f>
        <v>44.880524812696038</v>
      </c>
      <c r="N34" s="412">
        <v>0</v>
      </c>
      <c r="O34" s="550">
        <f>Activity!C33*Activity!D33</f>
        <v>287.69567187625665</v>
      </c>
      <c r="P34" s="557">
        <f>Activity!X33</f>
        <v>0</v>
      </c>
    </row>
    <row r="35" spans="2:16">
      <c r="B35" s="7">
        <f t="shared" si="1"/>
        <v>2021</v>
      </c>
      <c r="C35" s="769">
        <f>Activity!$C34*Activity!$D34*Activity!E34</f>
        <v>131.38328116144322</v>
      </c>
      <c r="D35" s="550">
        <f>Activity!$C34*Activity!$D34*Activity!F34</f>
        <v>38.961938551324543</v>
      </c>
      <c r="E35" s="548">
        <f>Activity!$C34*Activity!$D34*Activity!G34</f>
        <v>0</v>
      </c>
      <c r="F35" s="550">
        <f>Activity!$C34*Activity!$D34*Activity!H34</f>
        <v>0</v>
      </c>
      <c r="G35" s="550">
        <f>Activity!$C34*Activity!$D34*Activity!I34</f>
        <v>29.901022609156048</v>
      </c>
      <c r="H35" s="550">
        <f>Activity!$C34*Activity!$D34*Activity!J34</f>
        <v>8.1548243479516493</v>
      </c>
      <c r="I35" s="550">
        <f>Activity!$C34*Activity!$D34*Activity!K34</f>
        <v>2.7182747826505493</v>
      </c>
      <c r="J35" s="551">
        <f>Activity!$C34*Activity!$D34*Activity!L34</f>
        <v>21.746198261204395</v>
      </c>
      <c r="K35" s="550">
        <f>Activity!$C34*Activity!$D34*Activity!M34</f>
        <v>9.9670075363853492</v>
      </c>
      <c r="L35" s="550">
        <f>Activity!$C34*Activity!$D34*Activity!N34</f>
        <v>12.081221256224666</v>
      </c>
      <c r="M35" s="548">
        <f>Activity!$C34*Activity!$D34*Activity!O34</f>
        <v>47.116762899276189</v>
      </c>
      <c r="N35" s="412">
        <v>0</v>
      </c>
      <c r="O35" s="550">
        <f>Activity!C34*Activity!D34</f>
        <v>302.03053140561661</v>
      </c>
      <c r="P35" s="557">
        <f>Activity!X34</f>
        <v>0</v>
      </c>
    </row>
    <row r="36" spans="2:16">
      <c r="B36" s="7">
        <f t="shared" si="1"/>
        <v>2022</v>
      </c>
      <c r="C36" s="769">
        <f>Activity!$C35*Activity!$D35*Activity!E35</f>
        <v>137.85558667724635</v>
      </c>
      <c r="D36" s="550">
        <f>Activity!$C35*Activity!$D35*Activity!F35</f>
        <v>40.881311911183403</v>
      </c>
      <c r="E36" s="548">
        <f>Activity!$C35*Activity!$D35*Activity!G35</f>
        <v>0</v>
      </c>
      <c r="F36" s="550">
        <f>Activity!$C35*Activity!$D35*Activity!H35</f>
        <v>0</v>
      </c>
      <c r="G36" s="550">
        <f>Activity!$C35*Activity!$D35*Activity!I35</f>
        <v>31.374030071373308</v>
      </c>
      <c r="H36" s="550">
        <f>Activity!$C35*Activity!$D35*Activity!J35</f>
        <v>8.5565536558290827</v>
      </c>
      <c r="I36" s="550">
        <f>Activity!$C35*Activity!$D35*Activity!K35</f>
        <v>2.8521845519430276</v>
      </c>
      <c r="J36" s="551">
        <f>Activity!$C35*Activity!$D35*Activity!L35</f>
        <v>22.81747641554422</v>
      </c>
      <c r="K36" s="550">
        <f>Activity!$C35*Activity!$D35*Activity!M35</f>
        <v>10.458010023791102</v>
      </c>
      <c r="L36" s="550">
        <f>Activity!$C35*Activity!$D35*Activity!N35</f>
        <v>12.676375786413457</v>
      </c>
      <c r="M36" s="548">
        <f>Activity!$C35*Activity!$D35*Activity!O35</f>
        <v>49.43786556701248</v>
      </c>
      <c r="N36" s="412">
        <v>0</v>
      </c>
      <c r="O36" s="550">
        <f>Activity!C35*Activity!D35</f>
        <v>316.90939466033643</v>
      </c>
      <c r="P36" s="557">
        <f>Activity!X35</f>
        <v>0</v>
      </c>
    </row>
    <row r="37" spans="2:16">
      <c r="B37" s="7">
        <f t="shared" si="1"/>
        <v>2023</v>
      </c>
      <c r="C37" s="769">
        <f>Activity!$C36*Activity!$D36*Activity!E36</f>
        <v>144.57254779578017</v>
      </c>
      <c r="D37" s="550">
        <f>Activity!$C36*Activity!$D36*Activity!F36</f>
        <v>42.873238311852049</v>
      </c>
      <c r="E37" s="548">
        <f>Activity!$C36*Activity!$D36*Activity!G36</f>
        <v>0</v>
      </c>
      <c r="F37" s="550">
        <f>Activity!$C36*Activity!$D36*Activity!H36</f>
        <v>0</v>
      </c>
      <c r="G37" s="550">
        <f>Activity!$C36*Activity!$D36*Activity!I36</f>
        <v>32.902717774212036</v>
      </c>
      <c r="H37" s="550">
        <f>Activity!$C36*Activity!$D36*Activity!J36</f>
        <v>8.9734684838760099</v>
      </c>
      <c r="I37" s="550">
        <f>Activity!$C36*Activity!$D36*Activity!K36</f>
        <v>2.991156161292003</v>
      </c>
      <c r="J37" s="551">
        <f>Activity!$C36*Activity!$D36*Activity!L36</f>
        <v>23.929249290336024</v>
      </c>
      <c r="K37" s="550">
        <f>Activity!$C36*Activity!$D36*Activity!M36</f>
        <v>10.967572591404013</v>
      </c>
      <c r="L37" s="550">
        <f>Activity!$C36*Activity!$D36*Activity!N36</f>
        <v>13.294027383520016</v>
      </c>
      <c r="M37" s="548">
        <f>Activity!$C36*Activity!$D36*Activity!O36</f>
        <v>51.846706795728061</v>
      </c>
      <c r="N37" s="412">
        <v>0</v>
      </c>
      <c r="O37" s="550">
        <f>Activity!C36*Activity!D36</f>
        <v>332.35068458800038</v>
      </c>
      <c r="P37" s="557">
        <f>Activity!X36</f>
        <v>0</v>
      </c>
    </row>
    <row r="38" spans="2:16">
      <c r="B38" s="7">
        <f t="shared" si="1"/>
        <v>2024</v>
      </c>
      <c r="C38" s="769">
        <f>Activity!$C37*Activity!$D37*Activity!E37</f>
        <v>151.54243333612234</v>
      </c>
      <c r="D38" s="550">
        <f>Activity!$C37*Activity!$D37*Activity!F37</f>
        <v>44.940169885884558</v>
      </c>
      <c r="E38" s="548">
        <f>Activity!$C37*Activity!$D37*Activity!G37</f>
        <v>0</v>
      </c>
      <c r="F38" s="550">
        <f>Activity!$C37*Activity!$D37*Activity!H37</f>
        <v>0</v>
      </c>
      <c r="G38" s="550">
        <f>Activity!$C37*Activity!$D37*Activity!I37</f>
        <v>34.488967586841639</v>
      </c>
      <c r="H38" s="550">
        <f>Activity!$C37*Activity!$D37*Activity!J37</f>
        <v>9.4060820691386287</v>
      </c>
      <c r="I38" s="550">
        <f>Activity!$C37*Activity!$D37*Activity!K37</f>
        <v>3.1353606897128761</v>
      </c>
      <c r="J38" s="551">
        <f>Activity!$C37*Activity!$D37*Activity!L37</f>
        <v>25.082885517703009</v>
      </c>
      <c r="K38" s="550">
        <f>Activity!$C37*Activity!$D37*Activity!M37</f>
        <v>11.496322528947212</v>
      </c>
      <c r="L38" s="550">
        <f>Activity!$C37*Activity!$D37*Activity!N37</f>
        <v>13.934936398723893</v>
      </c>
      <c r="M38" s="548">
        <f>Activity!$C37*Activity!$D37*Activity!O37</f>
        <v>54.346251955023185</v>
      </c>
      <c r="N38" s="412">
        <v>0</v>
      </c>
      <c r="O38" s="550">
        <f>Activity!C37*Activity!D37</f>
        <v>348.37340996809735</v>
      </c>
      <c r="P38" s="557">
        <f>Activity!X37</f>
        <v>0</v>
      </c>
    </row>
    <row r="39" spans="2:16">
      <c r="B39" s="7">
        <f t="shared" si="1"/>
        <v>2025</v>
      </c>
      <c r="C39" s="769">
        <f>Activity!$C38*Activity!$D38*Activity!E38</f>
        <v>158.77377473981775</v>
      </c>
      <c r="D39" s="550">
        <f>Activity!$C38*Activity!$D38*Activity!F38</f>
        <v>47.084636646980442</v>
      </c>
      <c r="E39" s="548">
        <f>Activity!$C38*Activity!$D38*Activity!G38</f>
        <v>0</v>
      </c>
      <c r="F39" s="550">
        <f>Activity!$C38*Activity!$D38*Activity!H38</f>
        <v>0</v>
      </c>
      <c r="G39" s="550">
        <f>Activity!$C38*Activity!$D38*Activity!I38</f>
        <v>36.134721147682669</v>
      </c>
      <c r="H39" s="550">
        <f>Activity!$C38*Activity!$D38*Activity!J38</f>
        <v>9.8549239493679988</v>
      </c>
      <c r="I39" s="550">
        <f>Activity!$C38*Activity!$D38*Activity!K38</f>
        <v>3.2849746497893331</v>
      </c>
      <c r="J39" s="551">
        <f>Activity!$C38*Activity!$D38*Activity!L38</f>
        <v>26.279797198314665</v>
      </c>
      <c r="K39" s="550">
        <f>Activity!$C38*Activity!$D38*Activity!M38</f>
        <v>12.044907049227556</v>
      </c>
      <c r="L39" s="550">
        <f>Activity!$C38*Activity!$D38*Activity!N38</f>
        <v>14.599887332397037</v>
      </c>
      <c r="M39" s="548">
        <f>Activity!$C38*Activity!$D38*Activity!O38</f>
        <v>56.939560596348443</v>
      </c>
      <c r="N39" s="412">
        <v>0</v>
      </c>
      <c r="O39" s="550">
        <f>Activity!C38*Activity!D38</f>
        <v>364.9971833099259</v>
      </c>
      <c r="P39" s="557">
        <f>Activity!X38</f>
        <v>0</v>
      </c>
    </row>
    <row r="40" spans="2:16">
      <c r="B40" s="7">
        <f t="shared" si="1"/>
        <v>2026</v>
      </c>
      <c r="C40" s="769">
        <f>Activity!$C39*Activity!$D39*Activity!E39</f>
        <v>166.27537408782482</v>
      </c>
      <c r="D40" s="550">
        <f>Activity!$C39*Activity!$D39*Activity!F39</f>
        <v>49.309248867423911</v>
      </c>
      <c r="E40" s="548">
        <f>Activity!$C39*Activity!$D39*Activity!G39</f>
        <v>0</v>
      </c>
      <c r="F40" s="550">
        <f>Activity!$C39*Activity!$D39*Activity!H39</f>
        <v>0</v>
      </c>
      <c r="G40" s="550">
        <f>Activity!$C39*Activity!$D39*Activity!I39</f>
        <v>37.84198168895324</v>
      </c>
      <c r="H40" s="550">
        <f>Activity!$C39*Activity!$D39*Activity!J39</f>
        <v>10.32054046062361</v>
      </c>
      <c r="I40" s="550">
        <f>Activity!$C39*Activity!$D39*Activity!K39</f>
        <v>3.4401801535412031</v>
      </c>
      <c r="J40" s="551">
        <f>Activity!$C39*Activity!$D39*Activity!L39</f>
        <v>27.521441228329625</v>
      </c>
      <c r="K40" s="550">
        <f>Activity!$C39*Activity!$D39*Activity!M39</f>
        <v>12.613993896317746</v>
      </c>
      <c r="L40" s="550">
        <f>Activity!$C39*Activity!$D39*Activity!N39</f>
        <v>15.289689571294236</v>
      </c>
      <c r="M40" s="548">
        <f>Activity!$C39*Activity!$D39*Activity!O39</f>
        <v>59.629789328047522</v>
      </c>
      <c r="N40" s="412">
        <v>0</v>
      </c>
      <c r="O40" s="550">
        <f>Activity!C39*Activity!D39</f>
        <v>382.24223928235591</v>
      </c>
      <c r="P40" s="557">
        <f>Activity!X39</f>
        <v>0</v>
      </c>
    </row>
    <row r="41" spans="2:16">
      <c r="B41" s="7">
        <f t="shared" si="1"/>
        <v>2027</v>
      </c>
      <c r="C41" s="769">
        <f>Activity!$C40*Activity!$D40*Activity!E40</f>
        <v>174.05631235555572</v>
      </c>
      <c r="D41" s="550">
        <f>Activity!$C40*Activity!$D40*Activity!F40</f>
        <v>51.616699526130319</v>
      </c>
      <c r="E41" s="548">
        <f>Activity!$C40*Activity!$D40*Activity!G40</f>
        <v>0</v>
      </c>
      <c r="F41" s="550">
        <f>Activity!$C40*Activity!$D40*Activity!H40</f>
        <v>0</v>
      </c>
      <c r="G41" s="550">
        <f>Activity!$C40*Activity!$D40*Activity!I40</f>
        <v>39.612815915402336</v>
      </c>
      <c r="H41" s="550">
        <f>Activity!$C40*Activity!$D40*Activity!J40</f>
        <v>10.803495249655182</v>
      </c>
      <c r="I41" s="550">
        <f>Activity!$C40*Activity!$D40*Activity!K40</f>
        <v>3.6011650832183939</v>
      </c>
      <c r="J41" s="551">
        <f>Activity!$C40*Activity!$D40*Activity!L40</f>
        <v>28.809320665747151</v>
      </c>
      <c r="K41" s="550">
        <f>Activity!$C40*Activity!$D40*Activity!M40</f>
        <v>13.204271971800779</v>
      </c>
      <c r="L41" s="550">
        <f>Activity!$C40*Activity!$D40*Activity!N40</f>
        <v>16.005178147637306</v>
      </c>
      <c r="M41" s="548">
        <f>Activity!$C40*Activity!$D40*Activity!O40</f>
        <v>62.420194775785497</v>
      </c>
      <c r="N41" s="412">
        <v>0</v>
      </c>
      <c r="O41" s="550">
        <f>Activity!C40*Activity!D40</f>
        <v>400.12945369093268</v>
      </c>
      <c r="P41" s="557">
        <f>Activity!X40</f>
        <v>0</v>
      </c>
    </row>
    <row r="42" spans="2:16">
      <c r="B42" s="7">
        <f t="shared" si="1"/>
        <v>2028</v>
      </c>
      <c r="C42" s="769">
        <f>Activity!$C41*Activity!$D41*Activity!E41</f>
        <v>182.12595791294027</v>
      </c>
      <c r="D42" s="550">
        <f>Activity!$C41*Activity!$D41*Activity!F41</f>
        <v>54.009766829354703</v>
      </c>
      <c r="E42" s="548">
        <f>Activity!$C41*Activity!$D41*Activity!G41</f>
        <v>0</v>
      </c>
      <c r="F42" s="550">
        <f>Activity!$C41*Activity!$D41*Activity!H41</f>
        <v>0</v>
      </c>
      <c r="G42" s="550">
        <f>Activity!$C41*Activity!$D41*Activity!I41</f>
        <v>41.449355938807102</v>
      </c>
      <c r="H42" s="550">
        <f>Activity!$C41*Activity!$D41*Activity!J41</f>
        <v>11.304369801492845</v>
      </c>
      <c r="I42" s="550">
        <f>Activity!$C41*Activity!$D41*Activity!K41</f>
        <v>3.768123267164281</v>
      </c>
      <c r="J42" s="551">
        <f>Activity!$C41*Activity!$D41*Activity!L41</f>
        <v>30.144986137314248</v>
      </c>
      <c r="K42" s="550">
        <f>Activity!$C41*Activity!$D41*Activity!M41</f>
        <v>13.816451979602366</v>
      </c>
      <c r="L42" s="550">
        <f>Activity!$C41*Activity!$D41*Activity!N41</f>
        <v>16.747214520730139</v>
      </c>
      <c r="M42" s="548">
        <f>Activity!$C41*Activity!$D41*Activity!O41</f>
        <v>65.314136630847543</v>
      </c>
      <c r="N42" s="412">
        <v>0</v>
      </c>
      <c r="O42" s="550">
        <f>Activity!C41*Activity!D41</f>
        <v>418.6803630182535</v>
      </c>
      <c r="P42" s="557">
        <f>Activity!X41</f>
        <v>0</v>
      </c>
    </row>
    <row r="43" spans="2:16">
      <c r="B43" s="7">
        <f t="shared" si="1"/>
        <v>2029</v>
      </c>
      <c r="C43" s="769">
        <f>Activity!$C42*Activity!$D42*Activity!E42</f>
        <v>190.49397527664226</v>
      </c>
      <c r="D43" s="550">
        <f>Activity!$C42*Activity!$D42*Activity!F42</f>
        <v>56.49131680617667</v>
      </c>
      <c r="E43" s="548">
        <f>Activity!$C42*Activity!$D42*Activity!G42</f>
        <v>0</v>
      </c>
      <c r="F43" s="550">
        <f>Activity!$C42*Activity!$D42*Activity!H42</f>
        <v>0</v>
      </c>
      <c r="G43" s="550">
        <f>Activity!$C42*Activity!$D42*Activity!I42</f>
        <v>43.353801269856518</v>
      </c>
      <c r="H43" s="550">
        <f>Activity!$C42*Activity!$D42*Activity!J42</f>
        <v>11.82376398268814</v>
      </c>
      <c r="I43" s="550">
        <f>Activity!$C42*Activity!$D42*Activity!K42</f>
        <v>3.9412546608960461</v>
      </c>
      <c r="J43" s="551">
        <f>Activity!$C42*Activity!$D42*Activity!L42</f>
        <v>31.530037287168369</v>
      </c>
      <c r="K43" s="550">
        <f>Activity!$C42*Activity!$D42*Activity!M42</f>
        <v>14.451267089952172</v>
      </c>
      <c r="L43" s="550">
        <f>Activity!$C42*Activity!$D42*Activity!N42</f>
        <v>17.516687381760207</v>
      </c>
      <c r="M43" s="548">
        <f>Activity!$C42*Activity!$D42*Activity!O42</f>
        <v>68.315080788864805</v>
      </c>
      <c r="N43" s="412">
        <v>0</v>
      </c>
      <c r="O43" s="550">
        <f>Activity!C42*Activity!D42</f>
        <v>437.91718454400518</v>
      </c>
      <c r="P43" s="557">
        <f>Activity!X42</f>
        <v>0</v>
      </c>
    </row>
    <row r="44" spans="2:16">
      <c r="B44" s="7">
        <f t="shared" si="1"/>
        <v>2030</v>
      </c>
      <c r="C44" s="769">
        <f>Activity!$C43*Activity!$D43*Activity!E43</f>
        <v>199.30278341699997</v>
      </c>
      <c r="D44" s="550">
        <f>Activity!$C43*Activity!$D43*Activity!F43</f>
        <v>59.103584047799998</v>
      </c>
      <c r="E44" s="548">
        <f>Activity!$C43*Activity!$D43*Activity!G43</f>
        <v>0</v>
      </c>
      <c r="F44" s="550">
        <f>Activity!$C43*Activity!$D43*Activity!H43</f>
        <v>0</v>
      </c>
      <c r="G44" s="550">
        <f>Activity!$C43*Activity!$D43*Activity!I43</f>
        <v>45.358564501799997</v>
      </c>
      <c r="H44" s="550">
        <f>Activity!$C43*Activity!$D43*Activity!J43</f>
        <v>12.370517591399999</v>
      </c>
      <c r="I44" s="550">
        <f>Activity!$C43*Activity!$D43*Activity!K43</f>
        <v>4.1235058637999993</v>
      </c>
      <c r="J44" s="551">
        <f>Activity!$C43*Activity!$D43*Activity!L43</f>
        <v>32.988046910399994</v>
      </c>
      <c r="K44" s="550">
        <f>Activity!$C43*Activity!$D43*Activity!M43</f>
        <v>15.119521500599999</v>
      </c>
      <c r="L44" s="550">
        <f>Activity!$C43*Activity!$D43*Activity!N43</f>
        <v>18.326692727999998</v>
      </c>
      <c r="M44" s="548">
        <f>Activity!$C43*Activity!$D43*Activity!O43</f>
        <v>71.474101639199986</v>
      </c>
      <c r="N44" s="412">
        <v>0</v>
      </c>
      <c r="O44" s="550">
        <f>Activity!C43*Activity!D43</f>
        <v>458.16731819999995</v>
      </c>
      <c r="P44" s="557">
        <f>Activity!X43</f>
        <v>0</v>
      </c>
    </row>
    <row r="45" spans="2:16">
      <c r="B45" s="7">
        <f t="shared" si="1"/>
        <v>2031</v>
      </c>
      <c r="C45" s="549">
        <f>Activity!$C44*Activity!$D44*Activity!E44</f>
        <v>0</v>
      </c>
      <c r="D45" s="550">
        <f>Activity!$C44*Activity!$D44*Activity!F44</f>
        <v>0</v>
      </c>
      <c r="E45" s="548">
        <f>Activity!$C44*Activity!$D44*Activity!G44</f>
        <v>0</v>
      </c>
      <c r="F45" s="550">
        <f>Activity!$C44*Activity!$D44*Activity!H44</f>
        <v>0</v>
      </c>
      <c r="G45" s="550">
        <f>Activity!$C44*Activity!$D44*Activity!I44</f>
        <v>0</v>
      </c>
      <c r="H45" s="550">
        <f>Activity!$C44*Activity!$D44*Activity!J44</f>
        <v>0</v>
      </c>
      <c r="I45" s="550">
        <f>Activity!$C44*Activity!$D44*Activity!K44</f>
        <v>0</v>
      </c>
      <c r="J45" s="551">
        <f>Activity!$C44*Activity!$D44*Activity!L44</f>
        <v>0</v>
      </c>
      <c r="K45" s="550">
        <f>Activity!$C44*Activity!$D44*Activity!M44</f>
        <v>0</v>
      </c>
      <c r="L45" s="550">
        <f>Activity!$C44*Activity!$D44*Activity!N44</f>
        <v>0</v>
      </c>
      <c r="M45" s="548">
        <f>Activity!$C44*Activity!$D44*Activity!O44</f>
        <v>0</v>
      </c>
      <c r="N45" s="412">
        <v>0</v>
      </c>
      <c r="O45" s="550">
        <f>Activity!C44*Activity!D44</f>
        <v>0</v>
      </c>
      <c r="P45" s="557">
        <f>Activity!X44</f>
        <v>0</v>
      </c>
    </row>
    <row r="46" spans="2:16">
      <c r="B46" s="7">
        <f t="shared" si="1"/>
        <v>2032</v>
      </c>
      <c r="C46" s="549">
        <f>Activity!$C45*Activity!$D45*Activity!E45</f>
        <v>0</v>
      </c>
      <c r="D46" s="550">
        <f>Activity!$C45*Activity!$D45*Activity!F45</f>
        <v>0</v>
      </c>
      <c r="E46" s="548">
        <f>Activity!$C45*Activity!$D45*Activity!G45</f>
        <v>0</v>
      </c>
      <c r="F46" s="550">
        <f>Activity!$C45*Activity!$D45*Activity!H45</f>
        <v>0</v>
      </c>
      <c r="G46" s="550">
        <f>Activity!$C45*Activity!$D45*Activity!I45</f>
        <v>0</v>
      </c>
      <c r="H46" s="550">
        <f>Activity!$C45*Activity!$D45*Activity!J45</f>
        <v>0</v>
      </c>
      <c r="I46" s="550">
        <f>Activity!$C45*Activity!$D45*Activity!K45</f>
        <v>0</v>
      </c>
      <c r="J46" s="551">
        <f>Activity!$C45*Activity!$D45*Activity!L45</f>
        <v>0</v>
      </c>
      <c r="K46" s="550">
        <f>Activity!$C45*Activity!$D45*Activity!M45</f>
        <v>0</v>
      </c>
      <c r="L46" s="550">
        <f>Activity!$C45*Activity!$D45*Activity!N45</f>
        <v>0</v>
      </c>
      <c r="M46" s="548">
        <f>Activity!$C45*Activity!$D45*Activity!O45</f>
        <v>0</v>
      </c>
      <c r="N46" s="412">
        <v>0</v>
      </c>
      <c r="O46" s="550">
        <f>Activity!C45*Activity!D45</f>
        <v>0</v>
      </c>
      <c r="P46" s="557">
        <f>Activity!X45</f>
        <v>0</v>
      </c>
    </row>
    <row r="47" spans="2:16">
      <c r="B47" s="7">
        <f t="shared" si="1"/>
        <v>2033</v>
      </c>
      <c r="C47" s="549">
        <f>Activity!$C46*Activity!$D46*Activity!E46</f>
        <v>0</v>
      </c>
      <c r="D47" s="550">
        <f>Activity!$C46*Activity!$D46*Activity!F46</f>
        <v>0</v>
      </c>
      <c r="E47" s="548">
        <f>Activity!$C46*Activity!$D46*Activity!G46</f>
        <v>0</v>
      </c>
      <c r="F47" s="550">
        <f>Activity!$C46*Activity!$D46*Activity!H46</f>
        <v>0</v>
      </c>
      <c r="G47" s="550">
        <f>Activity!$C46*Activity!$D46*Activity!I46</f>
        <v>0</v>
      </c>
      <c r="H47" s="550">
        <f>Activity!$C46*Activity!$D46*Activity!J46</f>
        <v>0</v>
      </c>
      <c r="I47" s="550">
        <f>Activity!$C46*Activity!$D46*Activity!K46</f>
        <v>0</v>
      </c>
      <c r="J47" s="551">
        <f>Activity!$C46*Activity!$D46*Activity!L46</f>
        <v>0</v>
      </c>
      <c r="K47" s="550">
        <f>Activity!$C46*Activity!$D46*Activity!M46</f>
        <v>0</v>
      </c>
      <c r="L47" s="550">
        <f>Activity!$C46*Activity!$D46*Activity!N46</f>
        <v>0</v>
      </c>
      <c r="M47" s="548">
        <f>Activity!$C46*Activity!$D46*Activity!O46</f>
        <v>0</v>
      </c>
      <c r="N47" s="412">
        <v>0</v>
      </c>
      <c r="O47" s="550">
        <f>Activity!C46*Activity!D46</f>
        <v>0</v>
      </c>
      <c r="P47" s="557">
        <f>Activity!X46</f>
        <v>0</v>
      </c>
    </row>
    <row r="48" spans="2:16">
      <c r="B48" s="7">
        <f t="shared" si="1"/>
        <v>2034</v>
      </c>
      <c r="C48" s="549">
        <f>Activity!$C47*Activity!$D47*Activity!E47</f>
        <v>0</v>
      </c>
      <c r="D48" s="550">
        <f>Activity!$C47*Activity!$D47*Activity!F47</f>
        <v>0</v>
      </c>
      <c r="E48" s="548">
        <f>Activity!$C47*Activity!$D47*Activity!G47</f>
        <v>0</v>
      </c>
      <c r="F48" s="550">
        <f>Activity!$C47*Activity!$D47*Activity!H47</f>
        <v>0</v>
      </c>
      <c r="G48" s="550">
        <f>Activity!$C47*Activity!$D47*Activity!I47</f>
        <v>0</v>
      </c>
      <c r="H48" s="550">
        <f>Activity!$C47*Activity!$D47*Activity!J47</f>
        <v>0</v>
      </c>
      <c r="I48" s="550">
        <f>Activity!$C47*Activity!$D47*Activity!K47</f>
        <v>0</v>
      </c>
      <c r="J48" s="551">
        <f>Activity!$C47*Activity!$D47*Activity!L47</f>
        <v>0</v>
      </c>
      <c r="K48" s="550">
        <f>Activity!$C47*Activity!$D47*Activity!M47</f>
        <v>0</v>
      </c>
      <c r="L48" s="550">
        <f>Activity!$C47*Activity!$D47*Activity!N47</f>
        <v>0</v>
      </c>
      <c r="M48" s="548">
        <f>Activity!$C47*Activity!$D47*Activity!O47</f>
        <v>0</v>
      </c>
      <c r="N48" s="412">
        <v>0</v>
      </c>
      <c r="O48" s="550">
        <f>Activity!C47*Activity!D47</f>
        <v>0</v>
      </c>
      <c r="P48" s="557">
        <f>Activity!X47</f>
        <v>0</v>
      </c>
    </row>
    <row r="49" spans="2:16">
      <c r="B49" s="7">
        <f t="shared" si="1"/>
        <v>2035</v>
      </c>
      <c r="C49" s="549">
        <f>Activity!$C48*Activity!$D48*Activity!E48</f>
        <v>0</v>
      </c>
      <c r="D49" s="550">
        <f>Activity!$C48*Activity!$D48*Activity!F48</f>
        <v>0</v>
      </c>
      <c r="E49" s="548">
        <f>Activity!$C48*Activity!$D48*Activity!G48</f>
        <v>0</v>
      </c>
      <c r="F49" s="550">
        <f>Activity!$C48*Activity!$D48*Activity!H48</f>
        <v>0</v>
      </c>
      <c r="G49" s="550">
        <f>Activity!$C48*Activity!$D48*Activity!I48</f>
        <v>0</v>
      </c>
      <c r="H49" s="550">
        <f>Activity!$C48*Activity!$D48*Activity!J48</f>
        <v>0</v>
      </c>
      <c r="I49" s="550">
        <f>Activity!$C48*Activity!$D48*Activity!K48</f>
        <v>0</v>
      </c>
      <c r="J49" s="551">
        <f>Activity!$C48*Activity!$D48*Activity!L48</f>
        <v>0</v>
      </c>
      <c r="K49" s="550">
        <f>Activity!$C48*Activity!$D48*Activity!M48</f>
        <v>0</v>
      </c>
      <c r="L49" s="550">
        <f>Activity!$C48*Activity!$D48*Activity!N48</f>
        <v>0</v>
      </c>
      <c r="M49" s="548">
        <f>Activity!$C48*Activity!$D48*Activity!O48</f>
        <v>0</v>
      </c>
      <c r="N49" s="412">
        <v>0</v>
      </c>
      <c r="O49" s="550">
        <f>Activity!C48*Activity!D48</f>
        <v>0</v>
      </c>
      <c r="P49" s="557">
        <f>Activity!X48</f>
        <v>0</v>
      </c>
    </row>
    <row r="50" spans="2:16">
      <c r="B50" s="7">
        <f t="shared" si="1"/>
        <v>2036</v>
      </c>
      <c r="C50" s="549">
        <f>Activity!$C49*Activity!$D49*Activity!E49</f>
        <v>0</v>
      </c>
      <c r="D50" s="550">
        <f>Activity!$C49*Activity!$D49*Activity!F49</f>
        <v>0</v>
      </c>
      <c r="E50" s="548">
        <f>Activity!$C49*Activity!$D49*Activity!G49</f>
        <v>0</v>
      </c>
      <c r="F50" s="550">
        <f>Activity!$C49*Activity!$D49*Activity!H49</f>
        <v>0</v>
      </c>
      <c r="G50" s="550">
        <f>Activity!$C49*Activity!$D49*Activity!I49</f>
        <v>0</v>
      </c>
      <c r="H50" s="550">
        <f>Activity!$C49*Activity!$D49*Activity!J49</f>
        <v>0</v>
      </c>
      <c r="I50" s="550">
        <f>Activity!$C49*Activity!$D49*Activity!K49</f>
        <v>0</v>
      </c>
      <c r="J50" s="551">
        <f>Activity!$C49*Activity!$D49*Activity!L49</f>
        <v>0</v>
      </c>
      <c r="K50" s="550">
        <f>Activity!$C49*Activity!$D49*Activity!M49</f>
        <v>0</v>
      </c>
      <c r="L50" s="550">
        <f>Activity!$C49*Activity!$D49*Activity!N49</f>
        <v>0</v>
      </c>
      <c r="M50" s="548">
        <f>Activity!$C49*Activity!$D49*Activity!O49</f>
        <v>0</v>
      </c>
      <c r="N50" s="412">
        <v>0</v>
      </c>
      <c r="O50" s="550">
        <f>Activity!C49*Activity!D49</f>
        <v>0</v>
      </c>
      <c r="P50" s="557">
        <f>Activity!X49</f>
        <v>0</v>
      </c>
    </row>
    <row r="51" spans="2:16">
      <c r="B51" s="7">
        <f t="shared" si="1"/>
        <v>2037</v>
      </c>
      <c r="C51" s="549">
        <f>Activity!$C50*Activity!$D50*Activity!E50</f>
        <v>0</v>
      </c>
      <c r="D51" s="550">
        <f>Activity!$C50*Activity!$D50*Activity!F50</f>
        <v>0</v>
      </c>
      <c r="E51" s="548">
        <f>Activity!$C50*Activity!$D50*Activity!G50</f>
        <v>0</v>
      </c>
      <c r="F51" s="550">
        <f>Activity!$C50*Activity!$D50*Activity!H50</f>
        <v>0</v>
      </c>
      <c r="G51" s="550">
        <f>Activity!$C50*Activity!$D50*Activity!I50</f>
        <v>0</v>
      </c>
      <c r="H51" s="550">
        <f>Activity!$C50*Activity!$D50*Activity!J50</f>
        <v>0</v>
      </c>
      <c r="I51" s="550">
        <f>Activity!$C50*Activity!$D50*Activity!K50</f>
        <v>0</v>
      </c>
      <c r="J51" s="551">
        <f>Activity!$C50*Activity!$D50*Activity!L50</f>
        <v>0</v>
      </c>
      <c r="K51" s="550">
        <f>Activity!$C50*Activity!$D50*Activity!M50</f>
        <v>0</v>
      </c>
      <c r="L51" s="550">
        <f>Activity!$C50*Activity!$D50*Activity!N50</f>
        <v>0</v>
      </c>
      <c r="M51" s="548">
        <f>Activity!$C50*Activity!$D50*Activity!O50</f>
        <v>0</v>
      </c>
      <c r="N51" s="412">
        <v>0</v>
      </c>
      <c r="O51" s="550">
        <f>Activity!C50*Activity!D50</f>
        <v>0</v>
      </c>
      <c r="P51" s="557">
        <f>Activity!X50</f>
        <v>0</v>
      </c>
    </row>
    <row r="52" spans="2:16">
      <c r="B52" s="7">
        <f t="shared" si="1"/>
        <v>2038</v>
      </c>
      <c r="C52" s="549">
        <f>Activity!$C51*Activity!$D51*Activity!E51</f>
        <v>0</v>
      </c>
      <c r="D52" s="550">
        <f>Activity!$C51*Activity!$D51*Activity!F51</f>
        <v>0</v>
      </c>
      <c r="E52" s="548">
        <f>Activity!$C51*Activity!$D51*Activity!G51</f>
        <v>0</v>
      </c>
      <c r="F52" s="550">
        <f>Activity!$C51*Activity!$D51*Activity!H51</f>
        <v>0</v>
      </c>
      <c r="G52" s="550">
        <f>Activity!$C51*Activity!$D51*Activity!I51</f>
        <v>0</v>
      </c>
      <c r="H52" s="550">
        <f>Activity!$C51*Activity!$D51*Activity!J51</f>
        <v>0</v>
      </c>
      <c r="I52" s="550">
        <f>Activity!$C51*Activity!$D51*Activity!K51</f>
        <v>0</v>
      </c>
      <c r="J52" s="551">
        <f>Activity!$C51*Activity!$D51*Activity!L51</f>
        <v>0</v>
      </c>
      <c r="K52" s="550">
        <f>Activity!$C51*Activity!$D51*Activity!M51</f>
        <v>0</v>
      </c>
      <c r="L52" s="550">
        <f>Activity!$C51*Activity!$D51*Activity!N51</f>
        <v>0</v>
      </c>
      <c r="M52" s="548">
        <f>Activity!$C51*Activity!$D51*Activity!O51</f>
        <v>0</v>
      </c>
      <c r="N52" s="412">
        <v>0</v>
      </c>
      <c r="O52" s="550">
        <f>Activity!C51*Activity!D51</f>
        <v>0</v>
      </c>
      <c r="P52" s="557">
        <f>Activity!X51</f>
        <v>0</v>
      </c>
    </row>
    <row r="53" spans="2:16">
      <c r="B53" s="7">
        <f t="shared" si="1"/>
        <v>2039</v>
      </c>
      <c r="C53" s="549">
        <f>Activity!$C52*Activity!$D52*Activity!E52</f>
        <v>0</v>
      </c>
      <c r="D53" s="550">
        <f>Activity!$C52*Activity!$D52*Activity!F52</f>
        <v>0</v>
      </c>
      <c r="E53" s="548">
        <f>Activity!$C52*Activity!$D52*Activity!G52</f>
        <v>0</v>
      </c>
      <c r="F53" s="550">
        <f>Activity!$C52*Activity!$D52*Activity!H52</f>
        <v>0</v>
      </c>
      <c r="G53" s="550">
        <f>Activity!$C52*Activity!$D52*Activity!I52</f>
        <v>0</v>
      </c>
      <c r="H53" s="550">
        <f>Activity!$C52*Activity!$D52*Activity!J52</f>
        <v>0</v>
      </c>
      <c r="I53" s="550">
        <f>Activity!$C52*Activity!$D52*Activity!K52</f>
        <v>0</v>
      </c>
      <c r="J53" s="551">
        <f>Activity!$C52*Activity!$D52*Activity!L52</f>
        <v>0</v>
      </c>
      <c r="K53" s="550">
        <f>Activity!$C52*Activity!$D52*Activity!M52</f>
        <v>0</v>
      </c>
      <c r="L53" s="550">
        <f>Activity!$C52*Activity!$D52*Activity!N52</f>
        <v>0</v>
      </c>
      <c r="M53" s="548">
        <f>Activity!$C52*Activity!$D52*Activity!O52</f>
        <v>0</v>
      </c>
      <c r="N53" s="412">
        <v>0</v>
      </c>
      <c r="O53" s="550">
        <f>Activity!C52*Activity!D52</f>
        <v>0</v>
      </c>
      <c r="P53" s="557">
        <f>Activity!X52</f>
        <v>0</v>
      </c>
    </row>
    <row r="54" spans="2:16">
      <c r="B54" s="7">
        <f t="shared" si="1"/>
        <v>2040</v>
      </c>
      <c r="C54" s="549">
        <f>Activity!$C53*Activity!$D53*Activity!E53</f>
        <v>0</v>
      </c>
      <c r="D54" s="550">
        <f>Activity!$C53*Activity!$D53*Activity!F53</f>
        <v>0</v>
      </c>
      <c r="E54" s="548">
        <f>Activity!$C53*Activity!$D53*Activity!G53</f>
        <v>0</v>
      </c>
      <c r="F54" s="550">
        <f>Activity!$C53*Activity!$D53*Activity!H53</f>
        <v>0</v>
      </c>
      <c r="G54" s="550">
        <f>Activity!$C53*Activity!$D53*Activity!I53</f>
        <v>0</v>
      </c>
      <c r="H54" s="550">
        <f>Activity!$C53*Activity!$D53*Activity!J53</f>
        <v>0</v>
      </c>
      <c r="I54" s="550">
        <f>Activity!$C53*Activity!$D53*Activity!K53</f>
        <v>0</v>
      </c>
      <c r="J54" s="551">
        <f>Activity!$C53*Activity!$D53*Activity!L53</f>
        <v>0</v>
      </c>
      <c r="K54" s="550">
        <f>Activity!$C53*Activity!$D53*Activity!M53</f>
        <v>0</v>
      </c>
      <c r="L54" s="550">
        <f>Activity!$C53*Activity!$D53*Activity!N53</f>
        <v>0</v>
      </c>
      <c r="M54" s="548">
        <f>Activity!$C53*Activity!$D53*Activity!O53</f>
        <v>0</v>
      </c>
      <c r="N54" s="412">
        <v>0</v>
      </c>
      <c r="O54" s="550">
        <f>Activity!C53*Activity!D53</f>
        <v>0</v>
      </c>
      <c r="P54" s="557">
        <f>Activity!X53</f>
        <v>0</v>
      </c>
    </row>
    <row r="55" spans="2:16">
      <c r="B55" s="7">
        <f t="shared" si="1"/>
        <v>2041</v>
      </c>
      <c r="C55" s="549">
        <f>Activity!$C54*Activity!$D54*Activity!E54</f>
        <v>0</v>
      </c>
      <c r="D55" s="550">
        <f>Activity!$C54*Activity!$D54*Activity!F54</f>
        <v>0</v>
      </c>
      <c r="E55" s="548">
        <f>Activity!$C54*Activity!$D54*Activity!G54</f>
        <v>0</v>
      </c>
      <c r="F55" s="550">
        <f>Activity!$C54*Activity!$D54*Activity!H54</f>
        <v>0</v>
      </c>
      <c r="G55" s="550">
        <f>Activity!$C54*Activity!$D54*Activity!I54</f>
        <v>0</v>
      </c>
      <c r="H55" s="550">
        <f>Activity!$C54*Activity!$D54*Activity!J54</f>
        <v>0</v>
      </c>
      <c r="I55" s="550">
        <f>Activity!$C54*Activity!$D54*Activity!K54</f>
        <v>0</v>
      </c>
      <c r="J55" s="551">
        <f>Activity!$C54*Activity!$D54*Activity!L54</f>
        <v>0</v>
      </c>
      <c r="K55" s="550">
        <f>Activity!$C54*Activity!$D54*Activity!M54</f>
        <v>0</v>
      </c>
      <c r="L55" s="550">
        <f>Activity!$C54*Activity!$D54*Activity!N54</f>
        <v>0</v>
      </c>
      <c r="M55" s="548">
        <f>Activity!$C54*Activity!$D54*Activity!O54</f>
        <v>0</v>
      </c>
      <c r="N55" s="412">
        <v>0</v>
      </c>
      <c r="O55" s="550">
        <f>Activity!C54*Activity!D54</f>
        <v>0</v>
      </c>
      <c r="P55" s="557">
        <f>Activity!X54</f>
        <v>0</v>
      </c>
    </row>
    <row r="56" spans="2:16">
      <c r="B56" s="7">
        <f t="shared" si="1"/>
        <v>2042</v>
      </c>
      <c r="C56" s="549">
        <f>Activity!$C55*Activity!$D55*Activity!E55</f>
        <v>0</v>
      </c>
      <c r="D56" s="550">
        <f>Activity!$C55*Activity!$D55*Activity!F55</f>
        <v>0</v>
      </c>
      <c r="E56" s="548">
        <f>Activity!$C55*Activity!$D55*Activity!G55</f>
        <v>0</v>
      </c>
      <c r="F56" s="550">
        <f>Activity!$C55*Activity!$D55*Activity!H55</f>
        <v>0</v>
      </c>
      <c r="G56" s="550">
        <f>Activity!$C55*Activity!$D55*Activity!I55</f>
        <v>0</v>
      </c>
      <c r="H56" s="550">
        <f>Activity!$C55*Activity!$D55*Activity!J55</f>
        <v>0</v>
      </c>
      <c r="I56" s="550">
        <f>Activity!$C55*Activity!$D55*Activity!K55</f>
        <v>0</v>
      </c>
      <c r="J56" s="551">
        <f>Activity!$C55*Activity!$D55*Activity!L55</f>
        <v>0</v>
      </c>
      <c r="K56" s="550">
        <f>Activity!$C55*Activity!$D55*Activity!M55</f>
        <v>0</v>
      </c>
      <c r="L56" s="550">
        <f>Activity!$C55*Activity!$D55*Activity!N55</f>
        <v>0</v>
      </c>
      <c r="M56" s="548">
        <f>Activity!$C55*Activity!$D55*Activity!O55</f>
        <v>0</v>
      </c>
      <c r="N56" s="412">
        <v>0</v>
      </c>
      <c r="O56" s="550">
        <f>Activity!C55*Activity!D55</f>
        <v>0</v>
      </c>
      <c r="P56" s="557">
        <f>Activity!X55</f>
        <v>0</v>
      </c>
    </row>
    <row r="57" spans="2:16">
      <c r="B57" s="7">
        <f t="shared" si="1"/>
        <v>2043</v>
      </c>
      <c r="C57" s="549">
        <f>Activity!$C56*Activity!$D56*Activity!E56</f>
        <v>0</v>
      </c>
      <c r="D57" s="550">
        <f>Activity!$C56*Activity!$D56*Activity!F56</f>
        <v>0</v>
      </c>
      <c r="E57" s="548">
        <f>Activity!$C56*Activity!$D56*Activity!G56</f>
        <v>0</v>
      </c>
      <c r="F57" s="550">
        <f>Activity!$C56*Activity!$D56*Activity!H56</f>
        <v>0</v>
      </c>
      <c r="G57" s="550">
        <f>Activity!$C56*Activity!$D56*Activity!I56</f>
        <v>0</v>
      </c>
      <c r="H57" s="550">
        <f>Activity!$C56*Activity!$D56*Activity!J56</f>
        <v>0</v>
      </c>
      <c r="I57" s="550">
        <f>Activity!$C56*Activity!$D56*Activity!K56</f>
        <v>0</v>
      </c>
      <c r="J57" s="551">
        <f>Activity!$C56*Activity!$D56*Activity!L56</f>
        <v>0</v>
      </c>
      <c r="K57" s="550">
        <f>Activity!$C56*Activity!$D56*Activity!M56</f>
        <v>0</v>
      </c>
      <c r="L57" s="550">
        <f>Activity!$C56*Activity!$D56*Activity!N56</f>
        <v>0</v>
      </c>
      <c r="M57" s="548">
        <f>Activity!$C56*Activity!$D56*Activity!O56</f>
        <v>0</v>
      </c>
      <c r="N57" s="412">
        <v>0</v>
      </c>
      <c r="O57" s="550">
        <f>Activity!C56*Activity!D56</f>
        <v>0</v>
      </c>
      <c r="P57" s="557">
        <f>Activity!X56</f>
        <v>0</v>
      </c>
    </row>
    <row r="58" spans="2:16">
      <c r="B58" s="7">
        <f t="shared" si="1"/>
        <v>2044</v>
      </c>
      <c r="C58" s="549">
        <f>Activity!$C57*Activity!$D57*Activity!E57</f>
        <v>0</v>
      </c>
      <c r="D58" s="550">
        <f>Activity!$C57*Activity!$D57*Activity!F57</f>
        <v>0</v>
      </c>
      <c r="E58" s="548">
        <f>Activity!$C57*Activity!$D57*Activity!G57</f>
        <v>0</v>
      </c>
      <c r="F58" s="550">
        <f>Activity!$C57*Activity!$D57*Activity!H57</f>
        <v>0</v>
      </c>
      <c r="G58" s="550">
        <f>Activity!$C57*Activity!$D57*Activity!I57</f>
        <v>0</v>
      </c>
      <c r="H58" s="550">
        <f>Activity!$C57*Activity!$D57*Activity!J57</f>
        <v>0</v>
      </c>
      <c r="I58" s="550">
        <f>Activity!$C57*Activity!$D57*Activity!K57</f>
        <v>0</v>
      </c>
      <c r="J58" s="551">
        <f>Activity!$C57*Activity!$D57*Activity!L57</f>
        <v>0</v>
      </c>
      <c r="K58" s="550">
        <f>Activity!$C57*Activity!$D57*Activity!M57</f>
        <v>0</v>
      </c>
      <c r="L58" s="550">
        <f>Activity!$C57*Activity!$D57*Activity!N57</f>
        <v>0</v>
      </c>
      <c r="M58" s="548">
        <f>Activity!$C57*Activity!$D57*Activity!O57</f>
        <v>0</v>
      </c>
      <c r="N58" s="412">
        <v>0</v>
      </c>
      <c r="O58" s="550">
        <f>Activity!C57*Activity!D57</f>
        <v>0</v>
      </c>
      <c r="P58" s="557">
        <f>Activity!X57</f>
        <v>0</v>
      </c>
    </row>
    <row r="59" spans="2:16">
      <c r="B59" s="7">
        <f t="shared" si="1"/>
        <v>2045</v>
      </c>
      <c r="C59" s="549">
        <f>Activity!$C58*Activity!$D58*Activity!E58</f>
        <v>0</v>
      </c>
      <c r="D59" s="550">
        <f>Activity!$C58*Activity!$D58*Activity!F58</f>
        <v>0</v>
      </c>
      <c r="E59" s="548">
        <f>Activity!$C58*Activity!$D58*Activity!G58</f>
        <v>0</v>
      </c>
      <c r="F59" s="550">
        <f>Activity!$C58*Activity!$D58*Activity!H58</f>
        <v>0</v>
      </c>
      <c r="G59" s="550">
        <f>Activity!$C58*Activity!$D58*Activity!I58</f>
        <v>0</v>
      </c>
      <c r="H59" s="550">
        <f>Activity!$C58*Activity!$D58*Activity!J58</f>
        <v>0</v>
      </c>
      <c r="I59" s="550">
        <f>Activity!$C58*Activity!$D58*Activity!K58</f>
        <v>0</v>
      </c>
      <c r="J59" s="551">
        <f>Activity!$C58*Activity!$D58*Activity!L58</f>
        <v>0</v>
      </c>
      <c r="K59" s="550">
        <f>Activity!$C58*Activity!$D58*Activity!M58</f>
        <v>0</v>
      </c>
      <c r="L59" s="550">
        <f>Activity!$C58*Activity!$D58*Activity!N58</f>
        <v>0</v>
      </c>
      <c r="M59" s="548">
        <f>Activity!$C58*Activity!$D58*Activity!O58</f>
        <v>0</v>
      </c>
      <c r="N59" s="412">
        <v>0</v>
      </c>
      <c r="O59" s="550">
        <f>Activity!C58*Activity!D58</f>
        <v>0</v>
      </c>
      <c r="P59" s="557">
        <f>Activity!X58</f>
        <v>0</v>
      </c>
    </row>
    <row r="60" spans="2:16">
      <c r="B60" s="7">
        <f t="shared" si="1"/>
        <v>2046</v>
      </c>
      <c r="C60" s="549">
        <f>Activity!$C59*Activity!$D59*Activity!E59</f>
        <v>0</v>
      </c>
      <c r="D60" s="550">
        <f>Activity!$C59*Activity!$D59*Activity!F59</f>
        <v>0</v>
      </c>
      <c r="E60" s="548">
        <f>Activity!$C59*Activity!$D59*Activity!G59</f>
        <v>0</v>
      </c>
      <c r="F60" s="550">
        <f>Activity!$C59*Activity!$D59*Activity!H59</f>
        <v>0</v>
      </c>
      <c r="G60" s="550">
        <f>Activity!$C59*Activity!$D59*Activity!I59</f>
        <v>0</v>
      </c>
      <c r="H60" s="550">
        <f>Activity!$C59*Activity!$D59*Activity!J59</f>
        <v>0</v>
      </c>
      <c r="I60" s="550">
        <f>Activity!$C59*Activity!$D59*Activity!K59</f>
        <v>0</v>
      </c>
      <c r="J60" s="551">
        <f>Activity!$C59*Activity!$D59*Activity!L59</f>
        <v>0</v>
      </c>
      <c r="K60" s="550">
        <f>Activity!$C59*Activity!$D59*Activity!M59</f>
        <v>0</v>
      </c>
      <c r="L60" s="550">
        <f>Activity!$C59*Activity!$D59*Activity!N59</f>
        <v>0</v>
      </c>
      <c r="M60" s="548">
        <f>Activity!$C59*Activity!$D59*Activity!O59</f>
        <v>0</v>
      </c>
      <c r="N60" s="412">
        <v>0</v>
      </c>
      <c r="O60" s="550">
        <f>Activity!C59*Activity!D59</f>
        <v>0</v>
      </c>
      <c r="P60" s="557">
        <f>Activity!X59</f>
        <v>0</v>
      </c>
    </row>
    <row r="61" spans="2:16">
      <c r="B61" s="7">
        <f t="shared" si="1"/>
        <v>2047</v>
      </c>
      <c r="C61" s="549">
        <f>Activity!$C60*Activity!$D60*Activity!E60</f>
        <v>0</v>
      </c>
      <c r="D61" s="550">
        <f>Activity!$C60*Activity!$D60*Activity!F60</f>
        <v>0</v>
      </c>
      <c r="E61" s="548">
        <f>Activity!$C60*Activity!$D60*Activity!G60</f>
        <v>0</v>
      </c>
      <c r="F61" s="550">
        <f>Activity!$C60*Activity!$D60*Activity!H60</f>
        <v>0</v>
      </c>
      <c r="G61" s="550">
        <f>Activity!$C60*Activity!$D60*Activity!I60</f>
        <v>0</v>
      </c>
      <c r="H61" s="550">
        <f>Activity!$C60*Activity!$D60*Activity!J60</f>
        <v>0</v>
      </c>
      <c r="I61" s="550">
        <f>Activity!$C60*Activity!$D60*Activity!K60</f>
        <v>0</v>
      </c>
      <c r="J61" s="551">
        <f>Activity!$C60*Activity!$D60*Activity!L60</f>
        <v>0</v>
      </c>
      <c r="K61" s="550">
        <f>Activity!$C60*Activity!$D60*Activity!M60</f>
        <v>0</v>
      </c>
      <c r="L61" s="550">
        <f>Activity!$C60*Activity!$D60*Activity!N60</f>
        <v>0</v>
      </c>
      <c r="M61" s="548">
        <f>Activity!$C60*Activity!$D60*Activity!O60</f>
        <v>0</v>
      </c>
      <c r="N61" s="412">
        <v>0</v>
      </c>
      <c r="O61" s="550">
        <f>Activity!C60*Activity!D60</f>
        <v>0</v>
      </c>
      <c r="P61" s="557">
        <f>Activity!X60</f>
        <v>0</v>
      </c>
    </row>
    <row r="62" spans="2:16">
      <c r="B62" s="7">
        <f t="shared" si="1"/>
        <v>2048</v>
      </c>
      <c r="C62" s="549">
        <f>Activity!$C61*Activity!$D61*Activity!E61</f>
        <v>0</v>
      </c>
      <c r="D62" s="550">
        <f>Activity!$C61*Activity!$D61*Activity!F61</f>
        <v>0</v>
      </c>
      <c r="E62" s="548">
        <f>Activity!$C61*Activity!$D61*Activity!G61</f>
        <v>0</v>
      </c>
      <c r="F62" s="550">
        <f>Activity!$C61*Activity!$D61*Activity!H61</f>
        <v>0</v>
      </c>
      <c r="G62" s="550">
        <f>Activity!$C61*Activity!$D61*Activity!I61</f>
        <v>0</v>
      </c>
      <c r="H62" s="550">
        <f>Activity!$C61*Activity!$D61*Activity!J61</f>
        <v>0</v>
      </c>
      <c r="I62" s="550">
        <f>Activity!$C61*Activity!$D61*Activity!K61</f>
        <v>0</v>
      </c>
      <c r="J62" s="551">
        <f>Activity!$C61*Activity!$D61*Activity!L61</f>
        <v>0</v>
      </c>
      <c r="K62" s="550">
        <f>Activity!$C61*Activity!$D61*Activity!M61</f>
        <v>0</v>
      </c>
      <c r="L62" s="550">
        <f>Activity!$C61*Activity!$D61*Activity!N61</f>
        <v>0</v>
      </c>
      <c r="M62" s="548">
        <f>Activity!$C61*Activity!$D61*Activity!O61</f>
        <v>0</v>
      </c>
      <c r="N62" s="412">
        <v>0</v>
      </c>
      <c r="O62" s="550">
        <f>Activity!C61*Activity!D61</f>
        <v>0</v>
      </c>
      <c r="P62" s="557">
        <f>Activity!X61</f>
        <v>0</v>
      </c>
    </row>
    <row r="63" spans="2:16">
      <c r="B63" s="7">
        <f t="shared" si="1"/>
        <v>2049</v>
      </c>
      <c r="C63" s="549">
        <f>Activity!$C62*Activity!$D62*Activity!E62</f>
        <v>0</v>
      </c>
      <c r="D63" s="550">
        <f>Activity!$C62*Activity!$D62*Activity!F62</f>
        <v>0</v>
      </c>
      <c r="E63" s="548">
        <f>Activity!$C62*Activity!$D62*Activity!G62</f>
        <v>0</v>
      </c>
      <c r="F63" s="550">
        <f>Activity!$C62*Activity!$D62*Activity!H62</f>
        <v>0</v>
      </c>
      <c r="G63" s="550">
        <f>Activity!$C62*Activity!$D62*Activity!I62</f>
        <v>0</v>
      </c>
      <c r="H63" s="550">
        <f>Activity!$C62*Activity!$D62*Activity!J62</f>
        <v>0</v>
      </c>
      <c r="I63" s="550">
        <f>Activity!$C62*Activity!$D62*Activity!K62</f>
        <v>0</v>
      </c>
      <c r="J63" s="551">
        <f>Activity!$C62*Activity!$D62*Activity!L62</f>
        <v>0</v>
      </c>
      <c r="K63" s="550">
        <f>Activity!$C62*Activity!$D62*Activity!M62</f>
        <v>0</v>
      </c>
      <c r="L63" s="550">
        <f>Activity!$C62*Activity!$D62*Activity!N62</f>
        <v>0</v>
      </c>
      <c r="M63" s="548">
        <f>Activity!$C62*Activity!$D62*Activity!O62</f>
        <v>0</v>
      </c>
      <c r="N63" s="412">
        <v>0</v>
      </c>
      <c r="O63" s="550">
        <f>Activity!C62*Activity!D62</f>
        <v>0</v>
      </c>
      <c r="P63" s="557">
        <f>Activity!X62</f>
        <v>0</v>
      </c>
    </row>
    <row r="64" spans="2:16">
      <c r="B64" s="7">
        <f t="shared" si="1"/>
        <v>2050</v>
      </c>
      <c r="C64" s="549">
        <f>Activity!$C63*Activity!$D63*Activity!E63</f>
        <v>0</v>
      </c>
      <c r="D64" s="550">
        <f>Activity!$C63*Activity!$D63*Activity!F63</f>
        <v>0</v>
      </c>
      <c r="E64" s="548">
        <f>Activity!$C63*Activity!$D63*Activity!G63</f>
        <v>0</v>
      </c>
      <c r="F64" s="550">
        <f>Activity!$C63*Activity!$D63*Activity!H63</f>
        <v>0</v>
      </c>
      <c r="G64" s="550">
        <f>Activity!$C63*Activity!$D63*Activity!I63</f>
        <v>0</v>
      </c>
      <c r="H64" s="550">
        <f>Activity!$C63*Activity!$D63*Activity!J63</f>
        <v>0</v>
      </c>
      <c r="I64" s="550">
        <f>Activity!$C63*Activity!$D63*Activity!K63</f>
        <v>0</v>
      </c>
      <c r="J64" s="551">
        <f>Activity!$C63*Activity!$D63*Activity!L63</f>
        <v>0</v>
      </c>
      <c r="K64" s="550">
        <f>Activity!$C63*Activity!$D63*Activity!M63</f>
        <v>0</v>
      </c>
      <c r="L64" s="550">
        <f>Activity!$C63*Activity!$D63*Activity!N63</f>
        <v>0</v>
      </c>
      <c r="M64" s="548">
        <f>Activity!$C63*Activity!$D63*Activity!O63</f>
        <v>0</v>
      </c>
      <c r="N64" s="412">
        <v>0</v>
      </c>
      <c r="O64" s="550">
        <f>Activity!C63*Activity!D63</f>
        <v>0</v>
      </c>
      <c r="P64" s="557">
        <f>Activity!X63</f>
        <v>0</v>
      </c>
    </row>
    <row r="65" spans="2:16">
      <c r="B65" s="7">
        <f t="shared" si="1"/>
        <v>2051</v>
      </c>
      <c r="C65" s="549">
        <f>Activity!$C64*Activity!$D64*Activity!E64</f>
        <v>0</v>
      </c>
      <c r="D65" s="550">
        <f>Activity!$C64*Activity!$D64*Activity!F64</f>
        <v>0</v>
      </c>
      <c r="E65" s="548">
        <f>Activity!$C64*Activity!$D64*Activity!G64</f>
        <v>0</v>
      </c>
      <c r="F65" s="550">
        <f>Activity!$C64*Activity!$D64*Activity!H64</f>
        <v>0</v>
      </c>
      <c r="G65" s="550">
        <f>Activity!$C64*Activity!$D64*Activity!I64</f>
        <v>0</v>
      </c>
      <c r="H65" s="550">
        <f>Activity!$C64*Activity!$D64*Activity!J64</f>
        <v>0</v>
      </c>
      <c r="I65" s="550">
        <f>Activity!$C64*Activity!$D64*Activity!K64</f>
        <v>0</v>
      </c>
      <c r="J65" s="551">
        <f>Activity!$C64*Activity!$D64*Activity!L64</f>
        <v>0</v>
      </c>
      <c r="K65" s="550">
        <f>Activity!$C64*Activity!$D64*Activity!M64</f>
        <v>0</v>
      </c>
      <c r="L65" s="550">
        <f>Activity!$C64*Activity!$D64*Activity!N64</f>
        <v>0</v>
      </c>
      <c r="M65" s="548">
        <f>Activity!$C64*Activity!$D64*Activity!O64</f>
        <v>0</v>
      </c>
      <c r="N65" s="412">
        <v>0</v>
      </c>
      <c r="O65" s="550">
        <f>Activity!C64*Activity!D64</f>
        <v>0</v>
      </c>
      <c r="P65" s="557">
        <f>Activity!X64</f>
        <v>0</v>
      </c>
    </row>
    <row r="66" spans="2:16">
      <c r="B66" s="7">
        <f t="shared" si="1"/>
        <v>2052</v>
      </c>
      <c r="C66" s="549">
        <f>Activity!$C65*Activity!$D65*Activity!E65</f>
        <v>0</v>
      </c>
      <c r="D66" s="550">
        <f>Activity!$C65*Activity!$D65*Activity!F65</f>
        <v>0</v>
      </c>
      <c r="E66" s="548">
        <f>Activity!$C65*Activity!$D65*Activity!G65</f>
        <v>0</v>
      </c>
      <c r="F66" s="550">
        <f>Activity!$C65*Activity!$D65*Activity!H65</f>
        <v>0</v>
      </c>
      <c r="G66" s="550">
        <f>Activity!$C65*Activity!$D65*Activity!I65</f>
        <v>0</v>
      </c>
      <c r="H66" s="550">
        <f>Activity!$C65*Activity!$D65*Activity!J65</f>
        <v>0</v>
      </c>
      <c r="I66" s="550">
        <f>Activity!$C65*Activity!$D65*Activity!K65</f>
        <v>0</v>
      </c>
      <c r="J66" s="551">
        <f>Activity!$C65*Activity!$D65*Activity!L65</f>
        <v>0</v>
      </c>
      <c r="K66" s="550">
        <f>Activity!$C65*Activity!$D65*Activity!M65</f>
        <v>0</v>
      </c>
      <c r="L66" s="550">
        <f>Activity!$C65*Activity!$D65*Activity!N65</f>
        <v>0</v>
      </c>
      <c r="M66" s="548">
        <f>Activity!$C65*Activity!$D65*Activity!O65</f>
        <v>0</v>
      </c>
      <c r="N66" s="412">
        <v>0</v>
      </c>
      <c r="O66" s="550">
        <f>Activity!C65*Activity!D65</f>
        <v>0</v>
      </c>
      <c r="P66" s="557">
        <f>Activity!X65</f>
        <v>0</v>
      </c>
    </row>
    <row r="67" spans="2:16">
      <c r="B67" s="7">
        <f t="shared" si="1"/>
        <v>2053</v>
      </c>
      <c r="C67" s="549">
        <f>Activity!$C66*Activity!$D66*Activity!E66</f>
        <v>0</v>
      </c>
      <c r="D67" s="550">
        <f>Activity!$C66*Activity!$D66*Activity!F66</f>
        <v>0</v>
      </c>
      <c r="E67" s="548">
        <f>Activity!$C66*Activity!$D66*Activity!G66</f>
        <v>0</v>
      </c>
      <c r="F67" s="550">
        <f>Activity!$C66*Activity!$D66*Activity!H66</f>
        <v>0</v>
      </c>
      <c r="G67" s="550">
        <f>Activity!$C66*Activity!$D66*Activity!I66</f>
        <v>0</v>
      </c>
      <c r="H67" s="550">
        <f>Activity!$C66*Activity!$D66*Activity!J66</f>
        <v>0</v>
      </c>
      <c r="I67" s="550">
        <f>Activity!$C66*Activity!$D66*Activity!K66</f>
        <v>0</v>
      </c>
      <c r="J67" s="551">
        <f>Activity!$C66*Activity!$D66*Activity!L66</f>
        <v>0</v>
      </c>
      <c r="K67" s="550">
        <f>Activity!$C66*Activity!$D66*Activity!M66</f>
        <v>0</v>
      </c>
      <c r="L67" s="550">
        <f>Activity!$C66*Activity!$D66*Activity!N66</f>
        <v>0</v>
      </c>
      <c r="M67" s="548">
        <f>Activity!$C66*Activity!$D66*Activity!O66</f>
        <v>0</v>
      </c>
      <c r="N67" s="412">
        <v>0</v>
      </c>
      <c r="O67" s="550">
        <f>Activity!C66*Activity!D66</f>
        <v>0</v>
      </c>
      <c r="P67" s="557">
        <f>Activity!X66</f>
        <v>0</v>
      </c>
    </row>
    <row r="68" spans="2:16">
      <c r="B68" s="7">
        <f t="shared" si="1"/>
        <v>2054</v>
      </c>
      <c r="C68" s="549">
        <f>Activity!$C67*Activity!$D67*Activity!E67</f>
        <v>0</v>
      </c>
      <c r="D68" s="550">
        <f>Activity!$C67*Activity!$D67*Activity!F67</f>
        <v>0</v>
      </c>
      <c r="E68" s="548">
        <f>Activity!$C67*Activity!$D67*Activity!G67</f>
        <v>0</v>
      </c>
      <c r="F68" s="550">
        <f>Activity!$C67*Activity!$D67*Activity!H67</f>
        <v>0</v>
      </c>
      <c r="G68" s="550">
        <f>Activity!$C67*Activity!$D67*Activity!I67</f>
        <v>0</v>
      </c>
      <c r="H68" s="550">
        <f>Activity!$C67*Activity!$D67*Activity!J67</f>
        <v>0</v>
      </c>
      <c r="I68" s="550">
        <f>Activity!$C67*Activity!$D67*Activity!K67</f>
        <v>0</v>
      </c>
      <c r="J68" s="551">
        <f>Activity!$C67*Activity!$D67*Activity!L67</f>
        <v>0</v>
      </c>
      <c r="K68" s="550">
        <f>Activity!$C67*Activity!$D67*Activity!M67</f>
        <v>0</v>
      </c>
      <c r="L68" s="550">
        <f>Activity!$C67*Activity!$D67*Activity!N67</f>
        <v>0</v>
      </c>
      <c r="M68" s="548">
        <f>Activity!$C67*Activity!$D67*Activity!O67</f>
        <v>0</v>
      </c>
      <c r="N68" s="412">
        <v>0</v>
      </c>
      <c r="O68" s="550">
        <f>Activity!C67*Activity!D67</f>
        <v>0</v>
      </c>
      <c r="P68" s="557">
        <f>Activity!X67</f>
        <v>0</v>
      </c>
    </row>
    <row r="69" spans="2:16">
      <c r="B69" s="7">
        <f t="shared" si="1"/>
        <v>2055</v>
      </c>
      <c r="C69" s="549">
        <f>Activity!$C68*Activity!$D68*Activity!E68</f>
        <v>0</v>
      </c>
      <c r="D69" s="550">
        <f>Activity!$C68*Activity!$D68*Activity!F68</f>
        <v>0</v>
      </c>
      <c r="E69" s="548">
        <f>Activity!$C68*Activity!$D68*Activity!G68</f>
        <v>0</v>
      </c>
      <c r="F69" s="550">
        <f>Activity!$C68*Activity!$D68*Activity!H68</f>
        <v>0</v>
      </c>
      <c r="G69" s="550">
        <f>Activity!$C68*Activity!$D68*Activity!I68</f>
        <v>0</v>
      </c>
      <c r="H69" s="550">
        <f>Activity!$C68*Activity!$D68*Activity!J68</f>
        <v>0</v>
      </c>
      <c r="I69" s="550">
        <f>Activity!$C68*Activity!$D68*Activity!K68</f>
        <v>0</v>
      </c>
      <c r="J69" s="551">
        <f>Activity!$C68*Activity!$D68*Activity!L68</f>
        <v>0</v>
      </c>
      <c r="K69" s="550">
        <f>Activity!$C68*Activity!$D68*Activity!M68</f>
        <v>0</v>
      </c>
      <c r="L69" s="550">
        <f>Activity!$C68*Activity!$D68*Activity!N68</f>
        <v>0</v>
      </c>
      <c r="M69" s="548">
        <f>Activity!$C68*Activity!$D68*Activity!O68</f>
        <v>0</v>
      </c>
      <c r="N69" s="412">
        <v>0</v>
      </c>
      <c r="O69" s="550">
        <f>Activity!C68*Activity!D68</f>
        <v>0</v>
      </c>
      <c r="P69" s="557">
        <f>Activity!X68</f>
        <v>0</v>
      </c>
    </row>
    <row r="70" spans="2:16">
      <c r="B70" s="7">
        <f t="shared" si="1"/>
        <v>2056</v>
      </c>
      <c r="C70" s="549">
        <f>Activity!$C69*Activity!$D69*Activity!E69</f>
        <v>0</v>
      </c>
      <c r="D70" s="550">
        <f>Activity!$C69*Activity!$D69*Activity!F69</f>
        <v>0</v>
      </c>
      <c r="E70" s="548">
        <f>Activity!$C69*Activity!$D69*Activity!G69</f>
        <v>0</v>
      </c>
      <c r="F70" s="550">
        <f>Activity!$C69*Activity!$D69*Activity!H69</f>
        <v>0</v>
      </c>
      <c r="G70" s="550">
        <f>Activity!$C69*Activity!$D69*Activity!I69</f>
        <v>0</v>
      </c>
      <c r="H70" s="550">
        <f>Activity!$C69*Activity!$D69*Activity!J69</f>
        <v>0</v>
      </c>
      <c r="I70" s="550">
        <f>Activity!$C69*Activity!$D69*Activity!K69</f>
        <v>0</v>
      </c>
      <c r="J70" s="551">
        <f>Activity!$C69*Activity!$D69*Activity!L69</f>
        <v>0</v>
      </c>
      <c r="K70" s="550">
        <f>Activity!$C69*Activity!$D69*Activity!M69</f>
        <v>0</v>
      </c>
      <c r="L70" s="550">
        <f>Activity!$C69*Activity!$D69*Activity!N69</f>
        <v>0</v>
      </c>
      <c r="M70" s="548">
        <f>Activity!$C69*Activity!$D69*Activity!O69</f>
        <v>0</v>
      </c>
      <c r="N70" s="412">
        <v>0</v>
      </c>
      <c r="O70" s="550">
        <f>Activity!C69*Activity!D69</f>
        <v>0</v>
      </c>
      <c r="P70" s="557">
        <f>Activity!X69</f>
        <v>0</v>
      </c>
    </row>
    <row r="71" spans="2:16">
      <c r="B71" s="7">
        <f t="shared" si="1"/>
        <v>2057</v>
      </c>
      <c r="C71" s="549">
        <f>Activity!$C70*Activity!$D70*Activity!E70</f>
        <v>0</v>
      </c>
      <c r="D71" s="550">
        <f>Activity!$C70*Activity!$D70*Activity!F70</f>
        <v>0</v>
      </c>
      <c r="E71" s="548">
        <f>Activity!$C70*Activity!$D70*Activity!G70</f>
        <v>0</v>
      </c>
      <c r="F71" s="550">
        <f>Activity!$C70*Activity!$D70*Activity!H70</f>
        <v>0</v>
      </c>
      <c r="G71" s="550">
        <f>Activity!$C70*Activity!$D70*Activity!I70</f>
        <v>0</v>
      </c>
      <c r="H71" s="550">
        <f>Activity!$C70*Activity!$D70*Activity!J70</f>
        <v>0</v>
      </c>
      <c r="I71" s="550">
        <f>Activity!$C70*Activity!$D70*Activity!K70</f>
        <v>0</v>
      </c>
      <c r="J71" s="551">
        <f>Activity!$C70*Activity!$D70*Activity!L70</f>
        <v>0</v>
      </c>
      <c r="K71" s="550">
        <f>Activity!$C70*Activity!$D70*Activity!M70</f>
        <v>0</v>
      </c>
      <c r="L71" s="550">
        <f>Activity!$C70*Activity!$D70*Activity!N70</f>
        <v>0</v>
      </c>
      <c r="M71" s="548">
        <f>Activity!$C70*Activity!$D70*Activity!O70</f>
        <v>0</v>
      </c>
      <c r="N71" s="412">
        <v>0</v>
      </c>
      <c r="O71" s="550">
        <f>Activity!C70*Activity!D70</f>
        <v>0</v>
      </c>
      <c r="P71" s="557">
        <f>Activity!X70</f>
        <v>0</v>
      </c>
    </row>
    <row r="72" spans="2:16">
      <c r="B72" s="7">
        <f t="shared" si="1"/>
        <v>2058</v>
      </c>
      <c r="C72" s="549">
        <f>Activity!$C71*Activity!$D71*Activity!E71</f>
        <v>0</v>
      </c>
      <c r="D72" s="550">
        <f>Activity!$C71*Activity!$D71*Activity!F71</f>
        <v>0</v>
      </c>
      <c r="E72" s="548">
        <f>Activity!$C71*Activity!$D71*Activity!G71</f>
        <v>0</v>
      </c>
      <c r="F72" s="550">
        <f>Activity!$C71*Activity!$D71*Activity!H71</f>
        <v>0</v>
      </c>
      <c r="G72" s="550">
        <f>Activity!$C71*Activity!$D71*Activity!I71</f>
        <v>0</v>
      </c>
      <c r="H72" s="550">
        <f>Activity!$C71*Activity!$D71*Activity!J71</f>
        <v>0</v>
      </c>
      <c r="I72" s="550">
        <f>Activity!$C71*Activity!$D71*Activity!K71</f>
        <v>0</v>
      </c>
      <c r="J72" s="551">
        <f>Activity!$C71*Activity!$D71*Activity!L71</f>
        <v>0</v>
      </c>
      <c r="K72" s="550">
        <f>Activity!$C71*Activity!$D71*Activity!M71</f>
        <v>0</v>
      </c>
      <c r="L72" s="550">
        <f>Activity!$C71*Activity!$D71*Activity!N71</f>
        <v>0</v>
      </c>
      <c r="M72" s="548">
        <f>Activity!$C71*Activity!$D71*Activity!O71</f>
        <v>0</v>
      </c>
      <c r="N72" s="412">
        <v>0</v>
      </c>
      <c r="O72" s="550">
        <f>Activity!C71*Activity!D71</f>
        <v>0</v>
      </c>
      <c r="P72" s="557">
        <f>Activity!X71</f>
        <v>0</v>
      </c>
    </row>
    <row r="73" spans="2:16">
      <c r="B73" s="7">
        <f t="shared" si="1"/>
        <v>2059</v>
      </c>
      <c r="C73" s="549">
        <f>Activity!$C72*Activity!$D72*Activity!E72</f>
        <v>0</v>
      </c>
      <c r="D73" s="550">
        <f>Activity!$C72*Activity!$D72*Activity!F72</f>
        <v>0</v>
      </c>
      <c r="E73" s="548">
        <f>Activity!$C72*Activity!$D72*Activity!G72</f>
        <v>0</v>
      </c>
      <c r="F73" s="550">
        <f>Activity!$C72*Activity!$D72*Activity!H72</f>
        <v>0</v>
      </c>
      <c r="G73" s="550">
        <f>Activity!$C72*Activity!$D72*Activity!I72</f>
        <v>0</v>
      </c>
      <c r="H73" s="550">
        <f>Activity!$C72*Activity!$D72*Activity!J72</f>
        <v>0</v>
      </c>
      <c r="I73" s="550">
        <f>Activity!$C72*Activity!$D72*Activity!K72</f>
        <v>0</v>
      </c>
      <c r="J73" s="551">
        <f>Activity!$C72*Activity!$D72*Activity!L72</f>
        <v>0</v>
      </c>
      <c r="K73" s="550">
        <f>Activity!$C72*Activity!$D72*Activity!M72</f>
        <v>0</v>
      </c>
      <c r="L73" s="550">
        <f>Activity!$C72*Activity!$D72*Activity!N72</f>
        <v>0</v>
      </c>
      <c r="M73" s="548">
        <f>Activity!$C72*Activity!$D72*Activity!O72</f>
        <v>0</v>
      </c>
      <c r="N73" s="412">
        <v>0</v>
      </c>
      <c r="O73" s="550">
        <f>Activity!C72*Activity!D72</f>
        <v>0</v>
      </c>
      <c r="P73" s="557">
        <f>Activity!X72</f>
        <v>0</v>
      </c>
    </row>
    <row r="74" spans="2:16">
      <c r="B74" s="7">
        <f t="shared" si="1"/>
        <v>2060</v>
      </c>
      <c r="C74" s="549">
        <f>Activity!$C73*Activity!$D73*Activity!E73</f>
        <v>0</v>
      </c>
      <c r="D74" s="550">
        <f>Activity!$C73*Activity!$D73*Activity!F73</f>
        <v>0</v>
      </c>
      <c r="E74" s="548">
        <f>Activity!$C73*Activity!$D73*Activity!G73</f>
        <v>0</v>
      </c>
      <c r="F74" s="550">
        <f>Activity!$C73*Activity!$D73*Activity!H73</f>
        <v>0</v>
      </c>
      <c r="G74" s="550">
        <f>Activity!$C73*Activity!$D73*Activity!I73</f>
        <v>0</v>
      </c>
      <c r="H74" s="550">
        <f>Activity!$C73*Activity!$D73*Activity!J73</f>
        <v>0</v>
      </c>
      <c r="I74" s="550">
        <f>Activity!$C73*Activity!$D73*Activity!K73</f>
        <v>0</v>
      </c>
      <c r="J74" s="551">
        <f>Activity!$C73*Activity!$D73*Activity!L73</f>
        <v>0</v>
      </c>
      <c r="K74" s="550">
        <f>Activity!$C73*Activity!$D73*Activity!M73</f>
        <v>0</v>
      </c>
      <c r="L74" s="550">
        <f>Activity!$C73*Activity!$D73*Activity!N73</f>
        <v>0</v>
      </c>
      <c r="M74" s="548">
        <f>Activity!$C73*Activity!$D73*Activity!O73</f>
        <v>0</v>
      </c>
      <c r="N74" s="412">
        <v>0</v>
      </c>
      <c r="O74" s="550">
        <f>Activity!C73*Activity!D73</f>
        <v>0</v>
      </c>
      <c r="P74" s="557">
        <f>Activity!X73</f>
        <v>0</v>
      </c>
    </row>
    <row r="75" spans="2:16">
      <c r="B75" s="7">
        <f t="shared" si="1"/>
        <v>2061</v>
      </c>
      <c r="C75" s="549">
        <f>Activity!$C74*Activity!$D74*Activity!E74</f>
        <v>0</v>
      </c>
      <c r="D75" s="550">
        <f>Activity!$C74*Activity!$D74*Activity!F74</f>
        <v>0</v>
      </c>
      <c r="E75" s="548">
        <f>Activity!$C74*Activity!$D74*Activity!G74</f>
        <v>0</v>
      </c>
      <c r="F75" s="550">
        <f>Activity!$C74*Activity!$D74*Activity!H74</f>
        <v>0</v>
      </c>
      <c r="G75" s="550">
        <f>Activity!$C74*Activity!$D74*Activity!I74</f>
        <v>0</v>
      </c>
      <c r="H75" s="550">
        <f>Activity!$C74*Activity!$D74*Activity!J74</f>
        <v>0</v>
      </c>
      <c r="I75" s="550">
        <f>Activity!$C74*Activity!$D74*Activity!K74</f>
        <v>0</v>
      </c>
      <c r="J75" s="551">
        <f>Activity!$C74*Activity!$D74*Activity!L74</f>
        <v>0</v>
      </c>
      <c r="K75" s="550">
        <f>Activity!$C74*Activity!$D74*Activity!M74</f>
        <v>0</v>
      </c>
      <c r="L75" s="550">
        <f>Activity!$C74*Activity!$D74*Activity!N74</f>
        <v>0</v>
      </c>
      <c r="M75" s="548">
        <f>Activity!$C74*Activity!$D74*Activity!O74</f>
        <v>0</v>
      </c>
      <c r="N75" s="412">
        <v>0</v>
      </c>
      <c r="O75" s="550">
        <f>Activity!C74*Activity!D74</f>
        <v>0</v>
      </c>
      <c r="P75" s="557">
        <f>Activity!X74</f>
        <v>0</v>
      </c>
    </row>
    <row r="76" spans="2:16">
      <c r="B76" s="7">
        <f t="shared" si="1"/>
        <v>2062</v>
      </c>
      <c r="C76" s="549">
        <f>Activity!$C75*Activity!$D75*Activity!E75</f>
        <v>0</v>
      </c>
      <c r="D76" s="550">
        <f>Activity!$C75*Activity!$D75*Activity!F75</f>
        <v>0</v>
      </c>
      <c r="E76" s="548">
        <f>Activity!$C75*Activity!$D75*Activity!G75</f>
        <v>0</v>
      </c>
      <c r="F76" s="550">
        <f>Activity!$C75*Activity!$D75*Activity!H75</f>
        <v>0</v>
      </c>
      <c r="G76" s="550">
        <f>Activity!$C75*Activity!$D75*Activity!I75</f>
        <v>0</v>
      </c>
      <c r="H76" s="550">
        <f>Activity!$C75*Activity!$D75*Activity!J75</f>
        <v>0</v>
      </c>
      <c r="I76" s="550">
        <f>Activity!$C75*Activity!$D75*Activity!K75</f>
        <v>0</v>
      </c>
      <c r="J76" s="551">
        <f>Activity!$C75*Activity!$D75*Activity!L75</f>
        <v>0</v>
      </c>
      <c r="K76" s="550">
        <f>Activity!$C75*Activity!$D75*Activity!M75</f>
        <v>0</v>
      </c>
      <c r="L76" s="550">
        <f>Activity!$C75*Activity!$D75*Activity!N75</f>
        <v>0</v>
      </c>
      <c r="M76" s="548">
        <f>Activity!$C75*Activity!$D75*Activity!O75</f>
        <v>0</v>
      </c>
      <c r="N76" s="412">
        <v>0</v>
      </c>
      <c r="O76" s="550">
        <f>Activity!C75*Activity!D75</f>
        <v>0</v>
      </c>
      <c r="P76" s="557">
        <f>Activity!X75</f>
        <v>0</v>
      </c>
    </row>
    <row r="77" spans="2:16">
      <c r="B77" s="7">
        <f t="shared" si="1"/>
        <v>2063</v>
      </c>
      <c r="C77" s="549">
        <f>Activity!$C76*Activity!$D76*Activity!E76</f>
        <v>0</v>
      </c>
      <c r="D77" s="550">
        <f>Activity!$C76*Activity!$D76*Activity!F76</f>
        <v>0</v>
      </c>
      <c r="E77" s="548">
        <f>Activity!$C76*Activity!$D76*Activity!G76</f>
        <v>0</v>
      </c>
      <c r="F77" s="550">
        <f>Activity!$C76*Activity!$D76*Activity!H76</f>
        <v>0</v>
      </c>
      <c r="G77" s="550">
        <f>Activity!$C76*Activity!$D76*Activity!I76</f>
        <v>0</v>
      </c>
      <c r="H77" s="550">
        <f>Activity!$C76*Activity!$D76*Activity!J76</f>
        <v>0</v>
      </c>
      <c r="I77" s="550">
        <f>Activity!$C76*Activity!$D76*Activity!K76</f>
        <v>0</v>
      </c>
      <c r="J77" s="551">
        <f>Activity!$C76*Activity!$D76*Activity!L76</f>
        <v>0</v>
      </c>
      <c r="K77" s="550">
        <f>Activity!$C76*Activity!$D76*Activity!M76</f>
        <v>0</v>
      </c>
      <c r="L77" s="550">
        <f>Activity!$C76*Activity!$D76*Activity!N76</f>
        <v>0</v>
      </c>
      <c r="M77" s="548">
        <f>Activity!$C76*Activity!$D76*Activity!O76</f>
        <v>0</v>
      </c>
      <c r="N77" s="412">
        <v>0</v>
      </c>
      <c r="O77" s="550">
        <f>Activity!C76*Activity!D76</f>
        <v>0</v>
      </c>
      <c r="P77" s="557">
        <f>Activity!X76</f>
        <v>0</v>
      </c>
    </row>
    <row r="78" spans="2:16">
      <c r="B78" s="7">
        <f t="shared" si="1"/>
        <v>2064</v>
      </c>
      <c r="C78" s="549">
        <f>Activity!$C77*Activity!$D77*Activity!E77</f>
        <v>0</v>
      </c>
      <c r="D78" s="550">
        <f>Activity!$C77*Activity!$D77*Activity!F77</f>
        <v>0</v>
      </c>
      <c r="E78" s="548">
        <f>Activity!$C77*Activity!$D77*Activity!G77</f>
        <v>0</v>
      </c>
      <c r="F78" s="550">
        <f>Activity!$C77*Activity!$D77*Activity!H77</f>
        <v>0</v>
      </c>
      <c r="G78" s="550">
        <f>Activity!$C77*Activity!$D77*Activity!I77</f>
        <v>0</v>
      </c>
      <c r="H78" s="550">
        <f>Activity!$C77*Activity!$D77*Activity!J77</f>
        <v>0</v>
      </c>
      <c r="I78" s="550">
        <f>Activity!$C77*Activity!$D77*Activity!K77</f>
        <v>0</v>
      </c>
      <c r="J78" s="551">
        <f>Activity!$C77*Activity!$D77*Activity!L77</f>
        <v>0</v>
      </c>
      <c r="K78" s="550">
        <f>Activity!$C77*Activity!$D77*Activity!M77</f>
        <v>0</v>
      </c>
      <c r="L78" s="550">
        <f>Activity!$C77*Activity!$D77*Activity!N77</f>
        <v>0</v>
      </c>
      <c r="M78" s="548">
        <f>Activity!$C77*Activity!$D77*Activity!O77</f>
        <v>0</v>
      </c>
      <c r="N78" s="412">
        <v>0</v>
      </c>
      <c r="O78" s="550">
        <f>Activity!C77*Activity!D77</f>
        <v>0</v>
      </c>
      <c r="P78" s="557">
        <f>Activity!X77</f>
        <v>0</v>
      </c>
    </row>
    <row r="79" spans="2:16">
      <c r="B79" s="7">
        <f t="shared" si="1"/>
        <v>2065</v>
      </c>
      <c r="C79" s="549">
        <f>Activity!$C78*Activity!$D78*Activity!E78</f>
        <v>0</v>
      </c>
      <c r="D79" s="550">
        <f>Activity!$C78*Activity!$D78*Activity!F78</f>
        <v>0</v>
      </c>
      <c r="E79" s="548">
        <f>Activity!$C78*Activity!$D78*Activity!G78</f>
        <v>0</v>
      </c>
      <c r="F79" s="550">
        <f>Activity!$C78*Activity!$D78*Activity!H78</f>
        <v>0</v>
      </c>
      <c r="G79" s="550">
        <f>Activity!$C78*Activity!$D78*Activity!I78</f>
        <v>0</v>
      </c>
      <c r="H79" s="550">
        <f>Activity!$C78*Activity!$D78*Activity!J78</f>
        <v>0</v>
      </c>
      <c r="I79" s="550">
        <f>Activity!$C78*Activity!$D78*Activity!K78</f>
        <v>0</v>
      </c>
      <c r="J79" s="551">
        <f>Activity!$C78*Activity!$D78*Activity!L78</f>
        <v>0</v>
      </c>
      <c r="K79" s="550">
        <f>Activity!$C78*Activity!$D78*Activity!M78</f>
        <v>0</v>
      </c>
      <c r="L79" s="550">
        <f>Activity!$C78*Activity!$D78*Activity!N78</f>
        <v>0</v>
      </c>
      <c r="M79" s="548">
        <f>Activity!$C78*Activity!$D78*Activity!O78</f>
        <v>0</v>
      </c>
      <c r="N79" s="412">
        <v>0</v>
      </c>
      <c r="O79" s="550">
        <f>Activity!C78*Activity!D78</f>
        <v>0</v>
      </c>
      <c r="P79" s="557">
        <f>Activity!X78</f>
        <v>0</v>
      </c>
    </row>
    <row r="80" spans="2:16">
      <c r="B80" s="7">
        <f t="shared" si="1"/>
        <v>2066</v>
      </c>
      <c r="C80" s="549">
        <f>Activity!$C79*Activity!$D79*Activity!E79</f>
        <v>0</v>
      </c>
      <c r="D80" s="550">
        <f>Activity!$C79*Activity!$D79*Activity!F79</f>
        <v>0</v>
      </c>
      <c r="E80" s="548">
        <f>Activity!$C79*Activity!$D79*Activity!G79</f>
        <v>0</v>
      </c>
      <c r="F80" s="550">
        <f>Activity!$C79*Activity!$D79*Activity!H79</f>
        <v>0</v>
      </c>
      <c r="G80" s="550">
        <f>Activity!$C79*Activity!$D79*Activity!I79</f>
        <v>0</v>
      </c>
      <c r="H80" s="550">
        <f>Activity!$C79*Activity!$D79*Activity!J79</f>
        <v>0</v>
      </c>
      <c r="I80" s="550">
        <f>Activity!$C79*Activity!$D79*Activity!K79</f>
        <v>0</v>
      </c>
      <c r="J80" s="551">
        <f>Activity!$C79*Activity!$D79*Activity!L79</f>
        <v>0</v>
      </c>
      <c r="K80" s="550">
        <f>Activity!$C79*Activity!$D79*Activity!M79</f>
        <v>0</v>
      </c>
      <c r="L80" s="550">
        <f>Activity!$C79*Activity!$D79*Activity!N79</f>
        <v>0</v>
      </c>
      <c r="M80" s="548">
        <f>Activity!$C79*Activity!$D79*Activity!O79</f>
        <v>0</v>
      </c>
      <c r="N80" s="412">
        <v>0</v>
      </c>
      <c r="O80" s="550">
        <f>Activity!C79*Activity!D79</f>
        <v>0</v>
      </c>
      <c r="P80" s="557">
        <f>Activity!X79</f>
        <v>0</v>
      </c>
    </row>
    <row r="81" spans="2:16">
      <c r="B81" s="7">
        <f t="shared" si="1"/>
        <v>2067</v>
      </c>
      <c r="C81" s="549">
        <f>Activity!$C80*Activity!$D80*Activity!E80</f>
        <v>0</v>
      </c>
      <c r="D81" s="550">
        <f>Activity!$C80*Activity!$D80*Activity!F80</f>
        <v>0</v>
      </c>
      <c r="E81" s="548">
        <f>Activity!$C80*Activity!$D80*Activity!G80</f>
        <v>0</v>
      </c>
      <c r="F81" s="550">
        <f>Activity!$C80*Activity!$D80*Activity!H80</f>
        <v>0</v>
      </c>
      <c r="G81" s="550">
        <f>Activity!$C80*Activity!$D80*Activity!I80</f>
        <v>0</v>
      </c>
      <c r="H81" s="550">
        <f>Activity!$C80*Activity!$D80*Activity!J80</f>
        <v>0</v>
      </c>
      <c r="I81" s="550">
        <f>Activity!$C80*Activity!$D80*Activity!K80</f>
        <v>0</v>
      </c>
      <c r="J81" s="551">
        <f>Activity!$C80*Activity!$D80*Activity!L80</f>
        <v>0</v>
      </c>
      <c r="K81" s="550">
        <f>Activity!$C80*Activity!$D80*Activity!M80</f>
        <v>0</v>
      </c>
      <c r="L81" s="550">
        <f>Activity!$C80*Activity!$D80*Activity!N80</f>
        <v>0</v>
      </c>
      <c r="M81" s="548">
        <f>Activity!$C80*Activity!$D80*Activity!O80</f>
        <v>0</v>
      </c>
      <c r="N81" s="412">
        <v>0</v>
      </c>
      <c r="O81" s="550">
        <f>Activity!C80*Activity!D80</f>
        <v>0</v>
      </c>
      <c r="P81" s="557">
        <f>Activity!X80</f>
        <v>0</v>
      </c>
    </row>
    <row r="82" spans="2:16">
      <c r="B82" s="7">
        <f t="shared" si="1"/>
        <v>2068</v>
      </c>
      <c r="C82" s="549">
        <f>Activity!$C81*Activity!$D81*Activity!E81</f>
        <v>0</v>
      </c>
      <c r="D82" s="550">
        <f>Activity!$C81*Activity!$D81*Activity!F81</f>
        <v>0</v>
      </c>
      <c r="E82" s="548">
        <f>Activity!$C81*Activity!$D81*Activity!G81</f>
        <v>0</v>
      </c>
      <c r="F82" s="550">
        <f>Activity!$C81*Activity!$D81*Activity!H81</f>
        <v>0</v>
      </c>
      <c r="G82" s="550">
        <f>Activity!$C81*Activity!$D81*Activity!I81</f>
        <v>0</v>
      </c>
      <c r="H82" s="550">
        <f>Activity!$C81*Activity!$D81*Activity!J81</f>
        <v>0</v>
      </c>
      <c r="I82" s="550">
        <f>Activity!$C81*Activity!$D81*Activity!K81</f>
        <v>0</v>
      </c>
      <c r="J82" s="551">
        <f>Activity!$C81*Activity!$D81*Activity!L81</f>
        <v>0</v>
      </c>
      <c r="K82" s="550">
        <f>Activity!$C81*Activity!$D81*Activity!M81</f>
        <v>0</v>
      </c>
      <c r="L82" s="550">
        <f>Activity!$C81*Activity!$D81*Activity!N81</f>
        <v>0</v>
      </c>
      <c r="M82" s="548">
        <f>Activity!$C81*Activity!$D81*Activity!O81</f>
        <v>0</v>
      </c>
      <c r="N82" s="412">
        <v>0</v>
      </c>
      <c r="O82" s="550">
        <f>Activity!C81*Activity!D81</f>
        <v>0</v>
      </c>
      <c r="P82" s="557">
        <f>Activity!X81</f>
        <v>0</v>
      </c>
    </row>
    <row r="83" spans="2:16">
      <c r="B83" s="7">
        <f t="shared" si="1"/>
        <v>2069</v>
      </c>
      <c r="C83" s="549">
        <f>Activity!$C82*Activity!$D82*Activity!E82</f>
        <v>0</v>
      </c>
      <c r="D83" s="550">
        <f>Activity!$C82*Activity!$D82*Activity!F82</f>
        <v>0</v>
      </c>
      <c r="E83" s="548">
        <f>Activity!$C82*Activity!$D82*Activity!G82</f>
        <v>0</v>
      </c>
      <c r="F83" s="550">
        <f>Activity!$C82*Activity!$D82*Activity!H82</f>
        <v>0</v>
      </c>
      <c r="G83" s="550">
        <f>Activity!$C82*Activity!$D82*Activity!I82</f>
        <v>0</v>
      </c>
      <c r="H83" s="550">
        <f>Activity!$C82*Activity!$D82*Activity!J82</f>
        <v>0</v>
      </c>
      <c r="I83" s="550">
        <f>Activity!$C82*Activity!$D82*Activity!K82</f>
        <v>0</v>
      </c>
      <c r="J83" s="551">
        <f>Activity!$C82*Activity!$D82*Activity!L82</f>
        <v>0</v>
      </c>
      <c r="K83" s="550">
        <f>Activity!$C82*Activity!$D82*Activity!M82</f>
        <v>0</v>
      </c>
      <c r="L83" s="550">
        <f>Activity!$C82*Activity!$D82*Activity!N82</f>
        <v>0</v>
      </c>
      <c r="M83" s="548">
        <f>Activity!$C82*Activity!$D82*Activity!O82</f>
        <v>0</v>
      </c>
      <c r="N83" s="412">
        <v>0</v>
      </c>
      <c r="O83" s="550">
        <f>Activity!C82*Activity!D82</f>
        <v>0</v>
      </c>
      <c r="P83" s="557">
        <f>Activity!X82</f>
        <v>0</v>
      </c>
    </row>
    <row r="84" spans="2:16">
      <c r="B84" s="7">
        <f t="shared" si="1"/>
        <v>2070</v>
      </c>
      <c r="C84" s="549">
        <f>Activity!$C83*Activity!$D83*Activity!E83</f>
        <v>0</v>
      </c>
      <c r="D84" s="550">
        <f>Activity!$C83*Activity!$D83*Activity!F83</f>
        <v>0</v>
      </c>
      <c r="E84" s="548">
        <f>Activity!$C83*Activity!$D83*Activity!G83</f>
        <v>0</v>
      </c>
      <c r="F84" s="550">
        <f>Activity!$C83*Activity!$D83*Activity!H83</f>
        <v>0</v>
      </c>
      <c r="G84" s="550">
        <f>Activity!$C83*Activity!$D83*Activity!I83</f>
        <v>0</v>
      </c>
      <c r="H84" s="550">
        <f>Activity!$C83*Activity!$D83*Activity!J83</f>
        <v>0</v>
      </c>
      <c r="I84" s="550">
        <f>Activity!$C83*Activity!$D83*Activity!K83</f>
        <v>0</v>
      </c>
      <c r="J84" s="551">
        <f>Activity!$C83*Activity!$D83*Activity!L83</f>
        <v>0</v>
      </c>
      <c r="K84" s="550">
        <f>Activity!$C83*Activity!$D83*Activity!M83</f>
        <v>0</v>
      </c>
      <c r="L84" s="550">
        <f>Activity!$C83*Activity!$D83*Activity!N83</f>
        <v>0</v>
      </c>
      <c r="M84" s="548">
        <f>Activity!$C83*Activity!$D83*Activity!O83</f>
        <v>0</v>
      </c>
      <c r="N84" s="412">
        <v>0</v>
      </c>
      <c r="O84" s="550">
        <f>Activity!C83*Activity!D83</f>
        <v>0</v>
      </c>
      <c r="P84" s="557">
        <f>Activity!X83</f>
        <v>0</v>
      </c>
    </row>
    <row r="85" spans="2:16">
      <c r="B85" s="7">
        <f t="shared" si="1"/>
        <v>2071</v>
      </c>
      <c r="C85" s="549">
        <f>Activity!$C84*Activity!$D84*Activity!E84</f>
        <v>0</v>
      </c>
      <c r="D85" s="550">
        <f>Activity!$C84*Activity!$D84*Activity!F84</f>
        <v>0</v>
      </c>
      <c r="E85" s="548">
        <f>Activity!$C84*Activity!$D84*Activity!G84</f>
        <v>0</v>
      </c>
      <c r="F85" s="550">
        <f>Activity!$C84*Activity!$D84*Activity!H84</f>
        <v>0</v>
      </c>
      <c r="G85" s="550">
        <f>Activity!$C84*Activity!$D84*Activity!I84</f>
        <v>0</v>
      </c>
      <c r="H85" s="550">
        <f>Activity!$C84*Activity!$D84*Activity!J84</f>
        <v>0</v>
      </c>
      <c r="I85" s="550">
        <f>Activity!$C84*Activity!$D84*Activity!K84</f>
        <v>0</v>
      </c>
      <c r="J85" s="551">
        <f>Activity!$C84*Activity!$D84*Activity!L84</f>
        <v>0</v>
      </c>
      <c r="K85" s="550">
        <f>Activity!$C84*Activity!$D84*Activity!M84</f>
        <v>0</v>
      </c>
      <c r="L85" s="550">
        <f>Activity!$C84*Activity!$D84*Activity!N84</f>
        <v>0</v>
      </c>
      <c r="M85" s="548">
        <f>Activity!$C84*Activity!$D84*Activity!O84</f>
        <v>0</v>
      </c>
      <c r="N85" s="412">
        <v>0</v>
      </c>
      <c r="O85" s="550">
        <f>Activity!C84*Activity!D84</f>
        <v>0</v>
      </c>
      <c r="P85" s="557">
        <f>Activity!X84</f>
        <v>0</v>
      </c>
    </row>
    <row r="86" spans="2:16">
      <c r="B86" s="7">
        <f t="shared" ref="B86:B94" si="2">B85+1</f>
        <v>2072</v>
      </c>
      <c r="C86" s="549">
        <f>Activity!$C85*Activity!$D85*Activity!E85</f>
        <v>0</v>
      </c>
      <c r="D86" s="550">
        <f>Activity!$C85*Activity!$D85*Activity!F85</f>
        <v>0</v>
      </c>
      <c r="E86" s="548">
        <f>Activity!$C85*Activity!$D85*Activity!G85</f>
        <v>0</v>
      </c>
      <c r="F86" s="550">
        <f>Activity!$C85*Activity!$D85*Activity!H85</f>
        <v>0</v>
      </c>
      <c r="G86" s="550">
        <f>Activity!$C85*Activity!$D85*Activity!I85</f>
        <v>0</v>
      </c>
      <c r="H86" s="550">
        <f>Activity!$C85*Activity!$D85*Activity!J85</f>
        <v>0</v>
      </c>
      <c r="I86" s="550">
        <f>Activity!$C85*Activity!$D85*Activity!K85</f>
        <v>0</v>
      </c>
      <c r="J86" s="551">
        <f>Activity!$C85*Activity!$D85*Activity!L85</f>
        <v>0</v>
      </c>
      <c r="K86" s="550">
        <f>Activity!$C85*Activity!$D85*Activity!M85</f>
        <v>0</v>
      </c>
      <c r="L86" s="550">
        <f>Activity!$C85*Activity!$D85*Activity!N85</f>
        <v>0</v>
      </c>
      <c r="M86" s="548">
        <f>Activity!$C85*Activity!$D85*Activity!O85</f>
        <v>0</v>
      </c>
      <c r="N86" s="412">
        <v>0</v>
      </c>
      <c r="O86" s="550">
        <f>Activity!C85*Activity!D85</f>
        <v>0</v>
      </c>
      <c r="P86" s="557">
        <f>Activity!X85</f>
        <v>0</v>
      </c>
    </row>
    <row r="87" spans="2:16">
      <c r="B87" s="7">
        <f t="shared" si="2"/>
        <v>2073</v>
      </c>
      <c r="C87" s="549">
        <f>Activity!$C86*Activity!$D86*Activity!E86</f>
        <v>0</v>
      </c>
      <c r="D87" s="550">
        <f>Activity!$C86*Activity!$D86*Activity!F86</f>
        <v>0</v>
      </c>
      <c r="E87" s="548">
        <f>Activity!$C86*Activity!$D86*Activity!G86</f>
        <v>0</v>
      </c>
      <c r="F87" s="550">
        <f>Activity!$C86*Activity!$D86*Activity!H86</f>
        <v>0</v>
      </c>
      <c r="G87" s="550">
        <f>Activity!$C86*Activity!$D86*Activity!I86</f>
        <v>0</v>
      </c>
      <c r="H87" s="550">
        <f>Activity!$C86*Activity!$D86*Activity!J86</f>
        <v>0</v>
      </c>
      <c r="I87" s="550">
        <f>Activity!$C86*Activity!$D86*Activity!K86</f>
        <v>0</v>
      </c>
      <c r="J87" s="551">
        <f>Activity!$C86*Activity!$D86*Activity!L86</f>
        <v>0</v>
      </c>
      <c r="K87" s="550">
        <f>Activity!$C86*Activity!$D86*Activity!M86</f>
        <v>0</v>
      </c>
      <c r="L87" s="550">
        <f>Activity!$C86*Activity!$D86*Activity!N86</f>
        <v>0</v>
      </c>
      <c r="M87" s="548">
        <f>Activity!$C86*Activity!$D86*Activity!O86</f>
        <v>0</v>
      </c>
      <c r="N87" s="412">
        <v>0</v>
      </c>
      <c r="O87" s="550">
        <f>Activity!C86*Activity!D86</f>
        <v>0</v>
      </c>
      <c r="P87" s="557">
        <f>Activity!X86</f>
        <v>0</v>
      </c>
    </row>
    <row r="88" spans="2:16">
      <c r="B88" s="7">
        <f t="shared" si="2"/>
        <v>2074</v>
      </c>
      <c r="C88" s="549">
        <f>Activity!$C87*Activity!$D87*Activity!E87</f>
        <v>0</v>
      </c>
      <c r="D88" s="550">
        <f>Activity!$C87*Activity!$D87*Activity!F87</f>
        <v>0</v>
      </c>
      <c r="E88" s="548">
        <f>Activity!$C87*Activity!$D87*Activity!G87</f>
        <v>0</v>
      </c>
      <c r="F88" s="550">
        <f>Activity!$C87*Activity!$D87*Activity!H87</f>
        <v>0</v>
      </c>
      <c r="G88" s="550">
        <f>Activity!$C87*Activity!$D87*Activity!I87</f>
        <v>0</v>
      </c>
      <c r="H88" s="550">
        <f>Activity!$C87*Activity!$D87*Activity!J87</f>
        <v>0</v>
      </c>
      <c r="I88" s="550">
        <f>Activity!$C87*Activity!$D87*Activity!K87</f>
        <v>0</v>
      </c>
      <c r="J88" s="551">
        <f>Activity!$C87*Activity!$D87*Activity!L87</f>
        <v>0</v>
      </c>
      <c r="K88" s="550">
        <f>Activity!$C87*Activity!$D87*Activity!M87</f>
        <v>0</v>
      </c>
      <c r="L88" s="550">
        <f>Activity!$C87*Activity!$D87*Activity!N87</f>
        <v>0</v>
      </c>
      <c r="M88" s="548">
        <f>Activity!$C87*Activity!$D87*Activity!O87</f>
        <v>0</v>
      </c>
      <c r="N88" s="412">
        <v>0</v>
      </c>
      <c r="O88" s="550">
        <f>Activity!C87*Activity!D87</f>
        <v>0</v>
      </c>
      <c r="P88" s="557">
        <f>Activity!X87</f>
        <v>0</v>
      </c>
    </row>
    <row r="89" spans="2:16">
      <c r="B89" s="7">
        <f t="shared" si="2"/>
        <v>2075</v>
      </c>
      <c r="C89" s="549">
        <f>Activity!$C88*Activity!$D88*Activity!E88</f>
        <v>0</v>
      </c>
      <c r="D89" s="550">
        <f>Activity!$C88*Activity!$D88*Activity!F88</f>
        <v>0</v>
      </c>
      <c r="E89" s="548">
        <f>Activity!$C88*Activity!$D88*Activity!G88</f>
        <v>0</v>
      </c>
      <c r="F89" s="550">
        <f>Activity!$C88*Activity!$D88*Activity!H88</f>
        <v>0</v>
      </c>
      <c r="G89" s="550">
        <f>Activity!$C88*Activity!$D88*Activity!I88</f>
        <v>0</v>
      </c>
      <c r="H89" s="550">
        <f>Activity!$C88*Activity!$D88*Activity!J88</f>
        <v>0</v>
      </c>
      <c r="I89" s="550">
        <f>Activity!$C88*Activity!$D88*Activity!K88</f>
        <v>0</v>
      </c>
      <c r="J89" s="551">
        <f>Activity!$C88*Activity!$D88*Activity!L88</f>
        <v>0</v>
      </c>
      <c r="K89" s="550">
        <f>Activity!$C88*Activity!$D88*Activity!M88</f>
        <v>0</v>
      </c>
      <c r="L89" s="550">
        <f>Activity!$C88*Activity!$D88*Activity!N88</f>
        <v>0</v>
      </c>
      <c r="M89" s="548">
        <f>Activity!$C88*Activity!$D88*Activity!O88</f>
        <v>0</v>
      </c>
      <c r="N89" s="412">
        <v>0</v>
      </c>
      <c r="O89" s="550">
        <f>Activity!C88*Activity!D88</f>
        <v>0</v>
      </c>
      <c r="P89" s="557">
        <f>Activity!X88</f>
        <v>0</v>
      </c>
    </row>
    <row r="90" spans="2:16">
      <c r="B90" s="7">
        <f t="shared" si="2"/>
        <v>2076</v>
      </c>
      <c r="C90" s="549">
        <f>Activity!$C89*Activity!$D89*Activity!E89</f>
        <v>0</v>
      </c>
      <c r="D90" s="550">
        <f>Activity!$C89*Activity!$D89*Activity!F89</f>
        <v>0</v>
      </c>
      <c r="E90" s="548">
        <f>Activity!$C89*Activity!$D89*Activity!G89</f>
        <v>0</v>
      </c>
      <c r="F90" s="550">
        <f>Activity!$C89*Activity!$D89*Activity!H89</f>
        <v>0</v>
      </c>
      <c r="G90" s="550">
        <f>Activity!$C89*Activity!$D89*Activity!I89</f>
        <v>0</v>
      </c>
      <c r="H90" s="550">
        <f>Activity!$C89*Activity!$D89*Activity!J89</f>
        <v>0</v>
      </c>
      <c r="I90" s="550">
        <f>Activity!$C89*Activity!$D89*Activity!K89</f>
        <v>0</v>
      </c>
      <c r="J90" s="551">
        <f>Activity!$C89*Activity!$D89*Activity!L89</f>
        <v>0</v>
      </c>
      <c r="K90" s="550">
        <f>Activity!$C89*Activity!$D89*Activity!M89</f>
        <v>0</v>
      </c>
      <c r="L90" s="550">
        <f>Activity!$C89*Activity!$D89*Activity!N89</f>
        <v>0</v>
      </c>
      <c r="M90" s="548">
        <f>Activity!$C89*Activity!$D89*Activity!O89</f>
        <v>0</v>
      </c>
      <c r="N90" s="412">
        <v>0</v>
      </c>
      <c r="O90" s="550">
        <f>Activity!C89*Activity!D89</f>
        <v>0</v>
      </c>
      <c r="P90" s="557">
        <f>Activity!X89</f>
        <v>0</v>
      </c>
    </row>
    <row r="91" spans="2:16">
      <c r="B91" s="7">
        <f t="shared" si="2"/>
        <v>2077</v>
      </c>
      <c r="C91" s="549">
        <f>Activity!$C90*Activity!$D90*Activity!E90</f>
        <v>0</v>
      </c>
      <c r="D91" s="550">
        <f>Activity!$C90*Activity!$D90*Activity!F90</f>
        <v>0</v>
      </c>
      <c r="E91" s="548">
        <f>Activity!$C90*Activity!$D90*Activity!G90</f>
        <v>0</v>
      </c>
      <c r="F91" s="550">
        <f>Activity!$C90*Activity!$D90*Activity!H90</f>
        <v>0</v>
      </c>
      <c r="G91" s="550">
        <f>Activity!$C90*Activity!$D90*Activity!I90</f>
        <v>0</v>
      </c>
      <c r="H91" s="550">
        <f>Activity!$C90*Activity!$D90*Activity!J90</f>
        <v>0</v>
      </c>
      <c r="I91" s="550">
        <f>Activity!$C90*Activity!$D90*Activity!K90</f>
        <v>0</v>
      </c>
      <c r="J91" s="551">
        <f>Activity!$C90*Activity!$D90*Activity!L90</f>
        <v>0</v>
      </c>
      <c r="K91" s="550">
        <f>Activity!$C90*Activity!$D90*Activity!M90</f>
        <v>0</v>
      </c>
      <c r="L91" s="550">
        <f>Activity!$C90*Activity!$D90*Activity!N90</f>
        <v>0</v>
      </c>
      <c r="M91" s="548">
        <f>Activity!$C90*Activity!$D90*Activity!O90</f>
        <v>0</v>
      </c>
      <c r="N91" s="412">
        <v>0</v>
      </c>
      <c r="O91" s="550">
        <f>Activity!C90*Activity!D90</f>
        <v>0</v>
      </c>
      <c r="P91" s="557">
        <f>Activity!X90</f>
        <v>0</v>
      </c>
    </row>
    <row r="92" spans="2:16">
      <c r="B92" s="7">
        <f t="shared" si="2"/>
        <v>2078</v>
      </c>
      <c r="C92" s="549">
        <f>Activity!$C91*Activity!$D91*Activity!E91</f>
        <v>0</v>
      </c>
      <c r="D92" s="550">
        <f>Activity!$C91*Activity!$D91*Activity!F91</f>
        <v>0</v>
      </c>
      <c r="E92" s="548">
        <f>Activity!$C91*Activity!$D91*Activity!G91</f>
        <v>0</v>
      </c>
      <c r="F92" s="550">
        <f>Activity!$C91*Activity!$D91*Activity!H91</f>
        <v>0</v>
      </c>
      <c r="G92" s="550">
        <f>Activity!$C91*Activity!$D91*Activity!I91</f>
        <v>0</v>
      </c>
      <c r="H92" s="550">
        <f>Activity!$C91*Activity!$D91*Activity!J91</f>
        <v>0</v>
      </c>
      <c r="I92" s="550">
        <f>Activity!$C91*Activity!$D91*Activity!K91</f>
        <v>0</v>
      </c>
      <c r="J92" s="551">
        <f>Activity!$C91*Activity!$D91*Activity!L91</f>
        <v>0</v>
      </c>
      <c r="K92" s="550">
        <f>Activity!$C91*Activity!$D91*Activity!M91</f>
        <v>0</v>
      </c>
      <c r="L92" s="550">
        <f>Activity!$C91*Activity!$D91*Activity!N91</f>
        <v>0</v>
      </c>
      <c r="M92" s="548">
        <f>Activity!$C91*Activity!$D91*Activity!O91</f>
        <v>0</v>
      </c>
      <c r="N92" s="412">
        <v>0</v>
      </c>
      <c r="O92" s="550">
        <f>Activity!C91*Activity!D91</f>
        <v>0</v>
      </c>
      <c r="P92" s="557">
        <f>Activity!X91</f>
        <v>0</v>
      </c>
    </row>
    <row r="93" spans="2:16">
      <c r="B93" s="7">
        <f t="shared" si="2"/>
        <v>2079</v>
      </c>
      <c r="C93" s="549">
        <f>Activity!$C92*Activity!$D92*Activity!E92</f>
        <v>0</v>
      </c>
      <c r="D93" s="550">
        <f>Activity!$C92*Activity!$D92*Activity!F92</f>
        <v>0</v>
      </c>
      <c r="E93" s="548">
        <f>Activity!$C92*Activity!$D92*Activity!G92</f>
        <v>0</v>
      </c>
      <c r="F93" s="550">
        <f>Activity!$C92*Activity!$D92*Activity!H92</f>
        <v>0</v>
      </c>
      <c r="G93" s="550">
        <f>Activity!$C92*Activity!$D92*Activity!I92</f>
        <v>0</v>
      </c>
      <c r="H93" s="550">
        <f>Activity!$C92*Activity!$D92*Activity!J92</f>
        <v>0</v>
      </c>
      <c r="I93" s="550">
        <f>Activity!$C92*Activity!$D92*Activity!K92</f>
        <v>0</v>
      </c>
      <c r="J93" s="551">
        <f>Activity!$C92*Activity!$D92*Activity!L92</f>
        <v>0</v>
      </c>
      <c r="K93" s="550">
        <f>Activity!$C92*Activity!$D92*Activity!M92</f>
        <v>0</v>
      </c>
      <c r="L93" s="550">
        <f>Activity!$C92*Activity!$D92*Activity!N92</f>
        <v>0</v>
      </c>
      <c r="M93" s="548">
        <f>Activity!$C92*Activity!$D92*Activity!O92</f>
        <v>0</v>
      </c>
      <c r="N93" s="412">
        <v>0</v>
      </c>
      <c r="O93" s="550">
        <f>Activity!C92*Activity!D92</f>
        <v>0</v>
      </c>
      <c r="P93" s="557">
        <f>Activity!X92</f>
        <v>0</v>
      </c>
    </row>
    <row r="94" spans="2:16" ht="13.5" thickBot="1">
      <c r="B94" s="15">
        <f t="shared" si="2"/>
        <v>2080</v>
      </c>
      <c r="C94" s="552">
        <f>Activity!$C93*Activity!$D93*Activity!E93</f>
        <v>0</v>
      </c>
      <c r="D94" s="553">
        <f>Activity!$C93*Activity!$D93*Activity!F93</f>
        <v>0</v>
      </c>
      <c r="E94" s="553">
        <f>Activity!$C93*Activity!$D93*Activity!G93</f>
        <v>0</v>
      </c>
      <c r="F94" s="553">
        <f>Activity!$C93*Activity!$D93*Activity!H93</f>
        <v>0</v>
      </c>
      <c r="G94" s="553">
        <f>Activity!$C93*Activity!$D93*Activity!I93</f>
        <v>0</v>
      </c>
      <c r="H94" s="553">
        <f>Activity!$C93*Activity!$D93*Activity!J93</f>
        <v>0</v>
      </c>
      <c r="I94" s="553">
        <f>Activity!$C93*Activity!$D93*Activity!K93</f>
        <v>0</v>
      </c>
      <c r="J94" s="554">
        <f>Activity!$C93*Activity!$D93*Activity!L93</f>
        <v>0</v>
      </c>
      <c r="K94" s="553">
        <f>Activity!$C93*Activity!$D93*Activity!M93</f>
        <v>0</v>
      </c>
      <c r="L94" s="553">
        <f>Activity!$C93*Activity!$D93*Activity!N93</f>
        <v>0</v>
      </c>
      <c r="M94" s="553">
        <f>Activity!$C93*Activity!$D93*Activity!O93</f>
        <v>0</v>
      </c>
      <c r="N94" s="413">
        <v>0</v>
      </c>
      <c r="O94" s="553">
        <f>Activity!C93*Activity!D93</f>
        <v>0</v>
      </c>
      <c r="P94" s="558">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C29" activePane="bottomRight" state="frozen"/>
      <selection activeCell="E19" sqref="E19"/>
      <selection pane="topRight" activeCell="E19" sqref="E19"/>
      <selection pane="bottomLeft" activeCell="E19" sqref="E19"/>
      <selection pane="bottomRight" activeCell="D29" sqref="D29"/>
    </sheetView>
  </sheetViews>
  <sheetFormatPr defaultColWidth="8.85546875" defaultRowHeight="12.75"/>
  <cols>
    <col min="1" max="1" width="3.42578125" style="306" customWidth="1"/>
    <col min="2" max="2" width="11.7109375" style="306" customWidth="1"/>
    <col min="3" max="3" width="12.7109375" style="306" customWidth="1"/>
    <col min="4" max="4" width="31.28515625" style="306" customWidth="1"/>
    <col min="5" max="5" width="10.42578125" style="308" customWidth="1"/>
    <col min="6" max="6" width="10.28515625" style="306" customWidth="1"/>
    <col min="7" max="7" width="38" style="306" customWidth="1"/>
    <col min="8" max="16384" width="8.85546875" style="306"/>
  </cols>
  <sheetData>
    <row r="2" spans="1:7" ht="15.75">
      <c r="C2" s="46" t="s">
        <v>197</v>
      </c>
      <c r="D2" s="46"/>
      <c r="E2" s="307"/>
    </row>
    <row r="4" spans="1:7">
      <c r="C4" s="306" t="s">
        <v>110</v>
      </c>
    </row>
    <row r="5" spans="1:7">
      <c r="C5" s="306" t="s">
        <v>111</v>
      </c>
    </row>
    <row r="6" spans="1:7" ht="13.5" thickBot="1"/>
    <row r="7" spans="1:7" ht="51.75" thickBot="1">
      <c r="A7" s="309"/>
      <c r="B7" s="310"/>
      <c r="C7" s="311" t="s">
        <v>108</v>
      </c>
      <c r="D7" s="312" t="s">
        <v>28</v>
      </c>
      <c r="E7" s="313" t="s">
        <v>203</v>
      </c>
      <c r="F7" s="314" t="s">
        <v>198</v>
      </c>
      <c r="G7" s="315" t="s">
        <v>199</v>
      </c>
    </row>
    <row r="8" spans="1:7" ht="13.5" thickBot="1">
      <c r="A8" s="316"/>
      <c r="B8" s="317"/>
      <c r="C8" s="318"/>
      <c r="D8" s="319"/>
      <c r="E8" s="320"/>
      <c r="F8" s="321"/>
      <c r="G8" s="322"/>
    </row>
    <row r="9" spans="1:7" ht="13.5" thickBot="1">
      <c r="A9" s="316"/>
      <c r="B9" s="323" t="s">
        <v>25</v>
      </c>
      <c r="C9" s="324">
        <v>0</v>
      </c>
      <c r="D9" s="325"/>
      <c r="E9" s="326"/>
      <c r="F9" s="327">
        <v>0</v>
      </c>
      <c r="G9" s="328"/>
    </row>
    <row r="10" spans="1:7">
      <c r="A10" s="316"/>
      <c r="B10" s="317"/>
      <c r="C10" s="318"/>
      <c r="D10" s="329"/>
      <c r="E10" s="330"/>
      <c r="F10" s="331"/>
      <c r="G10" s="332"/>
    </row>
    <row r="11" spans="1:7" ht="13.5" thickBot="1">
      <c r="A11" s="316"/>
      <c r="B11" s="55" t="s">
        <v>1</v>
      </c>
      <c r="C11" s="333" t="s">
        <v>15</v>
      </c>
      <c r="D11" s="334"/>
      <c r="E11" s="335"/>
      <c r="F11" s="336" t="s">
        <v>200</v>
      </c>
      <c r="G11" s="337"/>
    </row>
    <row r="12" spans="1:7">
      <c r="B12" s="338">
        <f>year</f>
        <v>2000</v>
      </c>
      <c r="C12" s="239">
        <v>0</v>
      </c>
      <c r="D12" s="44"/>
      <c r="E12" s="339">
        <f>IF(Results!L17&lt;=0,0,C12/Results!L17)</f>
        <v>0</v>
      </c>
      <c r="F12" s="340">
        <f t="shared" ref="F12:F43" si="0">ox</f>
        <v>0</v>
      </c>
      <c r="G12" s="341"/>
    </row>
    <row r="13" spans="1:7">
      <c r="B13" s="342">
        <f t="shared" ref="B13:B76" si="1">B12+1</f>
        <v>2001</v>
      </c>
      <c r="C13" s="240">
        <v>0</v>
      </c>
      <c r="D13" s="258"/>
      <c r="E13" s="339">
        <f>IF(Results!L18&lt;=0,0,C13/Results!L18)</f>
        <v>0</v>
      </c>
      <c r="F13" s="340">
        <f t="shared" si="0"/>
        <v>0</v>
      </c>
      <c r="G13" s="343"/>
    </row>
    <row r="14" spans="1:7">
      <c r="B14" s="342">
        <f t="shared" si="1"/>
        <v>2002</v>
      </c>
      <c r="C14" s="240">
        <v>0</v>
      </c>
      <c r="D14" s="258"/>
      <c r="E14" s="339">
        <f>IF(Results!L19&lt;=0,0,C14/Results!L19)</f>
        <v>0</v>
      </c>
      <c r="F14" s="340">
        <f t="shared" si="0"/>
        <v>0</v>
      </c>
      <c r="G14" s="343"/>
    </row>
    <row r="15" spans="1:7">
      <c r="B15" s="342">
        <f t="shared" si="1"/>
        <v>2003</v>
      </c>
      <c r="C15" s="240">
        <v>0</v>
      </c>
      <c r="D15" s="258"/>
      <c r="E15" s="339">
        <f>IF(Results!L20&lt;=0,0,C15/Results!L20)</f>
        <v>0</v>
      </c>
      <c r="F15" s="340">
        <f t="shared" si="0"/>
        <v>0</v>
      </c>
      <c r="G15" s="343"/>
    </row>
    <row r="16" spans="1:7">
      <c r="B16" s="342">
        <f t="shared" si="1"/>
        <v>2004</v>
      </c>
      <c r="C16" s="240">
        <v>0</v>
      </c>
      <c r="D16" s="258"/>
      <c r="E16" s="339">
        <f>IF(Results!L21&lt;=0,0,C16/Results!L21)</f>
        <v>0</v>
      </c>
      <c r="F16" s="340">
        <f t="shared" si="0"/>
        <v>0</v>
      </c>
      <c r="G16" s="343"/>
    </row>
    <row r="17" spans="2:7">
      <c r="B17" s="342">
        <f t="shared" si="1"/>
        <v>2005</v>
      </c>
      <c r="C17" s="240">
        <v>0</v>
      </c>
      <c r="D17" s="258"/>
      <c r="E17" s="339">
        <f>IF(Results!L22&lt;=0,0,C17/Results!L22)</f>
        <v>0</v>
      </c>
      <c r="F17" s="340">
        <f t="shared" si="0"/>
        <v>0</v>
      </c>
      <c r="G17" s="343"/>
    </row>
    <row r="18" spans="2:7">
      <c r="B18" s="342">
        <f t="shared" si="1"/>
        <v>2006</v>
      </c>
      <c r="C18" s="240">
        <v>0</v>
      </c>
      <c r="D18" s="258"/>
      <c r="E18" s="339">
        <f>IF(Results!L23&lt;=0,0,C18/Results!L23)</f>
        <v>0</v>
      </c>
      <c r="F18" s="340">
        <f t="shared" si="0"/>
        <v>0</v>
      </c>
      <c r="G18" s="343"/>
    </row>
    <row r="19" spans="2:7">
      <c r="B19" s="342">
        <f t="shared" si="1"/>
        <v>2007</v>
      </c>
      <c r="C19" s="240">
        <v>0</v>
      </c>
      <c r="D19" s="258"/>
      <c r="E19" s="339">
        <f>IF(Results!L24&lt;=0,0,C19/Results!L24)</f>
        <v>0</v>
      </c>
      <c r="F19" s="340">
        <f t="shared" si="0"/>
        <v>0</v>
      </c>
      <c r="G19" s="343"/>
    </row>
    <row r="20" spans="2:7">
      <c r="B20" s="342">
        <f t="shared" si="1"/>
        <v>2008</v>
      </c>
      <c r="C20" s="240">
        <v>0</v>
      </c>
      <c r="D20" s="258"/>
      <c r="E20" s="339">
        <f>IF(Results!L25&lt;=0,0,C20/Results!L25)</f>
        <v>0</v>
      </c>
      <c r="F20" s="340">
        <f t="shared" si="0"/>
        <v>0</v>
      </c>
      <c r="G20" s="343"/>
    </row>
    <row r="21" spans="2:7">
      <c r="B21" s="342">
        <f t="shared" si="1"/>
        <v>2009</v>
      </c>
      <c r="C21" s="240">
        <v>0</v>
      </c>
      <c r="D21" s="258"/>
      <c r="E21" s="339">
        <f>IF(Results!L26&lt;=0,0,C21/Results!L26)</f>
        <v>0</v>
      </c>
      <c r="F21" s="340">
        <f t="shared" si="0"/>
        <v>0</v>
      </c>
      <c r="G21" s="343"/>
    </row>
    <row r="22" spans="2:7">
      <c r="B22" s="342">
        <f t="shared" si="1"/>
        <v>2010</v>
      </c>
      <c r="C22" s="240">
        <v>0</v>
      </c>
      <c r="D22" s="258"/>
      <c r="E22" s="339">
        <f>IF(Results!L27&lt;=0,0,C22/Results!L27)</f>
        <v>0</v>
      </c>
      <c r="F22" s="340">
        <f t="shared" si="0"/>
        <v>0</v>
      </c>
      <c r="G22" s="343"/>
    </row>
    <row r="23" spans="2:7">
      <c r="B23" s="342">
        <f t="shared" si="1"/>
        <v>2011</v>
      </c>
      <c r="C23" s="240">
        <v>0</v>
      </c>
      <c r="D23" s="258"/>
      <c r="E23" s="339">
        <f>IF(Results!L28&lt;=0,0,C23/Results!L28)</f>
        <v>0</v>
      </c>
      <c r="F23" s="340">
        <f t="shared" si="0"/>
        <v>0</v>
      </c>
      <c r="G23" s="343"/>
    </row>
    <row r="24" spans="2:7">
      <c r="B24" s="342">
        <f t="shared" si="1"/>
        <v>2012</v>
      </c>
      <c r="C24" s="240">
        <v>0</v>
      </c>
      <c r="D24" s="258"/>
      <c r="E24" s="339">
        <f>IF(Results!L29&lt;=0,0,C24/Results!L29)</f>
        <v>0</v>
      </c>
      <c r="F24" s="340">
        <f t="shared" si="0"/>
        <v>0</v>
      </c>
      <c r="G24" s="343"/>
    </row>
    <row r="25" spans="2:7">
      <c r="B25" s="342">
        <f t="shared" si="1"/>
        <v>2013</v>
      </c>
      <c r="C25" s="240">
        <v>0</v>
      </c>
      <c r="D25" s="258"/>
      <c r="E25" s="339">
        <f>IF(Results!L30&lt;=0,0,C25/Results!L30)</f>
        <v>0</v>
      </c>
      <c r="F25" s="340">
        <f t="shared" si="0"/>
        <v>0</v>
      </c>
      <c r="G25" s="343"/>
    </row>
    <row r="26" spans="2:7">
      <c r="B26" s="342">
        <f t="shared" si="1"/>
        <v>2014</v>
      </c>
      <c r="C26" s="240">
        <v>0</v>
      </c>
      <c r="D26" s="258"/>
      <c r="E26" s="339">
        <f>IF(Results!L31&lt;=0,0,C26/Results!L31)</f>
        <v>0</v>
      </c>
      <c r="F26" s="340">
        <f t="shared" si="0"/>
        <v>0</v>
      </c>
      <c r="G26" s="343"/>
    </row>
    <row r="27" spans="2:7">
      <c r="B27" s="342">
        <f t="shared" si="1"/>
        <v>2015</v>
      </c>
      <c r="C27" s="240">
        <v>0</v>
      </c>
      <c r="D27" s="258"/>
      <c r="E27" s="339">
        <f>IF(Results!L32&lt;=0,0,C27/Results!L32)</f>
        <v>0</v>
      </c>
      <c r="F27" s="340">
        <f t="shared" si="0"/>
        <v>0</v>
      </c>
      <c r="G27" s="343"/>
    </row>
    <row r="28" spans="2:7">
      <c r="B28" s="342">
        <f t="shared" si="1"/>
        <v>2016</v>
      </c>
      <c r="C28" s="240">
        <v>0</v>
      </c>
      <c r="D28" s="258"/>
      <c r="E28" s="339">
        <f>IF(Results!L33&lt;=0,0,C28/Results!L33)</f>
        <v>0</v>
      </c>
      <c r="F28" s="340">
        <f t="shared" si="0"/>
        <v>0</v>
      </c>
      <c r="G28" s="343"/>
    </row>
    <row r="29" spans="2:7">
      <c r="B29" s="342">
        <f t="shared" si="1"/>
        <v>2017</v>
      </c>
      <c r="C29" s="240">
        <f>Activity!C30*0.5%</f>
        <v>1.2388965607040248</v>
      </c>
      <c r="D29" s="258" t="s">
        <v>338</v>
      </c>
      <c r="E29" s="339">
        <f>IF(Results!L34&lt;=0,0,C29/Results!L34)</f>
        <v>0.17228262404307021</v>
      </c>
      <c r="F29" s="340">
        <f t="shared" si="0"/>
        <v>0</v>
      </c>
      <c r="G29" s="343"/>
    </row>
    <row r="30" spans="2:7">
      <c r="B30" s="342">
        <f t="shared" si="1"/>
        <v>2018</v>
      </c>
      <c r="C30" s="240">
        <f>Activity!C31*0.5%</f>
        <v>1.3029354878917059</v>
      </c>
      <c r="D30" s="258" t="s">
        <v>338</v>
      </c>
      <c r="E30" s="339">
        <f>IF(Results!L35&lt;=0,0,C30/Results!L35)</f>
        <v>0.16768223872494767</v>
      </c>
      <c r="F30" s="340">
        <f t="shared" si="0"/>
        <v>0</v>
      </c>
      <c r="G30" s="343"/>
    </row>
    <row r="31" spans="2:7">
      <c r="B31" s="342">
        <f t="shared" si="1"/>
        <v>2019</v>
      </c>
      <c r="C31" s="240">
        <f>Activity!C32*0.5%</f>
        <v>1.3694348078773613</v>
      </c>
      <c r="D31" s="258" t="s">
        <v>338</v>
      </c>
      <c r="E31" s="339">
        <f>IF(Results!L36&lt;=0,0,C31/Results!L36)</f>
        <v>0.16418712684300441</v>
      </c>
      <c r="F31" s="340">
        <f t="shared" si="0"/>
        <v>0</v>
      </c>
      <c r="G31" s="343"/>
    </row>
    <row r="32" spans="2:7">
      <c r="B32" s="342">
        <f t="shared" si="1"/>
        <v>2020</v>
      </c>
      <c r="C32" s="240">
        <f>Activity!C33*0.5%</f>
        <v>1.4384783593812833</v>
      </c>
      <c r="D32" s="258" t="s">
        <v>338</v>
      </c>
      <c r="E32" s="339">
        <f>IF(Results!L37&lt;=0,0,C32/Results!L37)</f>
        <v>0.1614509371919661</v>
      </c>
      <c r="F32" s="340">
        <f t="shared" si="0"/>
        <v>0</v>
      </c>
      <c r="G32" s="343"/>
    </row>
    <row r="33" spans="2:7">
      <c r="B33" s="342">
        <f t="shared" si="1"/>
        <v>2021</v>
      </c>
      <c r="C33" s="240">
        <f>Activity!C34*0.5%</f>
        <v>1.5101526570280832</v>
      </c>
      <c r="D33" s="258" t="s">
        <v>338</v>
      </c>
      <c r="E33" s="339">
        <f>IF(Results!L38&lt;=0,0,C33/Results!L38)</f>
        <v>0.15925419793972184</v>
      </c>
      <c r="F33" s="340">
        <f t="shared" si="0"/>
        <v>0</v>
      </c>
      <c r="G33" s="343"/>
    </row>
    <row r="34" spans="2:7">
      <c r="B34" s="342">
        <f t="shared" si="1"/>
        <v>2022</v>
      </c>
      <c r="C34" s="240">
        <f>Activity!C35*0.5%</f>
        <v>1.5845469733016821</v>
      </c>
      <c r="D34" s="258" t="s">
        <v>338</v>
      </c>
      <c r="E34" s="339">
        <f>IF(Results!L39&lt;=0,0,C34/Results!L39)</f>
        <v>0.15745255527764712</v>
      </c>
      <c r="F34" s="340">
        <f t="shared" si="0"/>
        <v>0</v>
      </c>
      <c r="G34" s="343"/>
    </row>
    <row r="35" spans="2:7">
      <c r="B35" s="342">
        <f t="shared" si="1"/>
        <v>2023</v>
      </c>
      <c r="C35" s="240">
        <f>Activity!C36*0.5%</f>
        <v>1.6617534229400019</v>
      </c>
      <c r="D35" s="258" t="s">
        <v>338</v>
      </c>
      <c r="E35" s="339">
        <f>IF(Results!L40&lt;=0,0,C35/Results!L40)</f>
        <v>0.15594796185759502</v>
      </c>
      <c r="F35" s="340">
        <f t="shared" si="0"/>
        <v>0</v>
      </c>
      <c r="G35" s="343"/>
    </row>
    <row r="36" spans="2:7">
      <c r="B36" s="342">
        <f t="shared" si="1"/>
        <v>2024</v>
      </c>
      <c r="C36" s="240">
        <f>Activity!C37*0.5%</f>
        <v>1.7418670498404867</v>
      </c>
      <c r="D36" s="258" t="s">
        <v>338</v>
      </c>
      <c r="E36" s="339">
        <f>IF(Results!L41&lt;=0,0,C36/Results!L41)</f>
        <v>0.15467189577949508</v>
      </c>
      <c r="F36" s="340">
        <f t="shared" si="0"/>
        <v>0</v>
      </c>
      <c r="G36" s="343"/>
    </row>
    <row r="37" spans="2:7">
      <c r="B37" s="342">
        <f t="shared" si="1"/>
        <v>2025</v>
      </c>
      <c r="C37" s="240">
        <f>Activity!C38*0.5%</f>
        <v>1.8249859165496296</v>
      </c>
      <c r="D37" s="258" t="s">
        <v>338</v>
      </c>
      <c r="E37" s="339">
        <f>IF(Results!L42&lt;=0,0,C37/Results!L42)</f>
        <v>0.15357522179500022</v>
      </c>
      <c r="F37" s="340">
        <f t="shared" si="0"/>
        <v>0</v>
      </c>
      <c r="G37" s="343"/>
    </row>
    <row r="38" spans="2:7">
      <c r="B38" s="342">
        <f t="shared" si="1"/>
        <v>2026</v>
      </c>
      <c r="C38" s="240">
        <f>Activity!C39*0.5%</f>
        <v>1.9112111964117795</v>
      </c>
      <c r="D38" s="258" t="s">
        <v>338</v>
      </c>
      <c r="E38" s="339">
        <f>IF(Results!L43&lt;=0,0,C38/Results!L43)</f>
        <v>0.15262187454553316</v>
      </c>
      <c r="F38" s="340">
        <f t="shared" si="0"/>
        <v>0</v>
      </c>
      <c r="G38" s="343"/>
    </row>
    <row r="39" spans="2:7">
      <c r="B39" s="342">
        <f t="shared" si="1"/>
        <v>2027</v>
      </c>
      <c r="C39" s="240">
        <f>Activity!C40*0.5%</f>
        <v>2.0006472684546632</v>
      </c>
      <c r="D39" s="258" t="s">
        <v>338</v>
      </c>
      <c r="E39" s="339">
        <f>IF(Results!L44&lt;=0,0,C39/Results!L44)</f>
        <v>0.15178481639869948</v>
      </c>
      <c r="F39" s="340">
        <f t="shared" si="0"/>
        <v>0</v>
      </c>
      <c r="G39" s="343"/>
    </row>
    <row r="40" spans="2:7">
      <c r="B40" s="342">
        <f t="shared" si="1"/>
        <v>2028</v>
      </c>
      <c r="C40" s="240">
        <f>Activity!C41*0.5%</f>
        <v>2.0934018150912674</v>
      </c>
      <c r="D40" s="258" t="s">
        <v>338</v>
      </c>
      <c r="E40" s="339">
        <f>IF(Results!L45&lt;=0,0,C40/Results!L45)</f>
        <v>0.15104338773657008</v>
      </c>
      <c r="F40" s="340">
        <f t="shared" si="0"/>
        <v>0</v>
      </c>
      <c r="G40" s="343"/>
    </row>
    <row r="41" spans="2:7">
      <c r="B41" s="342">
        <f t="shared" si="1"/>
        <v>2029</v>
      </c>
      <c r="C41" s="240">
        <f>Activity!C42*0.5%</f>
        <v>2.1895859227200258</v>
      </c>
      <c r="D41" s="258" t="s">
        <v>338</v>
      </c>
      <c r="E41" s="339">
        <f>IF(Results!L46&lt;=0,0,C41/Results!L46)</f>
        <v>0.15038153079828662</v>
      </c>
      <c r="F41" s="340">
        <f t="shared" si="0"/>
        <v>0</v>
      </c>
      <c r="G41" s="343"/>
    </row>
    <row r="42" spans="2:7">
      <c r="B42" s="342">
        <f t="shared" si="1"/>
        <v>2030</v>
      </c>
      <c r="C42" s="240">
        <f>Activity!C43*0.5%</f>
        <v>2.2908365909999997</v>
      </c>
      <c r="D42" s="258" t="s">
        <v>338</v>
      </c>
      <c r="E42" s="339">
        <f>IF(Results!L47&lt;=0,0,C42/Results!L47)</f>
        <v>0.14988618256359809</v>
      </c>
      <c r="F42" s="340">
        <f t="shared" si="0"/>
        <v>0</v>
      </c>
      <c r="G42" s="343"/>
    </row>
    <row r="43" spans="2:7">
      <c r="B43" s="342">
        <f t="shared" si="1"/>
        <v>2031</v>
      </c>
      <c r="C43" s="240">
        <v>0</v>
      </c>
      <c r="D43" s="258"/>
      <c r="E43" s="339">
        <f>IF(Results!L48&lt;=0,0,C43/Results!L48)</f>
        <v>0</v>
      </c>
      <c r="F43" s="340">
        <f t="shared" si="0"/>
        <v>0</v>
      </c>
      <c r="G43" s="343"/>
    </row>
    <row r="44" spans="2:7">
      <c r="B44" s="342">
        <f t="shared" si="1"/>
        <v>2032</v>
      </c>
      <c r="C44" s="240">
        <v>0</v>
      </c>
      <c r="D44" s="258"/>
      <c r="E44" s="339">
        <f>IF(Results!L49&lt;=0,0,C44/Results!L49)</f>
        <v>0</v>
      </c>
      <c r="F44" s="340">
        <f t="shared" ref="F44:F75" si="2">ox</f>
        <v>0</v>
      </c>
      <c r="G44" s="343"/>
    </row>
    <row r="45" spans="2:7">
      <c r="B45" s="342">
        <f t="shared" si="1"/>
        <v>2033</v>
      </c>
      <c r="C45" s="240">
        <v>0</v>
      </c>
      <c r="D45" s="258"/>
      <c r="E45" s="339">
        <f>IF(Results!L50&lt;=0,0,C45/Results!L50)</f>
        <v>0</v>
      </c>
      <c r="F45" s="340">
        <f t="shared" si="2"/>
        <v>0</v>
      </c>
      <c r="G45" s="343"/>
    </row>
    <row r="46" spans="2:7">
      <c r="B46" s="342">
        <f t="shared" si="1"/>
        <v>2034</v>
      </c>
      <c r="C46" s="240">
        <v>0</v>
      </c>
      <c r="D46" s="258"/>
      <c r="E46" s="339">
        <f>IF(Results!L51&lt;=0,0,C46/Results!L51)</f>
        <v>0</v>
      </c>
      <c r="F46" s="340">
        <f t="shared" si="2"/>
        <v>0</v>
      </c>
      <c r="G46" s="343"/>
    </row>
    <row r="47" spans="2:7">
      <c r="B47" s="342">
        <f t="shared" si="1"/>
        <v>2035</v>
      </c>
      <c r="C47" s="240">
        <v>0</v>
      </c>
      <c r="D47" s="258"/>
      <c r="E47" s="339">
        <f>IF(Results!L52&lt;=0,0,C47/Results!L52)</f>
        <v>0</v>
      </c>
      <c r="F47" s="340">
        <f t="shared" si="2"/>
        <v>0</v>
      </c>
      <c r="G47" s="343"/>
    </row>
    <row r="48" spans="2:7">
      <c r="B48" s="342">
        <f t="shared" si="1"/>
        <v>2036</v>
      </c>
      <c r="C48" s="240">
        <v>0</v>
      </c>
      <c r="D48" s="258"/>
      <c r="E48" s="339">
        <f>IF(Results!L53&lt;=0,0,C48/Results!L53)</f>
        <v>0</v>
      </c>
      <c r="F48" s="340">
        <f t="shared" si="2"/>
        <v>0</v>
      </c>
      <c r="G48" s="343"/>
    </row>
    <row r="49" spans="2:7">
      <c r="B49" s="342">
        <f t="shared" si="1"/>
        <v>2037</v>
      </c>
      <c r="C49" s="240">
        <v>0</v>
      </c>
      <c r="D49" s="258"/>
      <c r="E49" s="339">
        <f>IF(Results!L54&lt;=0,0,C49/Results!L54)</f>
        <v>0</v>
      </c>
      <c r="F49" s="340">
        <f t="shared" si="2"/>
        <v>0</v>
      </c>
      <c r="G49" s="343"/>
    </row>
    <row r="50" spans="2:7">
      <c r="B50" s="342">
        <f t="shared" si="1"/>
        <v>2038</v>
      </c>
      <c r="C50" s="240">
        <v>0</v>
      </c>
      <c r="D50" s="258"/>
      <c r="E50" s="339">
        <f>IF(Results!L55&lt;=0,0,C50/Results!L55)</f>
        <v>0</v>
      </c>
      <c r="F50" s="340">
        <f t="shared" si="2"/>
        <v>0</v>
      </c>
      <c r="G50" s="343"/>
    </row>
    <row r="51" spans="2:7">
      <c r="B51" s="342">
        <f t="shared" si="1"/>
        <v>2039</v>
      </c>
      <c r="C51" s="240">
        <v>0</v>
      </c>
      <c r="D51" s="258"/>
      <c r="E51" s="339">
        <f>IF(Results!L56&lt;=0,0,C51/Results!L56)</f>
        <v>0</v>
      </c>
      <c r="F51" s="340">
        <f t="shared" si="2"/>
        <v>0</v>
      </c>
      <c r="G51" s="343"/>
    </row>
    <row r="52" spans="2:7">
      <c r="B52" s="342">
        <f t="shared" si="1"/>
        <v>2040</v>
      </c>
      <c r="C52" s="240">
        <v>0</v>
      </c>
      <c r="D52" s="258"/>
      <c r="E52" s="339">
        <f>IF(Results!L57&lt;=0,0,C52/Results!L57)</f>
        <v>0</v>
      </c>
      <c r="F52" s="340">
        <f t="shared" si="2"/>
        <v>0</v>
      </c>
      <c r="G52" s="343"/>
    </row>
    <row r="53" spans="2:7">
      <c r="B53" s="342">
        <f t="shared" si="1"/>
        <v>2041</v>
      </c>
      <c r="C53" s="240">
        <v>0</v>
      </c>
      <c r="D53" s="258"/>
      <c r="E53" s="339">
        <f>IF(Results!L58&lt;=0,0,C53/Results!L58)</f>
        <v>0</v>
      </c>
      <c r="F53" s="340">
        <f t="shared" si="2"/>
        <v>0</v>
      </c>
      <c r="G53" s="343"/>
    </row>
    <row r="54" spans="2:7">
      <c r="B54" s="342">
        <f t="shared" si="1"/>
        <v>2042</v>
      </c>
      <c r="C54" s="240">
        <v>0</v>
      </c>
      <c r="D54" s="258"/>
      <c r="E54" s="339">
        <f>IF(Results!L59&lt;=0,0,C54/Results!L59)</f>
        <v>0</v>
      </c>
      <c r="F54" s="340">
        <f t="shared" si="2"/>
        <v>0</v>
      </c>
      <c r="G54" s="343"/>
    </row>
    <row r="55" spans="2:7">
      <c r="B55" s="342">
        <f t="shared" si="1"/>
        <v>2043</v>
      </c>
      <c r="C55" s="240">
        <v>0</v>
      </c>
      <c r="D55" s="258"/>
      <c r="E55" s="339">
        <f>IF(Results!L60&lt;=0,0,C55/Results!L60)</f>
        <v>0</v>
      </c>
      <c r="F55" s="340">
        <f t="shared" si="2"/>
        <v>0</v>
      </c>
      <c r="G55" s="343"/>
    </row>
    <row r="56" spans="2:7">
      <c r="B56" s="342">
        <f t="shared" si="1"/>
        <v>2044</v>
      </c>
      <c r="C56" s="240">
        <v>0</v>
      </c>
      <c r="D56" s="258"/>
      <c r="E56" s="339">
        <f>IF(Results!L61&lt;=0,0,C56/Results!L61)</f>
        <v>0</v>
      </c>
      <c r="F56" s="340">
        <f t="shared" si="2"/>
        <v>0</v>
      </c>
      <c r="G56" s="343"/>
    </row>
    <row r="57" spans="2:7">
      <c r="B57" s="342">
        <f t="shared" si="1"/>
        <v>2045</v>
      </c>
      <c r="C57" s="240">
        <v>0</v>
      </c>
      <c r="D57" s="258"/>
      <c r="E57" s="339">
        <f>IF(Results!L62&lt;=0,0,C57/Results!L62)</f>
        <v>0</v>
      </c>
      <c r="F57" s="340">
        <f>ox</f>
        <v>0</v>
      </c>
      <c r="G57" s="343"/>
    </row>
    <row r="58" spans="2:7">
      <c r="B58" s="342">
        <f t="shared" si="1"/>
        <v>2046</v>
      </c>
      <c r="C58" s="240">
        <v>0</v>
      </c>
      <c r="D58" s="258"/>
      <c r="E58" s="339">
        <f>IF(Results!L63&lt;=0,0,C58/Results!L63)</f>
        <v>0</v>
      </c>
      <c r="F58" s="340">
        <f t="shared" si="2"/>
        <v>0</v>
      </c>
      <c r="G58" s="343"/>
    </row>
    <row r="59" spans="2:7">
      <c r="B59" s="342">
        <f t="shared" si="1"/>
        <v>2047</v>
      </c>
      <c r="C59" s="240">
        <v>0</v>
      </c>
      <c r="D59" s="258"/>
      <c r="E59" s="339">
        <f>IF(Results!L64&lt;=0,0,C59/Results!L64)</f>
        <v>0</v>
      </c>
      <c r="F59" s="340">
        <f t="shared" si="2"/>
        <v>0</v>
      </c>
      <c r="G59" s="343"/>
    </row>
    <row r="60" spans="2:7">
      <c r="B60" s="342">
        <f t="shared" si="1"/>
        <v>2048</v>
      </c>
      <c r="C60" s="240">
        <v>0</v>
      </c>
      <c r="D60" s="258"/>
      <c r="E60" s="339">
        <f>IF(Results!L65&lt;=0,0,C60/Results!L65)</f>
        <v>0</v>
      </c>
      <c r="F60" s="340">
        <f t="shared" si="2"/>
        <v>0</v>
      </c>
      <c r="G60" s="343"/>
    </row>
    <row r="61" spans="2:7">
      <c r="B61" s="342">
        <f t="shared" si="1"/>
        <v>2049</v>
      </c>
      <c r="C61" s="240">
        <v>0</v>
      </c>
      <c r="D61" s="258"/>
      <c r="E61" s="339">
        <f>IF(Results!L66&lt;=0,0,C61/Results!L66)</f>
        <v>0</v>
      </c>
      <c r="F61" s="340">
        <f>ox</f>
        <v>0</v>
      </c>
      <c r="G61" s="343"/>
    </row>
    <row r="62" spans="2:7">
      <c r="B62" s="342">
        <f t="shared" si="1"/>
        <v>2050</v>
      </c>
      <c r="C62" s="240">
        <v>0</v>
      </c>
      <c r="D62" s="258"/>
      <c r="E62" s="339">
        <f>IF(Results!L67&lt;=0,0,C62/Results!L67)</f>
        <v>0</v>
      </c>
      <c r="F62" s="340">
        <f t="shared" si="2"/>
        <v>0</v>
      </c>
      <c r="G62" s="343"/>
    </row>
    <row r="63" spans="2:7">
      <c r="B63" s="342">
        <f t="shared" si="1"/>
        <v>2051</v>
      </c>
      <c r="C63" s="240">
        <v>0</v>
      </c>
      <c r="D63" s="258"/>
      <c r="E63" s="339">
        <f>IF(Results!L68&lt;=0,0,C63/Results!L68)</f>
        <v>0</v>
      </c>
      <c r="F63" s="340">
        <f t="shared" si="2"/>
        <v>0</v>
      </c>
      <c r="G63" s="343"/>
    </row>
    <row r="64" spans="2:7">
      <c r="B64" s="342">
        <f t="shared" si="1"/>
        <v>2052</v>
      </c>
      <c r="C64" s="240">
        <v>0</v>
      </c>
      <c r="D64" s="258"/>
      <c r="E64" s="339">
        <f>IF(Results!L69&lt;=0,0,C64/Results!L69)</f>
        <v>0</v>
      </c>
      <c r="F64" s="340">
        <f t="shared" si="2"/>
        <v>0</v>
      </c>
      <c r="G64" s="343"/>
    </row>
    <row r="65" spans="2:7">
      <c r="B65" s="342">
        <f t="shared" si="1"/>
        <v>2053</v>
      </c>
      <c r="C65" s="240">
        <v>0</v>
      </c>
      <c r="D65" s="258"/>
      <c r="E65" s="339">
        <f>IF(Results!L70&lt;=0,0,C65/Results!L70)</f>
        <v>0</v>
      </c>
      <c r="F65" s="340">
        <f t="shared" si="2"/>
        <v>0</v>
      </c>
      <c r="G65" s="343"/>
    </row>
    <row r="66" spans="2:7">
      <c r="B66" s="342">
        <f t="shared" si="1"/>
        <v>2054</v>
      </c>
      <c r="C66" s="240">
        <v>0</v>
      </c>
      <c r="D66" s="258"/>
      <c r="E66" s="339">
        <f>IF(Results!L71&lt;=0,0,C66/Results!L71)</f>
        <v>0</v>
      </c>
      <c r="F66" s="340">
        <f t="shared" si="2"/>
        <v>0</v>
      </c>
      <c r="G66" s="343"/>
    </row>
    <row r="67" spans="2:7">
      <c r="B67" s="342">
        <f t="shared" si="1"/>
        <v>2055</v>
      </c>
      <c r="C67" s="240">
        <v>0</v>
      </c>
      <c r="D67" s="258"/>
      <c r="E67" s="339">
        <f>IF(Results!L72&lt;=0,0,C67/Results!L72)</f>
        <v>0</v>
      </c>
      <c r="F67" s="340">
        <f t="shared" si="2"/>
        <v>0</v>
      </c>
      <c r="G67" s="343"/>
    </row>
    <row r="68" spans="2:7">
      <c r="B68" s="342">
        <f t="shared" si="1"/>
        <v>2056</v>
      </c>
      <c r="C68" s="240">
        <v>0</v>
      </c>
      <c r="D68" s="258"/>
      <c r="E68" s="339">
        <f>IF(Results!L73&lt;=0,0,C68/Results!L73)</f>
        <v>0</v>
      </c>
      <c r="F68" s="340">
        <f t="shared" si="2"/>
        <v>0</v>
      </c>
      <c r="G68" s="343"/>
    </row>
    <row r="69" spans="2:7">
      <c r="B69" s="342">
        <f t="shared" si="1"/>
        <v>2057</v>
      </c>
      <c r="C69" s="240">
        <v>0</v>
      </c>
      <c r="D69" s="258"/>
      <c r="E69" s="339">
        <f>IF(Results!L74&lt;=0,0,C69/Results!L74)</f>
        <v>0</v>
      </c>
      <c r="F69" s="340">
        <f t="shared" si="2"/>
        <v>0</v>
      </c>
      <c r="G69" s="343"/>
    </row>
    <row r="70" spans="2:7">
      <c r="B70" s="342">
        <f t="shared" si="1"/>
        <v>2058</v>
      </c>
      <c r="C70" s="240">
        <v>0</v>
      </c>
      <c r="D70" s="258"/>
      <c r="E70" s="339">
        <f>IF(Results!L75&lt;=0,0,C70/Results!L75)</f>
        <v>0</v>
      </c>
      <c r="F70" s="340">
        <f t="shared" si="2"/>
        <v>0</v>
      </c>
      <c r="G70" s="343"/>
    </row>
    <row r="71" spans="2:7">
      <c r="B71" s="342">
        <f t="shared" si="1"/>
        <v>2059</v>
      </c>
      <c r="C71" s="240">
        <v>0</v>
      </c>
      <c r="D71" s="258"/>
      <c r="E71" s="339">
        <f>IF(Results!L76&lt;=0,0,C71/Results!L76)</f>
        <v>0</v>
      </c>
      <c r="F71" s="340">
        <f t="shared" si="2"/>
        <v>0</v>
      </c>
      <c r="G71" s="343"/>
    </row>
    <row r="72" spans="2:7">
      <c r="B72" s="342">
        <f t="shared" si="1"/>
        <v>2060</v>
      </c>
      <c r="C72" s="240">
        <v>0</v>
      </c>
      <c r="D72" s="258"/>
      <c r="E72" s="339">
        <f>IF(Results!L77&lt;=0,0,C72/Results!L77)</f>
        <v>0</v>
      </c>
      <c r="F72" s="340">
        <f t="shared" si="2"/>
        <v>0</v>
      </c>
      <c r="G72" s="343"/>
    </row>
    <row r="73" spans="2:7">
      <c r="B73" s="342">
        <f t="shared" si="1"/>
        <v>2061</v>
      </c>
      <c r="C73" s="240">
        <v>0</v>
      </c>
      <c r="D73" s="258"/>
      <c r="E73" s="339">
        <f>IF(Results!L78&lt;=0,0,C73/Results!L78)</f>
        <v>0</v>
      </c>
      <c r="F73" s="340">
        <f t="shared" si="2"/>
        <v>0</v>
      </c>
      <c r="G73" s="343"/>
    </row>
    <row r="74" spans="2:7">
      <c r="B74" s="342">
        <f t="shared" si="1"/>
        <v>2062</v>
      </c>
      <c r="C74" s="240">
        <v>0</v>
      </c>
      <c r="D74" s="258"/>
      <c r="E74" s="339">
        <f>IF(Results!L79&lt;=0,0,C74/Results!L79)</f>
        <v>0</v>
      </c>
      <c r="F74" s="340">
        <f t="shared" si="2"/>
        <v>0</v>
      </c>
      <c r="G74" s="343"/>
    </row>
    <row r="75" spans="2:7">
      <c r="B75" s="342">
        <f t="shared" si="1"/>
        <v>2063</v>
      </c>
      <c r="C75" s="240">
        <v>0</v>
      </c>
      <c r="D75" s="258"/>
      <c r="E75" s="339">
        <f>IF(Results!L80&lt;=0,0,C75/Results!L80)</f>
        <v>0</v>
      </c>
      <c r="F75" s="340">
        <f t="shared" si="2"/>
        <v>0</v>
      </c>
      <c r="G75" s="343"/>
    </row>
    <row r="76" spans="2:7">
      <c r="B76" s="342">
        <f t="shared" si="1"/>
        <v>2064</v>
      </c>
      <c r="C76" s="240">
        <v>0</v>
      </c>
      <c r="D76" s="258"/>
      <c r="E76" s="339">
        <f>IF(Results!L81&lt;=0,0,C76/Results!L81)</f>
        <v>0</v>
      </c>
      <c r="F76" s="340">
        <f t="shared" ref="F76:F92" si="3">ox</f>
        <v>0</v>
      </c>
      <c r="G76" s="343"/>
    </row>
    <row r="77" spans="2:7">
      <c r="B77" s="342">
        <f t="shared" ref="B77:B92" si="4">B76+1</f>
        <v>2065</v>
      </c>
      <c r="C77" s="240">
        <v>0</v>
      </c>
      <c r="D77" s="258"/>
      <c r="E77" s="339">
        <f>IF(Results!L82&lt;=0,0,C77/Results!L82)</f>
        <v>0</v>
      </c>
      <c r="F77" s="340">
        <f t="shared" si="3"/>
        <v>0</v>
      </c>
      <c r="G77" s="343"/>
    </row>
    <row r="78" spans="2:7">
      <c r="B78" s="342">
        <f t="shared" si="4"/>
        <v>2066</v>
      </c>
      <c r="C78" s="240">
        <v>0</v>
      </c>
      <c r="D78" s="258"/>
      <c r="E78" s="339">
        <f>IF(Results!L83&lt;=0,0,C78/Results!L83)</f>
        <v>0</v>
      </c>
      <c r="F78" s="340">
        <f t="shared" si="3"/>
        <v>0</v>
      </c>
      <c r="G78" s="343"/>
    </row>
    <row r="79" spans="2:7">
      <c r="B79" s="342">
        <f t="shared" si="4"/>
        <v>2067</v>
      </c>
      <c r="C79" s="240">
        <v>0</v>
      </c>
      <c r="D79" s="258"/>
      <c r="E79" s="339">
        <f>IF(Results!L84&lt;=0,0,C79/Results!L84)</f>
        <v>0</v>
      </c>
      <c r="F79" s="340">
        <f t="shared" si="3"/>
        <v>0</v>
      </c>
      <c r="G79" s="343"/>
    </row>
    <row r="80" spans="2:7">
      <c r="B80" s="342">
        <f t="shared" si="4"/>
        <v>2068</v>
      </c>
      <c r="C80" s="240">
        <v>0</v>
      </c>
      <c r="D80" s="258"/>
      <c r="E80" s="339">
        <f>IF(Results!L85&lt;=0,0,C80/Results!L85)</f>
        <v>0</v>
      </c>
      <c r="F80" s="340">
        <f t="shared" si="3"/>
        <v>0</v>
      </c>
      <c r="G80" s="343"/>
    </row>
    <row r="81" spans="2:7">
      <c r="B81" s="342">
        <f t="shared" si="4"/>
        <v>2069</v>
      </c>
      <c r="C81" s="240">
        <v>0</v>
      </c>
      <c r="D81" s="258"/>
      <c r="E81" s="339">
        <f>IF(Results!L86&lt;=0,0,C81/Results!L86)</f>
        <v>0</v>
      </c>
      <c r="F81" s="340">
        <f t="shared" si="3"/>
        <v>0</v>
      </c>
      <c r="G81" s="343"/>
    </row>
    <row r="82" spans="2:7">
      <c r="B82" s="342">
        <f t="shared" si="4"/>
        <v>2070</v>
      </c>
      <c r="C82" s="240">
        <v>0</v>
      </c>
      <c r="D82" s="258"/>
      <c r="E82" s="339">
        <f>IF(Results!L87&lt;=0,0,C82/Results!L87)</f>
        <v>0</v>
      </c>
      <c r="F82" s="340">
        <f t="shared" si="3"/>
        <v>0</v>
      </c>
      <c r="G82" s="343"/>
    </row>
    <row r="83" spans="2:7">
      <c r="B83" s="342">
        <f t="shared" si="4"/>
        <v>2071</v>
      </c>
      <c r="C83" s="240">
        <v>0</v>
      </c>
      <c r="D83" s="258"/>
      <c r="E83" s="339">
        <f>IF(Results!L88&lt;=0,0,C83/Results!L88)</f>
        <v>0</v>
      </c>
      <c r="F83" s="340">
        <f t="shared" si="3"/>
        <v>0</v>
      </c>
      <c r="G83" s="343"/>
    </row>
    <row r="84" spans="2:7">
      <c r="B84" s="342">
        <f t="shared" si="4"/>
        <v>2072</v>
      </c>
      <c r="C84" s="240">
        <v>0</v>
      </c>
      <c r="D84" s="258"/>
      <c r="E84" s="339">
        <f>IF(Results!L89&lt;=0,0,C84/Results!L89)</f>
        <v>0</v>
      </c>
      <c r="F84" s="340">
        <f t="shared" si="3"/>
        <v>0</v>
      </c>
      <c r="G84" s="343"/>
    </row>
    <row r="85" spans="2:7">
      <c r="B85" s="342">
        <f t="shared" si="4"/>
        <v>2073</v>
      </c>
      <c r="C85" s="240">
        <v>0</v>
      </c>
      <c r="D85" s="258"/>
      <c r="E85" s="339">
        <f>IF(Results!L90&lt;=0,0,C85/Results!L90)</f>
        <v>0</v>
      </c>
      <c r="F85" s="340">
        <f t="shared" si="3"/>
        <v>0</v>
      </c>
      <c r="G85" s="343"/>
    </row>
    <row r="86" spans="2:7">
      <c r="B86" s="342">
        <f t="shared" si="4"/>
        <v>2074</v>
      </c>
      <c r="C86" s="240">
        <v>0</v>
      </c>
      <c r="D86" s="258"/>
      <c r="E86" s="339">
        <f>IF(Results!L91&lt;=0,0,C86/Results!L91)</f>
        <v>0</v>
      </c>
      <c r="F86" s="340">
        <f t="shared" si="3"/>
        <v>0</v>
      </c>
      <c r="G86" s="343"/>
    </row>
    <row r="87" spans="2:7">
      <c r="B87" s="342">
        <f t="shared" si="4"/>
        <v>2075</v>
      </c>
      <c r="C87" s="240">
        <v>0</v>
      </c>
      <c r="D87" s="258"/>
      <c r="E87" s="339">
        <f>IF(Results!L92&lt;=0,0,C87/Results!L92)</f>
        <v>0</v>
      </c>
      <c r="F87" s="340">
        <f t="shared" si="3"/>
        <v>0</v>
      </c>
      <c r="G87" s="343"/>
    </row>
    <row r="88" spans="2:7">
      <c r="B88" s="342">
        <f t="shared" si="4"/>
        <v>2076</v>
      </c>
      <c r="C88" s="240">
        <v>0</v>
      </c>
      <c r="D88" s="258"/>
      <c r="E88" s="339">
        <f>IF(Results!L93&lt;=0,0,C88/Results!L93)</f>
        <v>0</v>
      </c>
      <c r="F88" s="340">
        <f t="shared" si="3"/>
        <v>0</v>
      </c>
      <c r="G88" s="343"/>
    </row>
    <row r="89" spans="2:7">
      <c r="B89" s="342">
        <f t="shared" si="4"/>
        <v>2077</v>
      </c>
      <c r="C89" s="240">
        <v>0</v>
      </c>
      <c r="D89" s="258"/>
      <c r="E89" s="339">
        <f>IF(Results!L94&lt;=0,0,C89/Results!L94)</f>
        <v>0</v>
      </c>
      <c r="F89" s="340">
        <f t="shared" si="3"/>
        <v>0</v>
      </c>
      <c r="G89" s="343"/>
    </row>
    <row r="90" spans="2:7">
      <c r="B90" s="342">
        <f t="shared" si="4"/>
        <v>2078</v>
      </c>
      <c r="C90" s="240">
        <v>0</v>
      </c>
      <c r="D90" s="258"/>
      <c r="E90" s="339">
        <f>IF(Results!L95&lt;=0,0,C90/Results!L95)</f>
        <v>0</v>
      </c>
      <c r="F90" s="340">
        <f t="shared" si="3"/>
        <v>0</v>
      </c>
      <c r="G90" s="343"/>
    </row>
    <row r="91" spans="2:7">
      <c r="B91" s="342">
        <f t="shared" si="4"/>
        <v>2079</v>
      </c>
      <c r="C91" s="240">
        <v>0</v>
      </c>
      <c r="D91" s="258"/>
      <c r="E91" s="339">
        <f>IF(Results!L96&lt;=0,0,C91/Results!L96)</f>
        <v>0</v>
      </c>
      <c r="F91" s="340">
        <f t="shared" si="3"/>
        <v>0</v>
      </c>
      <c r="G91" s="343"/>
    </row>
    <row r="92" spans="2:7" ht="13.5" thickBot="1">
      <c r="B92" s="344">
        <f t="shared" si="4"/>
        <v>2080</v>
      </c>
      <c r="C92" s="285">
        <v>0</v>
      </c>
      <c r="D92" s="259"/>
      <c r="E92" s="345">
        <f>IF(Results!L97&lt;=0,0,C92/Results!L97)</f>
        <v>0</v>
      </c>
      <c r="F92" s="346">
        <f t="shared" si="3"/>
        <v>0</v>
      </c>
      <c r="G92" s="347"/>
    </row>
    <row r="93" spans="2:7">
      <c r="F93" s="47"/>
    </row>
    <row r="94" spans="2:7">
      <c r="F94" s="47"/>
    </row>
    <row r="95" spans="2:7">
      <c r="F95" s="47"/>
    </row>
    <row r="96" spans="2:7">
      <c r="F96" s="47"/>
    </row>
    <row r="97" spans="6:6">
      <c r="F97" s="47"/>
    </row>
    <row r="98" spans="6:6">
      <c r="F98" s="47"/>
    </row>
    <row r="99" spans="6:6">
      <c r="F99" s="47"/>
    </row>
    <row r="100" spans="6:6">
      <c r="F100" s="47"/>
    </row>
    <row r="101" spans="6:6">
      <c r="F101" s="47"/>
    </row>
    <row r="102" spans="6:6">
      <c r="F102" s="47"/>
    </row>
    <row r="103" spans="6:6">
      <c r="F103" s="47"/>
    </row>
    <row r="104" spans="6:6">
      <c r="F104" s="47"/>
    </row>
    <row r="105" spans="6:6">
      <c r="F105" s="47"/>
    </row>
    <row r="106" spans="6:6">
      <c r="F106" s="47"/>
    </row>
    <row r="107" spans="6:6">
      <c r="F107" s="47"/>
    </row>
    <row r="108" spans="6:6">
      <c r="F108" s="47"/>
    </row>
    <row r="109" spans="6:6">
      <c r="F109" s="47"/>
    </row>
    <row r="110" spans="6:6">
      <c r="F110" s="47"/>
    </row>
    <row r="111" spans="6:6">
      <c r="F111" s="47"/>
    </row>
    <row r="112" spans="6:6">
      <c r="F112" s="47"/>
    </row>
    <row r="113" spans="6:6">
      <c r="F113" s="47"/>
    </row>
    <row r="114" spans="6:6">
      <c r="F114" s="47"/>
    </row>
    <row r="115" spans="6:6">
      <c r="F115" s="47"/>
    </row>
    <row r="116" spans="6:6">
      <c r="F116" s="47"/>
    </row>
    <row r="117" spans="6:6">
      <c r="F117" s="47"/>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H97"/>
  <sheetViews>
    <sheetView tabSelected="1" topLeftCell="B27" zoomScale="85" zoomScaleNormal="85" workbookViewId="0">
      <selection activeCell="C18" sqref="C18"/>
    </sheetView>
  </sheetViews>
  <sheetFormatPr defaultColWidth="8.85546875" defaultRowHeight="12.75"/>
  <cols>
    <col min="1" max="1" width="8.85546875" style="640"/>
    <col min="2" max="2" width="7" style="636" customWidth="1"/>
    <col min="3" max="3" width="8.85546875" style="636"/>
    <col min="4" max="4" width="10.85546875" style="636" customWidth="1"/>
    <col min="5" max="10" width="8.85546875" style="636"/>
    <col min="11" max="11" width="10.42578125" style="636" customWidth="1"/>
    <col min="12" max="12" width="8.85546875" style="636"/>
    <col min="13" max="13" width="9.42578125" style="636" bestFit="1" customWidth="1"/>
    <col min="14" max="14" width="3" style="636" customWidth="1"/>
    <col min="15" max="15" width="14.85546875" style="637" customWidth="1"/>
    <col min="16" max="16" width="8.28515625" style="636" customWidth="1"/>
    <col min="17" max="17" width="2" style="639" customWidth="1"/>
    <col min="18" max="20" width="8.85546875" style="640"/>
    <col min="21" max="21" width="10.7109375" style="640" customWidth="1"/>
    <col min="22" max="27" width="8.85546875" style="640"/>
    <col min="28" max="28" width="8.85546875" style="636"/>
    <col min="29" max="29" width="8.85546875" style="640"/>
    <col min="30" max="30" width="10.7109375" style="640" customWidth="1"/>
    <col min="31" max="31" width="2.7109375" style="640" customWidth="1"/>
    <col min="32" max="32" width="15.42578125" style="640" customWidth="1"/>
    <col min="33" max="16384" width="8.85546875" style="640"/>
  </cols>
  <sheetData>
    <row r="1" spans="1:32">
      <c r="A1" s="635"/>
      <c r="P1" s="638"/>
    </row>
    <row r="2" spans="1:32" ht="15.75">
      <c r="A2" s="635"/>
      <c r="B2" s="641" t="s">
        <v>94</v>
      </c>
      <c r="D2" s="641"/>
      <c r="E2" s="641"/>
    </row>
    <row r="3" spans="1:32" ht="15.75">
      <c r="A3" s="635"/>
      <c r="B3" s="641"/>
      <c r="D3" s="641"/>
      <c r="E3" s="641"/>
      <c r="I3" s="642"/>
      <c r="J3" s="643"/>
      <c r="K3" s="643"/>
      <c r="L3" s="643"/>
      <c r="M3" s="643"/>
      <c r="N3" s="643"/>
      <c r="O3" s="644"/>
      <c r="AB3" s="643"/>
    </row>
    <row r="4" spans="1:32" ht="16.5" thickBot="1">
      <c r="A4" s="635"/>
      <c r="B4" s="642" t="s">
        <v>265</v>
      </c>
      <c r="D4" s="641"/>
      <c r="E4" s="642" t="s">
        <v>276</v>
      </c>
      <c r="H4" s="642" t="s">
        <v>30</v>
      </c>
      <c r="I4" s="642"/>
      <c r="J4" s="643"/>
      <c r="K4" s="643"/>
      <c r="L4" s="643"/>
      <c r="M4" s="643"/>
      <c r="N4" s="643"/>
      <c r="O4" s="644"/>
      <c r="AB4" s="643"/>
    </row>
    <row r="5" spans="1:32" ht="13.5" thickBot="1">
      <c r="A5" s="635"/>
      <c r="B5" s="645" t="str">
        <f>city</f>
        <v>Kalimantan Timur</v>
      </c>
      <c r="C5" s="646"/>
      <c r="D5" s="646"/>
      <c r="E5" s="645" t="str">
        <f>province</f>
        <v>Kalimantan Timur</v>
      </c>
      <c r="F5" s="646"/>
      <c r="G5" s="646"/>
      <c r="H5" s="645" t="str">
        <f>country</f>
        <v>Indonesia</v>
      </c>
      <c r="I5" s="646"/>
      <c r="J5" s="647"/>
      <c r="K5" s="643"/>
      <c r="L5" s="643"/>
      <c r="M5" s="643"/>
      <c r="N5" s="643"/>
      <c r="O5" s="644"/>
      <c r="AB5" s="643"/>
    </row>
    <row r="6" spans="1:32">
      <c r="A6" s="635"/>
      <c r="C6" s="642"/>
      <c r="D6" s="642"/>
      <c r="E6" s="642"/>
    </row>
    <row r="7" spans="1:32">
      <c r="A7" s="635"/>
      <c r="B7" s="636" t="s">
        <v>35</v>
      </c>
      <c r="P7" s="638"/>
    </row>
    <row r="8" spans="1:32">
      <c r="A8" s="635"/>
      <c r="B8" s="636" t="s">
        <v>37</v>
      </c>
      <c r="P8" s="638"/>
    </row>
    <row r="9" spans="1:32">
      <c r="B9" s="648"/>
      <c r="P9" s="638"/>
    </row>
    <row r="10" spans="1:32">
      <c r="P10" s="649"/>
    </row>
    <row r="11" spans="1:32" ht="13.5" thickBot="1">
      <c r="A11" s="650"/>
      <c r="P11" s="650"/>
      <c r="Q11" s="651"/>
    </row>
    <row r="12" spans="1:32" ht="13.5" thickBot="1">
      <c r="A12" s="652"/>
      <c r="B12" s="653"/>
      <c r="C12" s="943" t="s">
        <v>91</v>
      </c>
      <c r="D12" s="944"/>
      <c r="E12" s="944"/>
      <c r="F12" s="944"/>
      <c r="G12" s="944"/>
      <c r="H12" s="944"/>
      <c r="I12" s="944"/>
      <c r="J12" s="944"/>
      <c r="K12" s="944"/>
      <c r="L12" s="944"/>
      <c r="M12" s="945"/>
      <c r="N12" s="654"/>
      <c r="O12" s="655"/>
      <c r="P12" s="652"/>
      <c r="Q12" s="651"/>
      <c r="S12" s="653"/>
      <c r="T12" s="943" t="s">
        <v>91</v>
      </c>
      <c r="U12" s="944"/>
      <c r="V12" s="944"/>
      <c r="W12" s="944"/>
      <c r="X12" s="944"/>
      <c r="Y12" s="944"/>
      <c r="Z12" s="944"/>
      <c r="AA12" s="944"/>
      <c r="AB12" s="944"/>
      <c r="AC12" s="944"/>
      <c r="AD12" s="945"/>
      <c r="AE12" s="654"/>
      <c r="AF12" s="656"/>
    </row>
    <row r="13" spans="1:32" ht="39" thickBot="1">
      <c r="A13" s="657"/>
      <c r="B13" s="369" t="s">
        <v>1</v>
      </c>
      <c r="C13" s="370" t="s">
        <v>228</v>
      </c>
      <c r="D13" s="371" t="s">
        <v>268</v>
      </c>
      <c r="E13" s="371" t="s">
        <v>267</v>
      </c>
      <c r="F13" s="371" t="s">
        <v>272</v>
      </c>
      <c r="G13" s="371" t="s">
        <v>2</v>
      </c>
      <c r="H13" s="371" t="s">
        <v>3</v>
      </c>
      <c r="I13" s="372" t="s">
        <v>146</v>
      </c>
      <c r="J13" s="372" t="s">
        <v>95</v>
      </c>
      <c r="K13" s="372" t="s">
        <v>308</v>
      </c>
      <c r="L13" s="373" t="s">
        <v>27</v>
      </c>
      <c r="M13" s="372" t="s">
        <v>5</v>
      </c>
      <c r="N13" s="374"/>
      <c r="O13" s="584" t="s">
        <v>4</v>
      </c>
      <c r="P13" s="657"/>
      <c r="Q13" s="651"/>
      <c r="S13" s="369" t="s">
        <v>1</v>
      </c>
      <c r="T13" s="370" t="s">
        <v>228</v>
      </c>
      <c r="U13" s="371" t="s">
        <v>268</v>
      </c>
      <c r="V13" s="371" t="s">
        <v>267</v>
      </c>
      <c r="W13" s="371" t="s">
        <v>272</v>
      </c>
      <c r="X13" s="371" t="s">
        <v>2</v>
      </c>
      <c r="Y13" s="371" t="s">
        <v>3</v>
      </c>
      <c r="Z13" s="372" t="s">
        <v>146</v>
      </c>
      <c r="AA13" s="372" t="s">
        <v>95</v>
      </c>
      <c r="AB13" s="372" t="s">
        <v>308</v>
      </c>
      <c r="AC13" s="373" t="s">
        <v>27</v>
      </c>
      <c r="AD13" s="372" t="s">
        <v>5</v>
      </c>
      <c r="AE13" s="374"/>
      <c r="AF13" s="375" t="s">
        <v>4</v>
      </c>
    </row>
    <row r="14" spans="1:32" ht="13.5" thickBot="1">
      <c r="A14" s="657"/>
      <c r="B14" s="658"/>
      <c r="C14" s="659" t="s">
        <v>81</v>
      </c>
      <c r="D14" s="660" t="s">
        <v>87</v>
      </c>
      <c r="E14" s="660" t="s">
        <v>88</v>
      </c>
      <c r="F14" s="660" t="s">
        <v>275</v>
      </c>
      <c r="G14" s="660" t="s">
        <v>89</v>
      </c>
      <c r="H14" s="660" t="s">
        <v>82</v>
      </c>
      <c r="I14" s="661" t="s">
        <v>92</v>
      </c>
      <c r="J14" s="662" t="s">
        <v>93</v>
      </c>
      <c r="K14" s="662" t="s">
        <v>316</v>
      </c>
      <c r="L14" s="663" t="s">
        <v>194</v>
      </c>
      <c r="M14" s="662" t="s">
        <v>162</v>
      </c>
      <c r="N14" s="664"/>
      <c r="O14" s="665" t="s">
        <v>163</v>
      </c>
      <c r="P14" s="657"/>
      <c r="Q14" s="651"/>
      <c r="S14" s="658"/>
      <c r="T14" s="659" t="s">
        <v>81</v>
      </c>
      <c r="U14" s="660" t="s">
        <v>87</v>
      </c>
      <c r="V14" s="660" t="s">
        <v>88</v>
      </c>
      <c r="W14" s="660" t="s">
        <v>275</v>
      </c>
      <c r="X14" s="660" t="s">
        <v>89</v>
      </c>
      <c r="Y14" s="660" t="s">
        <v>82</v>
      </c>
      <c r="Z14" s="661" t="s">
        <v>92</v>
      </c>
      <c r="AA14" s="662" t="s">
        <v>93</v>
      </c>
      <c r="AB14" s="662" t="s">
        <v>316</v>
      </c>
      <c r="AC14" s="663" t="s">
        <v>194</v>
      </c>
      <c r="AD14" s="662" t="s">
        <v>162</v>
      </c>
      <c r="AE14" s="664"/>
      <c r="AF14" s="666" t="s">
        <v>163</v>
      </c>
    </row>
    <row r="15" spans="1:32" ht="13.5" thickBot="1">
      <c r="B15" s="667"/>
      <c r="C15" s="668" t="s">
        <v>15</v>
      </c>
      <c r="D15" s="669" t="s">
        <v>15</v>
      </c>
      <c r="E15" s="669" t="s">
        <v>15</v>
      </c>
      <c r="F15" s="669" t="s">
        <v>15</v>
      </c>
      <c r="G15" s="669" t="s">
        <v>15</v>
      </c>
      <c r="H15" s="669" t="s">
        <v>15</v>
      </c>
      <c r="I15" s="670" t="s">
        <v>15</v>
      </c>
      <c r="J15" s="670" t="s">
        <v>15</v>
      </c>
      <c r="K15" s="670" t="s">
        <v>15</v>
      </c>
      <c r="L15" s="671" t="s">
        <v>15</v>
      </c>
      <c r="M15" s="670" t="s">
        <v>15</v>
      </c>
      <c r="N15" s="672"/>
      <c r="O15" s="673" t="s">
        <v>15</v>
      </c>
      <c r="P15" s="640"/>
      <c r="Q15" s="651"/>
      <c r="S15" s="667"/>
      <c r="T15" s="668" t="s">
        <v>15</v>
      </c>
      <c r="U15" s="669" t="s">
        <v>15</v>
      </c>
      <c r="V15" s="669" t="s">
        <v>15</v>
      </c>
      <c r="W15" s="669" t="s">
        <v>15</v>
      </c>
      <c r="X15" s="669" t="s">
        <v>15</v>
      </c>
      <c r="Y15" s="669" t="s">
        <v>15</v>
      </c>
      <c r="Z15" s="670" t="s">
        <v>15</v>
      </c>
      <c r="AA15" s="670" t="s">
        <v>15</v>
      </c>
      <c r="AB15" s="670" t="s">
        <v>15</v>
      </c>
      <c r="AC15" s="671" t="s">
        <v>15</v>
      </c>
      <c r="AD15" s="670" t="s">
        <v>15</v>
      </c>
      <c r="AE15" s="672"/>
      <c r="AF15" s="674" t="s">
        <v>15</v>
      </c>
    </row>
    <row r="16" spans="1:32" ht="13.5" thickBot="1">
      <c r="B16" s="675"/>
      <c r="C16" s="676"/>
      <c r="D16" s="677"/>
      <c r="E16" s="677"/>
      <c r="F16" s="677"/>
      <c r="G16" s="677"/>
      <c r="H16" s="677"/>
      <c r="I16" s="678"/>
      <c r="J16" s="678"/>
      <c r="K16" s="679"/>
      <c r="L16" s="680"/>
      <c r="M16" s="679"/>
      <c r="N16" s="681"/>
      <c r="O16" s="682"/>
      <c r="P16" s="640"/>
      <c r="Q16" s="651"/>
      <c r="S16" s="675"/>
      <c r="T16" s="676"/>
      <c r="U16" s="677"/>
      <c r="V16" s="677"/>
      <c r="W16" s="677"/>
      <c r="X16" s="677"/>
      <c r="Y16" s="677"/>
      <c r="Z16" s="678"/>
      <c r="AA16" s="678"/>
      <c r="AB16" s="679"/>
      <c r="AC16" s="680"/>
      <c r="AD16" s="679"/>
      <c r="AE16" s="681"/>
      <c r="AF16" s="683"/>
    </row>
    <row r="17" spans="2:34">
      <c r="B17" s="684">
        <f>year</f>
        <v>2000</v>
      </c>
      <c r="C17" s="872">
        <f>IF(Select2=1,Food!$K19,"")</f>
        <v>0</v>
      </c>
      <c r="D17" s="873">
        <f>IF(Select2=1,Paper!$K19,"")</f>
        <v>0</v>
      </c>
      <c r="E17" s="873">
        <f>IF(Select2=1,Nappies!$K19,"")</f>
        <v>0</v>
      </c>
      <c r="F17" s="873">
        <f>IF(Select2=1,Garden!$K19,"")</f>
        <v>0</v>
      </c>
      <c r="G17" s="873">
        <f>IF(Select2=1,Wood!$K19,"")</f>
        <v>0</v>
      </c>
      <c r="H17" s="873">
        <f>IF(Select2=1,Textiles!$K19,"")</f>
        <v>0</v>
      </c>
      <c r="I17" s="874">
        <f>Sludge!K19</f>
        <v>0</v>
      </c>
      <c r="J17" s="875" t="str">
        <f>IF(Select2=2,MSW!$K19,"")</f>
        <v/>
      </c>
      <c r="K17" s="874">
        <f>Industry!$K19</f>
        <v>0</v>
      </c>
      <c r="L17" s="876">
        <f>SUM(C17:K17)</f>
        <v>0</v>
      </c>
      <c r="M17" s="877">
        <f>Recovery_OX!C12</f>
        <v>0</v>
      </c>
      <c r="N17" s="649"/>
      <c r="O17" s="691">
        <f>(L17-M17)*(1-Recovery_OX!F12)</f>
        <v>0</v>
      </c>
      <c r="P17" s="692"/>
      <c r="Q17" s="651"/>
      <c r="S17" s="684">
        <f>year</f>
        <v>2000</v>
      </c>
      <c r="T17" s="685">
        <f>IF(Select2=1,Food!$W19,"")</f>
        <v>0</v>
      </c>
      <c r="U17" s="686">
        <f>IF(Select2=1,Paper!$W19,"")</f>
        <v>0</v>
      </c>
      <c r="V17" s="686">
        <f>IF(Select2=1,Nappies!$W19,"")</f>
        <v>0</v>
      </c>
      <c r="W17" s="686">
        <f>IF(Select2=1,Garden!$W19,"")</f>
        <v>0</v>
      </c>
      <c r="X17" s="686">
        <f>IF(Select2=1,Wood!$W19,"")</f>
        <v>0</v>
      </c>
      <c r="Y17" s="686">
        <f>IF(Select2=1,Textiles!$W19,"")</f>
        <v>0</v>
      </c>
      <c r="Z17" s="687">
        <f>Sludge!W19</f>
        <v>0</v>
      </c>
      <c r="AA17" s="688" t="str">
        <f>IF(Select2=2,MSW!$W19,"")</f>
        <v/>
      </c>
      <c r="AB17" s="687">
        <f>Industry!$W19</f>
        <v>0</v>
      </c>
      <c r="AC17" s="689">
        <f t="shared" ref="AC17:AC48" si="0">SUM(T17:AA17)</f>
        <v>0</v>
      </c>
      <c r="AD17" s="690">
        <f>Recovery_OX!R12</f>
        <v>0</v>
      </c>
      <c r="AE17" s="649"/>
      <c r="AF17" s="693">
        <f>(AC17-AD17)*(1-Recovery_OX!U12)</f>
        <v>0</v>
      </c>
      <c r="AH17" s="636"/>
    </row>
    <row r="18" spans="2:34">
      <c r="B18" s="694">
        <f t="shared" ref="B18:B81" si="1">B17+1</f>
        <v>2001</v>
      </c>
      <c r="C18" s="878">
        <f>IF(Select2=1,Food!$K20,"")</f>
        <v>0</v>
      </c>
      <c r="D18" s="879">
        <f>IF(Select2=1,Paper!$K20,"")</f>
        <v>0</v>
      </c>
      <c r="E18" s="873">
        <f>IF(Select2=1,Nappies!$K20,"")</f>
        <v>0</v>
      </c>
      <c r="F18" s="879">
        <f>IF(Select2=1,Garden!$K20,"")</f>
        <v>0</v>
      </c>
      <c r="G18" s="873">
        <f>IF(Select2=1,Wood!$K20,"")</f>
        <v>0</v>
      </c>
      <c r="H18" s="879">
        <f>IF(Select2=1,Textiles!$K20,"")</f>
        <v>0</v>
      </c>
      <c r="I18" s="880">
        <f>Sludge!K20</f>
        <v>0</v>
      </c>
      <c r="J18" s="880" t="str">
        <f>IF(Select2=2,MSW!$K20,"")</f>
        <v/>
      </c>
      <c r="K18" s="880">
        <f>Industry!$K20</f>
        <v>0</v>
      </c>
      <c r="L18" s="881">
        <f>SUM(C18:K18)</f>
        <v>0</v>
      </c>
      <c r="M18" s="882">
        <f>Recovery_OX!C13</f>
        <v>0</v>
      </c>
      <c r="N18" s="649"/>
      <c r="O18" s="700">
        <f>(L18-M18)*(1-Recovery_OX!F13)</f>
        <v>0</v>
      </c>
      <c r="P18" s="692"/>
      <c r="Q18" s="651"/>
      <c r="S18" s="694">
        <f t="shared" ref="S18:S81" si="2">S17+1</f>
        <v>2001</v>
      </c>
      <c r="T18" s="695">
        <f>IF(Select2=1,Food!$W20,"")</f>
        <v>0</v>
      </c>
      <c r="U18" s="696">
        <f>IF(Select2=1,Paper!$W20,"")</f>
        <v>0</v>
      </c>
      <c r="V18" s="686">
        <f>IF(Select2=1,Nappies!$W20,"")</f>
        <v>0</v>
      </c>
      <c r="W18" s="696">
        <f>IF(Select2=1,Garden!$W20,"")</f>
        <v>0</v>
      </c>
      <c r="X18" s="686">
        <f>IF(Select2=1,Wood!$W20,"")</f>
        <v>0</v>
      </c>
      <c r="Y18" s="696">
        <f>IF(Select2=1,Textiles!$W20,"")</f>
        <v>0</v>
      </c>
      <c r="Z18" s="688">
        <f>Sludge!W20</f>
        <v>0</v>
      </c>
      <c r="AA18" s="688" t="str">
        <f>IF(Select2=2,MSW!$W20,"")</f>
        <v/>
      </c>
      <c r="AB18" s="697">
        <f>Industry!$W20</f>
        <v>0</v>
      </c>
      <c r="AC18" s="698">
        <f t="shared" si="0"/>
        <v>0</v>
      </c>
      <c r="AD18" s="699">
        <f>Recovery_OX!R13</f>
        <v>0</v>
      </c>
      <c r="AE18" s="649"/>
      <c r="AF18" s="701">
        <f>(AC18-AD18)*(1-Recovery_OX!U13)</f>
        <v>0</v>
      </c>
      <c r="AH18" s="636"/>
    </row>
    <row r="19" spans="2:34">
      <c r="B19" s="694">
        <f t="shared" si="1"/>
        <v>2002</v>
      </c>
      <c r="C19" s="878">
        <f>IF(Select2=1,Food!$K21,"")</f>
        <v>0</v>
      </c>
      <c r="D19" s="879">
        <f>IF(Select2=1,Paper!$K21,"")</f>
        <v>0</v>
      </c>
      <c r="E19" s="873">
        <f>IF(Select2=1,Nappies!$K21,"")</f>
        <v>0</v>
      </c>
      <c r="F19" s="879">
        <f>IF(Select2=1,Garden!$K21,"")</f>
        <v>0</v>
      </c>
      <c r="G19" s="873">
        <f>IF(Select2=1,Wood!$K21,"")</f>
        <v>0</v>
      </c>
      <c r="H19" s="879">
        <f>IF(Select2=1,Textiles!$K21,"")</f>
        <v>0</v>
      </c>
      <c r="I19" s="880">
        <f>Sludge!K21</f>
        <v>0</v>
      </c>
      <c r="J19" s="880" t="str">
        <f>IF(Select2=2,MSW!$K21,"")</f>
        <v/>
      </c>
      <c r="K19" s="880">
        <f>Industry!$K21</f>
        <v>0</v>
      </c>
      <c r="L19" s="881">
        <f t="shared" ref="L19:L82" si="3">SUM(C19:K19)</f>
        <v>0</v>
      </c>
      <c r="M19" s="882">
        <f>Recovery_OX!C14</f>
        <v>0</v>
      </c>
      <c r="N19" s="649"/>
      <c r="O19" s="700">
        <f>(L19-M19)*(1-Recovery_OX!F14)</f>
        <v>0</v>
      </c>
      <c r="P19" s="692"/>
      <c r="Q19" s="651"/>
      <c r="S19" s="694">
        <f t="shared" si="2"/>
        <v>2002</v>
      </c>
      <c r="T19" s="695">
        <f>IF(Select2=1,Food!$W21,"")</f>
        <v>0</v>
      </c>
      <c r="U19" s="696">
        <f>IF(Select2=1,Paper!$W21,"")</f>
        <v>0</v>
      </c>
      <c r="V19" s="686">
        <f>IF(Select2=1,Nappies!$W21,"")</f>
        <v>0</v>
      </c>
      <c r="W19" s="696">
        <f>IF(Select2=1,Garden!$W21,"")</f>
        <v>0</v>
      </c>
      <c r="X19" s="686">
        <f>IF(Select2=1,Wood!$W21,"")</f>
        <v>0</v>
      </c>
      <c r="Y19" s="696">
        <f>IF(Select2=1,Textiles!$W21,"")</f>
        <v>0</v>
      </c>
      <c r="Z19" s="688">
        <f>Sludge!W21</f>
        <v>0</v>
      </c>
      <c r="AA19" s="688" t="str">
        <f>IF(Select2=2,MSW!$W21,"")</f>
        <v/>
      </c>
      <c r="AB19" s="697">
        <f>Industry!$W21</f>
        <v>0</v>
      </c>
      <c r="AC19" s="698">
        <f t="shared" si="0"/>
        <v>0</v>
      </c>
      <c r="AD19" s="699">
        <f>Recovery_OX!R14</f>
        <v>0</v>
      </c>
      <c r="AE19" s="649"/>
      <c r="AF19" s="701">
        <f>(AC19-AD19)*(1-Recovery_OX!U14)</f>
        <v>0</v>
      </c>
      <c r="AH19" s="636"/>
    </row>
    <row r="20" spans="2:34">
      <c r="B20" s="694">
        <f t="shared" si="1"/>
        <v>2003</v>
      </c>
      <c r="C20" s="878">
        <f>IF(Select2=1,Food!$K22,"")</f>
        <v>0</v>
      </c>
      <c r="D20" s="879">
        <f>IF(Select2=1,Paper!$K22,"")</f>
        <v>0</v>
      </c>
      <c r="E20" s="873">
        <f>IF(Select2=1,Nappies!$K22,"")</f>
        <v>0</v>
      </c>
      <c r="F20" s="879">
        <f>IF(Select2=1,Garden!$K22,"")</f>
        <v>0</v>
      </c>
      <c r="G20" s="873">
        <f>IF(Select2=1,Wood!$K22,"")</f>
        <v>0</v>
      </c>
      <c r="H20" s="879">
        <f>IF(Select2=1,Textiles!$K22,"")</f>
        <v>0</v>
      </c>
      <c r="I20" s="880">
        <f>Sludge!K22</f>
        <v>0</v>
      </c>
      <c r="J20" s="880" t="str">
        <f>IF(Select2=2,MSW!$K22,"")</f>
        <v/>
      </c>
      <c r="K20" s="880">
        <f>Industry!$K22</f>
        <v>0</v>
      </c>
      <c r="L20" s="881">
        <f t="shared" si="3"/>
        <v>0</v>
      </c>
      <c r="M20" s="882">
        <f>Recovery_OX!C15</f>
        <v>0</v>
      </c>
      <c r="N20" s="649"/>
      <c r="O20" s="700">
        <f>(L20-M20)*(1-Recovery_OX!F15)</f>
        <v>0</v>
      </c>
      <c r="P20" s="692"/>
      <c r="Q20" s="651"/>
      <c r="S20" s="694">
        <f t="shared" si="2"/>
        <v>2003</v>
      </c>
      <c r="T20" s="695">
        <f>IF(Select2=1,Food!$W22,"")</f>
        <v>0</v>
      </c>
      <c r="U20" s="696">
        <f>IF(Select2=1,Paper!$W22,"")</f>
        <v>0</v>
      </c>
      <c r="V20" s="686">
        <f>IF(Select2=1,Nappies!$W22,"")</f>
        <v>0</v>
      </c>
      <c r="W20" s="696">
        <f>IF(Select2=1,Garden!$W22,"")</f>
        <v>0</v>
      </c>
      <c r="X20" s="686">
        <f>IF(Select2=1,Wood!$W22,"")</f>
        <v>0</v>
      </c>
      <c r="Y20" s="696">
        <f>IF(Select2=1,Textiles!$W22,"")</f>
        <v>0</v>
      </c>
      <c r="Z20" s="688">
        <f>Sludge!W22</f>
        <v>0</v>
      </c>
      <c r="AA20" s="688" t="str">
        <f>IF(Select2=2,MSW!$W22,"")</f>
        <v/>
      </c>
      <c r="AB20" s="697">
        <f>Industry!$W22</f>
        <v>0</v>
      </c>
      <c r="AC20" s="698">
        <f t="shared" si="0"/>
        <v>0</v>
      </c>
      <c r="AD20" s="699">
        <f>Recovery_OX!R15</f>
        <v>0</v>
      </c>
      <c r="AE20" s="649"/>
      <c r="AF20" s="701">
        <f>(AC20-AD20)*(1-Recovery_OX!U15)</f>
        <v>0</v>
      </c>
      <c r="AH20" s="636"/>
    </row>
    <row r="21" spans="2:34">
      <c r="B21" s="694">
        <f t="shared" si="1"/>
        <v>2004</v>
      </c>
      <c r="C21" s="878">
        <f>IF(Select2=1,Food!$K23,"")</f>
        <v>0</v>
      </c>
      <c r="D21" s="879">
        <f>IF(Select2=1,Paper!$K23,"")</f>
        <v>0</v>
      </c>
      <c r="E21" s="873">
        <f>IF(Select2=1,Nappies!$K23,"")</f>
        <v>0</v>
      </c>
      <c r="F21" s="879">
        <f>IF(Select2=1,Garden!$K23,"")</f>
        <v>0</v>
      </c>
      <c r="G21" s="873">
        <f>IF(Select2=1,Wood!$K23,"")</f>
        <v>0</v>
      </c>
      <c r="H21" s="879">
        <f>IF(Select2=1,Textiles!$K23,"")</f>
        <v>0</v>
      </c>
      <c r="I21" s="880">
        <f>Sludge!K23</f>
        <v>0</v>
      </c>
      <c r="J21" s="880" t="str">
        <f>IF(Select2=2,MSW!$K23,"")</f>
        <v/>
      </c>
      <c r="K21" s="880">
        <f>Industry!$K23</f>
        <v>0</v>
      </c>
      <c r="L21" s="881">
        <f t="shared" si="3"/>
        <v>0</v>
      </c>
      <c r="M21" s="882">
        <f>Recovery_OX!C16</f>
        <v>0</v>
      </c>
      <c r="N21" s="649"/>
      <c r="O21" s="700">
        <f>(L21-M21)*(1-Recovery_OX!F16)</f>
        <v>0</v>
      </c>
      <c r="P21" s="692"/>
      <c r="Q21" s="651"/>
      <c r="S21" s="694">
        <f t="shared" si="2"/>
        <v>2004</v>
      </c>
      <c r="T21" s="695">
        <f>IF(Select2=1,Food!$W23,"")</f>
        <v>0</v>
      </c>
      <c r="U21" s="696">
        <f>IF(Select2=1,Paper!$W23,"")</f>
        <v>0</v>
      </c>
      <c r="V21" s="686">
        <f>IF(Select2=1,Nappies!$W23,"")</f>
        <v>0</v>
      </c>
      <c r="W21" s="696">
        <f>IF(Select2=1,Garden!$W23,"")</f>
        <v>0</v>
      </c>
      <c r="X21" s="686">
        <f>IF(Select2=1,Wood!$W23,"")</f>
        <v>0</v>
      </c>
      <c r="Y21" s="696">
        <f>IF(Select2=1,Textiles!$W23,"")</f>
        <v>0</v>
      </c>
      <c r="Z21" s="688">
        <f>Sludge!W23</f>
        <v>0</v>
      </c>
      <c r="AA21" s="688" t="str">
        <f>IF(Select2=2,MSW!$W23,"")</f>
        <v/>
      </c>
      <c r="AB21" s="697">
        <f>Industry!$W23</f>
        <v>0</v>
      </c>
      <c r="AC21" s="698">
        <f t="shared" si="0"/>
        <v>0</v>
      </c>
      <c r="AD21" s="699">
        <f>Recovery_OX!R16</f>
        <v>0</v>
      </c>
      <c r="AE21" s="649"/>
      <c r="AF21" s="701">
        <f>(AC21-AD21)*(1-Recovery_OX!U16)</f>
        <v>0</v>
      </c>
    </row>
    <row r="22" spans="2:34">
      <c r="B22" s="694">
        <f t="shared" si="1"/>
        <v>2005</v>
      </c>
      <c r="C22" s="878">
        <f>IF(Select2=1,Food!$K24,"")</f>
        <v>0</v>
      </c>
      <c r="D22" s="879">
        <f>IF(Select2=1,Paper!$K24,"")</f>
        <v>0</v>
      </c>
      <c r="E22" s="873">
        <f>IF(Select2=1,Nappies!$K24,"")</f>
        <v>0</v>
      </c>
      <c r="F22" s="879">
        <f>IF(Select2=1,Garden!$K24,"")</f>
        <v>0</v>
      </c>
      <c r="G22" s="873">
        <f>IF(Select2=1,Wood!$K24,"")</f>
        <v>0</v>
      </c>
      <c r="H22" s="879">
        <f>IF(Select2=1,Textiles!$K24,"")</f>
        <v>0</v>
      </c>
      <c r="I22" s="880">
        <f>Sludge!K24</f>
        <v>0</v>
      </c>
      <c r="J22" s="880" t="str">
        <f>IF(Select2=2,MSW!$K24,"")</f>
        <v/>
      </c>
      <c r="K22" s="880">
        <f>Industry!$K24</f>
        <v>0</v>
      </c>
      <c r="L22" s="881">
        <f t="shared" si="3"/>
        <v>0</v>
      </c>
      <c r="M22" s="882">
        <f>Recovery_OX!C17</f>
        <v>0</v>
      </c>
      <c r="N22" s="649"/>
      <c r="O22" s="700">
        <f>(L22-M22)*(1-Recovery_OX!F17)</f>
        <v>0</v>
      </c>
      <c r="P22" s="640"/>
      <c r="Q22" s="651"/>
      <c r="S22" s="694">
        <f t="shared" si="2"/>
        <v>2005</v>
      </c>
      <c r="T22" s="695">
        <f>IF(Select2=1,Food!$W24,"")</f>
        <v>0</v>
      </c>
      <c r="U22" s="696">
        <f>IF(Select2=1,Paper!$W24,"")</f>
        <v>0</v>
      </c>
      <c r="V22" s="686">
        <f>IF(Select2=1,Nappies!$W24,"")</f>
        <v>0</v>
      </c>
      <c r="W22" s="696">
        <f>IF(Select2=1,Garden!$W24,"")</f>
        <v>0</v>
      </c>
      <c r="X22" s="686">
        <f>IF(Select2=1,Wood!$W24,"")</f>
        <v>0</v>
      </c>
      <c r="Y22" s="696">
        <f>IF(Select2=1,Textiles!$W24,"")</f>
        <v>0</v>
      </c>
      <c r="Z22" s="688">
        <f>Sludge!W24</f>
        <v>0</v>
      </c>
      <c r="AA22" s="688" t="str">
        <f>IF(Select2=2,MSW!$W24,"")</f>
        <v/>
      </c>
      <c r="AB22" s="697">
        <f>Industry!$W24</f>
        <v>0</v>
      </c>
      <c r="AC22" s="698">
        <f t="shared" si="0"/>
        <v>0</v>
      </c>
      <c r="AD22" s="699">
        <f>Recovery_OX!R17</f>
        <v>0</v>
      </c>
      <c r="AE22" s="649"/>
      <c r="AF22" s="701">
        <f>(AC22-AD22)*(1-Recovery_OX!U17)</f>
        <v>0</v>
      </c>
    </row>
    <row r="23" spans="2:34">
      <c r="B23" s="694">
        <f t="shared" si="1"/>
        <v>2006</v>
      </c>
      <c r="C23" s="878">
        <f>IF(Select2=1,Food!$K25,"")</f>
        <v>0</v>
      </c>
      <c r="D23" s="879">
        <f>IF(Select2=1,Paper!$K25,"")</f>
        <v>0</v>
      </c>
      <c r="E23" s="873">
        <f>IF(Select2=1,Nappies!$K25,"")</f>
        <v>0</v>
      </c>
      <c r="F23" s="879">
        <f>IF(Select2=1,Garden!$K25,"")</f>
        <v>0</v>
      </c>
      <c r="G23" s="873">
        <f>IF(Select2=1,Wood!$K25,"")</f>
        <v>0</v>
      </c>
      <c r="H23" s="879">
        <f>IF(Select2=1,Textiles!$K25,"")</f>
        <v>0</v>
      </c>
      <c r="I23" s="880">
        <f>Sludge!K25</f>
        <v>0</v>
      </c>
      <c r="J23" s="880" t="str">
        <f>IF(Select2=2,MSW!$K25,"")</f>
        <v/>
      </c>
      <c r="K23" s="880">
        <f>Industry!$K25</f>
        <v>0</v>
      </c>
      <c r="L23" s="881">
        <f t="shared" si="3"/>
        <v>0</v>
      </c>
      <c r="M23" s="882">
        <f>Recovery_OX!C18</f>
        <v>0</v>
      </c>
      <c r="N23" s="649"/>
      <c r="O23" s="700">
        <f>(L23-M23)*(1-Recovery_OX!F18)</f>
        <v>0</v>
      </c>
      <c r="P23" s="640"/>
      <c r="Q23" s="651"/>
      <c r="S23" s="694">
        <f t="shared" si="2"/>
        <v>2006</v>
      </c>
      <c r="T23" s="695">
        <f>IF(Select2=1,Food!$W25,"")</f>
        <v>0</v>
      </c>
      <c r="U23" s="696">
        <f>IF(Select2=1,Paper!$W25,"")</f>
        <v>0</v>
      </c>
      <c r="V23" s="686">
        <f>IF(Select2=1,Nappies!$W25,"")</f>
        <v>0</v>
      </c>
      <c r="W23" s="696">
        <f>IF(Select2=1,Garden!$W25,"")</f>
        <v>0</v>
      </c>
      <c r="X23" s="686">
        <f>IF(Select2=1,Wood!$W25,"")</f>
        <v>0</v>
      </c>
      <c r="Y23" s="696">
        <f>IF(Select2=1,Textiles!$W25,"")</f>
        <v>0</v>
      </c>
      <c r="Z23" s="688">
        <f>Sludge!W25</f>
        <v>0</v>
      </c>
      <c r="AA23" s="688" t="str">
        <f>IF(Select2=2,MSW!$W25,"")</f>
        <v/>
      </c>
      <c r="AB23" s="697">
        <f>Industry!$W25</f>
        <v>0</v>
      </c>
      <c r="AC23" s="698">
        <f t="shared" si="0"/>
        <v>0</v>
      </c>
      <c r="AD23" s="699">
        <f>Recovery_OX!R18</f>
        <v>0</v>
      </c>
      <c r="AE23" s="649"/>
      <c r="AF23" s="701">
        <f>(AC23-AD23)*(1-Recovery_OX!U18)</f>
        <v>0</v>
      </c>
    </row>
    <row r="24" spans="2:34">
      <c r="B24" s="694">
        <f t="shared" si="1"/>
        <v>2007</v>
      </c>
      <c r="C24" s="878">
        <f>IF(Select2=1,Food!$K26,"")</f>
        <v>0</v>
      </c>
      <c r="D24" s="879">
        <f>IF(Select2=1,Paper!$K26,"")</f>
        <v>0</v>
      </c>
      <c r="E24" s="873">
        <f>IF(Select2=1,Nappies!$K26,"")</f>
        <v>0</v>
      </c>
      <c r="F24" s="879">
        <f>IF(Select2=1,Garden!$K26,"")</f>
        <v>0</v>
      </c>
      <c r="G24" s="873">
        <f>IF(Select2=1,Wood!$K26,"")</f>
        <v>0</v>
      </c>
      <c r="H24" s="879">
        <f>IF(Select2=1,Textiles!$K26,"")</f>
        <v>0</v>
      </c>
      <c r="I24" s="880">
        <f>Sludge!K26</f>
        <v>0</v>
      </c>
      <c r="J24" s="880" t="str">
        <f>IF(Select2=2,MSW!$K26,"")</f>
        <v/>
      </c>
      <c r="K24" s="880">
        <f>Industry!$K26</f>
        <v>0</v>
      </c>
      <c r="L24" s="881">
        <f t="shared" si="3"/>
        <v>0</v>
      </c>
      <c r="M24" s="882">
        <f>Recovery_OX!C19</f>
        <v>0</v>
      </c>
      <c r="N24" s="649"/>
      <c r="O24" s="700">
        <f>(L24-M24)*(1-Recovery_OX!F19)</f>
        <v>0</v>
      </c>
      <c r="P24" s="640"/>
      <c r="Q24" s="651"/>
      <c r="S24" s="694">
        <f t="shared" si="2"/>
        <v>2007</v>
      </c>
      <c r="T24" s="695">
        <f>IF(Select2=1,Food!$W26,"")</f>
        <v>0</v>
      </c>
      <c r="U24" s="696">
        <f>IF(Select2=1,Paper!$W26,"")</f>
        <v>0</v>
      </c>
      <c r="V24" s="686">
        <f>IF(Select2=1,Nappies!$W26,"")</f>
        <v>0</v>
      </c>
      <c r="W24" s="696">
        <f>IF(Select2=1,Garden!$W26,"")</f>
        <v>0</v>
      </c>
      <c r="X24" s="686">
        <f>IF(Select2=1,Wood!$W26,"")</f>
        <v>0</v>
      </c>
      <c r="Y24" s="696">
        <f>IF(Select2=1,Textiles!$W26,"")</f>
        <v>0</v>
      </c>
      <c r="Z24" s="688">
        <f>Sludge!W26</f>
        <v>0</v>
      </c>
      <c r="AA24" s="688" t="str">
        <f>IF(Select2=2,MSW!$W26,"")</f>
        <v/>
      </c>
      <c r="AB24" s="697">
        <f>Industry!$W26</f>
        <v>0</v>
      </c>
      <c r="AC24" s="698">
        <f t="shared" si="0"/>
        <v>0</v>
      </c>
      <c r="AD24" s="699">
        <f>Recovery_OX!R19</f>
        <v>0</v>
      </c>
      <c r="AE24" s="649"/>
      <c r="AF24" s="701">
        <f>(AC24-AD24)*(1-Recovery_OX!U19)</f>
        <v>0</v>
      </c>
    </row>
    <row r="25" spans="2:34">
      <c r="B25" s="694">
        <f t="shared" si="1"/>
        <v>2008</v>
      </c>
      <c r="C25" s="878">
        <f>IF(Select2=1,Food!$K27,"")</f>
        <v>0</v>
      </c>
      <c r="D25" s="879">
        <f>IF(Select2=1,Paper!$K27,"")</f>
        <v>0</v>
      </c>
      <c r="E25" s="873">
        <f>IF(Select2=1,Nappies!$K27,"")</f>
        <v>0</v>
      </c>
      <c r="F25" s="879">
        <f>IF(Select2=1,Garden!$K27,"")</f>
        <v>0</v>
      </c>
      <c r="G25" s="873">
        <f>IF(Select2=1,Wood!$K27,"")</f>
        <v>0</v>
      </c>
      <c r="H25" s="879">
        <f>IF(Select2=1,Textiles!$K27,"")</f>
        <v>0</v>
      </c>
      <c r="I25" s="880">
        <f>Sludge!K27</f>
        <v>0</v>
      </c>
      <c r="J25" s="880" t="str">
        <f>IF(Select2=2,MSW!$K27,"")</f>
        <v/>
      </c>
      <c r="K25" s="880">
        <f>Industry!$K27</f>
        <v>0</v>
      </c>
      <c r="L25" s="881">
        <f t="shared" si="3"/>
        <v>0</v>
      </c>
      <c r="M25" s="882">
        <f>Recovery_OX!C20</f>
        <v>0</v>
      </c>
      <c r="N25" s="649"/>
      <c r="O25" s="700">
        <f>(L25-M25)*(1-Recovery_OX!F20)</f>
        <v>0</v>
      </c>
      <c r="P25" s="640"/>
      <c r="Q25" s="651"/>
      <c r="S25" s="694">
        <f t="shared" si="2"/>
        <v>2008</v>
      </c>
      <c r="T25" s="695">
        <f>IF(Select2=1,Food!$W27,"")</f>
        <v>0</v>
      </c>
      <c r="U25" s="696">
        <f>IF(Select2=1,Paper!$W27,"")</f>
        <v>0</v>
      </c>
      <c r="V25" s="686">
        <f>IF(Select2=1,Nappies!$W27,"")</f>
        <v>0</v>
      </c>
      <c r="W25" s="696">
        <f>IF(Select2=1,Garden!$W27,"")</f>
        <v>0</v>
      </c>
      <c r="X25" s="686">
        <f>IF(Select2=1,Wood!$W27,"")</f>
        <v>0</v>
      </c>
      <c r="Y25" s="696">
        <f>IF(Select2=1,Textiles!$W27,"")</f>
        <v>0</v>
      </c>
      <c r="Z25" s="688">
        <f>Sludge!W27</f>
        <v>0</v>
      </c>
      <c r="AA25" s="688" t="str">
        <f>IF(Select2=2,MSW!$W27,"")</f>
        <v/>
      </c>
      <c r="AB25" s="697">
        <f>Industry!$W27</f>
        <v>0</v>
      </c>
      <c r="AC25" s="698">
        <f t="shared" si="0"/>
        <v>0</v>
      </c>
      <c r="AD25" s="699">
        <f>Recovery_OX!R20</f>
        <v>0</v>
      </c>
      <c r="AE25" s="649"/>
      <c r="AF25" s="701">
        <f>(AC25-AD25)*(1-Recovery_OX!U20)</f>
        <v>0</v>
      </c>
    </row>
    <row r="26" spans="2:34">
      <c r="B26" s="694">
        <f t="shared" si="1"/>
        <v>2009</v>
      </c>
      <c r="C26" s="878">
        <f>IF(Select2=1,Food!$K28,"")</f>
        <v>0</v>
      </c>
      <c r="D26" s="879">
        <f>IF(Select2=1,Paper!$K28,"")</f>
        <v>0</v>
      </c>
      <c r="E26" s="873">
        <f>IF(Select2=1,Nappies!$K28,"")</f>
        <v>0</v>
      </c>
      <c r="F26" s="879">
        <f>IF(Select2=1,Garden!$K28,"")</f>
        <v>0</v>
      </c>
      <c r="G26" s="873">
        <f>IF(Select2=1,Wood!$K28,"")</f>
        <v>0</v>
      </c>
      <c r="H26" s="879">
        <f>IF(Select2=1,Textiles!$K28,"")</f>
        <v>0</v>
      </c>
      <c r="I26" s="880">
        <f>Sludge!K28</f>
        <v>0</v>
      </c>
      <c r="J26" s="880" t="str">
        <f>IF(Select2=2,MSW!$K28,"")</f>
        <v/>
      </c>
      <c r="K26" s="880">
        <f>Industry!$K28</f>
        <v>0</v>
      </c>
      <c r="L26" s="881">
        <f t="shared" si="3"/>
        <v>0</v>
      </c>
      <c r="M26" s="882">
        <f>Recovery_OX!C21</f>
        <v>0</v>
      </c>
      <c r="N26" s="649"/>
      <c r="O26" s="700">
        <f>(L26-M26)*(1-Recovery_OX!F21)</f>
        <v>0</v>
      </c>
      <c r="P26" s="640"/>
      <c r="Q26" s="651"/>
      <c r="S26" s="694">
        <f t="shared" si="2"/>
        <v>2009</v>
      </c>
      <c r="T26" s="695">
        <f>IF(Select2=1,Food!$W28,"")</f>
        <v>0</v>
      </c>
      <c r="U26" s="696">
        <f>IF(Select2=1,Paper!$W28,"")</f>
        <v>0</v>
      </c>
      <c r="V26" s="686">
        <f>IF(Select2=1,Nappies!$W28,"")</f>
        <v>0</v>
      </c>
      <c r="W26" s="696">
        <f>IF(Select2=1,Garden!$W28,"")</f>
        <v>0</v>
      </c>
      <c r="X26" s="686">
        <f>IF(Select2=1,Wood!$W28,"")</f>
        <v>0</v>
      </c>
      <c r="Y26" s="696">
        <f>IF(Select2=1,Textiles!$W28,"")</f>
        <v>0</v>
      </c>
      <c r="Z26" s="688">
        <f>Sludge!W28</f>
        <v>0</v>
      </c>
      <c r="AA26" s="688" t="str">
        <f>IF(Select2=2,MSW!$W28,"")</f>
        <v/>
      </c>
      <c r="AB26" s="697">
        <f>Industry!$W28</f>
        <v>0</v>
      </c>
      <c r="AC26" s="698">
        <f t="shared" si="0"/>
        <v>0</v>
      </c>
      <c r="AD26" s="699">
        <f>Recovery_OX!R21</f>
        <v>0</v>
      </c>
      <c r="AE26" s="649"/>
      <c r="AF26" s="701">
        <f>(AC26-AD26)*(1-Recovery_OX!U21)</f>
        <v>0</v>
      </c>
    </row>
    <row r="27" spans="2:34">
      <c r="B27" s="694">
        <f t="shared" si="1"/>
        <v>2010</v>
      </c>
      <c r="C27" s="878">
        <f>IF(Select2=1,Food!$K29,"")</f>
        <v>0</v>
      </c>
      <c r="D27" s="879">
        <f>IF(Select2=1,Paper!$K29,"")</f>
        <v>0</v>
      </c>
      <c r="E27" s="873">
        <f>IF(Select2=1,Nappies!$K29,"")</f>
        <v>0</v>
      </c>
      <c r="F27" s="879">
        <f>IF(Select2=1,Garden!$K29,"")</f>
        <v>0</v>
      </c>
      <c r="G27" s="873">
        <f>IF(Select2=1,Wood!$K29,"")</f>
        <v>0</v>
      </c>
      <c r="H27" s="879">
        <f>IF(Select2=1,Textiles!$K29,"")</f>
        <v>0</v>
      </c>
      <c r="I27" s="880">
        <f>Sludge!K29</f>
        <v>0</v>
      </c>
      <c r="J27" s="880" t="str">
        <f>IF(Select2=2,MSW!$K29,"")</f>
        <v/>
      </c>
      <c r="K27" s="880">
        <f>Industry!$K29</f>
        <v>0</v>
      </c>
      <c r="L27" s="881">
        <f t="shared" si="3"/>
        <v>0</v>
      </c>
      <c r="M27" s="882">
        <f>Recovery_OX!C22</f>
        <v>0</v>
      </c>
      <c r="N27" s="649"/>
      <c r="O27" s="700">
        <f>(L27-M27)*(1-Recovery_OX!F22)</f>
        <v>0</v>
      </c>
      <c r="P27" s="640"/>
      <c r="Q27" s="651"/>
      <c r="S27" s="694">
        <f t="shared" si="2"/>
        <v>2010</v>
      </c>
      <c r="T27" s="695">
        <f>IF(Select2=1,Food!$W29,"")</f>
        <v>0</v>
      </c>
      <c r="U27" s="696">
        <f>IF(Select2=1,Paper!$W29,"")</f>
        <v>0</v>
      </c>
      <c r="V27" s="686">
        <f>IF(Select2=1,Nappies!$W29,"")</f>
        <v>0</v>
      </c>
      <c r="W27" s="696">
        <f>IF(Select2=1,Garden!$W29,"")</f>
        <v>0</v>
      </c>
      <c r="X27" s="686">
        <f>IF(Select2=1,Wood!$W29,"")</f>
        <v>0</v>
      </c>
      <c r="Y27" s="696">
        <f>IF(Select2=1,Textiles!$W29,"")</f>
        <v>0</v>
      </c>
      <c r="Z27" s="688">
        <f>Sludge!W29</f>
        <v>0</v>
      </c>
      <c r="AA27" s="688" t="str">
        <f>IF(Select2=2,MSW!$W29,"")</f>
        <v/>
      </c>
      <c r="AB27" s="697">
        <f>Industry!$W29</f>
        <v>0</v>
      </c>
      <c r="AC27" s="698">
        <f t="shared" si="0"/>
        <v>0</v>
      </c>
      <c r="AD27" s="699">
        <f>Recovery_OX!R22</f>
        <v>0</v>
      </c>
      <c r="AE27" s="649"/>
      <c r="AF27" s="701">
        <f>(AC27-AD27)*(1-Recovery_OX!U22)</f>
        <v>0</v>
      </c>
    </row>
    <row r="28" spans="2:34">
      <c r="B28" s="694">
        <f t="shared" si="1"/>
        <v>2011</v>
      </c>
      <c r="C28" s="878">
        <f>IF(Select2=1,Food!$K30,"")</f>
        <v>0</v>
      </c>
      <c r="D28" s="879">
        <f>IF(Select2=1,Paper!$K30,"")</f>
        <v>0</v>
      </c>
      <c r="E28" s="873">
        <f>IF(Select2=1,Nappies!$K30,"")</f>
        <v>0</v>
      </c>
      <c r="F28" s="879">
        <f>IF(Select2=1,Garden!$K30,"")</f>
        <v>0</v>
      </c>
      <c r="G28" s="873">
        <f>IF(Select2=1,Wood!$K30,"")</f>
        <v>0</v>
      </c>
      <c r="H28" s="879">
        <f>IF(Select2=1,Textiles!$K30,"")</f>
        <v>0</v>
      </c>
      <c r="I28" s="880">
        <f>Sludge!K30</f>
        <v>0</v>
      </c>
      <c r="J28" s="880" t="str">
        <f>IF(Select2=2,MSW!$K30,"")</f>
        <v/>
      </c>
      <c r="K28" s="880">
        <f>Industry!$K30</f>
        <v>0</v>
      </c>
      <c r="L28" s="881">
        <f t="shared" si="3"/>
        <v>0</v>
      </c>
      <c r="M28" s="882">
        <f>Recovery_OX!C23</f>
        <v>0</v>
      </c>
      <c r="N28" s="649"/>
      <c r="O28" s="700">
        <f>(L28-M28)*(1-Recovery_OX!F23)</f>
        <v>0</v>
      </c>
      <c r="P28" s="640"/>
      <c r="Q28" s="651"/>
      <c r="S28" s="694">
        <f t="shared" si="2"/>
        <v>2011</v>
      </c>
      <c r="T28" s="695">
        <f>IF(Select2=1,Food!$W30,"")</f>
        <v>0</v>
      </c>
      <c r="U28" s="696">
        <f>IF(Select2=1,Paper!$W30,"")</f>
        <v>0</v>
      </c>
      <c r="V28" s="686">
        <f>IF(Select2=1,Nappies!$W30,"")</f>
        <v>0</v>
      </c>
      <c r="W28" s="696">
        <f>IF(Select2=1,Garden!$W30,"")</f>
        <v>0</v>
      </c>
      <c r="X28" s="686">
        <f>IF(Select2=1,Wood!$W30,"")</f>
        <v>0</v>
      </c>
      <c r="Y28" s="696">
        <f>IF(Select2=1,Textiles!$W30,"")</f>
        <v>0</v>
      </c>
      <c r="Z28" s="688">
        <f>Sludge!W30</f>
        <v>0</v>
      </c>
      <c r="AA28" s="688" t="str">
        <f>IF(Select2=2,MSW!$W30,"")</f>
        <v/>
      </c>
      <c r="AB28" s="697">
        <f>Industry!$W30</f>
        <v>0</v>
      </c>
      <c r="AC28" s="698">
        <f t="shared" si="0"/>
        <v>0</v>
      </c>
      <c r="AD28" s="699">
        <f>Recovery_OX!R23</f>
        <v>0</v>
      </c>
      <c r="AE28" s="649"/>
      <c r="AF28" s="701">
        <f>(AC28-AD28)*(1-Recovery_OX!U23)</f>
        <v>0</v>
      </c>
    </row>
    <row r="29" spans="2:34">
      <c r="B29" s="694">
        <f t="shared" si="1"/>
        <v>2012</v>
      </c>
      <c r="C29" s="878">
        <f>IF(Select2=1,Food!$K31,"")</f>
        <v>1.77034052579475</v>
      </c>
      <c r="D29" s="879">
        <f>IF(Select2=1,Paper!$K31,"")</f>
        <v>9.2965298116036432E-2</v>
      </c>
      <c r="E29" s="873">
        <f>IF(Select2=1,Nappies!$K31,"")</f>
        <v>0.29314991303491711</v>
      </c>
      <c r="F29" s="879">
        <f>IF(Select2=1,Garden!$K31,"")</f>
        <v>0</v>
      </c>
      <c r="G29" s="873">
        <f>IF(Select2=1,Wood!$K31,"")</f>
        <v>0</v>
      </c>
      <c r="H29" s="879">
        <f>IF(Select2=1,Textiles!$K31,"")</f>
        <v>2.2010691258253383E-2</v>
      </c>
      <c r="I29" s="880">
        <f>Sludge!K31</f>
        <v>0</v>
      </c>
      <c r="J29" s="880" t="str">
        <f>IF(Select2=2,MSW!$K31,"")</f>
        <v/>
      </c>
      <c r="K29" s="880">
        <f>Industry!$K31</f>
        <v>0</v>
      </c>
      <c r="L29" s="881">
        <f>SUM(C29:K29)</f>
        <v>2.178466428203957</v>
      </c>
      <c r="M29" s="882">
        <f>Recovery_OX!C24</f>
        <v>0</v>
      </c>
      <c r="N29" s="649"/>
      <c r="O29" s="700">
        <f>(L29-M29)*(1-Recovery_OX!F24)</f>
        <v>2.178466428203957</v>
      </c>
      <c r="P29" s="640"/>
      <c r="Q29" s="651"/>
      <c r="S29" s="694">
        <f t="shared" si="2"/>
        <v>2012</v>
      </c>
      <c r="T29" s="695">
        <f>IF(Select2=1,Food!$W31,"")</f>
        <v>1.18443835356473</v>
      </c>
      <c r="U29" s="696">
        <f>IF(Select2=1,Paper!$W31,"")</f>
        <v>0.19207706222321577</v>
      </c>
      <c r="V29" s="686">
        <f>IF(Select2=1,Nappies!$W31,"")</f>
        <v>0</v>
      </c>
      <c r="W29" s="696">
        <f>IF(Select2=1,Garden!$W31,"")</f>
        <v>0</v>
      </c>
      <c r="X29" s="686">
        <f>IF(Select2=1,Wood!$W31,"")</f>
        <v>8.0618202933049193E-2</v>
      </c>
      <c r="Y29" s="696">
        <f>IF(Select2=1,Textiles!$W31,"")</f>
        <v>2.4121305488496857E-2</v>
      </c>
      <c r="Z29" s="688">
        <f>Sludge!W31</f>
        <v>0</v>
      </c>
      <c r="AA29" s="688" t="str">
        <f>IF(Select2=2,MSW!$W31,"")</f>
        <v/>
      </c>
      <c r="AB29" s="697">
        <f>Industry!$W31</f>
        <v>0</v>
      </c>
      <c r="AC29" s="698">
        <f t="shared" si="0"/>
        <v>1.4812549242094917</v>
      </c>
      <c r="AD29" s="699">
        <f>Recovery_OX!R24</f>
        <v>0</v>
      </c>
      <c r="AE29" s="649"/>
      <c r="AF29" s="701">
        <f>(AC29-AD29)*(1-Recovery_OX!U24)</f>
        <v>1.4812549242094917</v>
      </c>
    </row>
    <row r="30" spans="2:34">
      <c r="B30" s="694">
        <f t="shared" si="1"/>
        <v>2013</v>
      </c>
      <c r="C30" s="878">
        <f>IF(Select2=1,Food!$K32,"")</f>
        <v>2.9950009912650719</v>
      </c>
      <c r="D30" s="879">
        <f>IF(Select2=1,Paper!$K32,"")</f>
        <v>0.18163924880561569</v>
      </c>
      <c r="E30" s="873">
        <f>IF(Select2=1,Nappies!$K32,"")</f>
        <v>0.54675690806380006</v>
      </c>
      <c r="F30" s="879">
        <f>IF(Select2=1,Garden!$K32,"")</f>
        <v>0</v>
      </c>
      <c r="G30" s="873">
        <f>IF(Select2=1,Wood!$K32,"")</f>
        <v>0</v>
      </c>
      <c r="H30" s="879">
        <f>IF(Select2=1,Textiles!$K32,"")</f>
        <v>4.3005352608575395E-2</v>
      </c>
      <c r="I30" s="880">
        <f>Sludge!K32</f>
        <v>0</v>
      </c>
      <c r="J30" s="880" t="str">
        <f>IF(Select2=2,MSW!$K32,"")</f>
        <v/>
      </c>
      <c r="K30" s="880">
        <f>Industry!$K32</f>
        <v>0</v>
      </c>
      <c r="L30" s="881">
        <f t="shared" si="3"/>
        <v>3.7664025007430628</v>
      </c>
      <c r="M30" s="882">
        <f>Recovery_OX!C25</f>
        <v>0</v>
      </c>
      <c r="N30" s="649"/>
      <c r="O30" s="700">
        <f>(L30-M30)*(1-Recovery_OX!F25)</f>
        <v>3.7664025007430628</v>
      </c>
      <c r="P30" s="640"/>
      <c r="Q30" s="651"/>
      <c r="S30" s="694">
        <f t="shared" si="2"/>
        <v>2013</v>
      </c>
      <c r="T30" s="695">
        <f>IF(Select2=1,Food!$W32,"")</f>
        <v>2.0037919210069619</v>
      </c>
      <c r="U30" s="696">
        <f>IF(Select2=1,Paper!$W32,"")</f>
        <v>0.37528770414383406</v>
      </c>
      <c r="V30" s="686">
        <f>IF(Select2=1,Nappies!$W32,"")</f>
        <v>0</v>
      </c>
      <c r="W30" s="696">
        <f>IF(Select2=1,Garden!$W32,"")</f>
        <v>0</v>
      </c>
      <c r="X30" s="686">
        <f>IF(Select2=1,Wood!$W32,"")</f>
        <v>0.16019246876711238</v>
      </c>
      <c r="Y30" s="696">
        <f>IF(Select2=1,Textiles!$W32,"")</f>
        <v>4.7129153543644262E-2</v>
      </c>
      <c r="Z30" s="688">
        <f>Sludge!W32</f>
        <v>0</v>
      </c>
      <c r="AA30" s="688" t="str">
        <f>IF(Select2=2,MSW!$W32,"")</f>
        <v/>
      </c>
      <c r="AB30" s="697">
        <f>Industry!$W32</f>
        <v>0</v>
      </c>
      <c r="AC30" s="698">
        <f t="shared" si="0"/>
        <v>2.586401247461553</v>
      </c>
      <c r="AD30" s="699">
        <f>Recovery_OX!R25</f>
        <v>0</v>
      </c>
      <c r="AE30" s="649"/>
      <c r="AF30" s="701">
        <f>(AC30-AD30)*(1-Recovery_OX!U25)</f>
        <v>2.586401247461553</v>
      </c>
    </row>
    <row r="31" spans="2:34">
      <c r="B31" s="694">
        <f t="shared" si="1"/>
        <v>2014</v>
      </c>
      <c r="C31" s="878">
        <f>IF(Select2=1,Food!$K33,"")</f>
        <v>3.858796325206685</v>
      </c>
      <c r="D31" s="879">
        <f>IF(Select2=1,Paper!$K33,"")</f>
        <v>0.26657008138423599</v>
      </c>
      <c r="E31" s="873">
        <f>IF(Select2=1,Nappies!$K33,"")</f>
        <v>0.76781683223295394</v>
      </c>
      <c r="F31" s="879">
        <f>IF(Select2=1,Garden!$K33,"")</f>
        <v>0</v>
      </c>
      <c r="G31" s="873">
        <f>IF(Select2=1,Wood!$K33,"")</f>
        <v>0</v>
      </c>
      <c r="H31" s="879">
        <f>IF(Select2=1,Textiles!$K33,"")</f>
        <v>6.3113784163983416E-2</v>
      </c>
      <c r="I31" s="880">
        <f>Sludge!K33</f>
        <v>0</v>
      </c>
      <c r="J31" s="880" t="str">
        <f>IF(Select2=2,MSW!$K33,"")</f>
        <v/>
      </c>
      <c r="K31" s="880">
        <f>Industry!$K33</f>
        <v>0</v>
      </c>
      <c r="L31" s="881">
        <f t="shared" si="3"/>
        <v>4.956297022987858</v>
      </c>
      <c r="M31" s="882">
        <f>Recovery_OX!C26</f>
        <v>0</v>
      </c>
      <c r="N31" s="649"/>
      <c r="O31" s="700">
        <f>(L31-M31)*(1-Recovery_OX!F26)</f>
        <v>4.956297022987858</v>
      </c>
      <c r="P31" s="640"/>
      <c r="Q31" s="651"/>
      <c r="S31" s="694">
        <f t="shared" si="2"/>
        <v>2014</v>
      </c>
      <c r="T31" s="695">
        <f>IF(Select2=1,Food!$W33,"")</f>
        <v>2.5817102978635265</v>
      </c>
      <c r="U31" s="696">
        <f>IF(Select2=1,Paper!$W33,"")</f>
        <v>0.55076463095916539</v>
      </c>
      <c r="V31" s="686">
        <f>IF(Select2=1,Nappies!$W33,"")</f>
        <v>0</v>
      </c>
      <c r="W31" s="696">
        <f>IF(Select2=1,Garden!$W33,"")</f>
        <v>0</v>
      </c>
      <c r="X31" s="686">
        <f>IF(Select2=1,Wood!$W33,"")</f>
        <v>0.23898253066972741</v>
      </c>
      <c r="Y31" s="696">
        <f>IF(Select2=1,Textiles!$W33,"")</f>
        <v>6.9165790864639351E-2</v>
      </c>
      <c r="Z31" s="688">
        <f>Sludge!W33</f>
        <v>0</v>
      </c>
      <c r="AA31" s="688" t="str">
        <f>IF(Select2=2,MSW!$W33,"")</f>
        <v/>
      </c>
      <c r="AB31" s="697">
        <f>Industry!$W33</f>
        <v>0</v>
      </c>
      <c r="AC31" s="698">
        <f t="shared" si="0"/>
        <v>3.4406232503570586</v>
      </c>
      <c r="AD31" s="699">
        <f>Recovery_OX!R26</f>
        <v>0</v>
      </c>
      <c r="AE31" s="649"/>
      <c r="AF31" s="701">
        <f>(AC31-AD31)*(1-Recovery_OX!U26)</f>
        <v>3.4406232503570586</v>
      </c>
    </row>
    <row r="32" spans="2:34">
      <c r="B32" s="694">
        <f t="shared" si="1"/>
        <v>2015</v>
      </c>
      <c r="C32" s="878">
        <f>IF(Select2=1,Food!$K34,"")</f>
        <v>4.4803584594729395</v>
      </c>
      <c r="D32" s="879">
        <f>IF(Select2=1,Paper!$K34,"")</f>
        <v>0.34799310091249064</v>
      </c>
      <c r="E32" s="873">
        <f>IF(Select2=1,Nappies!$K34,"")</f>
        <v>0.96136195728633178</v>
      </c>
      <c r="F32" s="879">
        <f>IF(Select2=1,Garden!$K34,"")</f>
        <v>0</v>
      </c>
      <c r="G32" s="873">
        <f>IF(Select2=1,Wood!$K34,"")</f>
        <v>0</v>
      </c>
      <c r="H32" s="879">
        <f>IF(Select2=1,Textiles!$K34,"")</f>
        <v>8.2391697325883972E-2</v>
      </c>
      <c r="I32" s="880">
        <f>Sludge!K34</f>
        <v>0</v>
      </c>
      <c r="J32" s="880" t="str">
        <f>IF(Select2=2,MSW!$K34,"")</f>
        <v/>
      </c>
      <c r="K32" s="880">
        <f>Industry!$K34</f>
        <v>0</v>
      </c>
      <c r="L32" s="881">
        <f t="shared" si="3"/>
        <v>5.8721052149976458</v>
      </c>
      <c r="M32" s="882">
        <f>Recovery_OX!C27</f>
        <v>0</v>
      </c>
      <c r="N32" s="649"/>
      <c r="O32" s="700">
        <f>(L32-M32)*(1-Recovery_OX!F27)</f>
        <v>5.8721052149976458</v>
      </c>
      <c r="P32" s="640"/>
      <c r="Q32" s="651"/>
      <c r="S32" s="694">
        <f t="shared" si="2"/>
        <v>2015</v>
      </c>
      <c r="T32" s="695">
        <f>IF(Select2=1,Food!$W34,"")</f>
        <v>2.9975636437151687</v>
      </c>
      <c r="U32" s="696">
        <f>IF(Select2=1,Paper!$W34,"")</f>
        <v>0.71899401014977404</v>
      </c>
      <c r="V32" s="686">
        <f>IF(Select2=1,Nappies!$W34,"")</f>
        <v>0</v>
      </c>
      <c r="W32" s="696">
        <f>IF(Select2=1,Garden!$W34,"")</f>
        <v>0</v>
      </c>
      <c r="X32" s="686">
        <f>IF(Select2=1,Wood!$W34,"")</f>
        <v>0.31699996598044022</v>
      </c>
      <c r="Y32" s="696">
        <f>IF(Select2=1,Textiles!$W34,"")</f>
        <v>9.0292271042064637E-2</v>
      </c>
      <c r="Z32" s="688">
        <f>Sludge!W34</f>
        <v>0</v>
      </c>
      <c r="AA32" s="688" t="str">
        <f>IF(Select2=2,MSW!$W34,"")</f>
        <v/>
      </c>
      <c r="AB32" s="697">
        <f>Industry!$W34</f>
        <v>0</v>
      </c>
      <c r="AC32" s="698">
        <f t="shared" si="0"/>
        <v>4.1238498908874481</v>
      </c>
      <c r="AD32" s="699">
        <f>Recovery_OX!R27</f>
        <v>0</v>
      </c>
      <c r="AE32" s="649"/>
      <c r="AF32" s="701">
        <f>(AC32-AD32)*(1-Recovery_OX!U27)</f>
        <v>4.1238498908874481</v>
      </c>
    </row>
    <row r="33" spans="2:32">
      <c r="B33" s="694">
        <f t="shared" si="1"/>
        <v>2016</v>
      </c>
      <c r="C33" s="878">
        <f>IF(Select2=1,Food!$K35,"")</f>
        <v>4.9393125806483411</v>
      </c>
      <c r="D33" s="879">
        <f>IF(Select2=1,Paper!$K35,"")</f>
        <v>0.42613315647912892</v>
      </c>
      <c r="E33" s="873">
        <f>IF(Select2=1,Nappies!$K35,"")</f>
        <v>1.1316550261058602</v>
      </c>
      <c r="F33" s="879">
        <f>IF(Select2=1,Garden!$K35,"")</f>
        <v>0</v>
      </c>
      <c r="G33" s="873">
        <f>IF(Select2=1,Wood!$K35,"")</f>
        <v>0</v>
      </c>
      <c r="H33" s="879">
        <f>IF(Select2=1,Textiles!$K35,"")</f>
        <v>0.10089232791422771</v>
      </c>
      <c r="I33" s="880">
        <f>Sludge!K35</f>
        <v>0</v>
      </c>
      <c r="J33" s="880" t="str">
        <f>IF(Select2=2,MSW!$K35,"")</f>
        <v/>
      </c>
      <c r="K33" s="880">
        <f>Industry!$K35</f>
        <v>0</v>
      </c>
      <c r="L33" s="881">
        <f t="shared" si="3"/>
        <v>6.5979930911475577</v>
      </c>
      <c r="M33" s="882">
        <f>Recovery_OX!C28</f>
        <v>0</v>
      </c>
      <c r="N33" s="649"/>
      <c r="O33" s="700">
        <f>(L33-M33)*(1-Recovery_OX!F28)</f>
        <v>6.5979930911475577</v>
      </c>
      <c r="P33" s="640"/>
      <c r="Q33" s="651"/>
      <c r="S33" s="694">
        <f t="shared" si="2"/>
        <v>2016</v>
      </c>
      <c r="T33" s="695">
        <f>IF(Select2=1,Food!$W35,"")</f>
        <v>3.3046248309422439</v>
      </c>
      <c r="U33" s="696">
        <f>IF(Select2=1,Paper!$W35,"")</f>
        <v>0.8804404059486135</v>
      </c>
      <c r="V33" s="686">
        <f>IF(Select2=1,Nappies!$W35,"")</f>
        <v>0</v>
      </c>
      <c r="W33" s="696">
        <f>IF(Select2=1,Garden!$W35,"")</f>
        <v>0</v>
      </c>
      <c r="X33" s="686">
        <f>IF(Select2=1,Wood!$W35,"")</f>
        <v>0.3942606818295582</v>
      </c>
      <c r="Y33" s="696">
        <f>IF(Select2=1,Textiles!$W35,"")</f>
        <v>0.11056693470052353</v>
      </c>
      <c r="Z33" s="688">
        <f>Sludge!W35</f>
        <v>0</v>
      </c>
      <c r="AA33" s="688" t="str">
        <f>IF(Select2=2,MSW!$W35,"")</f>
        <v/>
      </c>
      <c r="AB33" s="697">
        <f>Industry!$W35</f>
        <v>0</v>
      </c>
      <c r="AC33" s="698">
        <f t="shared" si="0"/>
        <v>4.6898928534209388</v>
      </c>
      <c r="AD33" s="699">
        <f>Recovery_OX!R28</f>
        <v>0</v>
      </c>
      <c r="AE33" s="649"/>
      <c r="AF33" s="701">
        <f>(AC33-AD33)*(1-Recovery_OX!U28)</f>
        <v>4.6898928534209388</v>
      </c>
    </row>
    <row r="34" spans="2:32">
      <c r="B34" s="694">
        <f t="shared" si="1"/>
        <v>2017</v>
      </c>
      <c r="C34" s="878">
        <f>IF(Select2=1,Food!$K36,"")</f>
        <v>5.2889357385361535</v>
      </c>
      <c r="D34" s="879">
        <f>IF(Select2=1,Paper!$K36,"")</f>
        <v>0.50119478603352441</v>
      </c>
      <c r="E34" s="873">
        <f>IF(Select2=1,Nappies!$K36,"")</f>
        <v>1.2822762515394723</v>
      </c>
      <c r="F34" s="879">
        <f>IF(Select2=1,Garden!$K36,"")</f>
        <v>0</v>
      </c>
      <c r="G34" s="873">
        <f>IF(Select2=1,Wood!$K36,"")</f>
        <v>0</v>
      </c>
      <c r="H34" s="879">
        <f>IF(Select2=1,Textiles!$K36,"")</f>
        <v>0.11866410283395114</v>
      </c>
      <c r="I34" s="880">
        <f>Sludge!K36</f>
        <v>0</v>
      </c>
      <c r="J34" s="880" t="str">
        <f>IF(Select2=2,MSW!$K36,"")</f>
        <v/>
      </c>
      <c r="K34" s="880">
        <f>Industry!$K36</f>
        <v>0</v>
      </c>
      <c r="L34" s="881">
        <f t="shared" si="3"/>
        <v>7.1910708789431013</v>
      </c>
      <c r="M34" s="882">
        <f>Recovery_OX!C29</f>
        <v>1.2388965607040248</v>
      </c>
      <c r="N34" s="649"/>
      <c r="O34" s="700">
        <f>(L34-M34)*(1-Recovery_OX!F29)</f>
        <v>5.9521743182390763</v>
      </c>
      <c r="P34" s="640"/>
      <c r="Q34" s="651"/>
      <c r="S34" s="694">
        <f t="shared" si="2"/>
        <v>2017</v>
      </c>
      <c r="T34" s="695">
        <f>IF(Select2=1,Food!$W36,"")</f>
        <v>3.5385386297075074</v>
      </c>
      <c r="U34" s="696">
        <f>IF(Select2=1,Paper!$W36,"")</f>
        <v>1.035526417424637</v>
      </c>
      <c r="V34" s="686">
        <f>IF(Select2=1,Nappies!$W36,"")</f>
        <v>0</v>
      </c>
      <c r="W34" s="696">
        <f>IF(Select2=1,Garden!$W36,"")</f>
        <v>0</v>
      </c>
      <c r="X34" s="686">
        <f>IF(Select2=1,Wood!$W36,"")</f>
        <v>0.47077560695007326</v>
      </c>
      <c r="Y34" s="696">
        <f>IF(Select2=1,Textiles!$W36,"")</f>
        <v>0.13004285242076835</v>
      </c>
      <c r="Z34" s="688">
        <f>Sludge!W36</f>
        <v>0</v>
      </c>
      <c r="AA34" s="688" t="str">
        <f>IF(Select2=2,MSW!$W36,"")</f>
        <v/>
      </c>
      <c r="AB34" s="697">
        <f>Industry!$W36</f>
        <v>0</v>
      </c>
      <c r="AC34" s="698">
        <f t="shared" si="0"/>
        <v>5.1748835065029857</v>
      </c>
      <c r="AD34" s="699">
        <f>Recovery_OX!R29</f>
        <v>0</v>
      </c>
      <c r="AE34" s="649"/>
      <c r="AF34" s="701">
        <f>(AC34-AD34)*(1-Recovery_OX!U29)</f>
        <v>5.1748835065029857</v>
      </c>
    </row>
    <row r="35" spans="2:32">
      <c r="B35" s="694">
        <f t="shared" si="1"/>
        <v>2018</v>
      </c>
      <c r="C35" s="878">
        <f>IF(Select2=1,Food!$K37,"")</f>
        <v>5.6299186125625633</v>
      </c>
      <c r="D35" s="879">
        <f>IF(Select2=1,Paper!$K37,"")</f>
        <v>0.57678086767065351</v>
      </c>
      <c r="E35" s="873">
        <f>IF(Select2=1,Nappies!$K37,"")</f>
        <v>1.4270058126106484</v>
      </c>
      <c r="F35" s="879">
        <f>IF(Select2=1,Garden!$K37,"")</f>
        <v>0</v>
      </c>
      <c r="G35" s="873">
        <f>IF(Select2=1,Wood!$K37,"")</f>
        <v>0</v>
      </c>
      <c r="H35" s="879">
        <f>IF(Select2=1,Textiles!$K37,"")</f>
        <v>0.13656004831093332</v>
      </c>
      <c r="I35" s="880">
        <f>Sludge!K37</f>
        <v>0</v>
      </c>
      <c r="J35" s="880" t="str">
        <f>IF(Select2=2,MSW!$K37,"")</f>
        <v/>
      </c>
      <c r="K35" s="880">
        <f>Industry!$K37</f>
        <v>0</v>
      </c>
      <c r="L35" s="881">
        <f t="shared" si="3"/>
        <v>7.7702653411547988</v>
      </c>
      <c r="M35" s="882">
        <f>Recovery_OX!C30</f>
        <v>1.3029354878917059</v>
      </c>
      <c r="N35" s="649"/>
      <c r="O35" s="700">
        <f>(L35-M35)*(1-Recovery_OX!F30)</f>
        <v>6.4673298532630934</v>
      </c>
      <c r="P35" s="640"/>
      <c r="Q35" s="651"/>
      <c r="S35" s="694">
        <f t="shared" si="2"/>
        <v>2018</v>
      </c>
      <c r="T35" s="695">
        <f>IF(Select2=1,Food!$W37,"")</f>
        <v>3.7666716854789684</v>
      </c>
      <c r="U35" s="696">
        <f>IF(Select2=1,Paper!$W37,"")</f>
        <v>1.1916960075839946</v>
      </c>
      <c r="V35" s="686">
        <f>IF(Select2=1,Nappies!$W37,"")</f>
        <v>0</v>
      </c>
      <c r="W35" s="696">
        <f>IF(Select2=1,Garden!$W37,"")</f>
        <v>0</v>
      </c>
      <c r="X35" s="686">
        <f>IF(Select2=1,Wood!$W37,"")</f>
        <v>0.54951427858049229</v>
      </c>
      <c r="Y35" s="696">
        <f>IF(Select2=1,Textiles!$W37,"")</f>
        <v>0.14965484746403651</v>
      </c>
      <c r="Z35" s="688">
        <f>Sludge!W37</f>
        <v>0</v>
      </c>
      <c r="AA35" s="688" t="str">
        <f>IF(Select2=2,MSW!$W37,"")</f>
        <v/>
      </c>
      <c r="AB35" s="697">
        <f>Industry!$W37</f>
        <v>0</v>
      </c>
      <c r="AC35" s="698">
        <f t="shared" si="0"/>
        <v>5.6575368191074915</v>
      </c>
      <c r="AD35" s="699">
        <f>Recovery_OX!R30</f>
        <v>0</v>
      </c>
      <c r="AE35" s="649"/>
      <c r="AF35" s="701">
        <f>(AC35-AD35)*(1-Recovery_OX!U30)</f>
        <v>5.6575368191074915</v>
      </c>
    </row>
    <row r="36" spans="2:32">
      <c r="B36" s="694">
        <f t="shared" si="1"/>
        <v>2019</v>
      </c>
      <c r="C36" s="878">
        <f>IF(Select2=1,Food!$K38,"")</f>
        <v>5.9662418688976055</v>
      </c>
      <c r="D36" s="879">
        <f>IF(Select2=1,Paper!$K38,"")</f>
        <v>0.65291539676022048</v>
      </c>
      <c r="E36" s="873">
        <f>IF(Select2=1,Nappies!$K38,"")</f>
        <v>1.5669522539483771</v>
      </c>
      <c r="F36" s="879">
        <f>IF(Select2=1,Garden!$K38,"")</f>
        <v>0</v>
      </c>
      <c r="G36" s="873">
        <f>IF(Select2=1,Wood!$K38,"")</f>
        <v>0</v>
      </c>
      <c r="H36" s="879">
        <f>IF(Select2=1,Textiles!$K38,"")</f>
        <v>0.15458584554756802</v>
      </c>
      <c r="I36" s="880">
        <f>Sludge!K38</f>
        <v>0</v>
      </c>
      <c r="J36" s="880" t="str">
        <f>IF(Select2=2,MSW!$K38,"")</f>
        <v/>
      </c>
      <c r="K36" s="880">
        <f>Industry!$K38</f>
        <v>0</v>
      </c>
      <c r="L36" s="881">
        <f t="shared" si="3"/>
        <v>8.3406953651537723</v>
      </c>
      <c r="M36" s="882">
        <f>Recovery_OX!C31</f>
        <v>1.3694348078773613</v>
      </c>
      <c r="N36" s="649"/>
      <c r="O36" s="700">
        <f>(L36-M36)*(1-Recovery_OX!F31)</f>
        <v>6.9712605572764108</v>
      </c>
      <c r="P36" s="640"/>
      <c r="Q36" s="651"/>
      <c r="S36" s="694">
        <f t="shared" si="2"/>
        <v>2019</v>
      </c>
      <c r="T36" s="695">
        <f>IF(Select2=1,Food!$W38,"")</f>
        <v>3.9916872450251604</v>
      </c>
      <c r="U36" s="696">
        <f>IF(Select2=1,Paper!$W38,"")</f>
        <v>1.3489987536368189</v>
      </c>
      <c r="V36" s="686">
        <f>IF(Select2=1,Nappies!$W38,"")</f>
        <v>0</v>
      </c>
      <c r="W36" s="696">
        <f>IF(Select2=1,Garden!$W38,"")</f>
        <v>0</v>
      </c>
      <c r="X36" s="686">
        <f>IF(Select2=1,Wood!$W38,"")</f>
        <v>0.63045176745455056</v>
      </c>
      <c r="Y36" s="696">
        <f>IF(Select2=1,Textiles!$W38,"")</f>
        <v>0.169409145805554</v>
      </c>
      <c r="Z36" s="688">
        <f>Sludge!W38</f>
        <v>0</v>
      </c>
      <c r="AA36" s="688" t="str">
        <f>IF(Select2=2,MSW!$W38,"")</f>
        <v/>
      </c>
      <c r="AB36" s="697">
        <f>Industry!$W38</f>
        <v>0</v>
      </c>
      <c r="AC36" s="698">
        <f t="shared" si="0"/>
        <v>6.1405469119220841</v>
      </c>
      <c r="AD36" s="699">
        <f>Recovery_OX!R31</f>
        <v>0</v>
      </c>
      <c r="AE36" s="649"/>
      <c r="AF36" s="701">
        <f>(AC36-AD36)*(1-Recovery_OX!U31)</f>
        <v>6.1405469119220841</v>
      </c>
    </row>
    <row r="37" spans="2:32">
      <c r="B37" s="694">
        <f t="shared" si="1"/>
        <v>2020</v>
      </c>
      <c r="C37" s="878">
        <f>IF(Select2=1,Food!$K39,"")</f>
        <v>6.3035816892269176</v>
      </c>
      <c r="D37" s="879">
        <f>IF(Select2=1,Paper!$K39,"")</f>
        <v>0.72977869725091493</v>
      </c>
      <c r="E37" s="873">
        <f>IF(Select2=1,Nappies!$K39,"")</f>
        <v>1.7035488860994636</v>
      </c>
      <c r="F37" s="879">
        <f>IF(Select2=1,Garden!$K39,"")</f>
        <v>0</v>
      </c>
      <c r="G37" s="873">
        <f>IF(Select2=1,Wood!$K39,"")</f>
        <v>0</v>
      </c>
      <c r="H37" s="879">
        <f>IF(Select2=1,Textiles!$K39,"")</f>
        <v>0.1727841884827927</v>
      </c>
      <c r="I37" s="880">
        <f>Sludge!K39</f>
        <v>0</v>
      </c>
      <c r="J37" s="880" t="str">
        <f>IF(Select2=2,MSW!$K39,"")</f>
        <v/>
      </c>
      <c r="K37" s="880">
        <f>Industry!$K39</f>
        <v>0</v>
      </c>
      <c r="L37" s="881">
        <f t="shared" si="3"/>
        <v>8.9096934610600886</v>
      </c>
      <c r="M37" s="882">
        <f>Recovery_OX!C32</f>
        <v>1.4384783593812833</v>
      </c>
      <c r="N37" s="649"/>
      <c r="O37" s="700">
        <f>(L37-M37)*(1-Recovery_OX!F32)</f>
        <v>7.4712151016788049</v>
      </c>
      <c r="P37" s="640"/>
      <c r="Q37" s="651"/>
      <c r="S37" s="694">
        <f t="shared" si="2"/>
        <v>2020</v>
      </c>
      <c r="T37" s="695">
        <f>IF(Select2=1,Food!$W39,"")</f>
        <v>4.2173829321321925</v>
      </c>
      <c r="U37" s="696">
        <f>IF(Select2=1,Paper!$W39,"")</f>
        <v>1.5078072257250303</v>
      </c>
      <c r="V37" s="686">
        <f>IF(Select2=1,Nappies!$W39,"")</f>
        <v>0</v>
      </c>
      <c r="W37" s="696">
        <f>IF(Select2=1,Garden!$W39,"")</f>
        <v>0</v>
      </c>
      <c r="X37" s="686">
        <f>IF(Select2=1,Wood!$W39,"")</f>
        <v>0.71370097446901171</v>
      </c>
      <c r="Y37" s="696">
        <f>IF(Select2=1,Textiles!$W39,"")</f>
        <v>0.18935253532360846</v>
      </c>
      <c r="Z37" s="688">
        <f>Sludge!W39</f>
        <v>0</v>
      </c>
      <c r="AA37" s="688" t="str">
        <f>IF(Select2=2,MSW!$W39,"")</f>
        <v/>
      </c>
      <c r="AB37" s="697">
        <f>Industry!$W39</f>
        <v>0</v>
      </c>
      <c r="AC37" s="698">
        <f t="shared" si="0"/>
        <v>6.6282436676498424</v>
      </c>
      <c r="AD37" s="699">
        <f>Recovery_OX!R32</f>
        <v>0</v>
      </c>
      <c r="AE37" s="649"/>
      <c r="AF37" s="701">
        <f>(AC37-AD37)*(1-Recovery_OX!U32)</f>
        <v>6.6282436676498424</v>
      </c>
    </row>
    <row r="38" spans="2:32">
      <c r="B38" s="694">
        <f t="shared" si="1"/>
        <v>2021</v>
      </c>
      <c r="C38" s="878">
        <f>IF(Select2=1,Food!$K40,"")</f>
        <v>6.6458840037962084</v>
      </c>
      <c r="D38" s="879">
        <f>IF(Select2=1,Paper!$K40,"")</f>
        <v>0.80754631013821954</v>
      </c>
      <c r="E38" s="873">
        <f>IF(Select2=1,Nappies!$K40,"")</f>
        <v>1.8380283027738682</v>
      </c>
      <c r="F38" s="879">
        <f>IF(Select2=1,Garden!$K40,"")</f>
        <v>0</v>
      </c>
      <c r="G38" s="873">
        <f>IF(Select2=1,Wood!$K40,"")</f>
        <v>0</v>
      </c>
      <c r="H38" s="879">
        <f>IF(Select2=1,Textiles!$K40,"")</f>
        <v>0.1911966386318506</v>
      </c>
      <c r="I38" s="880">
        <f>Sludge!K40</f>
        <v>0</v>
      </c>
      <c r="J38" s="880" t="str">
        <f>IF(Select2=2,MSW!$K40,"")</f>
        <v/>
      </c>
      <c r="K38" s="880">
        <f>Industry!$K40</f>
        <v>0</v>
      </c>
      <c r="L38" s="881">
        <f t="shared" si="3"/>
        <v>9.4826552553401466</v>
      </c>
      <c r="M38" s="882">
        <f>Recovery_OX!C33</f>
        <v>1.5101526570280832</v>
      </c>
      <c r="N38" s="649"/>
      <c r="O38" s="700">
        <f>(L38-M38)*(1-Recovery_OX!F33)</f>
        <v>7.9725025983120634</v>
      </c>
      <c r="P38" s="640"/>
      <c r="Q38" s="651"/>
      <c r="S38" s="694">
        <f t="shared" si="2"/>
        <v>2021</v>
      </c>
      <c r="T38" s="695">
        <f>IF(Select2=1,Food!$W40,"")</f>
        <v>4.4463987536549112</v>
      </c>
      <c r="U38" s="696">
        <f>IF(Select2=1,Paper!$W40,"")</f>
        <v>1.6684841118558249</v>
      </c>
      <c r="V38" s="686">
        <f>IF(Select2=1,Nappies!$W40,"")</f>
        <v>0</v>
      </c>
      <c r="W38" s="696">
        <f>IF(Select2=1,Garden!$W40,"")</f>
        <v>0</v>
      </c>
      <c r="X38" s="686">
        <f>IF(Select2=1,Wood!$W40,"")</f>
        <v>0.79937734150716921</v>
      </c>
      <c r="Y38" s="696">
        <f>IF(Select2=1,Textiles!$W40,"")</f>
        <v>0.20953056288421984</v>
      </c>
      <c r="Z38" s="688">
        <f>Sludge!W40</f>
        <v>0</v>
      </c>
      <c r="AA38" s="688" t="str">
        <f>IF(Select2=2,MSW!$W40,"")</f>
        <v/>
      </c>
      <c r="AB38" s="697">
        <f>Industry!$W40</f>
        <v>0</v>
      </c>
      <c r="AC38" s="698">
        <f t="shared" si="0"/>
        <v>7.1237907699021257</v>
      </c>
      <c r="AD38" s="699">
        <f>Recovery_OX!R33</f>
        <v>0</v>
      </c>
      <c r="AE38" s="649"/>
      <c r="AF38" s="701">
        <f>(AC38-AD38)*(1-Recovery_OX!U33)</f>
        <v>7.1237907699021257</v>
      </c>
    </row>
    <row r="39" spans="2:32">
      <c r="B39" s="694">
        <f t="shared" si="1"/>
        <v>2022</v>
      </c>
      <c r="C39" s="878">
        <f>IF(Select2=1,Food!$K41,"")</f>
        <v>6.9959394232575942</v>
      </c>
      <c r="D39" s="879">
        <f>IF(Select2=1,Paper!$K41,"")</f>
        <v>0.88638955326677282</v>
      </c>
      <c r="E39" s="873">
        <f>IF(Select2=1,Nappies!$K41,"")</f>
        <v>1.9714545055369534</v>
      </c>
      <c r="F39" s="879">
        <f>IF(Select2=1,Garden!$K41,"")</f>
        <v>0</v>
      </c>
      <c r="G39" s="873">
        <f>IF(Select2=1,Wood!$K41,"")</f>
        <v>0</v>
      </c>
      <c r="H39" s="879">
        <f>IF(Select2=1,Textiles!$K41,"")</f>
        <v>0.2098637576264665</v>
      </c>
      <c r="I39" s="880">
        <f>Sludge!K41</f>
        <v>0</v>
      </c>
      <c r="J39" s="880" t="str">
        <f>IF(Select2=2,MSW!$K41,"")</f>
        <v/>
      </c>
      <c r="K39" s="880">
        <f>Industry!$K41</f>
        <v>0</v>
      </c>
      <c r="L39" s="881">
        <f t="shared" si="3"/>
        <v>10.063647239687787</v>
      </c>
      <c r="M39" s="882">
        <f>Recovery_OX!C34</f>
        <v>1.5845469733016821</v>
      </c>
      <c r="N39" s="649"/>
      <c r="O39" s="700">
        <f>(L39-M39)*(1-Recovery_OX!F34)</f>
        <v>8.479100266386105</v>
      </c>
      <c r="P39" s="640"/>
      <c r="Q39" s="651"/>
      <c r="S39" s="694">
        <f t="shared" si="2"/>
        <v>2022</v>
      </c>
      <c r="T39" s="695">
        <f>IF(Select2=1,Food!$W41,"")</f>
        <v>4.6806017550786763</v>
      </c>
      <c r="U39" s="696">
        <f>IF(Select2=1,Paper!$W41,"")</f>
        <v>1.8313833745181249</v>
      </c>
      <c r="V39" s="686">
        <f>IF(Select2=1,Nappies!$W41,"")</f>
        <v>0</v>
      </c>
      <c r="W39" s="696">
        <f>IF(Select2=1,Garden!$W41,"")</f>
        <v>0</v>
      </c>
      <c r="X39" s="686">
        <f>IF(Select2=1,Wood!$W41,"")</f>
        <v>0.88759896908460512</v>
      </c>
      <c r="Y39" s="696">
        <f>IF(Select2=1,Textiles!$W41,"")</f>
        <v>0.2299876795906482</v>
      </c>
      <c r="Z39" s="688">
        <f>Sludge!W41</f>
        <v>0</v>
      </c>
      <c r="AA39" s="688" t="str">
        <f>IF(Select2=2,MSW!$W41,"")</f>
        <v/>
      </c>
      <c r="AB39" s="697">
        <f>Industry!$W41</f>
        <v>0</v>
      </c>
      <c r="AC39" s="698">
        <f t="shared" si="0"/>
        <v>7.6295717782720542</v>
      </c>
      <c r="AD39" s="699">
        <f>Recovery_OX!R34</f>
        <v>0</v>
      </c>
      <c r="AE39" s="649"/>
      <c r="AF39" s="701">
        <f>(AC39-AD39)*(1-Recovery_OX!U34)</f>
        <v>7.6295717782720542</v>
      </c>
    </row>
    <row r="40" spans="2:32">
      <c r="B40" s="694">
        <f t="shared" si="1"/>
        <v>2023</v>
      </c>
      <c r="C40" s="878">
        <f>IF(Select2=1,Food!$K42,"")</f>
        <v>7.3557687649135293</v>
      </c>
      <c r="D40" s="879">
        <f>IF(Select2=1,Paper!$K42,"")</f>
        <v>0.96647605052824304</v>
      </c>
      <c r="E40" s="873">
        <f>IF(Select2=1,Nappies!$K42,"")</f>
        <v>2.1047500291172372</v>
      </c>
      <c r="F40" s="879">
        <f>IF(Select2=1,Garden!$K42,"")</f>
        <v>0</v>
      </c>
      <c r="G40" s="873">
        <f>IF(Select2=1,Wood!$K42,"")</f>
        <v>0</v>
      </c>
      <c r="H40" s="879">
        <f>IF(Select2=1,Textiles!$K42,"")</f>
        <v>0.2288252325090292</v>
      </c>
      <c r="I40" s="880">
        <f>Sludge!K42</f>
        <v>0</v>
      </c>
      <c r="J40" s="880" t="str">
        <f>IF(Select2=2,MSW!$K42,"")</f>
        <v/>
      </c>
      <c r="K40" s="880">
        <f>Industry!$K42</f>
        <v>0</v>
      </c>
      <c r="L40" s="881">
        <f t="shared" si="3"/>
        <v>10.655820077068039</v>
      </c>
      <c r="M40" s="882">
        <f>Recovery_OX!C35</f>
        <v>1.6617534229400019</v>
      </c>
      <c r="N40" s="649"/>
      <c r="O40" s="700">
        <f>(L40-M40)*(1-Recovery_OX!F35)</f>
        <v>8.9940666541280372</v>
      </c>
      <c r="P40" s="640"/>
      <c r="Q40" s="651"/>
      <c r="S40" s="694">
        <f t="shared" si="2"/>
        <v>2023</v>
      </c>
      <c r="T40" s="695">
        <f>IF(Select2=1,Food!$W42,"")</f>
        <v>4.9213439551160993</v>
      </c>
      <c r="U40" s="696">
        <f>IF(Select2=1,Paper!$W42,"")</f>
        <v>1.9968513440666174</v>
      </c>
      <c r="V40" s="686">
        <f>IF(Select2=1,Nappies!$W42,"")</f>
        <v>0</v>
      </c>
      <c r="W40" s="696">
        <f>IF(Select2=1,Garden!$W42,"")</f>
        <v>0</v>
      </c>
      <c r="X40" s="686">
        <f>IF(Select2=1,Wood!$W42,"")</f>
        <v>0.97848673622839533</v>
      </c>
      <c r="Y40" s="696">
        <f>IF(Select2=1,Textiles!$W42,"")</f>
        <v>0.25076737809208671</v>
      </c>
      <c r="Z40" s="688">
        <f>Sludge!W42</f>
        <v>0</v>
      </c>
      <c r="AA40" s="688" t="str">
        <f>IF(Select2=2,MSW!$W42,"")</f>
        <v/>
      </c>
      <c r="AB40" s="697">
        <f>Industry!$W42</f>
        <v>0</v>
      </c>
      <c r="AC40" s="698">
        <f t="shared" si="0"/>
        <v>8.1474494135031996</v>
      </c>
      <c r="AD40" s="699">
        <f>Recovery_OX!R35</f>
        <v>0</v>
      </c>
      <c r="AE40" s="649"/>
      <c r="AF40" s="701">
        <f>(AC40-AD40)*(1-Recovery_OX!U35)</f>
        <v>8.1474494135031996</v>
      </c>
    </row>
    <row r="41" spans="2:32">
      <c r="B41" s="694">
        <f t="shared" si="1"/>
        <v>2024</v>
      </c>
      <c r="C41" s="878">
        <f>IF(Select2=1,Food!$K43,"")</f>
        <v>7.7268816206937441</v>
      </c>
      <c r="D41" s="879">
        <f>IF(Select2=1,Paper!$K43,"")</f>
        <v>1.0479702327393428</v>
      </c>
      <c r="E41" s="873">
        <f>IF(Select2=1,Nappies!$K43,"")</f>
        <v>2.2387188495891279</v>
      </c>
      <c r="F41" s="879">
        <f>IF(Select2=1,Garden!$K43,"")</f>
        <v>0</v>
      </c>
      <c r="G41" s="873">
        <f>IF(Select2=1,Wood!$K43,"")</f>
        <v>0</v>
      </c>
      <c r="H41" s="879">
        <f>IF(Select2=1,Textiles!$K43,"")</f>
        <v>0.24811999432169465</v>
      </c>
      <c r="I41" s="880">
        <f>Sludge!K43</f>
        <v>0</v>
      </c>
      <c r="J41" s="880" t="str">
        <f>IF(Select2=2,MSW!$K43,"")</f>
        <v/>
      </c>
      <c r="K41" s="880">
        <f>Industry!$K43</f>
        <v>0</v>
      </c>
      <c r="L41" s="881">
        <f t="shared" si="3"/>
        <v>11.26169069734391</v>
      </c>
      <c r="M41" s="882">
        <f>Recovery_OX!C36</f>
        <v>1.7418670498404867</v>
      </c>
      <c r="N41" s="649"/>
      <c r="O41" s="700">
        <f>(L41-M41)*(1-Recovery_OX!F36)</f>
        <v>9.5198236475034239</v>
      </c>
      <c r="P41" s="640"/>
      <c r="Q41" s="651"/>
      <c r="S41" s="694">
        <f t="shared" si="2"/>
        <v>2024</v>
      </c>
      <c r="T41" s="695">
        <f>IF(Select2=1,Food!$W43,"")</f>
        <v>5.169635339447197</v>
      </c>
      <c r="U41" s="696">
        <f>IF(Select2=1,Paper!$W43,"")</f>
        <v>2.1652277535936828</v>
      </c>
      <c r="V41" s="686">
        <f>IF(Select2=1,Nappies!$W43,"")</f>
        <v>0</v>
      </c>
      <c r="W41" s="696">
        <f>IF(Select2=1,Garden!$W43,"")</f>
        <v>0</v>
      </c>
      <c r="X41" s="686">
        <f>IF(Select2=1,Wood!$W43,"")</f>
        <v>1.0721644226998885</v>
      </c>
      <c r="Y41" s="696">
        <f>IF(Select2=1,Textiles!$W43,"")</f>
        <v>0.2719123225443229</v>
      </c>
      <c r="Z41" s="688">
        <f>Sludge!W43</f>
        <v>0</v>
      </c>
      <c r="AA41" s="688" t="str">
        <f>IF(Select2=2,MSW!$W43,"")</f>
        <v/>
      </c>
      <c r="AB41" s="697">
        <f>Industry!$W43</f>
        <v>0</v>
      </c>
      <c r="AC41" s="698">
        <f t="shared" si="0"/>
        <v>8.6789398382850909</v>
      </c>
      <c r="AD41" s="699">
        <f>Recovery_OX!R36</f>
        <v>0</v>
      </c>
      <c r="AE41" s="649"/>
      <c r="AF41" s="701">
        <f>(AC41-AD41)*(1-Recovery_OX!U36)</f>
        <v>8.6789398382850909</v>
      </c>
    </row>
    <row r="42" spans="2:32">
      <c r="B42" s="694">
        <f t="shared" si="1"/>
        <v>2025</v>
      </c>
      <c r="C42" s="878">
        <f>IF(Select2=1,Food!$K44,"")</f>
        <v>8.1104498266857199</v>
      </c>
      <c r="D42" s="879">
        <f>IF(Select2=1,Paper!$K44,"")</f>
        <v>1.131033812336439</v>
      </c>
      <c r="E42" s="873">
        <f>IF(Select2=1,Nappies!$K44,"")</f>
        <v>2.3740657354152432</v>
      </c>
      <c r="F42" s="879">
        <f>IF(Select2=1,Garden!$K44,"")</f>
        <v>0</v>
      </c>
      <c r="G42" s="873">
        <f>IF(Select2=1,Wood!$K44,"")</f>
        <v>0</v>
      </c>
      <c r="H42" s="879">
        <f>IF(Select2=1,Textiles!$K44,"")</f>
        <v>0.26778633049624262</v>
      </c>
      <c r="I42" s="880">
        <f>Sludge!K44</f>
        <v>0</v>
      </c>
      <c r="J42" s="880" t="str">
        <f>IF(Select2=2,MSW!$K44,"")</f>
        <v/>
      </c>
      <c r="K42" s="880">
        <f>Industry!$K44</f>
        <v>0</v>
      </c>
      <c r="L42" s="881">
        <f t="shared" si="3"/>
        <v>11.883335704933645</v>
      </c>
      <c r="M42" s="882">
        <f>Recovery_OX!C37</f>
        <v>1.8249859165496296</v>
      </c>
      <c r="N42" s="649"/>
      <c r="O42" s="700">
        <f>(L42-M42)*(1-Recovery_OX!F37)</f>
        <v>10.058349788384016</v>
      </c>
      <c r="P42" s="640"/>
      <c r="Q42" s="651"/>
      <c r="S42" s="694">
        <f t="shared" si="2"/>
        <v>2025</v>
      </c>
      <c r="T42" s="695">
        <f>IF(Select2=1,Food!$W44,"")</f>
        <v>5.4262599197272881</v>
      </c>
      <c r="U42" s="696">
        <f>IF(Select2=1,Paper!$W44,"")</f>
        <v>2.3368467197033862</v>
      </c>
      <c r="V42" s="686">
        <f>IF(Select2=1,Nappies!$W44,"")</f>
        <v>0</v>
      </c>
      <c r="W42" s="696">
        <f>IF(Select2=1,Garden!$W44,"")</f>
        <v>0</v>
      </c>
      <c r="X42" s="686">
        <f>IF(Select2=1,Wood!$W44,"")</f>
        <v>1.1687588336728432</v>
      </c>
      <c r="Y42" s="696">
        <f>IF(Select2=1,Textiles!$W44,"")</f>
        <v>0.29346447177670432</v>
      </c>
      <c r="Z42" s="688">
        <f>Sludge!W44</f>
        <v>0</v>
      </c>
      <c r="AA42" s="688" t="str">
        <f>IF(Select2=2,MSW!$W44,"")</f>
        <v/>
      </c>
      <c r="AB42" s="697">
        <f>Industry!$W44</f>
        <v>0</v>
      </c>
      <c r="AC42" s="698">
        <f t="shared" si="0"/>
        <v>9.2253299448802224</v>
      </c>
      <c r="AD42" s="699">
        <f>Recovery_OX!R37</f>
        <v>0</v>
      </c>
      <c r="AE42" s="649"/>
      <c r="AF42" s="701">
        <f>(AC42-AD42)*(1-Recovery_OX!U37)</f>
        <v>9.2253299448802224</v>
      </c>
    </row>
    <row r="43" spans="2:32">
      <c r="B43" s="694">
        <f t="shared" si="1"/>
        <v>2026</v>
      </c>
      <c r="C43" s="878">
        <f>IF(Select2=1,Food!$K45,"")</f>
        <v>8.5074238938185935</v>
      </c>
      <c r="D43" s="879">
        <f>IF(Select2=1,Paper!$K45,"")</f>
        <v>1.2158262338852444</v>
      </c>
      <c r="E43" s="873">
        <f>IF(Select2=1,Nappies!$K45,"")</f>
        <v>2.5114125981745001</v>
      </c>
      <c r="F43" s="879">
        <f>IF(Select2=1,Garden!$K45,"")</f>
        <v>0</v>
      </c>
      <c r="G43" s="873">
        <f>IF(Select2=1,Wood!$K45,"")</f>
        <v>0</v>
      </c>
      <c r="H43" s="879">
        <f>IF(Select2=1,Textiles!$K45,"")</f>
        <v>0.28786199151785224</v>
      </c>
      <c r="I43" s="880">
        <f>Sludge!K45</f>
        <v>0</v>
      </c>
      <c r="J43" s="880" t="str">
        <f>IF(Select2=2,MSW!$K45,"")</f>
        <v/>
      </c>
      <c r="K43" s="880">
        <f>Industry!$K45</f>
        <v>0</v>
      </c>
      <c r="L43" s="881">
        <f t="shared" si="3"/>
        <v>12.522524717396191</v>
      </c>
      <c r="M43" s="882">
        <f>Recovery_OX!C38</f>
        <v>1.9112111964117795</v>
      </c>
      <c r="N43" s="649"/>
      <c r="O43" s="700">
        <f>(L43-M43)*(1-Recovery_OX!F38)</f>
        <v>10.611313520984412</v>
      </c>
      <c r="P43" s="640"/>
      <c r="Q43" s="651"/>
      <c r="S43" s="694">
        <f t="shared" si="2"/>
        <v>2026</v>
      </c>
      <c r="T43" s="695">
        <f>IF(Select2=1,Food!$W45,"")</f>
        <v>5.691853631011548</v>
      </c>
      <c r="U43" s="696">
        <f>IF(Select2=1,Paper!$W45,"")</f>
        <v>2.5120376733166205</v>
      </c>
      <c r="V43" s="686">
        <f>IF(Select2=1,Nappies!$W45,"")</f>
        <v>0</v>
      </c>
      <c r="W43" s="696">
        <f>IF(Select2=1,Garden!$W45,"")</f>
        <v>0</v>
      </c>
      <c r="X43" s="686">
        <f>IF(Select2=1,Wood!$W45,"")</f>
        <v>1.2683999269804711</v>
      </c>
      <c r="Y43" s="696">
        <f>IF(Select2=1,Textiles!$W45,"")</f>
        <v>0.31546519618394769</v>
      </c>
      <c r="Z43" s="688">
        <f>Sludge!W45</f>
        <v>0</v>
      </c>
      <c r="AA43" s="688" t="str">
        <f>IF(Select2=2,MSW!$W45,"")</f>
        <v/>
      </c>
      <c r="AB43" s="697">
        <f>Industry!$W45</f>
        <v>0</v>
      </c>
      <c r="AC43" s="698">
        <f t="shared" si="0"/>
        <v>9.787756427492587</v>
      </c>
      <c r="AD43" s="699">
        <f>Recovery_OX!R38</f>
        <v>0</v>
      </c>
      <c r="AE43" s="649"/>
      <c r="AF43" s="701">
        <f>(AC43-AD43)*(1-Recovery_OX!U38)</f>
        <v>9.787756427492587</v>
      </c>
    </row>
    <row r="44" spans="2:32">
      <c r="B44" s="694">
        <f t="shared" si="1"/>
        <v>2027</v>
      </c>
      <c r="C44" s="878">
        <f>IF(Select2=1,Food!$K46,"")</f>
        <v>8.9186112087394509</v>
      </c>
      <c r="D44" s="879">
        <f>IF(Select2=1,Paper!$K46,"")</f>
        <v>1.3025051022756149</v>
      </c>
      <c r="E44" s="873">
        <f>IF(Select2=1,Nappies!$K46,"")</f>
        <v>2.6513123127715978</v>
      </c>
      <c r="F44" s="879">
        <f>IF(Select2=1,Garden!$K46,"")</f>
        <v>0</v>
      </c>
      <c r="G44" s="873">
        <f>IF(Select2=1,Wood!$K46,"")</f>
        <v>0</v>
      </c>
      <c r="H44" s="879">
        <f>IF(Select2=1,Textiles!$K46,"")</f>
        <v>0.30838429230554926</v>
      </c>
      <c r="I44" s="880">
        <f>Sludge!K46</f>
        <v>0</v>
      </c>
      <c r="J44" s="880" t="str">
        <f>IF(Select2=2,MSW!$K46,"")</f>
        <v/>
      </c>
      <c r="K44" s="880">
        <f>Industry!$K46</f>
        <v>0</v>
      </c>
      <c r="L44" s="881">
        <f t="shared" si="3"/>
        <v>13.180812916092213</v>
      </c>
      <c r="M44" s="882">
        <f>Recovery_OX!C39</f>
        <v>2.0006472684546632</v>
      </c>
      <c r="N44" s="649"/>
      <c r="O44" s="700">
        <f>(L44-M44)*(1-Recovery_OX!F39)</f>
        <v>11.180165647637549</v>
      </c>
      <c r="P44" s="640"/>
      <c r="Q44" s="651"/>
      <c r="S44" s="694">
        <f t="shared" si="2"/>
        <v>2027</v>
      </c>
      <c r="T44" s="695">
        <f>IF(Select2=1,Food!$W46,"")</f>
        <v>5.9669566516990082</v>
      </c>
      <c r="U44" s="696">
        <f>IF(Select2=1,Paper!$W46,"")</f>
        <v>2.6911262443711053</v>
      </c>
      <c r="V44" s="686">
        <f>IF(Select2=1,Nappies!$W46,"")</f>
        <v>0</v>
      </c>
      <c r="W44" s="696">
        <f>IF(Select2=1,Garden!$W46,"")</f>
        <v>0</v>
      </c>
      <c r="X44" s="686">
        <f>IF(Select2=1,Wood!$W46,"")</f>
        <v>1.3712209430468028</v>
      </c>
      <c r="Y44" s="696">
        <f>IF(Select2=1,Textiles!$W46,"")</f>
        <v>0.33795538882799925</v>
      </c>
      <c r="Z44" s="688">
        <f>Sludge!W46</f>
        <v>0</v>
      </c>
      <c r="AA44" s="688" t="str">
        <f>IF(Select2=2,MSW!$W46,"")</f>
        <v/>
      </c>
      <c r="AB44" s="697">
        <f>Industry!$W46</f>
        <v>0</v>
      </c>
      <c r="AC44" s="698">
        <f t="shared" si="0"/>
        <v>10.367259227944915</v>
      </c>
      <c r="AD44" s="699">
        <f>Recovery_OX!R39</f>
        <v>0</v>
      </c>
      <c r="AE44" s="649"/>
      <c r="AF44" s="701">
        <f>(AC44-AD44)*(1-Recovery_OX!U39)</f>
        <v>10.367259227944915</v>
      </c>
    </row>
    <row r="45" spans="2:32">
      <c r="B45" s="694">
        <f t="shared" si="1"/>
        <v>2028</v>
      </c>
      <c r="C45" s="878">
        <f>IF(Select2=1,Food!$K47,"")</f>
        <v>9.344728613088197</v>
      </c>
      <c r="D45" s="879">
        <f>IF(Select2=1,Paper!$K47,"")</f>
        <v>1.3912265903518986</v>
      </c>
      <c r="E45" s="873">
        <f>IF(Select2=1,Nappies!$K47,"")</f>
        <v>2.7942604034995311</v>
      </c>
      <c r="F45" s="879">
        <f>IF(Select2=1,Garden!$K47,"")</f>
        <v>0</v>
      </c>
      <c r="G45" s="873">
        <f>IF(Select2=1,Wood!$K47,"")</f>
        <v>0</v>
      </c>
      <c r="H45" s="879">
        <f>IF(Select2=1,Textiles!$K47,"")</f>
        <v>0.32939020872376407</v>
      </c>
      <c r="I45" s="880">
        <f>Sludge!K47</f>
        <v>0</v>
      </c>
      <c r="J45" s="880" t="str">
        <f>IF(Select2=2,MSW!$K47,"")</f>
        <v/>
      </c>
      <c r="K45" s="880">
        <f>Industry!$K47</f>
        <v>0</v>
      </c>
      <c r="L45" s="881">
        <f t="shared" si="3"/>
        <v>13.859605815663391</v>
      </c>
      <c r="M45" s="882">
        <f>Recovery_OX!C40</f>
        <v>2.0934018150912674</v>
      </c>
      <c r="N45" s="649"/>
      <c r="O45" s="700">
        <f>(L45-M45)*(1-Recovery_OX!F40)</f>
        <v>11.766204000572124</v>
      </c>
      <c r="P45" s="640"/>
      <c r="Q45" s="651"/>
      <c r="S45" s="694">
        <f t="shared" si="2"/>
        <v>2028</v>
      </c>
      <c r="T45" s="695">
        <f>IF(Select2=1,Food!$W47,"")</f>
        <v>6.2520485814595448</v>
      </c>
      <c r="U45" s="696">
        <f>IF(Select2=1,Paper!$W47,"")</f>
        <v>2.8744351040328473</v>
      </c>
      <c r="V45" s="686">
        <f>IF(Select2=1,Nappies!$W47,"")</f>
        <v>0</v>
      </c>
      <c r="W45" s="696">
        <f>IF(Select2=1,Garden!$W47,"")</f>
        <v>0</v>
      </c>
      <c r="X45" s="686">
        <f>IF(Select2=1,Wood!$W47,"")</f>
        <v>1.4773585376197451</v>
      </c>
      <c r="Y45" s="696">
        <f>IF(Select2=1,Textiles!$W47,"")</f>
        <v>0.36097557120412499</v>
      </c>
      <c r="Z45" s="688">
        <f>Sludge!W47</f>
        <v>0</v>
      </c>
      <c r="AA45" s="688" t="str">
        <f>IF(Select2=2,MSW!$W47,"")</f>
        <v/>
      </c>
      <c r="AB45" s="697">
        <f>Industry!$W47</f>
        <v>0</v>
      </c>
      <c r="AC45" s="698">
        <f t="shared" si="0"/>
        <v>10.964817794316263</v>
      </c>
      <c r="AD45" s="699">
        <f>Recovery_OX!R40</f>
        <v>0</v>
      </c>
      <c r="AE45" s="649"/>
      <c r="AF45" s="701">
        <f>(AC45-AD45)*(1-Recovery_OX!U40)</f>
        <v>10.964817794316263</v>
      </c>
    </row>
    <row r="46" spans="2:32">
      <c r="B46" s="694">
        <f t="shared" si="1"/>
        <v>2029</v>
      </c>
      <c r="C46" s="878">
        <f>IF(Select2=1,Food!$K48,"")</f>
        <v>9.78643781283834</v>
      </c>
      <c r="D46" s="879">
        <f>IF(Select2=1,Paper!$K48,"")</f>
        <v>1.4821458276179729</v>
      </c>
      <c r="E46" s="873">
        <f>IF(Select2=1,Nappies!$K48,"")</f>
        <v>2.940704930382104</v>
      </c>
      <c r="F46" s="879">
        <f>IF(Select2=1,Garden!$K48,"")</f>
        <v>0</v>
      </c>
      <c r="G46" s="873">
        <f>IF(Select2=1,Wood!$K48,"")</f>
        <v>0</v>
      </c>
      <c r="H46" s="879">
        <f>IF(Select2=1,Textiles!$K48,"")</f>
        <v>0.3509164696130867</v>
      </c>
      <c r="I46" s="880">
        <f>Sludge!K48</f>
        <v>0</v>
      </c>
      <c r="J46" s="880" t="str">
        <f>IF(Select2=2,MSW!$K48,"")</f>
        <v/>
      </c>
      <c r="K46" s="880">
        <f>Industry!$K48</f>
        <v>0</v>
      </c>
      <c r="L46" s="881">
        <f t="shared" si="3"/>
        <v>14.560205040451503</v>
      </c>
      <c r="M46" s="882">
        <f>Recovery_OX!C41</f>
        <v>2.1895859227200258</v>
      </c>
      <c r="N46" s="649"/>
      <c r="O46" s="700">
        <f>(L46-M46)*(1-Recovery_OX!F41)</f>
        <v>12.370619117731477</v>
      </c>
      <c r="P46" s="640"/>
      <c r="Q46" s="651"/>
      <c r="S46" s="694">
        <f t="shared" si="2"/>
        <v>2029</v>
      </c>
      <c r="T46" s="695">
        <f>IF(Select2=1,Food!$W48,"")</f>
        <v>6.5475721316938049</v>
      </c>
      <c r="U46" s="696">
        <f>IF(Select2=1,Paper!$W48,"")</f>
        <v>3.0622847678057292</v>
      </c>
      <c r="V46" s="686">
        <f>IF(Select2=1,Nappies!$W48,"")</f>
        <v>0</v>
      </c>
      <c r="W46" s="696">
        <f>IF(Select2=1,Garden!$W48,"")</f>
        <v>0</v>
      </c>
      <c r="X46" s="686">
        <f>IF(Select2=1,Wood!$W48,"")</f>
        <v>1.5869529174252794</v>
      </c>
      <c r="Y46" s="696">
        <f>IF(Select2=1,Textiles!$W48,"")</f>
        <v>0.38456599409653341</v>
      </c>
      <c r="Z46" s="688">
        <f>Sludge!W48</f>
        <v>0</v>
      </c>
      <c r="AA46" s="688" t="str">
        <f>IF(Select2=2,MSW!$W48,"")</f>
        <v/>
      </c>
      <c r="AB46" s="697">
        <f>Industry!$W48</f>
        <v>0</v>
      </c>
      <c r="AC46" s="698">
        <f t="shared" si="0"/>
        <v>11.581375811021346</v>
      </c>
      <c r="AD46" s="699">
        <f>Recovery_OX!R41</f>
        <v>0</v>
      </c>
      <c r="AE46" s="649"/>
      <c r="AF46" s="701">
        <f>(AC46-AD46)*(1-Recovery_OX!U41)</f>
        <v>11.581375811021346</v>
      </c>
    </row>
    <row r="47" spans="2:32">
      <c r="B47" s="694">
        <f t="shared" si="1"/>
        <v>2030</v>
      </c>
      <c r="C47" s="878">
        <f>IF(Select2=1,Food!$K49,"")</f>
        <v>10.244369283163618</v>
      </c>
      <c r="D47" s="879">
        <f>IF(Select2=1,Paper!$K49,"")</f>
        <v>1.5754172715525407</v>
      </c>
      <c r="E47" s="873">
        <f>IF(Select2=1,Nappies!$K49,"")</f>
        <v>3.0910548579635617</v>
      </c>
      <c r="F47" s="879">
        <f>IF(Select2=1,Garden!$K49,"")</f>
        <v>0</v>
      </c>
      <c r="G47" s="873">
        <f>IF(Select2=1,Wood!$K49,"")</f>
        <v>0</v>
      </c>
      <c r="H47" s="879">
        <f>IF(Select2=1,Textiles!$K49,"")</f>
        <v>0.37299964470378361</v>
      </c>
      <c r="I47" s="880">
        <f>Sludge!K49</f>
        <v>0</v>
      </c>
      <c r="J47" s="880" t="str">
        <f>IF(Select2=2,MSW!$K49,"")</f>
        <v/>
      </c>
      <c r="K47" s="880">
        <f>Industry!$K49</f>
        <v>0</v>
      </c>
      <c r="L47" s="881">
        <f t="shared" si="3"/>
        <v>15.283841057383503</v>
      </c>
      <c r="M47" s="882">
        <f>Recovery_OX!C42</f>
        <v>2.2908365909999997</v>
      </c>
      <c r="N47" s="649"/>
      <c r="O47" s="700">
        <f>(L47-M47)*(1-Recovery_OX!F42)</f>
        <v>12.993004466383503</v>
      </c>
      <c r="P47" s="640"/>
      <c r="Q47" s="651"/>
      <c r="S47" s="694">
        <f t="shared" si="2"/>
        <v>2030</v>
      </c>
      <c r="T47" s="695">
        <f>IF(Select2=1,Food!$W49,"")</f>
        <v>6.8539491189765496</v>
      </c>
      <c r="U47" s="696">
        <f>IF(Select2=1,Paper!$W49,"")</f>
        <v>3.2549943627118614</v>
      </c>
      <c r="V47" s="686">
        <f>IF(Select2=1,Nappies!$W49,"")</f>
        <v>0</v>
      </c>
      <c r="W47" s="696">
        <f>IF(Select2=1,Garden!$W49,"")</f>
        <v>0</v>
      </c>
      <c r="X47" s="686">
        <f>IF(Select2=1,Wood!$W49,"")</f>
        <v>1.7001479788644032</v>
      </c>
      <c r="Y47" s="696">
        <f>IF(Select2=1,Textiles!$W49,"")</f>
        <v>0.40876673392195462</v>
      </c>
      <c r="Z47" s="688">
        <f>Sludge!W49</f>
        <v>0</v>
      </c>
      <c r="AA47" s="688" t="str">
        <f>IF(Select2=2,MSW!$W49,"")</f>
        <v/>
      </c>
      <c r="AB47" s="697">
        <f>Industry!$W49</f>
        <v>0</v>
      </c>
      <c r="AC47" s="698">
        <f t="shared" si="0"/>
        <v>12.217858194474768</v>
      </c>
      <c r="AD47" s="699">
        <f>Recovery_OX!R42</f>
        <v>0</v>
      </c>
      <c r="AE47" s="649"/>
      <c r="AF47" s="701">
        <f>(AC47-AD47)*(1-Recovery_OX!U42)</f>
        <v>12.217858194474768</v>
      </c>
    </row>
    <row r="48" spans="2:32">
      <c r="B48" s="694">
        <f t="shared" si="1"/>
        <v>2031</v>
      </c>
      <c r="C48" s="870">
        <f>IF(Select2=1,Food!$K50,"")</f>
        <v>10.721700154461146</v>
      </c>
      <c r="D48" s="696">
        <f>IF(Select2=1,Paper!$K50,"")</f>
        <v>1.6713295840268352</v>
      </c>
      <c r="E48" s="686">
        <f>IF(Select2=1,Nappies!$K50,"")</f>
        <v>3.24611133338809</v>
      </c>
      <c r="F48" s="696">
        <f>IF(Select2=1,Garden!$K50,"")</f>
        <v>0</v>
      </c>
      <c r="G48" s="686">
        <f>IF(Select2=1,Wood!$K50,"")</f>
        <v>0</v>
      </c>
      <c r="H48" s="696">
        <f>IF(Select2=1,Textiles!$K50,"")</f>
        <v>0.3957080782861922</v>
      </c>
      <c r="I48" s="697">
        <f>Sludge!K50</f>
        <v>0</v>
      </c>
      <c r="J48" s="697" t="str">
        <f>IF(Select2=2,MSW!$K50,"")</f>
        <v/>
      </c>
      <c r="K48" s="697">
        <f>Industry!$K50</f>
        <v>0</v>
      </c>
      <c r="L48" s="871">
        <f t="shared" si="3"/>
        <v>16.034849150162263</v>
      </c>
      <c r="M48" s="869">
        <f>Recovery_OX!C43</f>
        <v>0</v>
      </c>
      <c r="N48" s="649"/>
      <c r="O48" s="700">
        <f>(L48-M48)*(1-Recovery_OX!F43)</f>
        <v>16.034849150162263</v>
      </c>
      <c r="P48" s="640"/>
      <c r="Q48" s="651"/>
      <c r="S48" s="694">
        <f t="shared" si="2"/>
        <v>2031</v>
      </c>
      <c r="T48" s="695">
        <f>IF(Select2=1,Food!$W50,"")</f>
        <v>7.173305188087296</v>
      </c>
      <c r="U48" s="696">
        <f>IF(Select2=1,Paper!$W50,"")</f>
        <v>3.4531602975761069</v>
      </c>
      <c r="V48" s="686">
        <f>IF(Select2=1,Nappies!$W50,"")</f>
        <v>0</v>
      </c>
      <c r="W48" s="696">
        <f>IF(Select2=1,Garden!$W50,"")</f>
        <v>0</v>
      </c>
      <c r="X48" s="686">
        <f>IF(Select2=1,Wood!$W50,"")</f>
        <v>1.817208104647537</v>
      </c>
      <c r="Y48" s="696">
        <f>IF(Select2=1,Textiles!$W50,"")</f>
        <v>0.43365268853281336</v>
      </c>
      <c r="Z48" s="688">
        <f>Sludge!W50</f>
        <v>0</v>
      </c>
      <c r="AA48" s="688" t="str">
        <f>IF(Select2=2,MSW!$W50,"")</f>
        <v/>
      </c>
      <c r="AB48" s="697">
        <f>Industry!$W50</f>
        <v>0</v>
      </c>
      <c r="AC48" s="698">
        <f t="shared" si="0"/>
        <v>12.877326278843753</v>
      </c>
      <c r="AD48" s="699">
        <f>Recovery_OX!R43</f>
        <v>0</v>
      </c>
      <c r="AE48" s="649"/>
      <c r="AF48" s="701">
        <f>(AC48-AD48)*(1-Recovery_OX!U43)</f>
        <v>12.877326278843753</v>
      </c>
    </row>
    <row r="49" spans="2:32">
      <c r="B49" s="694">
        <f t="shared" si="1"/>
        <v>2032</v>
      </c>
      <c r="C49" s="870">
        <f>IF(Select2=1,Food!$K51,"")</f>
        <v>7.1869705411187166</v>
      </c>
      <c r="D49" s="696">
        <f>IF(Select2=1,Paper!$K51,"")</f>
        <v>1.5583373751726006</v>
      </c>
      <c r="E49" s="686">
        <f>IF(Select2=1,Nappies!$K51,"")</f>
        <v>2.7386299227343054</v>
      </c>
      <c r="F49" s="696">
        <f>IF(Select2=1,Garden!$K51,"")</f>
        <v>0</v>
      </c>
      <c r="G49" s="686">
        <f>IF(Select2=1,Wood!$K51,"")</f>
        <v>0</v>
      </c>
      <c r="H49" s="696">
        <f>IF(Select2=1,Textiles!$K51,"")</f>
        <v>0.3689557666809048</v>
      </c>
      <c r="I49" s="697">
        <f>Sludge!K51</f>
        <v>0</v>
      </c>
      <c r="J49" s="697" t="str">
        <f>IF(Select2=2,MSW!$K51,"")</f>
        <v/>
      </c>
      <c r="K49" s="697">
        <f>Industry!$K51</f>
        <v>0</v>
      </c>
      <c r="L49" s="698">
        <f t="shared" si="3"/>
        <v>11.852893605706527</v>
      </c>
      <c r="M49" s="869">
        <f>Recovery_OX!C44</f>
        <v>0</v>
      </c>
      <c r="N49" s="649"/>
      <c r="O49" s="700">
        <f>(L49-M49)*(1-Recovery_OX!F44)</f>
        <v>11.852893605706527</v>
      </c>
      <c r="P49" s="640"/>
      <c r="Q49" s="651"/>
      <c r="S49" s="694">
        <f t="shared" si="2"/>
        <v>2032</v>
      </c>
      <c r="T49" s="695">
        <f>IF(Select2=1,Food!$W51,"")</f>
        <v>4.8084102639063673</v>
      </c>
      <c r="U49" s="696">
        <f>IF(Select2=1,Paper!$W51,"")</f>
        <v>3.2197053206045472</v>
      </c>
      <c r="V49" s="686">
        <f>IF(Select2=1,Nappies!$W51,"")</f>
        <v>0</v>
      </c>
      <c r="W49" s="696">
        <f>IF(Select2=1,Garden!$W51,"")</f>
        <v>0</v>
      </c>
      <c r="X49" s="686">
        <f>IF(Select2=1,Wood!$W51,"")</f>
        <v>1.7547059883148084</v>
      </c>
      <c r="Y49" s="696">
        <f>IF(Select2=1,Textiles!$W51,"")</f>
        <v>0.40433508677359425</v>
      </c>
      <c r="Z49" s="688">
        <f>Sludge!W51</f>
        <v>0</v>
      </c>
      <c r="AA49" s="688" t="str">
        <f>IF(Select2=2,MSW!$W51,"")</f>
        <v/>
      </c>
      <c r="AB49" s="697">
        <f>Industry!$W51</f>
        <v>0</v>
      </c>
      <c r="AC49" s="698">
        <f t="shared" ref="AC49:AC80" si="4">SUM(T49:AA49)</f>
        <v>10.187156659599317</v>
      </c>
      <c r="AD49" s="699">
        <f>Recovery_OX!R44</f>
        <v>0</v>
      </c>
      <c r="AE49" s="649"/>
      <c r="AF49" s="701">
        <f>(AC49-AD49)*(1-Recovery_OX!U44)</f>
        <v>10.187156659599317</v>
      </c>
    </row>
    <row r="50" spans="2:32">
      <c r="B50" s="694">
        <f t="shared" si="1"/>
        <v>2033</v>
      </c>
      <c r="C50" s="870">
        <f>IF(Select2=1,Food!$K52,"")</f>
        <v>4.8175704239794817</v>
      </c>
      <c r="D50" s="696">
        <f>IF(Select2=1,Paper!$K52,"")</f>
        <v>1.45298413793939</v>
      </c>
      <c r="E50" s="686">
        <f>IF(Select2=1,Nappies!$K52,"")</f>
        <v>2.3104857114890063</v>
      </c>
      <c r="F50" s="696">
        <f>IF(Select2=1,Garden!$K52,"")</f>
        <v>0</v>
      </c>
      <c r="G50" s="686">
        <f>IF(Select2=1,Wood!$K52,"")</f>
        <v>0</v>
      </c>
      <c r="H50" s="696">
        <f>IF(Select2=1,Textiles!$K52,"")</f>
        <v>0.34401207667193662</v>
      </c>
      <c r="I50" s="697">
        <f>Sludge!K52</f>
        <v>0</v>
      </c>
      <c r="J50" s="697" t="str">
        <f>IF(Select2=2,MSW!$K52,"")</f>
        <v/>
      </c>
      <c r="K50" s="697">
        <f>Industry!$K52</f>
        <v>0</v>
      </c>
      <c r="L50" s="698">
        <f t="shared" si="3"/>
        <v>8.9250523500798149</v>
      </c>
      <c r="M50" s="869">
        <f>Recovery_OX!C45</f>
        <v>0</v>
      </c>
      <c r="N50" s="649"/>
      <c r="O50" s="700">
        <f>(L50-M50)*(1-Recovery_OX!F45)</f>
        <v>8.9250523500798149</v>
      </c>
      <c r="P50" s="640"/>
      <c r="Q50" s="651"/>
      <c r="S50" s="694">
        <f t="shared" si="2"/>
        <v>2033</v>
      </c>
      <c r="T50" s="695">
        <f>IF(Select2=1,Food!$W52,"")</f>
        <v>3.2231737894599566</v>
      </c>
      <c r="U50" s="696">
        <f>IF(Select2=1,Paper!$W52,"")</f>
        <v>3.002033342849979</v>
      </c>
      <c r="V50" s="686">
        <f>IF(Select2=1,Nappies!$W52,"")</f>
        <v>0</v>
      </c>
      <c r="W50" s="696">
        <f>IF(Select2=1,Garden!$W52,"")</f>
        <v>0</v>
      </c>
      <c r="X50" s="686">
        <f>IF(Select2=1,Wood!$W52,"")</f>
        <v>1.6943536062563651</v>
      </c>
      <c r="Y50" s="696">
        <f>IF(Select2=1,Textiles!$W52,"")</f>
        <v>0.37699953607883457</v>
      </c>
      <c r="Z50" s="688">
        <f>Sludge!W52</f>
        <v>0</v>
      </c>
      <c r="AA50" s="688" t="str">
        <f>IF(Select2=2,MSW!$W52,"")</f>
        <v/>
      </c>
      <c r="AB50" s="697">
        <f>Industry!$W52</f>
        <v>0</v>
      </c>
      <c r="AC50" s="698">
        <f t="shared" si="4"/>
        <v>8.2965602746451346</v>
      </c>
      <c r="AD50" s="699">
        <f>Recovery_OX!R45</f>
        <v>0</v>
      </c>
      <c r="AE50" s="649"/>
      <c r="AF50" s="701">
        <f>(AC50-AD50)*(1-Recovery_OX!U45)</f>
        <v>8.2965602746451346</v>
      </c>
    </row>
    <row r="51" spans="2:32">
      <c r="B51" s="694">
        <f t="shared" si="1"/>
        <v>2034</v>
      </c>
      <c r="C51" s="870">
        <f>IF(Select2=1,Food!$K53,"")</f>
        <v>3.2293140283818609</v>
      </c>
      <c r="D51" s="696">
        <f>IF(Select2=1,Paper!$K53,"")</f>
        <v>1.3547534306360589</v>
      </c>
      <c r="E51" s="686">
        <f>IF(Select2=1,Nappies!$K53,"")</f>
        <v>1.9492755040319376</v>
      </c>
      <c r="F51" s="696">
        <f>IF(Select2=1,Garden!$K53,"")</f>
        <v>0</v>
      </c>
      <c r="G51" s="686">
        <f>IF(Select2=1,Wood!$K53,"")</f>
        <v>0</v>
      </c>
      <c r="H51" s="696">
        <f>IF(Select2=1,Textiles!$K53,"")</f>
        <v>0.32075473426192497</v>
      </c>
      <c r="I51" s="697">
        <f>Sludge!K53</f>
        <v>0</v>
      </c>
      <c r="J51" s="697" t="str">
        <f>IF(Select2=2,MSW!$K53,"")</f>
        <v/>
      </c>
      <c r="K51" s="697">
        <f>Industry!$K53</f>
        <v>0</v>
      </c>
      <c r="L51" s="698">
        <f t="shared" si="3"/>
        <v>6.8540976973117829</v>
      </c>
      <c r="M51" s="869">
        <f>Recovery_OX!C46</f>
        <v>0</v>
      </c>
      <c r="N51" s="649"/>
      <c r="O51" s="700">
        <f>(L51-M51)*(1-Recovery_OX!F46)</f>
        <v>6.8540976973117829</v>
      </c>
      <c r="P51" s="640"/>
      <c r="Q51" s="651"/>
      <c r="S51" s="694">
        <f t="shared" si="2"/>
        <v>2034</v>
      </c>
      <c r="T51" s="695">
        <f>IF(Select2=1,Food!$W53,"")</f>
        <v>2.1605580029316642</v>
      </c>
      <c r="U51" s="696">
        <f>IF(Select2=1,Paper!$W53,"")</f>
        <v>2.7990773360249155</v>
      </c>
      <c r="V51" s="686">
        <f>IF(Select2=1,Nappies!$W53,"")</f>
        <v>0</v>
      </c>
      <c r="W51" s="696">
        <f>IF(Select2=1,Garden!$W53,"")</f>
        <v>0</v>
      </c>
      <c r="X51" s="686">
        <f>IF(Select2=1,Wood!$W53,"")</f>
        <v>1.6360770192566862</v>
      </c>
      <c r="Y51" s="696">
        <f>IF(Select2=1,Textiles!$W53,"")</f>
        <v>0.35151203754731492</v>
      </c>
      <c r="Z51" s="688">
        <f>Sludge!W53</f>
        <v>0</v>
      </c>
      <c r="AA51" s="688" t="str">
        <f>IF(Select2=2,MSW!$W53,"")</f>
        <v/>
      </c>
      <c r="AB51" s="697">
        <f>Industry!$W53</f>
        <v>0</v>
      </c>
      <c r="AC51" s="698">
        <f t="shared" si="4"/>
        <v>6.947224395760581</v>
      </c>
      <c r="AD51" s="699">
        <f>Recovery_OX!R46</f>
        <v>0</v>
      </c>
      <c r="AE51" s="649"/>
      <c r="AF51" s="701">
        <f>(AC51-AD51)*(1-Recovery_OX!U46)</f>
        <v>6.947224395760581</v>
      </c>
    </row>
    <row r="52" spans="2:32">
      <c r="B52" s="694">
        <f t="shared" si="1"/>
        <v>2035</v>
      </c>
      <c r="C52" s="870">
        <f>IF(Select2=1,Food!$K54,"")</f>
        <v>2.1646739281684648</v>
      </c>
      <c r="D52" s="696">
        <f>IF(Select2=1,Paper!$K54,"")</f>
        <v>1.2631637262214432</v>
      </c>
      <c r="E52" s="686">
        <f>IF(Select2=1,Nappies!$K54,"")</f>
        <v>1.6445351606049281</v>
      </c>
      <c r="F52" s="696">
        <f>IF(Select2=1,Garden!$K54,"")</f>
        <v>0</v>
      </c>
      <c r="G52" s="686">
        <f>IF(Select2=1,Wood!$K54,"")</f>
        <v>0</v>
      </c>
      <c r="H52" s="696">
        <f>IF(Select2=1,Textiles!$K54,"")</f>
        <v>0.29906973193139352</v>
      </c>
      <c r="I52" s="697">
        <f>Sludge!K54</f>
        <v>0</v>
      </c>
      <c r="J52" s="697" t="str">
        <f>IF(Select2=2,MSW!$K54,"")</f>
        <v/>
      </c>
      <c r="K52" s="697">
        <f>Industry!$K54</f>
        <v>0</v>
      </c>
      <c r="L52" s="698">
        <f t="shared" si="3"/>
        <v>5.3714425469262288</v>
      </c>
      <c r="M52" s="869">
        <f>Recovery_OX!C47</f>
        <v>0</v>
      </c>
      <c r="N52" s="649"/>
      <c r="O52" s="700">
        <f>(L52-M52)*(1-Recovery_OX!F47)</f>
        <v>5.3714425469262288</v>
      </c>
      <c r="P52" s="640"/>
      <c r="Q52" s="651"/>
      <c r="S52" s="694">
        <f t="shared" si="2"/>
        <v>2035</v>
      </c>
      <c r="T52" s="695">
        <f>IF(Select2=1,Food!$W54,"")</f>
        <v>1.4482653399878223</v>
      </c>
      <c r="U52" s="696">
        <f>IF(Select2=1,Paper!$W54,"")</f>
        <v>2.609842409548436</v>
      </c>
      <c r="V52" s="686">
        <f>IF(Select2=1,Nappies!$W54,"")</f>
        <v>0</v>
      </c>
      <c r="W52" s="696">
        <f>IF(Select2=1,Garden!$W54,"")</f>
        <v>0</v>
      </c>
      <c r="X52" s="686">
        <f>IF(Select2=1,Wood!$W54,"")</f>
        <v>1.5798048312087911</v>
      </c>
      <c r="Y52" s="696">
        <f>IF(Select2=1,Textiles!$W54,"")</f>
        <v>0.32774765143166407</v>
      </c>
      <c r="Z52" s="688">
        <f>Sludge!W54</f>
        <v>0</v>
      </c>
      <c r="AA52" s="688" t="str">
        <f>IF(Select2=2,MSW!$W54,"")</f>
        <v/>
      </c>
      <c r="AB52" s="697">
        <f>Industry!$W54</f>
        <v>0</v>
      </c>
      <c r="AC52" s="698">
        <f t="shared" si="4"/>
        <v>5.9656602321767132</v>
      </c>
      <c r="AD52" s="699">
        <f>Recovery_OX!R47</f>
        <v>0</v>
      </c>
      <c r="AE52" s="649"/>
      <c r="AF52" s="701">
        <f>(AC52-AD52)*(1-Recovery_OX!U47)</f>
        <v>5.9656602321767132</v>
      </c>
    </row>
    <row r="53" spans="2:32">
      <c r="B53" s="694">
        <f t="shared" si="1"/>
        <v>2036</v>
      </c>
      <c r="C53" s="870">
        <f>IF(Select2=1,Food!$K55,"")</f>
        <v>1.4510243271820338</v>
      </c>
      <c r="D53" s="696">
        <f>IF(Select2=1,Paper!$K55,"")</f>
        <v>1.1777660518582429</v>
      </c>
      <c r="E53" s="686">
        <f>IF(Select2=1,Nappies!$K55,"")</f>
        <v>1.3874364546580611</v>
      </c>
      <c r="F53" s="696">
        <f>IF(Select2=1,Garden!$K55,"")</f>
        <v>0</v>
      </c>
      <c r="G53" s="686">
        <f>IF(Select2=1,Wood!$K55,"")</f>
        <v>0</v>
      </c>
      <c r="H53" s="696">
        <f>IF(Select2=1,Textiles!$K55,"")</f>
        <v>0.27885076977376</v>
      </c>
      <c r="I53" s="697">
        <f>Sludge!K55</f>
        <v>0</v>
      </c>
      <c r="J53" s="697" t="str">
        <f>IF(Select2=2,MSW!$K55,"")</f>
        <v/>
      </c>
      <c r="K53" s="697">
        <f>Industry!$K55</f>
        <v>0</v>
      </c>
      <c r="L53" s="698">
        <f t="shared" si="3"/>
        <v>4.2950776034720981</v>
      </c>
      <c r="M53" s="869">
        <f>Recovery_OX!C48</f>
        <v>0</v>
      </c>
      <c r="N53" s="649"/>
      <c r="O53" s="700">
        <f>(L53-M53)*(1-Recovery_OX!F48)</f>
        <v>4.2950776034720981</v>
      </c>
      <c r="P53" s="640"/>
      <c r="Q53" s="651"/>
      <c r="S53" s="694">
        <f t="shared" si="2"/>
        <v>2036</v>
      </c>
      <c r="T53" s="695">
        <f>IF(Select2=1,Food!$W55,"")</f>
        <v>0.97080128937245791</v>
      </c>
      <c r="U53" s="696">
        <f>IF(Select2=1,Paper!$W55,"")</f>
        <v>2.4334009335914111</v>
      </c>
      <c r="V53" s="686">
        <f>IF(Select2=1,Nappies!$W55,"")</f>
        <v>0</v>
      </c>
      <c r="W53" s="696">
        <f>IF(Select2=1,Garden!$W55,"")</f>
        <v>0</v>
      </c>
      <c r="X53" s="686">
        <f>IF(Select2=1,Wood!$W55,"")</f>
        <v>1.5254681016450793</v>
      </c>
      <c r="Y53" s="696">
        <f>IF(Select2=1,Textiles!$W55,"")</f>
        <v>0.30558988468357251</v>
      </c>
      <c r="Z53" s="688">
        <f>Sludge!W55</f>
        <v>0</v>
      </c>
      <c r="AA53" s="688" t="str">
        <f>IF(Select2=2,MSW!$W55,"")</f>
        <v/>
      </c>
      <c r="AB53" s="697">
        <f>Industry!$W55</f>
        <v>0</v>
      </c>
      <c r="AC53" s="698">
        <f t="shared" si="4"/>
        <v>5.2352602092925213</v>
      </c>
      <c r="AD53" s="699">
        <f>Recovery_OX!R48</f>
        <v>0</v>
      </c>
      <c r="AE53" s="649"/>
      <c r="AF53" s="701">
        <f>(AC53-AD53)*(1-Recovery_OX!U48)</f>
        <v>5.2352602092925213</v>
      </c>
    </row>
    <row r="54" spans="2:32">
      <c r="B54" s="694">
        <f t="shared" si="1"/>
        <v>2037</v>
      </c>
      <c r="C54" s="870">
        <f>IF(Select2=1,Food!$K56,"")</f>
        <v>0.9726506937954934</v>
      </c>
      <c r="D54" s="696">
        <f>IF(Select2=1,Paper!$K56,"")</f>
        <v>1.0981417880476543</v>
      </c>
      <c r="E54" s="686">
        <f>IF(Select2=1,Nappies!$K56,"")</f>
        <v>1.1705313220582299</v>
      </c>
      <c r="F54" s="696">
        <f>IF(Select2=1,Garden!$K56,"")</f>
        <v>0</v>
      </c>
      <c r="G54" s="686">
        <f>IF(Select2=1,Wood!$K56,"")</f>
        <v>0</v>
      </c>
      <c r="H54" s="696">
        <f>IF(Select2=1,Textiles!$K56,"")</f>
        <v>0.2599987344130702</v>
      </c>
      <c r="I54" s="697">
        <f>Sludge!K56</f>
        <v>0</v>
      </c>
      <c r="J54" s="697" t="str">
        <f>IF(Select2=2,MSW!$K56,"")</f>
        <v/>
      </c>
      <c r="K54" s="697">
        <f>Industry!$K56</f>
        <v>0</v>
      </c>
      <c r="L54" s="698">
        <f t="shared" si="3"/>
        <v>3.5013225383144477</v>
      </c>
      <c r="M54" s="869">
        <f>Recovery_OX!C49</f>
        <v>0</v>
      </c>
      <c r="N54" s="649"/>
      <c r="O54" s="700">
        <f>(L54-M54)*(1-Recovery_OX!F49)</f>
        <v>3.5013225383144477</v>
      </c>
      <c r="P54" s="640"/>
      <c r="Q54" s="651"/>
      <c r="S54" s="694">
        <f t="shared" si="2"/>
        <v>2037</v>
      </c>
      <c r="T54" s="695">
        <f>IF(Select2=1,Food!$W56,"")</f>
        <v>0.65074756498360398</v>
      </c>
      <c r="U54" s="696">
        <f>IF(Select2=1,Paper!$W56,"")</f>
        <v>2.2688879918339966</v>
      </c>
      <c r="V54" s="686">
        <f>IF(Select2=1,Nappies!$W56,"")</f>
        <v>0</v>
      </c>
      <c r="W54" s="696">
        <f>IF(Select2=1,Garden!$W56,"")</f>
        <v>0</v>
      </c>
      <c r="X54" s="686">
        <f>IF(Select2=1,Wood!$W56,"")</f>
        <v>1.4730002612766366</v>
      </c>
      <c r="Y54" s="696">
        <f>IF(Select2=1,Textiles!$W56,"")</f>
        <v>0.28493011990473444</v>
      </c>
      <c r="Z54" s="688">
        <f>Sludge!W56</f>
        <v>0</v>
      </c>
      <c r="AA54" s="688" t="str">
        <f>IF(Select2=2,MSW!$W56,"")</f>
        <v/>
      </c>
      <c r="AB54" s="697">
        <f>Industry!$W56</f>
        <v>0</v>
      </c>
      <c r="AC54" s="698">
        <f t="shared" si="4"/>
        <v>4.6775659379989714</v>
      </c>
      <c r="AD54" s="699">
        <f>Recovery_OX!R49</f>
        <v>0</v>
      </c>
      <c r="AE54" s="649"/>
      <c r="AF54" s="701">
        <f>(AC54-AD54)*(1-Recovery_OX!U49)</f>
        <v>4.6775659379989714</v>
      </c>
    </row>
    <row r="55" spans="2:32">
      <c r="B55" s="694">
        <f t="shared" si="1"/>
        <v>2038</v>
      </c>
      <c r="C55" s="870">
        <f>IF(Select2=1,Food!$K57,"")</f>
        <v>0.65198725784159173</v>
      </c>
      <c r="D55" s="696">
        <f>IF(Select2=1,Paper!$K57,"")</f>
        <v>1.0239006165561007</v>
      </c>
      <c r="E55" s="686">
        <f>IF(Select2=1,Nappies!$K57,"")</f>
        <v>0.98753609314457913</v>
      </c>
      <c r="F55" s="696">
        <f>IF(Select2=1,Garden!$K57,"")</f>
        <v>0</v>
      </c>
      <c r="G55" s="686">
        <f>IF(Select2=1,Wood!$K57,"")</f>
        <v>0</v>
      </c>
      <c r="H55" s="696">
        <f>IF(Select2=1,Textiles!$K57,"")</f>
        <v>0.24242121315011467</v>
      </c>
      <c r="I55" s="697">
        <f>Sludge!K57</f>
        <v>0</v>
      </c>
      <c r="J55" s="697" t="str">
        <f>IF(Select2=2,MSW!$K57,"")</f>
        <v/>
      </c>
      <c r="K55" s="697">
        <f>Industry!$K57</f>
        <v>0</v>
      </c>
      <c r="L55" s="698">
        <f t="shared" si="3"/>
        <v>2.9058451806923862</v>
      </c>
      <c r="M55" s="869">
        <f>Recovery_OX!C50</f>
        <v>0</v>
      </c>
      <c r="N55" s="649"/>
      <c r="O55" s="700">
        <f>(L55-M55)*(1-Recovery_OX!F50)</f>
        <v>2.9058451806923862</v>
      </c>
      <c r="P55" s="640"/>
      <c r="Q55" s="651"/>
      <c r="S55" s="694">
        <f t="shared" si="2"/>
        <v>2038</v>
      </c>
      <c r="T55" s="695">
        <f>IF(Select2=1,Food!$W57,"")</f>
        <v>0.43620913771738962</v>
      </c>
      <c r="U55" s="696">
        <f>IF(Select2=1,Paper!$W57,"")</f>
        <v>2.1154971416448358</v>
      </c>
      <c r="V55" s="686">
        <f>IF(Select2=1,Nappies!$W57,"")</f>
        <v>0</v>
      </c>
      <c r="W55" s="696">
        <f>IF(Select2=1,Garden!$W57,"")</f>
        <v>0</v>
      </c>
      <c r="X55" s="686">
        <f>IF(Select2=1,Wood!$W57,"")</f>
        <v>1.4223370304375307</v>
      </c>
      <c r="Y55" s="696">
        <f>IF(Select2=1,Textiles!$W57,"")</f>
        <v>0.26566708290423519</v>
      </c>
      <c r="Z55" s="688">
        <f>Sludge!W57</f>
        <v>0</v>
      </c>
      <c r="AA55" s="688" t="str">
        <f>IF(Select2=2,MSW!$W57,"")</f>
        <v/>
      </c>
      <c r="AB55" s="697">
        <f>Industry!$W57</f>
        <v>0</v>
      </c>
      <c r="AC55" s="698">
        <f t="shared" si="4"/>
        <v>4.2397103927039916</v>
      </c>
      <c r="AD55" s="699">
        <f>Recovery_OX!R50</f>
        <v>0</v>
      </c>
      <c r="AE55" s="649"/>
      <c r="AF55" s="701">
        <f>(AC55-AD55)*(1-Recovery_OX!U50)</f>
        <v>4.2397103927039916</v>
      </c>
    </row>
    <row r="56" spans="2:32">
      <c r="B56" s="694">
        <f t="shared" si="1"/>
        <v>2039</v>
      </c>
      <c r="C56" s="870">
        <f>IF(Select2=1,Food!$K58,"")</f>
        <v>0.43704012869102599</v>
      </c>
      <c r="D56" s="696">
        <f>IF(Select2=1,Paper!$K58,"")</f>
        <v>0.95467860707479835</v>
      </c>
      <c r="E56" s="686">
        <f>IF(Select2=1,Nappies!$K58,"")</f>
        <v>0.83314945690513054</v>
      </c>
      <c r="F56" s="696">
        <f>IF(Select2=1,Garden!$K58,"")</f>
        <v>0</v>
      </c>
      <c r="G56" s="686">
        <f>IF(Select2=1,Wood!$K58,"")</f>
        <v>0</v>
      </c>
      <c r="H56" s="696">
        <f>IF(Select2=1,Textiles!$K58,"")</f>
        <v>0.22603204095526946</v>
      </c>
      <c r="I56" s="697">
        <f>Sludge!K58</f>
        <v>0</v>
      </c>
      <c r="J56" s="697" t="str">
        <f>IF(Select2=2,MSW!$K58,"")</f>
        <v/>
      </c>
      <c r="K56" s="697">
        <f>Industry!$K58</f>
        <v>0</v>
      </c>
      <c r="L56" s="698">
        <f t="shared" si="3"/>
        <v>2.450900233626224</v>
      </c>
      <c r="M56" s="869">
        <f>Recovery_OX!C51</f>
        <v>0</v>
      </c>
      <c r="N56" s="649"/>
      <c r="O56" s="700">
        <f>(L56-M56)*(1-Recovery_OX!F51)</f>
        <v>2.450900233626224</v>
      </c>
      <c r="P56" s="640"/>
      <c r="Q56" s="651"/>
      <c r="S56" s="694">
        <f t="shared" si="2"/>
        <v>2039</v>
      </c>
      <c r="T56" s="695">
        <f>IF(Select2=1,Food!$W58,"")</f>
        <v>0.29239972927588714</v>
      </c>
      <c r="U56" s="696">
        <f>IF(Select2=1,Paper!$W58,"")</f>
        <v>1.9724764608983432</v>
      </c>
      <c r="V56" s="686">
        <f>IF(Select2=1,Nappies!$W58,"")</f>
        <v>0</v>
      </c>
      <c r="W56" s="696">
        <f>IF(Select2=1,Garden!$W58,"")</f>
        <v>0</v>
      </c>
      <c r="X56" s="686">
        <f>IF(Select2=1,Wood!$W58,"")</f>
        <v>1.3734163403341828</v>
      </c>
      <c r="Y56" s="696">
        <f>IF(Select2=1,Textiles!$W58,"")</f>
        <v>0.24770634625235013</v>
      </c>
      <c r="Z56" s="688">
        <f>Sludge!W58</f>
        <v>0</v>
      </c>
      <c r="AA56" s="688" t="str">
        <f>IF(Select2=2,MSW!$W58,"")</f>
        <v/>
      </c>
      <c r="AB56" s="697">
        <f>Industry!$W58</f>
        <v>0</v>
      </c>
      <c r="AC56" s="698">
        <f t="shared" si="4"/>
        <v>3.8859988767607634</v>
      </c>
      <c r="AD56" s="699">
        <f>Recovery_OX!R51</f>
        <v>0</v>
      </c>
      <c r="AE56" s="649"/>
      <c r="AF56" s="701">
        <f>(AC56-AD56)*(1-Recovery_OX!U51)</f>
        <v>3.8859988767607634</v>
      </c>
    </row>
    <row r="57" spans="2:32">
      <c r="B57" s="694">
        <f t="shared" si="1"/>
        <v>2040</v>
      </c>
      <c r="C57" s="870">
        <f>IF(Select2=1,Food!$K59,"")</f>
        <v>0.29295675918359032</v>
      </c>
      <c r="D57" s="696">
        <f>IF(Select2=1,Paper!$K59,"")</f>
        <v>0.8901364332329611</v>
      </c>
      <c r="E57" s="686">
        <f>IF(Select2=1,Nappies!$K59,"")</f>
        <v>0.70289888375724374</v>
      </c>
      <c r="F57" s="696">
        <f>IF(Select2=1,Garden!$K59,"")</f>
        <v>0</v>
      </c>
      <c r="G57" s="686">
        <f>IF(Select2=1,Wood!$K59,"")</f>
        <v>0</v>
      </c>
      <c r="H57" s="696">
        <f>IF(Select2=1,Textiles!$K59,"")</f>
        <v>0.21075087808742146</v>
      </c>
      <c r="I57" s="697">
        <f>Sludge!K59</f>
        <v>0</v>
      </c>
      <c r="J57" s="697" t="str">
        <f>IF(Select2=2,MSW!$K59,"")</f>
        <v/>
      </c>
      <c r="K57" s="697">
        <f>Industry!$K59</f>
        <v>0</v>
      </c>
      <c r="L57" s="698">
        <f t="shared" si="3"/>
        <v>2.0967429542612166</v>
      </c>
      <c r="M57" s="869">
        <f>Recovery_OX!C52</f>
        <v>0</v>
      </c>
      <c r="N57" s="649"/>
      <c r="O57" s="700">
        <f>(L57-M57)*(1-Recovery_OX!F52)</f>
        <v>2.0967429542612166</v>
      </c>
      <c r="P57" s="640"/>
      <c r="Q57" s="651"/>
      <c r="S57" s="694">
        <f t="shared" si="2"/>
        <v>2040</v>
      </c>
      <c r="T57" s="695">
        <f>IF(Select2=1,Food!$W59,"")</f>
        <v>0.19600139998902114</v>
      </c>
      <c r="U57" s="696">
        <f>IF(Select2=1,Paper!$W59,"")</f>
        <v>1.8391248620515719</v>
      </c>
      <c r="V57" s="686">
        <f>IF(Select2=1,Nappies!$W59,"")</f>
        <v>0</v>
      </c>
      <c r="W57" s="696">
        <f>IF(Select2=1,Garden!$W59,"")</f>
        <v>0</v>
      </c>
      <c r="X57" s="686">
        <f>IF(Select2=1,Wood!$W59,"")</f>
        <v>1.326178257003332</v>
      </c>
      <c r="Y57" s="696">
        <f>IF(Select2=1,Textiles!$W59,"")</f>
        <v>0.2309598663971742</v>
      </c>
      <c r="Z57" s="688">
        <f>Sludge!W59</f>
        <v>0</v>
      </c>
      <c r="AA57" s="688" t="str">
        <f>IF(Select2=2,MSW!$W59,"")</f>
        <v/>
      </c>
      <c r="AB57" s="697">
        <f>Industry!$W59</f>
        <v>0</v>
      </c>
      <c r="AC57" s="698">
        <f t="shared" si="4"/>
        <v>3.5922643854410996</v>
      </c>
      <c r="AD57" s="699">
        <f>Recovery_OX!R52</f>
        <v>0</v>
      </c>
      <c r="AE57" s="649"/>
      <c r="AF57" s="701">
        <f>(AC57-AD57)*(1-Recovery_OX!U52)</f>
        <v>3.5922643854410996</v>
      </c>
    </row>
    <row r="58" spans="2:32">
      <c r="B58" s="694">
        <f t="shared" si="1"/>
        <v>2041</v>
      </c>
      <c r="C58" s="870">
        <f>IF(Select2=1,Food!$K60,"")</f>
        <v>0.19637478830239596</v>
      </c>
      <c r="D58" s="696">
        <f>IF(Select2=1,Paper!$K60,"")</f>
        <v>0.82995770921953671</v>
      </c>
      <c r="E58" s="686">
        <f>IF(Select2=1,Nappies!$K60,"")</f>
        <v>0.59301105785085784</v>
      </c>
      <c r="F58" s="696">
        <f>IF(Select2=1,Garden!$K60,"")</f>
        <v>0</v>
      </c>
      <c r="G58" s="686">
        <f>IF(Select2=1,Wood!$K60,"")</f>
        <v>0</v>
      </c>
      <c r="H58" s="696">
        <f>IF(Select2=1,Textiles!$K60,"")</f>
        <v>0.19650281626846369</v>
      </c>
      <c r="I58" s="697">
        <f>Sludge!K60</f>
        <v>0</v>
      </c>
      <c r="J58" s="697" t="str">
        <f>IF(Select2=2,MSW!$K60,"")</f>
        <v/>
      </c>
      <c r="K58" s="697">
        <f>Industry!$K60</f>
        <v>0</v>
      </c>
      <c r="L58" s="698">
        <f t="shared" si="3"/>
        <v>1.8158463716412541</v>
      </c>
      <c r="M58" s="869">
        <f>Recovery_OX!C53</f>
        <v>0</v>
      </c>
      <c r="N58" s="649"/>
      <c r="O58" s="700">
        <f>(L58-M58)*(1-Recovery_OX!F53)</f>
        <v>1.8158463716412541</v>
      </c>
      <c r="P58" s="640"/>
      <c r="Q58" s="651"/>
      <c r="S58" s="694">
        <f t="shared" si="2"/>
        <v>2041</v>
      </c>
      <c r="T58" s="695">
        <f>IF(Select2=1,Food!$W60,"")</f>
        <v>0.1313836674636904</v>
      </c>
      <c r="U58" s="696">
        <f>IF(Select2=1,Paper!$W60,"")</f>
        <v>1.7147886554122656</v>
      </c>
      <c r="V58" s="686">
        <f>IF(Select2=1,Nappies!$W60,"")</f>
        <v>0</v>
      </c>
      <c r="W58" s="696">
        <f>IF(Select2=1,Garden!$W60,"")</f>
        <v>0</v>
      </c>
      <c r="X58" s="686">
        <f>IF(Select2=1,Wood!$W60,"")</f>
        <v>1.2805649078854364</v>
      </c>
      <c r="Y58" s="696">
        <f>IF(Select2=1,Textiles!$W60,"")</f>
        <v>0.2153455520750287</v>
      </c>
      <c r="Z58" s="688">
        <f>Sludge!W60</f>
        <v>0</v>
      </c>
      <c r="AA58" s="688" t="str">
        <f>IF(Select2=2,MSW!$W60,"")</f>
        <v/>
      </c>
      <c r="AB58" s="697">
        <f>Industry!$W60</f>
        <v>0</v>
      </c>
      <c r="AC58" s="698">
        <f t="shared" si="4"/>
        <v>3.342082782836421</v>
      </c>
      <c r="AD58" s="699">
        <f>Recovery_OX!R53</f>
        <v>0</v>
      </c>
      <c r="AE58" s="649"/>
      <c r="AF58" s="701">
        <f>(AC58-AD58)*(1-Recovery_OX!U53)</f>
        <v>3.342082782836421</v>
      </c>
    </row>
    <row r="59" spans="2:32">
      <c r="B59" s="694">
        <f t="shared" si="1"/>
        <v>2042</v>
      </c>
      <c r="C59" s="870">
        <f>IF(Select2=1,Food!$K61,"")</f>
        <v>0.13163395713510101</v>
      </c>
      <c r="D59" s="696">
        <f>IF(Select2=1,Paper!$K61,"")</f>
        <v>0.77384743885959406</v>
      </c>
      <c r="E59" s="686">
        <f>IF(Select2=1,Nappies!$K61,"")</f>
        <v>0.50030256536137141</v>
      </c>
      <c r="F59" s="696">
        <f>IF(Select2=1,Garden!$K61,"")</f>
        <v>0</v>
      </c>
      <c r="G59" s="686">
        <f>IF(Select2=1,Wood!$K61,"")</f>
        <v>0</v>
      </c>
      <c r="H59" s="696">
        <f>IF(Select2=1,Textiles!$K61,"")</f>
        <v>0.18321801148282957</v>
      </c>
      <c r="I59" s="697">
        <f>Sludge!K61</f>
        <v>0</v>
      </c>
      <c r="J59" s="697" t="str">
        <f>IF(Select2=2,MSW!$K61,"")</f>
        <v/>
      </c>
      <c r="K59" s="697">
        <f>Industry!$K61</f>
        <v>0</v>
      </c>
      <c r="L59" s="698">
        <f t="shared" si="3"/>
        <v>1.5890019728388958</v>
      </c>
      <c r="M59" s="869">
        <f>Recovery_OX!C54</f>
        <v>0</v>
      </c>
      <c r="N59" s="649"/>
      <c r="O59" s="700">
        <f>(L59-M59)*(1-Recovery_OX!F54)</f>
        <v>1.5890019728388958</v>
      </c>
      <c r="P59" s="640"/>
      <c r="Q59" s="651"/>
      <c r="S59" s="694">
        <f t="shared" si="2"/>
        <v>2042</v>
      </c>
      <c r="T59" s="695">
        <f>IF(Select2=1,Food!$W61,"")</f>
        <v>8.8069106022592075E-2</v>
      </c>
      <c r="U59" s="696">
        <f>IF(Select2=1,Paper!$W61,"")</f>
        <v>1.598858344751227</v>
      </c>
      <c r="V59" s="686">
        <f>IF(Select2=1,Nappies!$W61,"")</f>
        <v>0</v>
      </c>
      <c r="W59" s="696">
        <f>IF(Select2=1,Garden!$W61,"")</f>
        <v>0</v>
      </c>
      <c r="X59" s="686">
        <f>IF(Select2=1,Wood!$W61,"")</f>
        <v>1.236520410923549</v>
      </c>
      <c r="Y59" s="696">
        <f>IF(Select2=1,Textiles!$W61,"")</f>
        <v>0.20078686189899134</v>
      </c>
      <c r="Z59" s="688">
        <f>Sludge!W61</f>
        <v>0</v>
      </c>
      <c r="AA59" s="688" t="str">
        <f>IF(Select2=2,MSW!$W61,"")</f>
        <v/>
      </c>
      <c r="AB59" s="697">
        <f>Industry!$W61</f>
        <v>0</v>
      </c>
      <c r="AC59" s="698">
        <f t="shared" si="4"/>
        <v>3.1242347235963592</v>
      </c>
      <c r="AD59" s="699">
        <f>Recovery_OX!R54</f>
        <v>0</v>
      </c>
      <c r="AE59" s="649"/>
      <c r="AF59" s="701">
        <f>(AC59-AD59)*(1-Recovery_OX!U54)</f>
        <v>3.1242347235963592</v>
      </c>
    </row>
    <row r="60" spans="2:32">
      <c r="B60" s="694">
        <f t="shared" si="1"/>
        <v>2043</v>
      </c>
      <c r="C60" s="870">
        <f>IF(Select2=1,Food!$K62,"")</f>
        <v>8.8236880206654281E-2</v>
      </c>
      <c r="D60" s="696">
        <f>IF(Select2=1,Paper!$K62,"")</f>
        <v>0.72153056954273143</v>
      </c>
      <c r="E60" s="686">
        <f>IF(Select2=1,Nappies!$K62,"")</f>
        <v>0.42208767204830167</v>
      </c>
      <c r="F60" s="696">
        <f>IF(Select2=1,Garden!$K62,"")</f>
        <v>0</v>
      </c>
      <c r="G60" s="686">
        <f>IF(Select2=1,Wood!$K62,"")</f>
        <v>0</v>
      </c>
      <c r="H60" s="696">
        <f>IF(Select2=1,Textiles!$K62,"")</f>
        <v>0.17083134160204738</v>
      </c>
      <c r="I60" s="697">
        <f>Sludge!K62</f>
        <v>0</v>
      </c>
      <c r="J60" s="697" t="str">
        <f>IF(Select2=2,MSW!$K62,"")</f>
        <v/>
      </c>
      <c r="K60" s="697">
        <f>Industry!$K62</f>
        <v>0</v>
      </c>
      <c r="L60" s="698">
        <f t="shared" si="3"/>
        <v>1.4026864633997347</v>
      </c>
      <c r="M60" s="869">
        <f>Recovery_OX!C55</f>
        <v>0</v>
      </c>
      <c r="N60" s="649"/>
      <c r="O60" s="700">
        <f>(L60-M60)*(1-Recovery_OX!F55)</f>
        <v>1.4026864633997347</v>
      </c>
      <c r="P60" s="640"/>
      <c r="Q60" s="651"/>
      <c r="S60" s="694">
        <f t="shared" si="2"/>
        <v>2043</v>
      </c>
      <c r="T60" s="695">
        <f>IF(Select2=1,Food!$W62,"")</f>
        <v>5.903448720338153E-2</v>
      </c>
      <c r="U60" s="696">
        <f>IF(Select2=1,Paper!$W62,"")</f>
        <v>1.4907656395510982</v>
      </c>
      <c r="V60" s="686">
        <f>IF(Select2=1,Nappies!$W62,"")</f>
        <v>0</v>
      </c>
      <c r="W60" s="696">
        <f>IF(Select2=1,Garden!$W62,"")</f>
        <v>0</v>
      </c>
      <c r="X60" s="686">
        <f>IF(Select2=1,Wood!$W62,"")</f>
        <v>1.1939908061008109</v>
      </c>
      <c r="Y60" s="696">
        <f>IF(Select2=1,Textiles!$W62,"")</f>
        <v>0.18721242915292863</v>
      </c>
      <c r="Z60" s="688">
        <f>Sludge!W62</f>
        <v>0</v>
      </c>
      <c r="AA60" s="688" t="str">
        <f>IF(Select2=2,MSW!$W62,"")</f>
        <v/>
      </c>
      <c r="AB60" s="697">
        <f>Industry!$W62</f>
        <v>0</v>
      </c>
      <c r="AC60" s="698">
        <f t="shared" si="4"/>
        <v>2.931003362008219</v>
      </c>
      <c r="AD60" s="699">
        <f>Recovery_OX!R55</f>
        <v>0</v>
      </c>
      <c r="AE60" s="649"/>
      <c r="AF60" s="701">
        <f>(AC60-AD60)*(1-Recovery_OX!U55)</f>
        <v>2.931003362008219</v>
      </c>
    </row>
    <row r="61" spans="2:32">
      <c r="B61" s="694">
        <f t="shared" si="1"/>
        <v>2044</v>
      </c>
      <c r="C61" s="870">
        <f>IF(Select2=1,Food!$K63,"")</f>
        <v>5.914694960216569E-2</v>
      </c>
      <c r="D61" s="696">
        <f>IF(Select2=1,Paper!$K63,"")</f>
        <v>0.67275064391486183</v>
      </c>
      <c r="E61" s="686">
        <f>IF(Select2=1,Nappies!$K63,"")</f>
        <v>0.35610051842622498</v>
      </c>
      <c r="F61" s="696">
        <f>IF(Select2=1,Garden!$K63,"")</f>
        <v>0</v>
      </c>
      <c r="G61" s="686">
        <f>IF(Select2=1,Wood!$K63,"")</f>
        <v>0</v>
      </c>
      <c r="H61" s="696">
        <f>IF(Select2=1,Textiles!$K63,"")</f>
        <v>0.15928208715599088</v>
      </c>
      <c r="I61" s="697">
        <f>Sludge!K63</f>
        <v>0</v>
      </c>
      <c r="J61" s="697" t="str">
        <f>IF(Select2=2,MSW!$K63,"")</f>
        <v/>
      </c>
      <c r="K61" s="697">
        <f>Industry!$K63</f>
        <v>0</v>
      </c>
      <c r="L61" s="698">
        <f t="shared" si="3"/>
        <v>1.2472801990992433</v>
      </c>
      <c r="M61" s="869">
        <f>Recovery_OX!C56</f>
        <v>0</v>
      </c>
      <c r="N61" s="649"/>
      <c r="O61" s="700">
        <f>(L61-M61)*(1-Recovery_OX!F56)</f>
        <v>1.2472801990992433</v>
      </c>
      <c r="P61" s="640"/>
      <c r="Q61" s="651"/>
      <c r="S61" s="694">
        <f t="shared" si="2"/>
        <v>2044</v>
      </c>
      <c r="T61" s="695">
        <f>IF(Select2=1,Food!$W63,"")</f>
        <v>3.9572000179861067E-2</v>
      </c>
      <c r="U61" s="696">
        <f>IF(Select2=1,Paper!$W63,"")</f>
        <v>1.3899806692455825</v>
      </c>
      <c r="V61" s="686">
        <f>IF(Select2=1,Nappies!$W63,"")</f>
        <v>0</v>
      </c>
      <c r="W61" s="696">
        <f>IF(Select2=1,Garden!$W63,"")</f>
        <v>0</v>
      </c>
      <c r="X61" s="686">
        <f>IF(Select2=1,Wood!$W63,"")</f>
        <v>1.1529239893326808</v>
      </c>
      <c r="Y61" s="696">
        <f>IF(Select2=1,Textiles!$W63,"")</f>
        <v>0.17455571195177083</v>
      </c>
      <c r="Z61" s="688">
        <f>Sludge!W63</f>
        <v>0</v>
      </c>
      <c r="AA61" s="688" t="str">
        <f>IF(Select2=2,MSW!$W63,"")</f>
        <v/>
      </c>
      <c r="AB61" s="697">
        <f>Industry!$W63</f>
        <v>0</v>
      </c>
      <c r="AC61" s="698">
        <f t="shared" si="4"/>
        <v>2.7570323707098949</v>
      </c>
      <c r="AD61" s="699">
        <f>Recovery_OX!R56</f>
        <v>0</v>
      </c>
      <c r="AE61" s="649"/>
      <c r="AF61" s="701">
        <f>(AC61-AD61)*(1-Recovery_OX!U56)</f>
        <v>2.7570323707098949</v>
      </c>
    </row>
    <row r="62" spans="2:32">
      <c r="B62" s="694">
        <f t="shared" si="1"/>
        <v>2045</v>
      </c>
      <c r="C62" s="870">
        <f>IF(Select2=1,Food!$K64,"")</f>
        <v>3.9647385980191338E-2</v>
      </c>
      <c r="D62" s="696">
        <f>IF(Select2=1,Paper!$K64,"")</f>
        <v>0.62726854272396448</v>
      </c>
      <c r="E62" s="686">
        <f>IF(Select2=1,Nappies!$K64,"")</f>
        <v>0.30042947856793822</v>
      </c>
      <c r="F62" s="696">
        <f>IF(Select2=1,Garden!$K64,"")</f>
        <v>0</v>
      </c>
      <c r="G62" s="686">
        <f>IF(Select2=1,Wood!$K64,"")</f>
        <v>0</v>
      </c>
      <c r="H62" s="696">
        <f>IF(Select2=1,Textiles!$K64,"")</f>
        <v>0.14851363368596648</v>
      </c>
      <c r="I62" s="697">
        <f>Sludge!K64</f>
        <v>0</v>
      </c>
      <c r="J62" s="697" t="str">
        <f>IF(Select2=2,MSW!$K64,"")</f>
        <v/>
      </c>
      <c r="K62" s="697">
        <f>Industry!$K64</f>
        <v>0</v>
      </c>
      <c r="L62" s="698">
        <f t="shared" si="3"/>
        <v>1.1158590409580604</v>
      </c>
      <c r="M62" s="869">
        <f>Recovery_OX!C57</f>
        <v>0</v>
      </c>
      <c r="N62" s="649"/>
      <c r="O62" s="700">
        <f>(L62-M62)*(1-Recovery_OX!F57)</f>
        <v>1.1158590409580604</v>
      </c>
      <c r="P62" s="640"/>
      <c r="Q62" s="651"/>
      <c r="S62" s="694">
        <f t="shared" si="2"/>
        <v>2045</v>
      </c>
      <c r="T62" s="695">
        <f>IF(Select2=1,Food!$W64,"")</f>
        <v>2.65259049822868E-2</v>
      </c>
      <c r="U62" s="696">
        <f>IF(Select2=1,Paper!$W64,"")</f>
        <v>1.2960093857933153</v>
      </c>
      <c r="V62" s="686">
        <f>IF(Select2=1,Nappies!$W64,"")</f>
        <v>0</v>
      </c>
      <c r="W62" s="696">
        <f>IF(Select2=1,Garden!$W64,"")</f>
        <v>0</v>
      </c>
      <c r="X62" s="686">
        <f>IF(Select2=1,Wood!$W64,"")</f>
        <v>1.1132696486329172</v>
      </c>
      <c r="Y62" s="696">
        <f>IF(Select2=1,Textiles!$W64,"")</f>
        <v>0.16275466705311398</v>
      </c>
      <c r="Z62" s="688">
        <f>Sludge!W64</f>
        <v>0</v>
      </c>
      <c r="AA62" s="688" t="str">
        <f>IF(Select2=2,MSW!$W64,"")</f>
        <v/>
      </c>
      <c r="AB62" s="697">
        <f>Industry!$W64</f>
        <v>0</v>
      </c>
      <c r="AC62" s="698">
        <f t="shared" si="4"/>
        <v>2.5985596064616332</v>
      </c>
      <c r="AD62" s="699">
        <f>Recovery_OX!R57</f>
        <v>0</v>
      </c>
      <c r="AE62" s="649"/>
      <c r="AF62" s="701">
        <f>(AC62-AD62)*(1-Recovery_OX!U57)</f>
        <v>2.5985596064616332</v>
      </c>
    </row>
    <row r="63" spans="2:32">
      <c r="B63" s="694">
        <f t="shared" si="1"/>
        <v>2046</v>
      </c>
      <c r="C63" s="870">
        <f>IF(Select2=1,Food!$K65,"")</f>
        <v>2.657643759543462E-2</v>
      </c>
      <c r="D63" s="696">
        <f>IF(Select2=1,Paper!$K65,"")</f>
        <v>0.58486131265723473</v>
      </c>
      <c r="E63" s="686">
        <f>IF(Select2=1,Nappies!$K65,"")</f>
        <v>0.25346178093616678</v>
      </c>
      <c r="F63" s="696">
        <f>IF(Select2=1,Garden!$K65,"")</f>
        <v>0</v>
      </c>
      <c r="G63" s="686">
        <f>IF(Select2=1,Wood!$K65,"")</f>
        <v>0</v>
      </c>
      <c r="H63" s="696">
        <f>IF(Select2=1,Textiles!$K65,"")</f>
        <v>0.13847319422057103</v>
      </c>
      <c r="I63" s="697">
        <f>Sludge!K65</f>
        <v>0</v>
      </c>
      <c r="J63" s="697" t="str">
        <f>IF(Select2=2,MSW!$K65,"")</f>
        <v/>
      </c>
      <c r="K63" s="697">
        <f>Industry!$K65</f>
        <v>0</v>
      </c>
      <c r="L63" s="698">
        <f t="shared" si="3"/>
        <v>1.0033727254094071</v>
      </c>
      <c r="M63" s="869">
        <f>Recovery_OX!C58</f>
        <v>0</v>
      </c>
      <c r="N63" s="649"/>
      <c r="O63" s="700">
        <f>(L63-M63)*(1-Recovery_OX!F58)</f>
        <v>1.0033727254094071</v>
      </c>
      <c r="P63" s="640"/>
      <c r="Q63" s="651"/>
      <c r="S63" s="694">
        <f t="shared" si="2"/>
        <v>2046</v>
      </c>
      <c r="T63" s="695">
        <f>IF(Select2=1,Food!$W65,"")</f>
        <v>1.7780845848863479E-2</v>
      </c>
      <c r="U63" s="696">
        <f>IF(Select2=1,Paper!$W65,"")</f>
        <v>1.2083911418537912</v>
      </c>
      <c r="V63" s="686">
        <f>IF(Select2=1,Nappies!$W65,"")</f>
        <v>0</v>
      </c>
      <c r="W63" s="696">
        <f>IF(Select2=1,Garden!$W65,"")</f>
        <v>0</v>
      </c>
      <c r="X63" s="686">
        <f>IF(Select2=1,Wood!$W65,"")</f>
        <v>1.0749792024751028</v>
      </c>
      <c r="Y63" s="696">
        <f>IF(Select2=1,Textiles!$W65,"")</f>
        <v>0.15175144572117374</v>
      </c>
      <c r="Z63" s="688">
        <f>Sludge!W65</f>
        <v>0</v>
      </c>
      <c r="AA63" s="688" t="str">
        <f>IF(Select2=2,MSW!$W65,"")</f>
        <v/>
      </c>
      <c r="AB63" s="697">
        <f>Industry!$W65</f>
        <v>0</v>
      </c>
      <c r="AC63" s="698">
        <f t="shared" si="4"/>
        <v>2.4529026358989312</v>
      </c>
      <c r="AD63" s="699">
        <f>Recovery_OX!R58</f>
        <v>0</v>
      </c>
      <c r="AE63" s="649"/>
      <c r="AF63" s="701">
        <f>(AC63-AD63)*(1-Recovery_OX!U58)</f>
        <v>2.4529026358989312</v>
      </c>
    </row>
    <row r="64" spans="2:32">
      <c r="B64" s="694">
        <f t="shared" si="1"/>
        <v>2047</v>
      </c>
      <c r="C64" s="870">
        <f>IF(Select2=1,Food!$K66,"")</f>
        <v>1.7814718872435031E-2</v>
      </c>
      <c r="D64" s="696">
        <f>IF(Select2=1,Paper!$K66,"")</f>
        <v>0.54532107342368619</v>
      </c>
      <c r="E64" s="686">
        <f>IF(Select2=1,Nappies!$K66,"")</f>
        <v>0.21383678692770397</v>
      </c>
      <c r="F64" s="696">
        <f>IF(Select2=1,Garden!$K66,"")</f>
        <v>0</v>
      </c>
      <c r="G64" s="686">
        <f>IF(Select2=1,Wood!$K66,"")</f>
        <v>0</v>
      </c>
      <c r="H64" s="696">
        <f>IF(Select2=1,Textiles!$K66,"")</f>
        <v>0.1291115505138965</v>
      </c>
      <c r="I64" s="697">
        <f>Sludge!K66</f>
        <v>0</v>
      </c>
      <c r="J64" s="697" t="str">
        <f>IF(Select2=2,MSW!$K66,"")</f>
        <v/>
      </c>
      <c r="K64" s="697">
        <f>Industry!$K66</f>
        <v>0</v>
      </c>
      <c r="L64" s="698">
        <f t="shared" si="3"/>
        <v>0.90608412973772157</v>
      </c>
      <c r="M64" s="869">
        <f>Recovery_OX!C59</f>
        <v>0</v>
      </c>
      <c r="N64" s="649"/>
      <c r="O64" s="700">
        <f>(L64-M64)*(1-Recovery_OX!F59)</f>
        <v>0.90608412973772157</v>
      </c>
      <c r="P64" s="640"/>
      <c r="Q64" s="651"/>
      <c r="S64" s="694">
        <f t="shared" si="2"/>
        <v>2047</v>
      </c>
      <c r="T64" s="695">
        <f>IF(Select2=1,Food!$W66,"")</f>
        <v>1.1918857407962774E-2</v>
      </c>
      <c r="U64" s="696">
        <f>IF(Select2=1,Paper!$W66,"")</f>
        <v>1.1266964326935669</v>
      </c>
      <c r="V64" s="686">
        <f>IF(Select2=1,Nappies!$W66,"")</f>
        <v>0</v>
      </c>
      <c r="W64" s="696">
        <f>IF(Select2=1,Garden!$W66,"")</f>
        <v>0</v>
      </c>
      <c r="X64" s="686">
        <f>IF(Select2=1,Wood!$W66,"")</f>
        <v>1.0380057402741985</v>
      </c>
      <c r="Y64" s="696">
        <f>IF(Select2=1,Textiles!$W66,"")</f>
        <v>0.14149211015221536</v>
      </c>
      <c r="Z64" s="688">
        <f>Sludge!W66</f>
        <v>0</v>
      </c>
      <c r="AA64" s="688" t="str">
        <f>IF(Select2=2,MSW!$W66,"")</f>
        <v/>
      </c>
      <c r="AB64" s="697">
        <f>Industry!$W66</f>
        <v>0</v>
      </c>
      <c r="AC64" s="698">
        <f t="shared" si="4"/>
        <v>2.3181131405279434</v>
      </c>
      <c r="AD64" s="699">
        <f>Recovery_OX!R59</f>
        <v>0</v>
      </c>
      <c r="AE64" s="649"/>
      <c r="AF64" s="701">
        <f>(AC64-AD64)*(1-Recovery_OX!U59)</f>
        <v>2.3181131405279434</v>
      </c>
    </row>
    <row r="65" spans="2:32">
      <c r="B65" s="694">
        <f t="shared" si="1"/>
        <v>2048</v>
      </c>
      <c r="C65" s="870">
        <f>IF(Select2=1,Food!$K67,"")</f>
        <v>1.1941563174682621E-2</v>
      </c>
      <c r="D65" s="696">
        <f>IF(Select2=1,Paper!$K67,"")</f>
        <v>0.50845399872472286</v>
      </c>
      <c r="E65" s="686">
        <f>IF(Select2=1,Nappies!$K67,"")</f>
        <v>0.18040657362492135</v>
      </c>
      <c r="F65" s="696">
        <f>IF(Select2=1,Garden!$K67,"")</f>
        <v>0</v>
      </c>
      <c r="G65" s="686">
        <f>IF(Select2=1,Wood!$K67,"")</f>
        <v>0</v>
      </c>
      <c r="H65" s="696">
        <f>IF(Select2=1,Textiles!$K67,"")</f>
        <v>0.12038281177763177</v>
      </c>
      <c r="I65" s="697">
        <f>Sludge!K67</f>
        <v>0</v>
      </c>
      <c r="J65" s="697" t="str">
        <f>IF(Select2=2,MSW!$K67,"")</f>
        <v/>
      </c>
      <c r="K65" s="697">
        <f>Industry!$K67</f>
        <v>0</v>
      </c>
      <c r="L65" s="698">
        <f t="shared" si="3"/>
        <v>0.82118494730195857</v>
      </c>
      <c r="M65" s="869">
        <f>Recovery_OX!C60</f>
        <v>0</v>
      </c>
      <c r="N65" s="649"/>
      <c r="O65" s="700">
        <f>(L65-M65)*(1-Recovery_OX!F60)</f>
        <v>0.82118494730195857</v>
      </c>
      <c r="P65" s="640"/>
      <c r="Q65" s="651"/>
      <c r="S65" s="694">
        <f t="shared" si="2"/>
        <v>2048</v>
      </c>
      <c r="T65" s="695">
        <f>IF(Select2=1,Food!$W67,"")</f>
        <v>7.9894490463978275E-3</v>
      </c>
      <c r="U65" s="696">
        <f>IF(Select2=1,Paper!$W67,"")</f>
        <v>1.05052479075356</v>
      </c>
      <c r="V65" s="686">
        <f>IF(Select2=1,Nappies!$W67,"")</f>
        <v>0</v>
      </c>
      <c r="W65" s="696">
        <f>IF(Select2=1,Garden!$W67,"")</f>
        <v>0</v>
      </c>
      <c r="X65" s="686">
        <f>IF(Select2=1,Wood!$W67,"")</f>
        <v>1.002303964915211</v>
      </c>
      <c r="Y65" s="696">
        <f>IF(Select2=1,Textiles!$W67,"")</f>
        <v>0.13192636907137728</v>
      </c>
      <c r="Z65" s="688">
        <f>Sludge!W67</f>
        <v>0</v>
      </c>
      <c r="AA65" s="688" t="str">
        <f>IF(Select2=2,MSW!$W67,"")</f>
        <v/>
      </c>
      <c r="AB65" s="697">
        <f>Industry!$W67</f>
        <v>0</v>
      </c>
      <c r="AC65" s="698">
        <f t="shared" si="4"/>
        <v>2.1927445737865461</v>
      </c>
      <c r="AD65" s="699">
        <f>Recovery_OX!R60</f>
        <v>0</v>
      </c>
      <c r="AE65" s="649"/>
      <c r="AF65" s="701">
        <f>(AC65-AD65)*(1-Recovery_OX!U60)</f>
        <v>2.1927445737865461</v>
      </c>
    </row>
    <row r="66" spans="2:32">
      <c r="B66" s="694">
        <f t="shared" si="1"/>
        <v>2049</v>
      </c>
      <c r="C66" s="870">
        <f>IF(Select2=1,Food!$K68,"")</f>
        <v>8.0046691769907509E-3</v>
      </c>
      <c r="D66" s="696">
        <f>IF(Select2=1,Paper!$K68,"")</f>
        <v>0.47407936611739854</v>
      </c>
      <c r="E66" s="686">
        <f>IF(Select2=1,Nappies!$K68,"")</f>
        <v>0.15220267885005126</v>
      </c>
      <c r="F66" s="696">
        <f>IF(Select2=1,Garden!$K68,"")</f>
        <v>0</v>
      </c>
      <c r="G66" s="686">
        <f>IF(Select2=1,Wood!$K68,"")</f>
        <v>0</v>
      </c>
      <c r="H66" s="696">
        <f>IF(Select2=1,Textiles!$K68,"")</f>
        <v>0.11224418972436487</v>
      </c>
      <c r="I66" s="697">
        <f>Sludge!K68</f>
        <v>0</v>
      </c>
      <c r="J66" s="697" t="str">
        <f>IF(Select2=2,MSW!$K68,"")</f>
        <v/>
      </c>
      <c r="K66" s="697">
        <f>Industry!$K68</f>
        <v>0</v>
      </c>
      <c r="L66" s="698">
        <f t="shared" si="3"/>
        <v>0.7465309038688055</v>
      </c>
      <c r="M66" s="869">
        <f>Recovery_OX!C61</f>
        <v>0</v>
      </c>
      <c r="N66" s="649"/>
      <c r="O66" s="700">
        <f>(L66-M66)*(1-Recovery_OX!F61)</f>
        <v>0.7465309038688055</v>
      </c>
      <c r="P66" s="640"/>
      <c r="Q66" s="651"/>
      <c r="S66" s="694">
        <f t="shared" si="2"/>
        <v>2049</v>
      </c>
      <c r="T66" s="695">
        <f>IF(Select2=1,Food!$W68,"")</f>
        <v>5.3554878525807871E-3</v>
      </c>
      <c r="U66" s="696">
        <f>IF(Select2=1,Paper!$W68,"")</f>
        <v>0.97950282255660881</v>
      </c>
      <c r="V66" s="686">
        <f>IF(Select2=1,Nappies!$W68,"")</f>
        <v>0</v>
      </c>
      <c r="W66" s="696">
        <f>IF(Select2=1,Garden!$W68,"")</f>
        <v>0</v>
      </c>
      <c r="X66" s="686">
        <f>IF(Select2=1,Wood!$W68,"")</f>
        <v>0.96783013725856171</v>
      </c>
      <c r="Y66" s="696">
        <f>IF(Select2=1,Textiles!$W68,"")</f>
        <v>0.12300733120478341</v>
      </c>
      <c r="Z66" s="688">
        <f>Sludge!W68</f>
        <v>0</v>
      </c>
      <c r="AA66" s="688" t="str">
        <f>IF(Select2=2,MSW!$W68,"")</f>
        <v/>
      </c>
      <c r="AB66" s="697">
        <f>Industry!$W68</f>
        <v>0</v>
      </c>
      <c r="AC66" s="698">
        <f t="shared" si="4"/>
        <v>2.0756957788725345</v>
      </c>
      <c r="AD66" s="699">
        <f>Recovery_OX!R61</f>
        <v>0</v>
      </c>
      <c r="AE66" s="649"/>
      <c r="AF66" s="701">
        <f>(AC66-AD66)*(1-Recovery_OX!U61)</f>
        <v>2.0756957788725345</v>
      </c>
    </row>
    <row r="67" spans="2:32">
      <c r="B67" s="694">
        <f t="shared" si="1"/>
        <v>2050</v>
      </c>
      <c r="C67" s="870">
        <f>IF(Select2=1,Food!$K69,"")</f>
        <v>5.3656902112205031E-3</v>
      </c>
      <c r="D67" s="696">
        <f>IF(Select2=1,Paper!$K69,"")</f>
        <v>0.44202867111279176</v>
      </c>
      <c r="E67" s="686">
        <f>IF(Select2=1,Nappies!$K69,"")</f>
        <v>0.12840804513750678</v>
      </c>
      <c r="F67" s="696">
        <f>IF(Select2=1,Garden!$K69,"")</f>
        <v>0</v>
      </c>
      <c r="G67" s="686">
        <f>IF(Select2=1,Wood!$K69,"")</f>
        <v>0</v>
      </c>
      <c r="H67" s="696">
        <f>IF(Select2=1,Textiles!$K69,"")</f>
        <v>0.10465578881934853</v>
      </c>
      <c r="I67" s="697">
        <f>Sludge!K69</f>
        <v>0</v>
      </c>
      <c r="J67" s="697" t="str">
        <f>IF(Select2=2,MSW!$K69,"")</f>
        <v/>
      </c>
      <c r="K67" s="697">
        <f>Industry!$K69</f>
        <v>0</v>
      </c>
      <c r="L67" s="698">
        <f t="shared" si="3"/>
        <v>0.68045819528086759</v>
      </c>
      <c r="M67" s="869">
        <f>Recovery_OX!C62</f>
        <v>0</v>
      </c>
      <c r="N67" s="649"/>
      <c r="O67" s="700">
        <f>(L67-M67)*(1-Recovery_OX!F62)</f>
        <v>0.68045819528086759</v>
      </c>
      <c r="P67" s="640"/>
      <c r="Q67" s="651"/>
      <c r="S67" s="694">
        <f t="shared" si="2"/>
        <v>2050</v>
      </c>
      <c r="T67" s="695">
        <f>IF(Select2=1,Food!$W69,"")</f>
        <v>3.5898908638852603E-3</v>
      </c>
      <c r="U67" s="696">
        <f>IF(Select2=1,Paper!$W69,"")</f>
        <v>0.91328237833221471</v>
      </c>
      <c r="V67" s="686">
        <f>IF(Select2=1,Nappies!$W69,"")</f>
        <v>0</v>
      </c>
      <c r="W67" s="696">
        <f>IF(Select2=1,Garden!$W69,"")</f>
        <v>0</v>
      </c>
      <c r="X67" s="686">
        <f>IF(Select2=1,Wood!$W69,"")</f>
        <v>0.93454202255417118</v>
      </c>
      <c r="Y67" s="696">
        <f>IF(Select2=1,Textiles!$W69,"")</f>
        <v>0.11469127541846416</v>
      </c>
      <c r="Z67" s="688">
        <f>Sludge!W69</f>
        <v>0</v>
      </c>
      <c r="AA67" s="688" t="str">
        <f>IF(Select2=2,MSW!$W69,"")</f>
        <v/>
      </c>
      <c r="AB67" s="697">
        <f>Industry!$W69</f>
        <v>0</v>
      </c>
      <c r="AC67" s="698">
        <f t="shared" si="4"/>
        <v>1.9661055671687353</v>
      </c>
      <c r="AD67" s="699">
        <f>Recovery_OX!R62</f>
        <v>0</v>
      </c>
      <c r="AE67" s="649"/>
      <c r="AF67" s="701">
        <f>(AC67-AD67)*(1-Recovery_OX!U62)</f>
        <v>1.9661055671687353</v>
      </c>
    </row>
    <row r="68" spans="2:32">
      <c r="B68" s="694">
        <f t="shared" si="1"/>
        <v>2051</v>
      </c>
      <c r="C68" s="870">
        <f>IF(Select2=1,Food!$K70,"")</f>
        <v>3.5967297093983065E-3</v>
      </c>
      <c r="D68" s="696">
        <f>IF(Select2=1,Paper!$K70,"")</f>
        <v>0.41214480116680607</v>
      </c>
      <c r="E68" s="686">
        <f>IF(Select2=1,Nappies!$K70,"")</f>
        <v>0.10833334985043483</v>
      </c>
      <c r="F68" s="696">
        <f>IF(Select2=1,Garden!$K70,"")</f>
        <v>0</v>
      </c>
      <c r="G68" s="686">
        <f>IF(Select2=1,Wood!$K70,"")</f>
        <v>0</v>
      </c>
      <c r="H68" s="696">
        <f>IF(Select2=1,Textiles!$K70,"")</f>
        <v>9.7580410712542601E-2</v>
      </c>
      <c r="I68" s="697">
        <f>Sludge!K70</f>
        <v>0</v>
      </c>
      <c r="J68" s="697" t="str">
        <f>IF(Select2=2,MSW!$K70,"")</f>
        <v/>
      </c>
      <c r="K68" s="697">
        <f>Industry!$K70</f>
        <v>0</v>
      </c>
      <c r="L68" s="698">
        <f t="shared" si="3"/>
        <v>0.62165529143918186</v>
      </c>
      <c r="M68" s="869">
        <f>Recovery_OX!C63</f>
        <v>0</v>
      </c>
      <c r="N68" s="649"/>
      <c r="O68" s="700">
        <f>(L68-M68)*(1-Recovery_OX!F63)</f>
        <v>0.62165529143918186</v>
      </c>
      <c r="P68" s="640"/>
      <c r="Q68" s="651"/>
      <c r="S68" s="694">
        <f t="shared" si="2"/>
        <v>2051</v>
      </c>
      <c r="T68" s="695">
        <f>IF(Select2=1,Food!$W70,"")</f>
        <v>2.4063758091424888E-3</v>
      </c>
      <c r="U68" s="696">
        <f>IF(Select2=1,Paper!$W70,"")</f>
        <v>0.85153884538596314</v>
      </c>
      <c r="V68" s="686">
        <f>IF(Select2=1,Nappies!$W70,"")</f>
        <v>0</v>
      </c>
      <c r="W68" s="696">
        <f>IF(Select2=1,Garden!$W70,"")</f>
        <v>0</v>
      </c>
      <c r="X68" s="686">
        <f>IF(Select2=1,Wood!$W70,"")</f>
        <v>0.90239883869860837</v>
      </c>
      <c r="Y68" s="696">
        <f>IF(Select2=1,Textiles!$W70,"")</f>
        <v>0.10693743639730698</v>
      </c>
      <c r="Z68" s="688">
        <f>Sludge!W70</f>
        <v>0</v>
      </c>
      <c r="AA68" s="688" t="str">
        <f>IF(Select2=2,MSW!$W70,"")</f>
        <v/>
      </c>
      <c r="AB68" s="697">
        <f>Industry!$W70</f>
        <v>0</v>
      </c>
      <c r="AC68" s="698">
        <f t="shared" si="4"/>
        <v>1.8632814962910209</v>
      </c>
      <c r="AD68" s="699">
        <f>Recovery_OX!R63</f>
        <v>0</v>
      </c>
      <c r="AE68" s="649"/>
      <c r="AF68" s="701">
        <f>(AC68-AD68)*(1-Recovery_OX!U63)</f>
        <v>1.8632814962910209</v>
      </c>
    </row>
    <row r="69" spans="2:32">
      <c r="B69" s="694">
        <f t="shared" si="1"/>
        <v>2052</v>
      </c>
      <c r="C69" s="870">
        <f>IF(Select2=1,Food!$K71,"")</f>
        <v>2.4109600243816245E-3</v>
      </c>
      <c r="D69" s="696">
        <f>IF(Select2=1,Paper!$K71,"")</f>
        <v>0.38428126551429581</v>
      </c>
      <c r="E69" s="686">
        <f>IF(Select2=1,Nappies!$K71,"")</f>
        <v>9.1397035732838972E-2</v>
      </c>
      <c r="F69" s="696">
        <f>IF(Select2=1,Garden!$K71,"")</f>
        <v>0</v>
      </c>
      <c r="G69" s="686">
        <f>IF(Select2=1,Wood!$K71,"")</f>
        <v>0</v>
      </c>
      <c r="H69" s="696">
        <f>IF(Select2=1,Textiles!$K71,"")</f>
        <v>9.0983371892258927E-2</v>
      </c>
      <c r="I69" s="697">
        <f>Sludge!K71</f>
        <v>0</v>
      </c>
      <c r="J69" s="697" t="str">
        <f>IF(Select2=2,MSW!$K71,"")</f>
        <v/>
      </c>
      <c r="K69" s="697">
        <f>Industry!$K71</f>
        <v>0</v>
      </c>
      <c r="L69" s="698">
        <f t="shared" si="3"/>
        <v>0.56907263316377532</v>
      </c>
      <c r="M69" s="869">
        <f>Recovery_OX!C64</f>
        <v>0</v>
      </c>
      <c r="N69" s="649"/>
      <c r="O69" s="700">
        <f>(L69-M69)*(1-Recovery_OX!F64)</f>
        <v>0.56907263316377532</v>
      </c>
      <c r="P69" s="640"/>
      <c r="Q69" s="651"/>
      <c r="S69" s="694">
        <f t="shared" si="2"/>
        <v>2052</v>
      </c>
      <c r="T69" s="695">
        <f>IF(Select2=1,Food!$W71,"")</f>
        <v>1.6130419431634418E-3</v>
      </c>
      <c r="U69" s="696">
        <f>IF(Select2=1,Paper!$W71,"")</f>
        <v>0.79396955684771886</v>
      </c>
      <c r="V69" s="686">
        <f>IF(Select2=1,Nappies!$W71,"")</f>
        <v>0</v>
      </c>
      <c r="W69" s="696">
        <f>IF(Select2=1,Garden!$W71,"")</f>
        <v>0</v>
      </c>
      <c r="X69" s="686">
        <f>IF(Select2=1,Wood!$W71,"")</f>
        <v>0.87136120627191449</v>
      </c>
      <c r="Y69" s="696">
        <f>IF(Select2=1,Textiles!$W71,"")</f>
        <v>9.9707804813434442E-2</v>
      </c>
      <c r="Z69" s="688">
        <f>Sludge!W71</f>
        <v>0</v>
      </c>
      <c r="AA69" s="688" t="str">
        <f>IF(Select2=2,MSW!$W71,"")</f>
        <v/>
      </c>
      <c r="AB69" s="697">
        <f>Industry!$W71</f>
        <v>0</v>
      </c>
      <c r="AC69" s="698">
        <f t="shared" si="4"/>
        <v>1.7666516098762313</v>
      </c>
      <c r="AD69" s="699">
        <f>Recovery_OX!R64</f>
        <v>0</v>
      </c>
      <c r="AE69" s="649"/>
      <c r="AF69" s="701">
        <f>(AC69-AD69)*(1-Recovery_OX!U64)</f>
        <v>1.7666516098762313</v>
      </c>
    </row>
    <row r="70" spans="2:32">
      <c r="B70" s="694">
        <f t="shared" si="1"/>
        <v>2053</v>
      </c>
      <c r="C70" s="870">
        <f>IF(Select2=1,Food!$K72,"")</f>
        <v>1.6161148345335765E-3</v>
      </c>
      <c r="D70" s="696">
        <f>IF(Select2=1,Paper!$K72,"")</f>
        <v>0.35830147707116622</v>
      </c>
      <c r="E70" s="686">
        <f>IF(Select2=1,Nappies!$K72,"")</f>
        <v>7.710846338899871E-2</v>
      </c>
      <c r="F70" s="696">
        <f>IF(Select2=1,Garden!$K72,"")</f>
        <v>0</v>
      </c>
      <c r="G70" s="686">
        <f>IF(Select2=1,Wood!$K72,"")</f>
        <v>0</v>
      </c>
      <c r="H70" s="696">
        <f>IF(Select2=1,Textiles!$K72,"")</f>
        <v>8.4832333666546772E-2</v>
      </c>
      <c r="I70" s="697">
        <f>Sludge!K72</f>
        <v>0</v>
      </c>
      <c r="J70" s="697" t="str">
        <f>IF(Select2=2,MSW!$K72,"")</f>
        <v/>
      </c>
      <c r="K70" s="697">
        <f>Industry!$K72</f>
        <v>0</v>
      </c>
      <c r="L70" s="698">
        <f t="shared" si="3"/>
        <v>0.52185838896124526</v>
      </c>
      <c r="M70" s="869">
        <f>Recovery_OX!C65</f>
        <v>0</v>
      </c>
      <c r="N70" s="649"/>
      <c r="O70" s="700">
        <f>(L70-M70)*(1-Recovery_OX!F65)</f>
        <v>0.52185838896124526</v>
      </c>
      <c r="P70" s="640"/>
      <c r="Q70" s="651"/>
      <c r="S70" s="694">
        <f t="shared" si="2"/>
        <v>2053</v>
      </c>
      <c r="T70" s="695">
        <f>IF(Select2=1,Food!$W72,"")</f>
        <v>1.0812543495987356E-3</v>
      </c>
      <c r="U70" s="696">
        <f>IF(Select2=1,Paper!$W72,"")</f>
        <v>0.7402923079982775</v>
      </c>
      <c r="V70" s="686">
        <f>IF(Select2=1,Nappies!$W72,"")</f>
        <v>0</v>
      </c>
      <c r="W70" s="696">
        <f>IF(Select2=1,Garden!$W72,"")</f>
        <v>0</v>
      </c>
      <c r="X70" s="686">
        <f>IF(Select2=1,Wood!$W72,"")</f>
        <v>0.84139110029288722</v>
      </c>
      <c r="Y70" s="696">
        <f>IF(Select2=1,Textiles!$W72,"")</f>
        <v>9.2966941004434825E-2</v>
      </c>
      <c r="Z70" s="688">
        <f>Sludge!W72</f>
        <v>0</v>
      </c>
      <c r="AA70" s="688" t="str">
        <f>IF(Select2=2,MSW!$W72,"")</f>
        <v/>
      </c>
      <c r="AB70" s="697">
        <f>Industry!$W72</f>
        <v>0</v>
      </c>
      <c r="AC70" s="698">
        <f t="shared" si="4"/>
        <v>1.6757316036451984</v>
      </c>
      <c r="AD70" s="699">
        <f>Recovery_OX!R65</f>
        <v>0</v>
      </c>
      <c r="AE70" s="649"/>
      <c r="AF70" s="701">
        <f>(AC70-AD70)*(1-Recovery_OX!U65)</f>
        <v>1.6757316036451984</v>
      </c>
    </row>
    <row r="71" spans="2:32">
      <c r="B71" s="694">
        <f t="shared" si="1"/>
        <v>2054</v>
      </c>
      <c r="C71" s="870">
        <f>IF(Select2=1,Food!$K73,"")</f>
        <v>1.0833141702834268E-3</v>
      </c>
      <c r="D71" s="696">
        <f>IF(Select2=1,Paper!$K73,"")</f>
        <v>0.33407808288432822</v>
      </c>
      <c r="E71" s="686">
        <f>IF(Select2=1,Nappies!$K73,"")</f>
        <v>6.5053697623108572E-2</v>
      </c>
      <c r="F71" s="696">
        <f>IF(Select2=1,Garden!$K73,"")</f>
        <v>0</v>
      </c>
      <c r="G71" s="686">
        <f>IF(Select2=1,Wood!$K73,"")</f>
        <v>0</v>
      </c>
      <c r="H71" s="696">
        <f>IF(Select2=1,Textiles!$K73,"")</f>
        <v>7.9097143638887521E-2</v>
      </c>
      <c r="I71" s="697">
        <f>Sludge!K73</f>
        <v>0</v>
      </c>
      <c r="J71" s="697" t="str">
        <f>IF(Select2=2,MSW!$K73,"")</f>
        <v/>
      </c>
      <c r="K71" s="697">
        <f>Industry!$K73</f>
        <v>0</v>
      </c>
      <c r="L71" s="698">
        <f t="shared" si="3"/>
        <v>0.47931223831660774</v>
      </c>
      <c r="M71" s="869">
        <f>Recovery_OX!C66</f>
        <v>0</v>
      </c>
      <c r="N71" s="649"/>
      <c r="O71" s="700">
        <f>(L71-M71)*(1-Recovery_OX!F66)</f>
        <v>0.47931223831660774</v>
      </c>
      <c r="P71" s="640"/>
      <c r="Q71" s="651"/>
      <c r="S71" s="694">
        <f t="shared" si="2"/>
        <v>2054</v>
      </c>
      <c r="T71" s="695">
        <f>IF(Select2=1,Food!$W73,"")</f>
        <v>7.2478646539925955E-4</v>
      </c>
      <c r="U71" s="696">
        <f>IF(Select2=1,Paper!$W73,"")</f>
        <v>0.69024397290150485</v>
      </c>
      <c r="V71" s="686">
        <f>IF(Select2=1,Nappies!$W73,"")</f>
        <v>0</v>
      </c>
      <c r="W71" s="696">
        <f>IF(Select2=1,Garden!$W73,"")</f>
        <v>0</v>
      </c>
      <c r="X71" s="686">
        <f>IF(Select2=1,Wood!$W73,"")</f>
        <v>0.81245180363372527</v>
      </c>
      <c r="Y71" s="696">
        <f>IF(Select2=1,Textiles!$W73,"")</f>
        <v>8.6681801248095935E-2</v>
      </c>
      <c r="Z71" s="688">
        <f>Sludge!W73</f>
        <v>0</v>
      </c>
      <c r="AA71" s="688" t="str">
        <f>IF(Select2=2,MSW!$W73,"")</f>
        <v/>
      </c>
      <c r="AB71" s="697">
        <f>Industry!$W73</f>
        <v>0</v>
      </c>
      <c r="AC71" s="698">
        <f t="shared" si="4"/>
        <v>1.5901023642487253</v>
      </c>
      <c r="AD71" s="699">
        <f>Recovery_OX!R66</f>
        <v>0</v>
      </c>
      <c r="AE71" s="649"/>
      <c r="AF71" s="701">
        <f>(AC71-AD71)*(1-Recovery_OX!U66)</f>
        <v>1.5901023642487253</v>
      </c>
    </row>
    <row r="72" spans="2:32">
      <c r="B72" s="694">
        <f t="shared" si="1"/>
        <v>2055</v>
      </c>
      <c r="C72" s="870">
        <f>IF(Select2=1,Food!$K74,"")</f>
        <v>7.2616720449544705E-4</v>
      </c>
      <c r="D72" s="696">
        <f>IF(Select2=1,Paper!$K74,"")</f>
        <v>0.31149233984737479</v>
      </c>
      <c r="E72" s="686">
        <f>IF(Select2=1,Nappies!$K74,"")</f>
        <v>5.4883515874116495E-2</v>
      </c>
      <c r="F72" s="696">
        <f>IF(Select2=1,Garden!$K74,"")</f>
        <v>0</v>
      </c>
      <c r="G72" s="686">
        <f>IF(Select2=1,Wood!$K74,"")</f>
        <v>0</v>
      </c>
      <c r="H72" s="696">
        <f>IF(Select2=1,Textiles!$K74,"")</f>
        <v>7.3749687901111804E-2</v>
      </c>
      <c r="I72" s="697">
        <f>Sludge!K74</f>
        <v>0</v>
      </c>
      <c r="J72" s="697" t="str">
        <f>IF(Select2=2,MSW!$K74,"")</f>
        <v/>
      </c>
      <c r="K72" s="697">
        <f>Industry!$K74</f>
        <v>0</v>
      </c>
      <c r="L72" s="698">
        <f t="shared" si="3"/>
        <v>0.44085171082709851</v>
      </c>
      <c r="M72" s="869">
        <f>Recovery_OX!C67</f>
        <v>0</v>
      </c>
      <c r="N72" s="649"/>
      <c r="O72" s="700">
        <f>(L72-M72)*(1-Recovery_OX!F67)</f>
        <v>0.44085171082709851</v>
      </c>
      <c r="P72" s="640"/>
      <c r="Q72" s="651"/>
      <c r="S72" s="694">
        <f t="shared" si="2"/>
        <v>2055</v>
      </c>
      <c r="T72" s="695">
        <f>IF(Select2=1,Food!$W74,"")</f>
        <v>4.8583889685244002E-4</v>
      </c>
      <c r="U72" s="696">
        <f>IF(Select2=1,Paper!$W74,"")</f>
        <v>0.64357921456069189</v>
      </c>
      <c r="V72" s="686">
        <f>IF(Select2=1,Nappies!$W74,"")</f>
        <v>0</v>
      </c>
      <c r="W72" s="696">
        <f>IF(Select2=1,Garden!$W74,"")</f>
        <v>0</v>
      </c>
      <c r="X72" s="686">
        <f>IF(Select2=1,Wood!$W74,"")</f>
        <v>0.784507862036954</v>
      </c>
      <c r="Y72" s="696">
        <f>IF(Select2=1,Textiles!$W74,"")</f>
        <v>8.082157578204037E-2</v>
      </c>
      <c r="Z72" s="688">
        <f>Sludge!W74</f>
        <v>0</v>
      </c>
      <c r="AA72" s="688" t="str">
        <f>IF(Select2=2,MSW!$W74,"")</f>
        <v/>
      </c>
      <c r="AB72" s="697">
        <f>Industry!$W74</f>
        <v>0</v>
      </c>
      <c r="AC72" s="698">
        <f t="shared" si="4"/>
        <v>1.5093944912765387</v>
      </c>
      <c r="AD72" s="699">
        <f>Recovery_OX!R67</f>
        <v>0</v>
      </c>
      <c r="AE72" s="649"/>
      <c r="AF72" s="701">
        <f>(AC72-AD72)*(1-Recovery_OX!U67)</f>
        <v>1.5093944912765387</v>
      </c>
    </row>
    <row r="73" spans="2:32">
      <c r="B73" s="694">
        <f t="shared" si="1"/>
        <v>2056</v>
      </c>
      <c r="C73" s="870">
        <f>IF(Select2=1,Food!$K75,"")</f>
        <v>4.8676443394695963E-4</v>
      </c>
      <c r="D73" s="696">
        <f>IF(Select2=1,Paper!$K75,"")</f>
        <v>0.2904335326217356</v>
      </c>
      <c r="E73" s="686">
        <f>IF(Select2=1,Nappies!$K75,"")</f>
        <v>4.6303291354101203E-2</v>
      </c>
      <c r="F73" s="696">
        <f>IF(Select2=1,Garden!$K75,"")</f>
        <v>0</v>
      </c>
      <c r="G73" s="686">
        <f>IF(Select2=1,Wood!$K75,"")</f>
        <v>0</v>
      </c>
      <c r="H73" s="696">
        <f>IF(Select2=1,Textiles!$K75,"")</f>
        <v>6.8763753218989143E-2</v>
      </c>
      <c r="I73" s="697">
        <f>Sludge!K75</f>
        <v>0</v>
      </c>
      <c r="J73" s="697" t="str">
        <f>IF(Select2=2,MSW!$K75,"")</f>
        <v/>
      </c>
      <c r="K73" s="697">
        <f>Industry!$K75</f>
        <v>0</v>
      </c>
      <c r="L73" s="698">
        <f t="shared" si="3"/>
        <v>0.40598734162877292</v>
      </c>
      <c r="M73" s="869">
        <f>Recovery_OX!C68</f>
        <v>0</v>
      </c>
      <c r="N73" s="649"/>
      <c r="O73" s="700">
        <f>(L73-M73)*(1-Recovery_OX!F68)</f>
        <v>0.40598734162877292</v>
      </c>
      <c r="P73" s="640"/>
      <c r="Q73" s="651"/>
      <c r="S73" s="694">
        <f t="shared" si="2"/>
        <v>2056</v>
      </c>
      <c r="T73" s="695">
        <f>IF(Select2=1,Food!$W75,"")</f>
        <v>3.2566755170403182E-4</v>
      </c>
      <c r="U73" s="696">
        <f>IF(Select2=1,Paper!$W75,"")</f>
        <v>0.6000692822763134</v>
      </c>
      <c r="V73" s="686">
        <f>IF(Select2=1,Nappies!$W75,"")</f>
        <v>0</v>
      </c>
      <c r="W73" s="696">
        <f>IF(Select2=1,Garden!$W75,"")</f>
        <v>0</v>
      </c>
      <c r="X73" s="686">
        <f>IF(Select2=1,Wood!$W75,"")</f>
        <v>0.75752504067952631</v>
      </c>
      <c r="Y73" s="696">
        <f>IF(Select2=1,Textiles!$W75,"")</f>
        <v>7.5357537774234692E-2</v>
      </c>
      <c r="Z73" s="688">
        <f>Sludge!W75</f>
        <v>0</v>
      </c>
      <c r="AA73" s="688" t="str">
        <f>IF(Select2=2,MSW!$W75,"")</f>
        <v/>
      </c>
      <c r="AB73" s="697">
        <f>Industry!$W75</f>
        <v>0</v>
      </c>
      <c r="AC73" s="698">
        <f t="shared" si="4"/>
        <v>1.4332775282817785</v>
      </c>
      <c r="AD73" s="699">
        <f>Recovery_OX!R68</f>
        <v>0</v>
      </c>
      <c r="AE73" s="649"/>
      <c r="AF73" s="701">
        <f>(AC73-AD73)*(1-Recovery_OX!U68)</f>
        <v>1.4332775282817785</v>
      </c>
    </row>
    <row r="74" spans="2:32">
      <c r="B74" s="694">
        <f t="shared" si="1"/>
        <v>2057</v>
      </c>
      <c r="C74" s="870">
        <f>IF(Select2=1,Food!$K76,"")</f>
        <v>3.2628795777183794E-4</v>
      </c>
      <c r="D74" s="696">
        <f>IF(Select2=1,Paper!$K76,"")</f>
        <v>0.27079843090995886</v>
      </c>
      <c r="E74" s="686">
        <f>IF(Select2=1,Nappies!$K76,"")</f>
        <v>3.9064457808066715E-2</v>
      </c>
      <c r="F74" s="696">
        <f>IF(Select2=1,Garden!$K76,"")</f>
        <v>0</v>
      </c>
      <c r="G74" s="686">
        <f>IF(Select2=1,Wood!$K76,"")</f>
        <v>0</v>
      </c>
      <c r="H74" s="696">
        <f>IF(Select2=1,Textiles!$K76,"")</f>
        <v>6.4114898534923234E-2</v>
      </c>
      <c r="I74" s="697">
        <f>Sludge!K76</f>
        <v>0</v>
      </c>
      <c r="J74" s="697" t="str">
        <f>IF(Select2=2,MSW!$K76,"")</f>
        <v/>
      </c>
      <c r="K74" s="697">
        <f>Industry!$K76</f>
        <v>0</v>
      </c>
      <c r="L74" s="698">
        <f t="shared" si="3"/>
        <v>0.37430407521072068</v>
      </c>
      <c r="M74" s="869">
        <f>Recovery_OX!C69</f>
        <v>0</v>
      </c>
      <c r="N74" s="649"/>
      <c r="O74" s="700">
        <f>(L74-M74)*(1-Recovery_OX!F69)</f>
        <v>0.37430407521072068</v>
      </c>
      <c r="P74" s="640"/>
      <c r="Q74" s="651"/>
      <c r="S74" s="694">
        <f t="shared" si="2"/>
        <v>2057</v>
      </c>
      <c r="T74" s="695">
        <f>IF(Select2=1,Food!$W76,"")</f>
        <v>2.183014882505606E-4</v>
      </c>
      <c r="U74" s="696">
        <f>IF(Select2=1,Paper!$W76,"")</f>
        <v>0.55950089030983263</v>
      </c>
      <c r="V74" s="686">
        <f>IF(Select2=1,Nappies!$W76,"")</f>
        <v>0</v>
      </c>
      <c r="W74" s="696">
        <f>IF(Select2=1,Garden!$W76,"")</f>
        <v>0</v>
      </c>
      <c r="X74" s="686">
        <f>IF(Select2=1,Wood!$W76,"")</f>
        <v>0.73147028223088395</v>
      </c>
      <c r="Y74" s="696">
        <f>IF(Select2=1,Textiles!$W76,"")</f>
        <v>7.0262902504025476E-2</v>
      </c>
      <c r="Z74" s="688">
        <f>Sludge!W76</f>
        <v>0</v>
      </c>
      <c r="AA74" s="688" t="str">
        <f>IF(Select2=2,MSW!$W76,"")</f>
        <v/>
      </c>
      <c r="AB74" s="697">
        <f>Industry!$W76</f>
        <v>0</v>
      </c>
      <c r="AC74" s="698">
        <f t="shared" si="4"/>
        <v>1.3614523765329927</v>
      </c>
      <c r="AD74" s="699">
        <f>Recovery_OX!R69</f>
        <v>0</v>
      </c>
      <c r="AE74" s="649"/>
      <c r="AF74" s="701">
        <f>(AC74-AD74)*(1-Recovery_OX!U69)</f>
        <v>1.3614523765329927</v>
      </c>
    </row>
    <row r="75" spans="2:32">
      <c r="B75" s="694">
        <f t="shared" si="1"/>
        <v>2058</v>
      </c>
      <c r="C75" s="695">
        <f>IF(Select2=1,Food!$K77,"")</f>
        <v>2.1871735887449317E-4</v>
      </c>
      <c r="D75" s="696">
        <f>IF(Select2=1,Paper!$K77,"")</f>
        <v>0.25249078342067355</v>
      </c>
      <c r="E75" s="686">
        <f>IF(Select2=1,Nappies!$K77,"")</f>
        <v>3.2957308632079775E-2</v>
      </c>
      <c r="F75" s="696">
        <f>IF(Select2=1,Garden!$K77,"")</f>
        <v>0</v>
      </c>
      <c r="G75" s="686">
        <f>IF(Select2=1,Wood!$K77,"")</f>
        <v>0</v>
      </c>
      <c r="H75" s="696">
        <f>IF(Select2=1,Textiles!$K77,"")</f>
        <v>5.9780335157859368E-2</v>
      </c>
      <c r="I75" s="697">
        <f>Sludge!K77</f>
        <v>0</v>
      </c>
      <c r="J75" s="697" t="str">
        <f>IF(Select2=2,MSW!$K77,"")</f>
        <v/>
      </c>
      <c r="K75" s="697">
        <f>Industry!$K77</f>
        <v>0</v>
      </c>
      <c r="L75" s="698">
        <f t="shared" si="3"/>
        <v>0.34544714456948722</v>
      </c>
      <c r="M75" s="699">
        <f>Recovery_OX!C70</f>
        <v>0</v>
      </c>
      <c r="N75" s="649"/>
      <c r="O75" s="700">
        <f>(L75-M75)*(1-Recovery_OX!F70)</f>
        <v>0.34544714456948722</v>
      </c>
      <c r="P75" s="640"/>
      <c r="Q75" s="651"/>
      <c r="S75" s="694">
        <f t="shared" si="2"/>
        <v>2058</v>
      </c>
      <c r="T75" s="695">
        <f>IF(Select2=1,Food!$W77,"")</f>
        <v>1.4633186365376434E-4</v>
      </c>
      <c r="U75" s="696">
        <f>IF(Select2=1,Paper!$W77,"")</f>
        <v>0.52167517235676386</v>
      </c>
      <c r="V75" s="686">
        <f>IF(Select2=1,Nappies!$W77,"")</f>
        <v>0</v>
      </c>
      <c r="W75" s="696">
        <f>IF(Select2=1,Garden!$W77,"")</f>
        <v>0</v>
      </c>
      <c r="X75" s="686">
        <f>IF(Select2=1,Wood!$W77,"")</f>
        <v>0.70631166635359233</v>
      </c>
      <c r="Y75" s="696">
        <f>IF(Select2=1,Textiles!$W77,"")</f>
        <v>6.5512696063407538E-2</v>
      </c>
      <c r="Z75" s="688">
        <f>Sludge!W77</f>
        <v>0</v>
      </c>
      <c r="AA75" s="688" t="str">
        <f>IF(Select2=2,MSW!$W77,"")</f>
        <v/>
      </c>
      <c r="AB75" s="697">
        <f>Industry!$W77</f>
        <v>0</v>
      </c>
      <c r="AC75" s="698">
        <f t="shared" si="4"/>
        <v>1.2936458666374175</v>
      </c>
      <c r="AD75" s="699">
        <f>Recovery_OX!R70</f>
        <v>0</v>
      </c>
      <c r="AE75" s="649"/>
      <c r="AF75" s="701">
        <f>(AC75-AD75)*(1-Recovery_OX!U70)</f>
        <v>1.2936458666374175</v>
      </c>
    </row>
    <row r="76" spans="2:32">
      <c r="B76" s="694">
        <f t="shared" si="1"/>
        <v>2059</v>
      </c>
      <c r="C76" s="695">
        <f>IF(Select2=1,Food!$K78,"")</f>
        <v>1.4661063006954369E-4</v>
      </c>
      <c r="D76" s="696">
        <f>IF(Select2=1,Paper!$K78,"")</f>
        <v>0.23542084604464733</v>
      </c>
      <c r="E76" s="686">
        <f>IF(Select2=1,Nappies!$K78,"")</f>
        <v>2.7804921742594E-2</v>
      </c>
      <c r="F76" s="696">
        <f>IF(Select2=1,Garden!$K78,"")</f>
        <v>0</v>
      </c>
      <c r="G76" s="686">
        <f>IF(Select2=1,Wood!$K78,"")</f>
        <v>0</v>
      </c>
      <c r="H76" s="696">
        <f>IF(Select2=1,Textiles!$K78,"")</f>
        <v>5.5738815053094359E-2</v>
      </c>
      <c r="I76" s="697">
        <f>Sludge!K78</f>
        <v>0</v>
      </c>
      <c r="J76" s="697" t="str">
        <f>IF(Select2=2,MSW!$K78,"")</f>
        <v/>
      </c>
      <c r="K76" s="697">
        <f>Industry!$K78</f>
        <v>0</v>
      </c>
      <c r="L76" s="698">
        <f t="shared" si="3"/>
        <v>0.31911119347040523</v>
      </c>
      <c r="M76" s="699">
        <f>Recovery_OX!C71</f>
        <v>0</v>
      </c>
      <c r="N76" s="649"/>
      <c r="O76" s="700">
        <f>(L76-M76)*(1-Recovery_OX!F71)</f>
        <v>0.31911119347040523</v>
      </c>
      <c r="P76" s="640"/>
      <c r="Q76" s="651"/>
      <c r="S76" s="694">
        <f t="shared" si="2"/>
        <v>2059</v>
      </c>
      <c r="T76" s="695">
        <f>IF(Select2=1,Food!$W78,"")</f>
        <v>9.8089181580872207E-5</v>
      </c>
      <c r="U76" s="696">
        <f>IF(Select2=1,Paper!$W78,"")</f>
        <v>0.48640670670381697</v>
      </c>
      <c r="V76" s="686">
        <f>IF(Select2=1,Nappies!$W78,"")</f>
        <v>0</v>
      </c>
      <c r="W76" s="696">
        <f>IF(Select2=1,Garden!$W78,"")</f>
        <v>0</v>
      </c>
      <c r="X76" s="686">
        <f>IF(Select2=1,Wood!$W78,"")</f>
        <v>0.68201837059693582</v>
      </c>
      <c r="Y76" s="696">
        <f>IF(Select2=1,Textiles!$W78,"")</f>
        <v>6.1083632934897936E-2</v>
      </c>
      <c r="Z76" s="688">
        <f>Sludge!W78</f>
        <v>0</v>
      </c>
      <c r="AA76" s="688" t="str">
        <f>IF(Select2=2,MSW!$W78,"")</f>
        <v/>
      </c>
      <c r="AB76" s="697">
        <f>Industry!$W78</f>
        <v>0</v>
      </c>
      <c r="AC76" s="698">
        <f t="shared" si="4"/>
        <v>1.2296067994172315</v>
      </c>
      <c r="AD76" s="699">
        <f>Recovery_OX!R71</f>
        <v>0</v>
      </c>
      <c r="AE76" s="649"/>
      <c r="AF76" s="701">
        <f>(AC76-AD76)*(1-Recovery_OX!U71)</f>
        <v>1.2296067994172315</v>
      </c>
    </row>
    <row r="77" spans="2:32">
      <c r="B77" s="694">
        <f t="shared" si="1"/>
        <v>2060</v>
      </c>
      <c r="C77" s="695">
        <f>IF(Select2=1,Food!$K79,"")</f>
        <v>9.8276044297530629E-5</v>
      </c>
      <c r="D77" s="696">
        <f>IF(Select2=1,Paper!$K79,"")</f>
        <v>0.21950494192905889</v>
      </c>
      <c r="E77" s="686">
        <f>IF(Select2=1,Nappies!$K79,"")</f>
        <v>2.3458034202442364E-2</v>
      </c>
      <c r="F77" s="696">
        <f>IF(Select2=1,Garden!$K79,"")</f>
        <v>0</v>
      </c>
      <c r="G77" s="686">
        <f>IF(Select2=1,Wood!$K79,"")</f>
        <v>0</v>
      </c>
      <c r="H77" s="696">
        <f>IF(Select2=1,Textiles!$K79,"")</f>
        <v>5.1970526684385822E-2</v>
      </c>
      <c r="I77" s="697">
        <f>Sludge!K79</f>
        <v>0</v>
      </c>
      <c r="J77" s="697" t="str">
        <f>IF(Select2=2,MSW!$K79,"")</f>
        <v/>
      </c>
      <c r="K77" s="697">
        <f>Industry!$K79</f>
        <v>0</v>
      </c>
      <c r="L77" s="698">
        <f t="shared" si="3"/>
        <v>0.29503177886018461</v>
      </c>
      <c r="M77" s="699">
        <f>Recovery_OX!C72</f>
        <v>0</v>
      </c>
      <c r="N77" s="649"/>
      <c r="O77" s="700">
        <f>(L77-M77)*(1-Recovery_OX!F72)</f>
        <v>0.29503177886018461</v>
      </c>
      <c r="P77" s="640"/>
      <c r="Q77" s="651"/>
      <c r="S77" s="694">
        <f t="shared" si="2"/>
        <v>2060</v>
      </c>
      <c r="T77" s="695">
        <f>IF(Select2=1,Food!$W79,"")</f>
        <v>6.5751144712888443E-5</v>
      </c>
      <c r="U77" s="696">
        <f>IF(Select2=1,Paper!$W79,"")</f>
        <v>0.45352260729144411</v>
      </c>
      <c r="V77" s="686">
        <f>IF(Select2=1,Nappies!$W79,"")</f>
        <v>0</v>
      </c>
      <c r="W77" s="696">
        <f>IF(Select2=1,Garden!$W79,"")</f>
        <v>0</v>
      </c>
      <c r="X77" s="686">
        <f>IF(Select2=1,Wood!$W79,"")</f>
        <v>0.65856063263556153</v>
      </c>
      <c r="Y77" s="696">
        <f>IF(Select2=1,Textiles!$W79,"")</f>
        <v>5.6954001845902276E-2</v>
      </c>
      <c r="Z77" s="688">
        <f>Sludge!W79</f>
        <v>0</v>
      </c>
      <c r="AA77" s="688" t="str">
        <f>IF(Select2=2,MSW!$W79,"")</f>
        <v/>
      </c>
      <c r="AB77" s="697">
        <f>Industry!$W79</f>
        <v>0</v>
      </c>
      <c r="AC77" s="698">
        <f t="shared" si="4"/>
        <v>1.1691029929176209</v>
      </c>
      <c r="AD77" s="699">
        <f>Recovery_OX!R72</f>
        <v>0</v>
      </c>
      <c r="AE77" s="649"/>
      <c r="AF77" s="701">
        <f>(AC77-AD77)*(1-Recovery_OX!U72)</f>
        <v>1.1691029929176209</v>
      </c>
    </row>
    <row r="78" spans="2:32">
      <c r="B78" s="694">
        <f t="shared" si="1"/>
        <v>2061</v>
      </c>
      <c r="C78" s="695">
        <f>IF(Select2=1,Food!$K80,"")</f>
        <v>6.5876402537721259E-5</v>
      </c>
      <c r="D78" s="696">
        <f>IF(Select2=1,Paper!$K80,"")</f>
        <v>0.20466505129346857</v>
      </c>
      <c r="E78" s="686">
        <f>IF(Select2=1,Nappies!$K80,"")</f>
        <v>1.9790718123115236E-2</v>
      </c>
      <c r="F78" s="696">
        <f>IF(Select2=1,Garden!$K80,"")</f>
        <v>0</v>
      </c>
      <c r="G78" s="686">
        <f>IF(Select2=1,Wood!$K80,"")</f>
        <v>0</v>
      </c>
      <c r="H78" s="696">
        <f>IF(Select2=1,Textiles!$K80,"")</f>
        <v>4.8456997897778506E-2</v>
      </c>
      <c r="I78" s="697">
        <f>Sludge!K80</f>
        <v>0</v>
      </c>
      <c r="J78" s="697" t="str">
        <f>IF(Select2=2,MSW!$K80,"")</f>
        <v/>
      </c>
      <c r="K78" s="697">
        <f>Industry!$K80</f>
        <v>0</v>
      </c>
      <c r="L78" s="698">
        <f t="shared" si="3"/>
        <v>0.2729786437169</v>
      </c>
      <c r="M78" s="699">
        <f>Recovery_OX!C73</f>
        <v>0</v>
      </c>
      <c r="N78" s="649"/>
      <c r="O78" s="700">
        <f>(L78-M78)*(1-Recovery_OX!F73)</f>
        <v>0.2729786437169</v>
      </c>
      <c r="P78" s="640"/>
      <c r="Q78" s="651"/>
      <c r="S78" s="694">
        <f t="shared" si="2"/>
        <v>2061</v>
      </c>
      <c r="T78" s="695">
        <f>IF(Select2=1,Food!$W80,"")</f>
        <v>4.4074310350839366E-5</v>
      </c>
      <c r="U78" s="696">
        <f>IF(Select2=1,Paper!$W80,"")</f>
        <v>0.42286167622617488</v>
      </c>
      <c r="V78" s="686">
        <f>IF(Select2=1,Nappies!$W80,"")</f>
        <v>0</v>
      </c>
      <c r="W78" s="696">
        <f>IF(Select2=1,Garden!$W80,"")</f>
        <v>0</v>
      </c>
      <c r="X78" s="686">
        <f>IF(Select2=1,Wood!$W80,"")</f>
        <v>0.63590971380690775</v>
      </c>
      <c r="Y78" s="696">
        <f>IF(Select2=1,Textiles!$W80,"")</f>
        <v>5.3103559340031248E-2</v>
      </c>
      <c r="Z78" s="688">
        <f>Sludge!W80</f>
        <v>0</v>
      </c>
      <c r="AA78" s="688" t="str">
        <f>IF(Select2=2,MSW!$W80,"")</f>
        <v/>
      </c>
      <c r="AB78" s="697">
        <f>Industry!$W80</f>
        <v>0</v>
      </c>
      <c r="AC78" s="698">
        <f t="shared" si="4"/>
        <v>1.1119190236834648</v>
      </c>
      <c r="AD78" s="699">
        <f>Recovery_OX!R73</f>
        <v>0</v>
      </c>
      <c r="AE78" s="649"/>
      <c r="AF78" s="701">
        <f>(AC78-AD78)*(1-Recovery_OX!U73)</f>
        <v>1.1119190236834648</v>
      </c>
    </row>
    <row r="79" spans="2:32">
      <c r="B79" s="694">
        <f t="shared" si="1"/>
        <v>2062</v>
      </c>
      <c r="C79" s="695">
        <f>IF(Select2=1,Food!$K81,"")</f>
        <v>4.4158273181747615E-5</v>
      </c>
      <c r="D79" s="696">
        <f>IF(Select2=1,Paper!$K81,"")</f>
        <v>0.190828428976764</v>
      </c>
      <c r="E79" s="686">
        <f>IF(Select2=1,Nappies!$K81,"")</f>
        <v>1.6696732575648739E-2</v>
      </c>
      <c r="F79" s="696">
        <f>IF(Select2=1,Garden!$K81,"")</f>
        <v>0</v>
      </c>
      <c r="G79" s="686">
        <f>IF(Select2=1,Wood!$K81,"")</f>
        <v>0</v>
      </c>
      <c r="H79" s="696">
        <f>IF(Select2=1,Textiles!$K81,"")</f>
        <v>4.5181005371084215E-2</v>
      </c>
      <c r="I79" s="697">
        <f>Sludge!K81</f>
        <v>0</v>
      </c>
      <c r="J79" s="697" t="str">
        <f>IF(Select2=2,MSW!$K81,"")</f>
        <v/>
      </c>
      <c r="K79" s="697">
        <f>Industry!$K81</f>
        <v>0</v>
      </c>
      <c r="L79" s="698">
        <f t="shared" si="3"/>
        <v>0.25275032519667873</v>
      </c>
      <c r="M79" s="699">
        <f>Recovery_OX!C74</f>
        <v>0</v>
      </c>
      <c r="N79" s="649"/>
      <c r="O79" s="700">
        <f>(L79-M79)*(1-Recovery_OX!F74)</f>
        <v>0.25275032519667873</v>
      </c>
      <c r="P79" s="640"/>
      <c r="Q79" s="651"/>
      <c r="S79" s="694">
        <f t="shared" si="2"/>
        <v>2062</v>
      </c>
      <c r="T79" s="695">
        <f>IF(Select2=1,Food!$W81,"")</f>
        <v>2.9543893743363702E-5</v>
      </c>
      <c r="U79" s="696">
        <f>IF(Select2=1,Paper!$W81,"")</f>
        <v>0.39427361358835544</v>
      </c>
      <c r="V79" s="686">
        <f>IF(Select2=1,Nappies!$W81,"")</f>
        <v>0</v>
      </c>
      <c r="W79" s="696">
        <f>IF(Select2=1,Garden!$W81,"")</f>
        <v>0</v>
      </c>
      <c r="X79" s="686">
        <f>IF(Select2=1,Wood!$W81,"")</f>
        <v>0.61403786390274906</v>
      </c>
      <c r="Y79" s="696">
        <f>IF(Select2=1,Textiles!$W81,"")</f>
        <v>4.9513430543653932E-2</v>
      </c>
      <c r="Z79" s="688">
        <f>Sludge!W81</f>
        <v>0</v>
      </c>
      <c r="AA79" s="688" t="str">
        <f>IF(Select2=2,MSW!$W81,"")</f>
        <v/>
      </c>
      <c r="AB79" s="697">
        <f>Industry!$W81</f>
        <v>0</v>
      </c>
      <c r="AC79" s="698">
        <f t="shared" si="4"/>
        <v>1.0578544519285018</v>
      </c>
      <c r="AD79" s="699">
        <f>Recovery_OX!R74</f>
        <v>0</v>
      </c>
      <c r="AE79" s="649"/>
      <c r="AF79" s="701">
        <f>(AC79-AD79)*(1-Recovery_OX!U74)</f>
        <v>1.0578544519285018</v>
      </c>
    </row>
    <row r="80" spans="2:32">
      <c r="B80" s="694">
        <f t="shared" si="1"/>
        <v>2063</v>
      </c>
      <c r="C80" s="695">
        <f>IF(Select2=1,Food!$K82,"")</f>
        <v>2.96001757120434E-5</v>
      </c>
      <c r="D80" s="696">
        <f>IF(Select2=1,Paper!$K82,"")</f>
        <v>0.1779272478402959</v>
      </c>
      <c r="E80" s="686">
        <f>IF(Select2=1,Nappies!$K82,"")</f>
        <v>1.4086445826193561E-2</v>
      </c>
      <c r="F80" s="696">
        <f>IF(Select2=1,Garden!$K82,"")</f>
        <v>0</v>
      </c>
      <c r="G80" s="686">
        <f>IF(Select2=1,Wood!$K82,"")</f>
        <v>0</v>
      </c>
      <c r="H80" s="696">
        <f>IF(Select2=1,Textiles!$K82,"")</f>
        <v>4.2126490185136374E-2</v>
      </c>
      <c r="I80" s="697">
        <f>Sludge!K82</f>
        <v>0</v>
      </c>
      <c r="J80" s="697" t="str">
        <f>IF(Select2=2,MSW!$K82,"")</f>
        <v/>
      </c>
      <c r="K80" s="697">
        <f>Industry!$K82</f>
        <v>0</v>
      </c>
      <c r="L80" s="698">
        <f t="shared" si="3"/>
        <v>0.23416978402733787</v>
      </c>
      <c r="M80" s="699">
        <f>Recovery_OX!C75</f>
        <v>0</v>
      </c>
      <c r="N80" s="649"/>
      <c r="O80" s="700">
        <f>(L80-M80)*(1-Recovery_OX!F75)</f>
        <v>0.23416978402733787</v>
      </c>
      <c r="P80" s="640"/>
      <c r="Q80" s="651"/>
      <c r="S80" s="694">
        <f t="shared" si="2"/>
        <v>2063</v>
      </c>
      <c r="T80" s="695">
        <f>IF(Select2=1,Food!$W82,"")</f>
        <v>1.980386421412359E-5</v>
      </c>
      <c r="U80" s="696">
        <f>IF(Select2=1,Paper!$W82,"")</f>
        <v>0.36761828066176855</v>
      </c>
      <c r="V80" s="686">
        <f>IF(Select2=1,Nappies!$W82,"")</f>
        <v>0</v>
      </c>
      <c r="W80" s="696">
        <f>IF(Select2=1,Garden!$W82,"")</f>
        <v>0</v>
      </c>
      <c r="X80" s="686">
        <f>IF(Select2=1,Wood!$W82,"")</f>
        <v>0.59291828717172101</v>
      </c>
      <c r="Y80" s="696">
        <f>IF(Select2=1,Textiles!$W82,"")</f>
        <v>4.6166016641245346E-2</v>
      </c>
      <c r="Z80" s="688">
        <f>Sludge!W82</f>
        <v>0</v>
      </c>
      <c r="AA80" s="688" t="str">
        <f>IF(Select2=2,MSW!$W82,"")</f>
        <v/>
      </c>
      <c r="AB80" s="697">
        <f>Industry!$W82</f>
        <v>0</v>
      </c>
      <c r="AC80" s="698">
        <f t="shared" si="4"/>
        <v>1.0067223883389491</v>
      </c>
      <c r="AD80" s="699">
        <f>Recovery_OX!R75</f>
        <v>0</v>
      </c>
      <c r="AE80" s="649"/>
      <c r="AF80" s="701">
        <f>(AC80-AD80)*(1-Recovery_OX!U75)</f>
        <v>1.0067223883389491</v>
      </c>
    </row>
    <row r="81" spans="2:32">
      <c r="B81" s="694">
        <f t="shared" si="1"/>
        <v>2064</v>
      </c>
      <c r="C81" s="695">
        <f>IF(Select2=1,Food!$K83,"")</f>
        <v>1.9841591145959944E-5</v>
      </c>
      <c r="D81" s="696">
        <f>IF(Select2=1,Paper!$K83,"")</f>
        <v>0.16589826627916587</v>
      </c>
      <c r="E81" s="686">
        <f>IF(Select2=1,Nappies!$K83,"")</f>
        <v>1.1884238734450485E-2</v>
      </c>
      <c r="F81" s="696">
        <f>IF(Select2=1,Garden!$K83,"")</f>
        <v>0</v>
      </c>
      <c r="G81" s="686">
        <f>IF(Select2=1,Wood!$K83,"")</f>
        <v>0</v>
      </c>
      <c r="H81" s="696">
        <f>IF(Select2=1,Textiles!$K83,"")</f>
        <v>3.9278479102949737E-2</v>
      </c>
      <c r="I81" s="697">
        <f>Sludge!K83</f>
        <v>0</v>
      </c>
      <c r="J81" s="697" t="str">
        <f>IF(Select2=2,MSW!$K83,"")</f>
        <v/>
      </c>
      <c r="K81" s="697">
        <f>Industry!$K83</f>
        <v>0</v>
      </c>
      <c r="L81" s="698">
        <f t="shared" si="3"/>
        <v>0.21708082570771206</v>
      </c>
      <c r="M81" s="699">
        <f>Recovery_OX!C76</f>
        <v>0</v>
      </c>
      <c r="N81" s="649"/>
      <c r="O81" s="700">
        <f>(L81-M81)*(1-Recovery_OX!F76)</f>
        <v>0.21708082570771206</v>
      </c>
      <c r="P81" s="640"/>
      <c r="Q81" s="651"/>
      <c r="S81" s="694">
        <f t="shared" si="2"/>
        <v>2064</v>
      </c>
      <c r="T81" s="695">
        <f>IF(Select2=1,Food!$W83,"")</f>
        <v>1.3274927171694877E-5</v>
      </c>
      <c r="U81" s="696">
        <f>IF(Select2=1,Paper!$W83,"")</f>
        <v>0.34276501297348339</v>
      </c>
      <c r="V81" s="686">
        <f>IF(Select2=1,Nappies!$W83,"")</f>
        <v>0</v>
      </c>
      <c r="W81" s="696">
        <f>IF(Select2=1,Garden!$W83,"")</f>
        <v>0</v>
      </c>
      <c r="X81" s="686">
        <f>IF(Select2=1,Wood!$W83,"")</f>
        <v>0.57252510949117297</v>
      </c>
      <c r="Y81" s="696">
        <f>IF(Select2=1,Textiles!$W83,"")</f>
        <v>4.3044908605972321E-2</v>
      </c>
      <c r="Z81" s="688">
        <f>Sludge!W83</f>
        <v>0</v>
      </c>
      <c r="AA81" s="688" t="str">
        <f>IF(Select2=2,MSW!$W83,"")</f>
        <v/>
      </c>
      <c r="AB81" s="697">
        <f>Industry!$W83</f>
        <v>0</v>
      </c>
      <c r="AC81" s="698">
        <f t="shared" ref="AC81:AC97" si="5">SUM(T81:AA81)</f>
        <v>0.95834830599780041</v>
      </c>
      <c r="AD81" s="699">
        <f>Recovery_OX!R76</f>
        <v>0</v>
      </c>
      <c r="AE81" s="649"/>
      <c r="AF81" s="701">
        <f>(AC81-AD81)*(1-Recovery_OX!U76)</f>
        <v>0.95834830599780041</v>
      </c>
    </row>
    <row r="82" spans="2:32">
      <c r="B82" s="694">
        <f t="shared" ref="B82:B97" si="6">B81+1</f>
        <v>2065</v>
      </c>
      <c r="C82" s="695">
        <f>IF(Select2=1,Food!$K84,"")</f>
        <v>1.3300216290380205E-5</v>
      </c>
      <c r="D82" s="696">
        <f>IF(Select2=1,Paper!$K84,"")</f>
        <v>0.15468251821180562</v>
      </c>
      <c r="E82" s="686">
        <f>IF(Select2=1,Nappies!$K84,"")</f>
        <v>1.0026314092287807E-2</v>
      </c>
      <c r="F82" s="696">
        <f>IF(Select2=1,Garden!$K84,"")</f>
        <v>0</v>
      </c>
      <c r="G82" s="686">
        <f>IF(Select2=1,Wood!$K84,"")</f>
        <v>0</v>
      </c>
      <c r="H82" s="696">
        <f>IF(Select2=1,Textiles!$K84,"")</f>
        <v>3.6623011170895267E-2</v>
      </c>
      <c r="I82" s="697">
        <f>Sludge!K84</f>
        <v>0</v>
      </c>
      <c r="J82" s="697" t="str">
        <f>IF(Select2=2,MSW!$K84,"")</f>
        <v/>
      </c>
      <c r="K82" s="697">
        <f>Industry!$K84</f>
        <v>0</v>
      </c>
      <c r="L82" s="698">
        <f t="shared" si="3"/>
        <v>0.20134514369127904</v>
      </c>
      <c r="M82" s="699">
        <f>Recovery_OX!C77</f>
        <v>0</v>
      </c>
      <c r="N82" s="649"/>
      <c r="O82" s="700">
        <f>(L82-M82)*(1-Recovery_OX!F77)</f>
        <v>0.20134514369127904</v>
      </c>
      <c r="P82" s="640"/>
      <c r="Q82" s="651"/>
      <c r="S82" s="694">
        <f t="shared" ref="S82:S97" si="7">S81+1</f>
        <v>2065</v>
      </c>
      <c r="T82" s="695">
        <f>IF(Select2=1,Food!$W84,"")</f>
        <v>8.898449792850269E-6</v>
      </c>
      <c r="U82" s="696">
        <f>IF(Select2=1,Paper!$W84,"")</f>
        <v>0.31959197977645804</v>
      </c>
      <c r="V82" s="686">
        <f>IF(Select2=1,Nappies!$W84,"")</f>
        <v>0</v>
      </c>
      <c r="W82" s="696">
        <f>IF(Select2=1,Garden!$W84,"")</f>
        <v>0</v>
      </c>
      <c r="X82" s="686">
        <f>IF(Select2=1,Wood!$W84,"")</f>
        <v>0.55283334666813289</v>
      </c>
      <c r="Y82" s="696">
        <f>IF(Select2=1,Textiles!$W84,"")</f>
        <v>4.0134806762624958E-2</v>
      </c>
      <c r="Z82" s="688">
        <f>Sludge!W84</f>
        <v>0</v>
      </c>
      <c r="AA82" s="688" t="str">
        <f>IF(Select2=2,MSW!$W84,"")</f>
        <v/>
      </c>
      <c r="AB82" s="697">
        <f>Industry!$W84</f>
        <v>0</v>
      </c>
      <c r="AC82" s="698">
        <f t="shared" si="5"/>
        <v>0.91256903165700864</v>
      </c>
      <c r="AD82" s="699">
        <f>Recovery_OX!R77</f>
        <v>0</v>
      </c>
      <c r="AE82" s="649"/>
      <c r="AF82" s="701">
        <f>(AC82-AD82)*(1-Recovery_OX!U77)</f>
        <v>0.91256903165700864</v>
      </c>
    </row>
    <row r="83" spans="2:32">
      <c r="B83" s="694">
        <f t="shared" si="6"/>
        <v>2066</v>
      </c>
      <c r="C83" s="695">
        <f>IF(Select2=1,Food!$K85,"")</f>
        <v>8.9154015960516187E-6</v>
      </c>
      <c r="D83" s="696">
        <f>IF(Select2=1,Paper!$K85,"")</f>
        <v>0.14422502402817688</v>
      </c>
      <c r="E83" s="686">
        <f>IF(Select2=1,Nappies!$K85,"")</f>
        <v>8.4588484398077299E-3</v>
      </c>
      <c r="F83" s="696">
        <f>IF(Select2=1,Garden!$K85,"")</f>
        <v>0</v>
      </c>
      <c r="G83" s="686">
        <f>IF(Select2=1,Wood!$K85,"")</f>
        <v>0</v>
      </c>
      <c r="H83" s="696">
        <f>IF(Select2=1,Textiles!$K85,"")</f>
        <v>3.4147069282089257E-2</v>
      </c>
      <c r="I83" s="697">
        <f>Sludge!K85</f>
        <v>0</v>
      </c>
      <c r="J83" s="697" t="str">
        <f>IF(Select2=2,MSW!$K85,"")</f>
        <v/>
      </c>
      <c r="K83" s="697">
        <f>Industry!$K85</f>
        <v>0</v>
      </c>
      <c r="L83" s="698">
        <f t="shared" ref="L83:L97" si="8">SUM(C83:K83)</f>
        <v>0.18683985715166995</v>
      </c>
      <c r="M83" s="699">
        <f>Recovery_OX!C78</f>
        <v>0</v>
      </c>
      <c r="N83" s="649"/>
      <c r="O83" s="700">
        <f>(L83-M83)*(1-Recovery_OX!F78)</f>
        <v>0.18683985715166995</v>
      </c>
      <c r="P83" s="640"/>
      <c r="Q83" s="651"/>
      <c r="S83" s="694">
        <f t="shared" si="7"/>
        <v>2066</v>
      </c>
      <c r="T83" s="695">
        <f>IF(Select2=1,Food!$W85,"")</f>
        <v>5.9648092747892175E-6</v>
      </c>
      <c r="U83" s="696">
        <f>IF(Select2=1,Paper!$W85,"")</f>
        <v>0.29798558683507625</v>
      </c>
      <c r="V83" s="686">
        <f>IF(Select2=1,Nappies!$W85,"")</f>
        <v>0</v>
      </c>
      <c r="W83" s="696">
        <f>IF(Select2=1,Garden!$W85,"")</f>
        <v>0</v>
      </c>
      <c r="X83" s="686">
        <f>IF(Select2=1,Wood!$W85,"")</f>
        <v>0.53381887383054605</v>
      </c>
      <c r="Y83" s="696">
        <f>IF(Select2=1,Textiles!$W85,"")</f>
        <v>3.7421445788590968E-2</v>
      </c>
      <c r="Z83" s="688">
        <f>Sludge!W85</f>
        <v>0</v>
      </c>
      <c r="AA83" s="688" t="str">
        <f>IF(Select2=2,MSW!$W85,"")</f>
        <v/>
      </c>
      <c r="AB83" s="697">
        <f>Industry!$W85</f>
        <v>0</v>
      </c>
      <c r="AC83" s="698">
        <f t="shared" si="5"/>
        <v>0.869231871263488</v>
      </c>
      <c r="AD83" s="699">
        <f>Recovery_OX!R78</f>
        <v>0</v>
      </c>
      <c r="AE83" s="649"/>
      <c r="AF83" s="701">
        <f>(AC83-AD83)*(1-Recovery_OX!U78)</f>
        <v>0.869231871263488</v>
      </c>
    </row>
    <row r="84" spans="2:32">
      <c r="B84" s="694">
        <f t="shared" si="6"/>
        <v>2067</v>
      </c>
      <c r="C84" s="695">
        <f>IF(Select2=1,Food!$K86,"")</f>
        <v>5.9761724082915338E-6</v>
      </c>
      <c r="D84" s="696">
        <f>IF(Select2=1,Paper!$K86,"")</f>
        <v>0.13447452107965902</v>
      </c>
      <c r="E84" s="686">
        <f>IF(Select2=1,Nappies!$K86,"")</f>
        <v>7.1364328175869962E-3</v>
      </c>
      <c r="F84" s="696">
        <f>IF(Select2=1,Garden!$K86,"")</f>
        <v>0</v>
      </c>
      <c r="G84" s="686">
        <f>IF(Select2=1,Wood!$K86,"")</f>
        <v>0</v>
      </c>
      <c r="H84" s="696">
        <f>IF(Select2=1,Textiles!$K86,"")</f>
        <v>3.183851636652027E-2</v>
      </c>
      <c r="I84" s="697">
        <f>Sludge!K86</f>
        <v>0</v>
      </c>
      <c r="J84" s="697" t="str">
        <f>IF(Select2=2,MSW!$K86,"")</f>
        <v/>
      </c>
      <c r="K84" s="697">
        <f>Industry!$K86</f>
        <v>0</v>
      </c>
      <c r="L84" s="698">
        <f t="shared" si="8"/>
        <v>0.17345544643617458</v>
      </c>
      <c r="M84" s="699">
        <f>Recovery_OX!C79</f>
        <v>0</v>
      </c>
      <c r="N84" s="649"/>
      <c r="O84" s="700">
        <f>(L84-M84)*(1-Recovery_OX!F79)</f>
        <v>0.17345544643617458</v>
      </c>
      <c r="P84" s="640"/>
      <c r="Q84" s="651"/>
      <c r="S84" s="694">
        <f t="shared" si="7"/>
        <v>2067</v>
      </c>
      <c r="T84" s="695">
        <f>IF(Select2=1,Food!$W86,"")</f>
        <v>3.9983312276705166E-6</v>
      </c>
      <c r="U84" s="696">
        <f>IF(Select2=1,Paper!$W86,"")</f>
        <v>0.2778399195860724</v>
      </c>
      <c r="V84" s="686">
        <f>IF(Select2=1,Nappies!$W86,"")</f>
        <v>0</v>
      </c>
      <c r="W84" s="696">
        <f>IF(Select2=1,Garden!$W86,"")</f>
        <v>0</v>
      </c>
      <c r="X84" s="686">
        <f>IF(Select2=1,Wood!$W86,"")</f>
        <v>0.51545839587128972</v>
      </c>
      <c r="Y84" s="696">
        <f>IF(Select2=1,Textiles!$W86,"")</f>
        <v>3.4891524785227696E-2</v>
      </c>
      <c r="Z84" s="688">
        <f>Sludge!W86</f>
        <v>0</v>
      </c>
      <c r="AA84" s="688" t="str">
        <f>IF(Select2=2,MSW!$W86,"")</f>
        <v/>
      </c>
      <c r="AB84" s="697">
        <f>Industry!$W86</f>
        <v>0</v>
      </c>
      <c r="AC84" s="698">
        <f t="shared" si="5"/>
        <v>0.82819383857381745</v>
      </c>
      <c r="AD84" s="699">
        <f>Recovery_OX!R79</f>
        <v>0</v>
      </c>
      <c r="AE84" s="649"/>
      <c r="AF84" s="701">
        <f>(AC84-AD84)*(1-Recovery_OX!U79)</f>
        <v>0.82819383857381745</v>
      </c>
    </row>
    <row r="85" spans="2:32">
      <c r="B85" s="694">
        <f t="shared" si="6"/>
        <v>2068</v>
      </c>
      <c r="C85" s="695">
        <f>IF(Select2=1,Food!$K87,"")</f>
        <v>4.005948163842899E-6</v>
      </c>
      <c r="D85" s="696">
        <f>IF(Select2=1,Paper!$K87,"")</f>
        <v>0.12538321238948621</v>
      </c>
      <c r="E85" s="686">
        <f>IF(Select2=1,Nappies!$K87,"")</f>
        <v>6.0207572842019465E-3</v>
      </c>
      <c r="F85" s="696">
        <f>IF(Select2=1,Garden!$K87,"")</f>
        <v>0</v>
      </c>
      <c r="G85" s="686">
        <f>IF(Select2=1,Wood!$K87,"")</f>
        <v>0</v>
      </c>
      <c r="H85" s="696">
        <f>IF(Select2=1,Textiles!$K87,"")</f>
        <v>2.9686035895117889E-2</v>
      </c>
      <c r="I85" s="697">
        <f>Sludge!K87</f>
        <v>0</v>
      </c>
      <c r="J85" s="697" t="str">
        <f>IF(Select2=2,MSW!$K87,"")</f>
        <v/>
      </c>
      <c r="K85" s="697">
        <f>Industry!$K87</f>
        <v>0</v>
      </c>
      <c r="L85" s="698">
        <f t="shared" si="8"/>
        <v>0.16109401151696992</v>
      </c>
      <c r="M85" s="699">
        <f>Recovery_OX!C80</f>
        <v>0</v>
      </c>
      <c r="N85" s="649"/>
      <c r="O85" s="700">
        <f>(L85-M85)*(1-Recovery_OX!F80)</f>
        <v>0.16109401151696992</v>
      </c>
      <c r="P85" s="640"/>
      <c r="Q85" s="651"/>
      <c r="S85" s="694">
        <f t="shared" si="7"/>
        <v>2068</v>
      </c>
      <c r="T85" s="695">
        <f>IF(Select2=1,Food!$W87,"")</f>
        <v>2.6801615725978351E-6</v>
      </c>
      <c r="U85" s="696">
        <f>IF(Select2=1,Paper!$W87,"")</f>
        <v>0.25905622394521954</v>
      </c>
      <c r="V85" s="686">
        <f>IF(Select2=1,Nappies!$W87,"")</f>
        <v>0</v>
      </c>
      <c r="W85" s="696">
        <f>IF(Select2=1,Garden!$W87,"")</f>
        <v>0</v>
      </c>
      <c r="X85" s="686">
        <f>IF(Select2=1,Wood!$W87,"")</f>
        <v>0.49772941890875422</v>
      </c>
      <c r="Y85" s="696">
        <f>IF(Select2=1,Textiles!$W87,"")</f>
        <v>3.253264207684152E-2</v>
      </c>
      <c r="Z85" s="688">
        <f>Sludge!W87</f>
        <v>0</v>
      </c>
      <c r="AA85" s="688" t="str">
        <f>IF(Select2=2,MSW!$W87,"")</f>
        <v/>
      </c>
      <c r="AB85" s="697">
        <f>Industry!$W87</f>
        <v>0</v>
      </c>
      <c r="AC85" s="698">
        <f t="shared" si="5"/>
        <v>0.78932096509238781</v>
      </c>
      <c r="AD85" s="699">
        <f>Recovery_OX!R80</f>
        <v>0</v>
      </c>
      <c r="AE85" s="649"/>
      <c r="AF85" s="701">
        <f>(AC85-AD85)*(1-Recovery_OX!U80)</f>
        <v>0.78932096509238781</v>
      </c>
    </row>
    <row r="86" spans="2:32">
      <c r="B86" s="694">
        <f t="shared" si="6"/>
        <v>2069</v>
      </c>
      <c r="C86" s="695">
        <f>IF(Select2=1,Food!$K88,"")</f>
        <v>2.6852673576035563E-6</v>
      </c>
      <c r="D86" s="696">
        <f>IF(Select2=1,Paper!$K88,"")</f>
        <v>0.1169065323519119</v>
      </c>
      <c r="E86" s="686">
        <f>IF(Select2=1,Nappies!$K88,"")</f>
        <v>5.0795010899475765E-3</v>
      </c>
      <c r="F86" s="696">
        <f>IF(Select2=1,Garden!$K88,"")</f>
        <v>0</v>
      </c>
      <c r="G86" s="686">
        <f>IF(Select2=1,Wood!$K88,"")</f>
        <v>0</v>
      </c>
      <c r="H86" s="696">
        <f>IF(Select2=1,Textiles!$K88,"")</f>
        <v>2.767907640611407E-2</v>
      </c>
      <c r="I86" s="697">
        <f>Sludge!K88</f>
        <v>0</v>
      </c>
      <c r="J86" s="697" t="str">
        <f>IF(Select2=2,MSW!$K88,"")</f>
        <v/>
      </c>
      <c r="K86" s="697">
        <f>Industry!$K88</f>
        <v>0</v>
      </c>
      <c r="L86" s="698">
        <f t="shared" si="8"/>
        <v>0.14966779511533113</v>
      </c>
      <c r="M86" s="699">
        <f>Recovery_OX!C81</f>
        <v>0</v>
      </c>
      <c r="N86" s="649"/>
      <c r="O86" s="700">
        <f>(L86-M86)*(1-Recovery_OX!F81)</f>
        <v>0.14966779511533113</v>
      </c>
      <c r="P86" s="640"/>
      <c r="Q86" s="651"/>
      <c r="S86" s="694">
        <f t="shared" si="7"/>
        <v>2069</v>
      </c>
      <c r="T86" s="695">
        <f>IF(Select2=1,Food!$W88,"")</f>
        <v>1.7965660287267323E-6</v>
      </c>
      <c r="U86" s="696">
        <f>IF(Select2=1,Paper!$W88,"")</f>
        <v>0.24154242221469402</v>
      </c>
      <c r="V86" s="686">
        <f>IF(Select2=1,Nappies!$W88,"")</f>
        <v>0</v>
      </c>
      <c r="W86" s="696">
        <f>IF(Select2=1,Garden!$W88,"")</f>
        <v>0</v>
      </c>
      <c r="X86" s="686">
        <f>IF(Select2=1,Wood!$W88,"")</f>
        <v>0.48061022272902432</v>
      </c>
      <c r="Y86" s="696">
        <f>IF(Select2=1,Textiles!$W88,"")</f>
        <v>3.0333234417659245E-2</v>
      </c>
      <c r="Z86" s="688">
        <f>Sludge!W88</f>
        <v>0</v>
      </c>
      <c r="AA86" s="688" t="str">
        <f>IF(Select2=2,MSW!$W88,"")</f>
        <v/>
      </c>
      <c r="AB86" s="697">
        <f>Industry!$W88</f>
        <v>0</v>
      </c>
      <c r="AC86" s="698">
        <f t="shared" si="5"/>
        <v>0.75248767592740629</v>
      </c>
      <c r="AD86" s="699">
        <f>Recovery_OX!R81</f>
        <v>0</v>
      </c>
      <c r="AE86" s="649"/>
      <c r="AF86" s="701">
        <f>(AC86-AD86)*(1-Recovery_OX!U81)</f>
        <v>0.75248767592740629</v>
      </c>
    </row>
    <row r="87" spans="2:32">
      <c r="B87" s="694">
        <f t="shared" si="6"/>
        <v>2070</v>
      </c>
      <c r="C87" s="695">
        <f>IF(Select2=1,Food!$K89,"")</f>
        <v>1.7999885387668158E-6</v>
      </c>
      <c r="D87" s="696">
        <f>IF(Select2=1,Paper!$K89,"")</f>
        <v>0.10900292827155746</v>
      </c>
      <c r="E87" s="686">
        <f>IF(Select2=1,Nappies!$K89,"")</f>
        <v>4.2853963554517534E-3</v>
      </c>
      <c r="F87" s="696">
        <f>IF(Select2=1,Garden!$K89,"")</f>
        <v>0</v>
      </c>
      <c r="G87" s="686">
        <f>IF(Select2=1,Wood!$K89,"")</f>
        <v>0</v>
      </c>
      <c r="H87" s="696">
        <f>IF(Select2=1,Textiles!$K89,"")</f>
        <v>2.5807799781765305E-2</v>
      </c>
      <c r="I87" s="697">
        <f>Sludge!K89</f>
        <v>0</v>
      </c>
      <c r="J87" s="697" t="str">
        <f>IF(Select2=2,MSW!$K89,"")</f>
        <v/>
      </c>
      <c r="K87" s="697">
        <f>Industry!$K89</f>
        <v>0</v>
      </c>
      <c r="L87" s="698">
        <f t="shared" si="8"/>
        <v>0.13909792439731328</v>
      </c>
      <c r="M87" s="699">
        <f>Recovery_OX!C82</f>
        <v>0</v>
      </c>
      <c r="N87" s="649"/>
      <c r="O87" s="700">
        <f>(L87-M87)*(1-Recovery_OX!F82)</f>
        <v>0.13909792439731328</v>
      </c>
      <c r="P87" s="640"/>
      <c r="Q87" s="651"/>
      <c r="S87" s="694">
        <f t="shared" si="7"/>
        <v>2070</v>
      </c>
      <c r="T87" s="695">
        <f>IF(Select2=1,Food!$W89,"")</f>
        <v>1.2042742230821688E-6</v>
      </c>
      <c r="U87" s="696">
        <f>IF(Select2=1,Paper!$W89,"")</f>
        <v>0.2252126617180939</v>
      </c>
      <c r="V87" s="686">
        <f>IF(Select2=1,Nappies!$W89,"")</f>
        <v>0</v>
      </c>
      <c r="W87" s="696">
        <f>IF(Select2=1,Garden!$W89,"")</f>
        <v>0</v>
      </c>
      <c r="X87" s="686">
        <f>IF(Select2=1,Wood!$W89,"")</f>
        <v>0.46407983417590121</v>
      </c>
      <c r="Y87" s="696">
        <f>IF(Select2=1,Textiles!$W89,"")</f>
        <v>2.8282520308783886E-2</v>
      </c>
      <c r="Z87" s="688">
        <f>Sludge!W89</f>
        <v>0</v>
      </c>
      <c r="AA87" s="688" t="str">
        <f>IF(Select2=2,MSW!$W89,"")</f>
        <v/>
      </c>
      <c r="AB87" s="697">
        <f>Industry!$W89</f>
        <v>0</v>
      </c>
      <c r="AC87" s="698">
        <f t="shared" si="5"/>
        <v>0.71757622047700209</v>
      </c>
      <c r="AD87" s="699">
        <f>Recovery_OX!R82</f>
        <v>0</v>
      </c>
      <c r="AE87" s="649"/>
      <c r="AF87" s="701">
        <f>(AC87-AD87)*(1-Recovery_OX!U82)</f>
        <v>0.71757622047700209</v>
      </c>
    </row>
    <row r="88" spans="2:32">
      <c r="B88" s="694">
        <f t="shared" si="6"/>
        <v>2071</v>
      </c>
      <c r="C88" s="695">
        <f>IF(Select2=1,Food!$K90,"")</f>
        <v>1.2065684001697949E-6</v>
      </c>
      <c r="D88" s="696">
        <f>IF(Select2=1,Paper!$K90,"")</f>
        <v>0.10163365667205156</v>
      </c>
      <c r="E88" s="686">
        <f>IF(Select2=1,Nappies!$K90,"")</f>
        <v>3.6154381302650148E-3</v>
      </c>
      <c r="F88" s="696">
        <f>IF(Select2=1,Garden!$K90,"")</f>
        <v>0</v>
      </c>
      <c r="G88" s="686">
        <f>IF(Select2=1,Wood!$K90,"")</f>
        <v>0</v>
      </c>
      <c r="H88" s="696">
        <f>IF(Select2=1,Textiles!$K90,"")</f>
        <v>2.4063033021888048E-2</v>
      </c>
      <c r="I88" s="697">
        <f>Sludge!K90</f>
        <v>0</v>
      </c>
      <c r="J88" s="697" t="str">
        <f>IF(Select2=2,MSW!$K90,"")</f>
        <v/>
      </c>
      <c r="K88" s="697">
        <f>Industry!$K90</f>
        <v>0</v>
      </c>
      <c r="L88" s="698">
        <f t="shared" si="8"/>
        <v>0.12931333439260478</v>
      </c>
      <c r="M88" s="699">
        <f>Recovery_OX!C83</f>
        <v>0</v>
      </c>
      <c r="N88" s="649"/>
      <c r="O88" s="700">
        <f>(L88-M88)*(1-Recovery_OX!F83)</f>
        <v>0.12931333439260478</v>
      </c>
      <c r="P88" s="640"/>
      <c r="Q88" s="651"/>
      <c r="S88" s="694">
        <f t="shared" si="7"/>
        <v>2071</v>
      </c>
      <c r="T88" s="695">
        <f>IF(Select2=1,Food!$W90,"")</f>
        <v>8.0724915265597331E-7</v>
      </c>
      <c r="U88" s="696">
        <f>IF(Select2=1,Paper!$W90,"")</f>
        <v>0.20998689395051973</v>
      </c>
      <c r="V88" s="686">
        <f>IF(Select2=1,Nappies!$W90,"")</f>
        <v>0</v>
      </c>
      <c r="W88" s="696">
        <f>IF(Select2=1,Garden!$W90,"")</f>
        <v>0</v>
      </c>
      <c r="X88" s="686">
        <f>IF(Select2=1,Wood!$W90,"")</f>
        <v>0.44811800145616354</v>
      </c>
      <c r="Y88" s="696">
        <f>IF(Select2=1,Textiles!$W90,"")</f>
        <v>2.6370447147274566E-2</v>
      </c>
      <c r="Z88" s="688">
        <f>Sludge!W90</f>
        <v>0</v>
      </c>
      <c r="AA88" s="688" t="str">
        <f>IF(Select2=2,MSW!$W90,"")</f>
        <v/>
      </c>
      <c r="AB88" s="697">
        <f>Industry!$W90</f>
        <v>0</v>
      </c>
      <c r="AC88" s="698">
        <f t="shared" si="5"/>
        <v>0.68447614980311045</v>
      </c>
      <c r="AD88" s="699">
        <f>Recovery_OX!R83</f>
        <v>0</v>
      </c>
      <c r="AE88" s="649"/>
      <c r="AF88" s="701">
        <f>(AC88-AD88)*(1-Recovery_OX!U83)</f>
        <v>0.68447614980311045</v>
      </c>
    </row>
    <row r="89" spans="2:32">
      <c r="B89" s="694">
        <f t="shared" si="6"/>
        <v>2072</v>
      </c>
      <c r="C89" s="695">
        <f>IF(Select2=1,Food!$K91,"")</f>
        <v>8.0878698554696464E-7</v>
      </c>
      <c r="D89" s="696">
        <f>IF(Select2=1,Paper!$K91,"")</f>
        <v>9.4762593375463805E-2</v>
      </c>
      <c r="E89" s="686">
        <f>IF(Select2=1,Nappies!$K91,"")</f>
        <v>3.0502179470856057E-3</v>
      </c>
      <c r="F89" s="696">
        <f>IF(Select2=1,Garden!$K91,"")</f>
        <v>0</v>
      </c>
      <c r="G89" s="686">
        <f>IF(Select2=1,Wood!$K91,"")</f>
        <v>0</v>
      </c>
      <c r="H89" s="696">
        <f>IF(Select2=1,Textiles!$K91,"")</f>
        <v>2.2436223277801169E-2</v>
      </c>
      <c r="I89" s="697">
        <f>Sludge!K91</f>
        <v>0</v>
      </c>
      <c r="J89" s="697" t="str">
        <f>IF(Select2=2,MSW!$K91,"")</f>
        <v/>
      </c>
      <c r="K89" s="697">
        <f>Industry!$K91</f>
        <v>0</v>
      </c>
      <c r="L89" s="698">
        <f t="shared" si="8"/>
        <v>0.12024984338733613</v>
      </c>
      <c r="M89" s="699">
        <f>Recovery_OX!C84</f>
        <v>0</v>
      </c>
      <c r="N89" s="649"/>
      <c r="O89" s="700">
        <f>(L89-M89)*(1-Recovery_OX!F84)</f>
        <v>0.12024984338733613</v>
      </c>
      <c r="P89" s="640"/>
      <c r="Q89" s="651"/>
      <c r="S89" s="694">
        <f t="shared" si="7"/>
        <v>2072</v>
      </c>
      <c r="T89" s="695">
        <f>IF(Select2=1,Food!$W91,"")</f>
        <v>5.4111528917058288E-7</v>
      </c>
      <c r="U89" s="696">
        <f>IF(Select2=1,Paper!$W91,"")</f>
        <v>0.19579048218071032</v>
      </c>
      <c r="V89" s="686">
        <f>IF(Select2=1,Nappies!$W91,"")</f>
        <v>0</v>
      </c>
      <c r="W89" s="696">
        <f>IF(Select2=1,Garden!$W91,"")</f>
        <v>0</v>
      </c>
      <c r="X89" s="686">
        <f>IF(Select2=1,Wood!$W91,"")</f>
        <v>0.4327051693285876</v>
      </c>
      <c r="Y89" s="696">
        <f>IF(Select2=1,Textiles!$W91,"")</f>
        <v>2.458764194827525E-2</v>
      </c>
      <c r="Z89" s="688">
        <f>Sludge!W91</f>
        <v>0</v>
      </c>
      <c r="AA89" s="688" t="str">
        <f>IF(Select2=2,MSW!$W91,"")</f>
        <v/>
      </c>
      <c r="AB89" s="697">
        <f>Industry!$W91</f>
        <v>0</v>
      </c>
      <c r="AC89" s="698">
        <f t="shared" si="5"/>
        <v>0.65308383457286234</v>
      </c>
      <c r="AD89" s="699">
        <f>Recovery_OX!R84</f>
        <v>0</v>
      </c>
      <c r="AE89" s="649"/>
      <c r="AF89" s="701">
        <f>(AC89-AD89)*(1-Recovery_OX!U84)</f>
        <v>0.65308383457286234</v>
      </c>
    </row>
    <row r="90" spans="2:32">
      <c r="B90" s="694">
        <f t="shared" si="6"/>
        <v>2073</v>
      </c>
      <c r="C90" s="695">
        <f>IF(Select2=1,Food!$K92,"")</f>
        <v>5.4214612938486721E-7</v>
      </c>
      <c r="D90" s="696">
        <f>IF(Select2=1,Paper!$K92,"")</f>
        <v>8.8356056421542817E-2</v>
      </c>
      <c r="E90" s="686">
        <f>IF(Select2=1,Nappies!$K92,"")</f>
        <v>2.5733615649069759E-3</v>
      </c>
      <c r="F90" s="696">
        <f>IF(Select2=1,Garden!$K92,"")</f>
        <v>0</v>
      </c>
      <c r="G90" s="686">
        <f>IF(Select2=1,Wood!$K92,"")</f>
        <v>0</v>
      </c>
      <c r="H90" s="696">
        <f>IF(Select2=1,Textiles!$K92,"")</f>
        <v>2.0919395926251791E-2</v>
      </c>
      <c r="I90" s="697">
        <f>Sludge!K92</f>
        <v>0</v>
      </c>
      <c r="J90" s="697" t="str">
        <f>IF(Select2=2,MSW!$K92,"")</f>
        <v/>
      </c>
      <c r="K90" s="697">
        <f>Industry!$K92</f>
        <v>0</v>
      </c>
      <c r="L90" s="698">
        <f t="shared" si="8"/>
        <v>0.11184935605883096</v>
      </c>
      <c r="M90" s="699">
        <f>Recovery_OX!C85</f>
        <v>0</v>
      </c>
      <c r="N90" s="649"/>
      <c r="O90" s="700">
        <f>(L90-M90)*(1-Recovery_OX!F85)</f>
        <v>0.11184935605883096</v>
      </c>
      <c r="P90" s="640"/>
      <c r="Q90" s="651"/>
      <c r="S90" s="694">
        <f t="shared" si="7"/>
        <v>2073</v>
      </c>
      <c r="T90" s="695">
        <f>IF(Select2=1,Food!$W92,"")</f>
        <v>3.6272042554741337E-7</v>
      </c>
      <c r="U90" s="696">
        <f>IF(Select2=1,Paper!$W92,"")</f>
        <v>0.18255383558170002</v>
      </c>
      <c r="V90" s="686">
        <f>IF(Select2=1,Nappies!$W92,"")</f>
        <v>0</v>
      </c>
      <c r="W90" s="696">
        <f>IF(Select2=1,Garden!$W92,"")</f>
        <v>0</v>
      </c>
      <c r="X90" s="686">
        <f>IF(Select2=1,Wood!$W92,"")</f>
        <v>0.41782245514633165</v>
      </c>
      <c r="Y90" s="696">
        <f>IF(Select2=1,Textiles!$W92,"")</f>
        <v>2.2925365398632092E-2</v>
      </c>
      <c r="Z90" s="688">
        <f>Sludge!W92</f>
        <v>0</v>
      </c>
      <c r="AA90" s="688" t="str">
        <f>IF(Select2=2,MSW!$W92,"")</f>
        <v/>
      </c>
      <c r="AB90" s="697">
        <f>Industry!$W92</f>
        <v>0</v>
      </c>
      <c r="AC90" s="698">
        <f t="shared" si="5"/>
        <v>0.62330201884708936</v>
      </c>
      <c r="AD90" s="699">
        <f>Recovery_OX!R85</f>
        <v>0</v>
      </c>
      <c r="AE90" s="649"/>
      <c r="AF90" s="701">
        <f>(AC90-AD90)*(1-Recovery_OX!U85)</f>
        <v>0.62330201884708936</v>
      </c>
    </row>
    <row r="91" spans="2:32">
      <c r="B91" s="694">
        <f t="shared" si="6"/>
        <v>2074</v>
      </c>
      <c r="C91" s="695">
        <f>IF(Select2=1,Food!$K93,"")</f>
        <v>3.6341141840730787E-7</v>
      </c>
      <c r="D91" s="696">
        <f>IF(Select2=1,Paper!$K93,"")</f>
        <v>8.2382640958707787E-2</v>
      </c>
      <c r="E91" s="686">
        <f>IF(Select2=1,Nappies!$K93,"")</f>
        <v>2.1710546126934268E-3</v>
      </c>
      <c r="F91" s="696">
        <f>IF(Select2=1,Garden!$K93,"")</f>
        <v>0</v>
      </c>
      <c r="G91" s="686">
        <f>IF(Select2=1,Wood!$K93,"")</f>
        <v>0</v>
      </c>
      <c r="H91" s="696">
        <f>IF(Select2=1,Textiles!$K93,"")</f>
        <v>1.9505115477802839E-2</v>
      </c>
      <c r="I91" s="697">
        <f>Sludge!K93</f>
        <v>0</v>
      </c>
      <c r="J91" s="697" t="str">
        <f>IF(Select2=2,MSW!$K93,"")</f>
        <v/>
      </c>
      <c r="K91" s="697">
        <f>Industry!$K93</f>
        <v>0</v>
      </c>
      <c r="L91" s="698">
        <f t="shared" si="8"/>
        <v>0.10405917446062246</v>
      </c>
      <c r="M91" s="699">
        <f>Recovery_OX!C86</f>
        <v>0</v>
      </c>
      <c r="N91" s="649"/>
      <c r="O91" s="700">
        <f>(L91-M91)*(1-Recovery_OX!F86)</f>
        <v>0.10405917446062246</v>
      </c>
      <c r="P91" s="640"/>
      <c r="Q91" s="651"/>
      <c r="S91" s="694">
        <f t="shared" si="7"/>
        <v>2074</v>
      </c>
      <c r="T91" s="695">
        <f>IF(Select2=1,Food!$W93,"")</f>
        <v>2.431387723510088E-7</v>
      </c>
      <c r="U91" s="696">
        <f>IF(Select2=1,Paper!$W93,"")</f>
        <v>0.17021206809650372</v>
      </c>
      <c r="V91" s="686">
        <f>IF(Select2=1,Nappies!$W93,"")</f>
        <v>0</v>
      </c>
      <c r="W91" s="696">
        <f>IF(Select2=1,Garden!$W93,"")</f>
        <v>0</v>
      </c>
      <c r="X91" s="686">
        <f>IF(Select2=1,Wood!$W93,"")</f>
        <v>0.40345162572333193</v>
      </c>
      <c r="Y91" s="696">
        <f>IF(Select2=1,Textiles!$W93,"")</f>
        <v>2.1375469016770232E-2</v>
      </c>
      <c r="Z91" s="688">
        <f>Sludge!W93</f>
        <v>0</v>
      </c>
      <c r="AA91" s="688" t="str">
        <f>IF(Select2=2,MSW!$W93,"")</f>
        <v/>
      </c>
      <c r="AB91" s="697">
        <f>Industry!$W93</f>
        <v>0</v>
      </c>
      <c r="AC91" s="698">
        <f t="shared" si="5"/>
        <v>0.59503940597537819</v>
      </c>
      <c r="AD91" s="699">
        <f>Recovery_OX!R86</f>
        <v>0</v>
      </c>
      <c r="AE91" s="649"/>
      <c r="AF91" s="701">
        <f>(AC91-AD91)*(1-Recovery_OX!U86)</f>
        <v>0.59503940597537819</v>
      </c>
    </row>
    <row r="92" spans="2:32">
      <c r="B92" s="694">
        <f t="shared" si="6"/>
        <v>2075</v>
      </c>
      <c r="C92" s="695">
        <f>IF(Select2=1,Food!$K94,"")</f>
        <v>2.4360195871666361E-7</v>
      </c>
      <c r="D92" s="696">
        <f>IF(Select2=1,Paper!$K94,"")</f>
        <v>7.6813065297429789E-2</v>
      </c>
      <c r="E92" s="686">
        <f>IF(Select2=1,Nappies!$K94,"")</f>
        <v>1.8316423916387328E-3</v>
      </c>
      <c r="F92" s="696">
        <f>IF(Select2=1,Garden!$K94,"")</f>
        <v>0</v>
      </c>
      <c r="G92" s="686">
        <f>IF(Select2=1,Wood!$K94,"")</f>
        <v>0</v>
      </c>
      <c r="H92" s="696">
        <f>IF(Select2=1,Textiles!$K94,"")</f>
        <v>1.8186449128055223E-2</v>
      </c>
      <c r="I92" s="697">
        <f>Sludge!K94</f>
        <v>0</v>
      </c>
      <c r="J92" s="697" t="str">
        <f>IF(Select2=2,MSW!$K94,"")</f>
        <v/>
      </c>
      <c r="K92" s="697">
        <f>Industry!$K94</f>
        <v>0</v>
      </c>
      <c r="L92" s="698">
        <f t="shared" si="8"/>
        <v>9.6831400419082461E-2</v>
      </c>
      <c r="M92" s="699">
        <f>Recovery_OX!C87</f>
        <v>0</v>
      </c>
      <c r="N92" s="649"/>
      <c r="O92" s="700">
        <f>(L92-M92)*(1-Recovery_OX!F87)</f>
        <v>9.6831400419082461E-2</v>
      </c>
      <c r="P92" s="640"/>
      <c r="Q92" s="651"/>
      <c r="S92" s="694">
        <f t="shared" si="7"/>
        <v>2075</v>
      </c>
      <c r="T92" s="695">
        <f>IF(Select2=1,Food!$W94,"")</f>
        <v>1.6298079307537705E-7</v>
      </c>
      <c r="U92" s="696">
        <f>IF(Select2=1,Paper!$W94,"")</f>
        <v>0.15870468036659047</v>
      </c>
      <c r="V92" s="686">
        <f>IF(Select2=1,Nappies!$W94,"")</f>
        <v>0</v>
      </c>
      <c r="W92" s="696">
        <f>IF(Select2=1,Garden!$W94,"")</f>
        <v>0</v>
      </c>
      <c r="X92" s="686">
        <f>IF(Select2=1,Wood!$W94,"")</f>
        <v>0.38957507499636984</v>
      </c>
      <c r="Y92" s="696">
        <f>IF(Select2=1,Textiles!$W94,"")</f>
        <v>1.993035520882764E-2</v>
      </c>
      <c r="Z92" s="688">
        <f>Sludge!W94</f>
        <v>0</v>
      </c>
      <c r="AA92" s="688" t="str">
        <f>IF(Select2=2,MSW!$W94,"")</f>
        <v/>
      </c>
      <c r="AB92" s="697">
        <f>Industry!$W94</f>
        <v>0</v>
      </c>
      <c r="AC92" s="698">
        <f t="shared" si="5"/>
        <v>0.56821027355258114</v>
      </c>
      <c r="AD92" s="699">
        <f>Recovery_OX!R87</f>
        <v>0</v>
      </c>
      <c r="AE92" s="649"/>
      <c r="AF92" s="701">
        <f>(AC92-AD92)*(1-Recovery_OX!U87)</f>
        <v>0.56821027355258114</v>
      </c>
    </row>
    <row r="93" spans="2:32">
      <c r="B93" s="694">
        <f t="shared" si="6"/>
        <v>2076</v>
      </c>
      <c r="C93" s="695">
        <f>IF(Select2=1,Food!$K95,"")</f>
        <v>1.6329127618132585E-7</v>
      </c>
      <c r="D93" s="696">
        <f>IF(Select2=1,Paper!$K95,"")</f>
        <v>7.1620027371355588E-2</v>
      </c>
      <c r="E93" s="686">
        <f>IF(Select2=1,Nappies!$K95,"")</f>
        <v>1.5452922424120529E-3</v>
      </c>
      <c r="F93" s="696">
        <f>IF(Select2=1,Garden!$K95,"")</f>
        <v>0</v>
      </c>
      <c r="G93" s="686">
        <f>IF(Select2=1,Wood!$K95,"")</f>
        <v>0</v>
      </c>
      <c r="H93" s="696">
        <f>IF(Select2=1,Textiles!$K95,"")</f>
        <v>1.6956932773032611E-2</v>
      </c>
      <c r="I93" s="697">
        <f>Sludge!K95</f>
        <v>0</v>
      </c>
      <c r="J93" s="697" t="str">
        <f>IF(Select2=2,MSW!$K95,"")</f>
        <v/>
      </c>
      <c r="K93" s="697">
        <f>Industry!$K95</f>
        <v>0</v>
      </c>
      <c r="L93" s="698">
        <f t="shared" si="8"/>
        <v>9.012241567807644E-2</v>
      </c>
      <c r="M93" s="699">
        <f>Recovery_OX!C88</f>
        <v>0</v>
      </c>
      <c r="N93" s="649"/>
      <c r="O93" s="700">
        <f>(L93-M93)*(1-Recovery_OX!F88)</f>
        <v>9.012241567807644E-2</v>
      </c>
      <c r="P93" s="640"/>
      <c r="Q93" s="651"/>
      <c r="S93" s="694">
        <f t="shared" si="7"/>
        <v>2076</v>
      </c>
      <c r="T93" s="695">
        <f>IF(Select2=1,Food!$W95,"")</f>
        <v>1.0924929271721176E-7</v>
      </c>
      <c r="U93" s="696">
        <f>IF(Select2=1,Paper!$W95,"")</f>
        <v>0.14797526316395784</v>
      </c>
      <c r="V93" s="686">
        <f>IF(Select2=1,Nappies!$W95,"")</f>
        <v>0</v>
      </c>
      <c r="W93" s="696">
        <f>IF(Select2=1,Garden!$W95,"")</f>
        <v>0</v>
      </c>
      <c r="X93" s="686">
        <f>IF(Select2=1,Wood!$W95,"")</f>
        <v>0.37617580245544235</v>
      </c>
      <c r="Y93" s="696">
        <f>IF(Select2=1,Textiles!$W95,"")</f>
        <v>1.8582940025241215E-2</v>
      </c>
      <c r="Z93" s="688">
        <f>Sludge!W95</f>
        <v>0</v>
      </c>
      <c r="AA93" s="688" t="str">
        <f>IF(Select2=2,MSW!$W95,"")</f>
        <v/>
      </c>
      <c r="AB93" s="697">
        <f>Industry!$W95</f>
        <v>0</v>
      </c>
      <c r="AC93" s="698">
        <f t="shared" si="5"/>
        <v>0.54273411489393408</v>
      </c>
      <c r="AD93" s="699">
        <f>Recovery_OX!R88</f>
        <v>0</v>
      </c>
      <c r="AE93" s="649"/>
      <c r="AF93" s="701">
        <f>(AC93-AD93)*(1-Recovery_OX!U88)</f>
        <v>0.54273411489393408</v>
      </c>
    </row>
    <row r="94" spans="2:32">
      <c r="B94" s="694">
        <f t="shared" si="6"/>
        <v>2077</v>
      </c>
      <c r="C94" s="695">
        <f>IF(Select2=1,Food!$K96,"")</f>
        <v>1.0945741576708467E-7</v>
      </c>
      <c r="D94" s="696">
        <f>IF(Select2=1,Paper!$K96,"")</f>
        <v>6.677807090254681E-2</v>
      </c>
      <c r="E94" s="686">
        <f>IF(Select2=1,Nappies!$K96,"")</f>
        <v>1.303708696282379E-3</v>
      </c>
      <c r="F94" s="696">
        <f>IF(Select2=1,Garden!$K96,"")</f>
        <v>0</v>
      </c>
      <c r="G94" s="686">
        <f>IF(Select2=1,Wood!$K96,"")</f>
        <v>0</v>
      </c>
      <c r="H94" s="696">
        <f>IF(Select2=1,Textiles!$K96,"")</f>
        <v>1.5810539322136243E-2</v>
      </c>
      <c r="I94" s="697">
        <f>Sludge!K96</f>
        <v>0</v>
      </c>
      <c r="J94" s="697" t="str">
        <f>IF(Select2=2,MSW!$K96,"")</f>
        <v/>
      </c>
      <c r="K94" s="697">
        <f>Industry!$K96</f>
        <v>0</v>
      </c>
      <c r="L94" s="698">
        <f t="shared" si="8"/>
        <v>8.3892428378381206E-2</v>
      </c>
      <c r="M94" s="699">
        <f>Recovery_OX!C89</f>
        <v>0</v>
      </c>
      <c r="N94" s="649"/>
      <c r="O94" s="700">
        <f>(L94-M94)*(1-Recovery_OX!F89)</f>
        <v>8.3892428378381206E-2</v>
      </c>
      <c r="P94" s="640"/>
      <c r="Q94" s="651"/>
      <c r="S94" s="694">
        <f t="shared" si="7"/>
        <v>2077</v>
      </c>
      <c r="T94" s="695">
        <f>IF(Select2=1,Food!$W96,"")</f>
        <v>7.3231990923562421E-8</v>
      </c>
      <c r="U94" s="696">
        <f>IF(Select2=1,Paper!$W96,"")</f>
        <v>0.1379712208730306</v>
      </c>
      <c r="V94" s="686">
        <f>IF(Select2=1,Nappies!$W96,"")</f>
        <v>0</v>
      </c>
      <c r="W94" s="696">
        <f>IF(Select2=1,Garden!$W96,"")</f>
        <v>0</v>
      </c>
      <c r="X94" s="686">
        <f>IF(Select2=1,Wood!$W96,"")</f>
        <v>0.36323739231601149</v>
      </c>
      <c r="Y94" s="696">
        <f>IF(Select2=1,Textiles!$W96,"")</f>
        <v>1.7326618435217794E-2</v>
      </c>
      <c r="Z94" s="688">
        <f>Sludge!W96</f>
        <v>0</v>
      </c>
      <c r="AA94" s="688" t="str">
        <f>IF(Select2=2,MSW!$W96,"")</f>
        <v/>
      </c>
      <c r="AB94" s="697">
        <f>Industry!$W96</f>
        <v>0</v>
      </c>
      <c r="AC94" s="698">
        <f t="shared" si="5"/>
        <v>0.51853530485625077</v>
      </c>
      <c r="AD94" s="699">
        <f>Recovery_OX!R89</f>
        <v>0</v>
      </c>
      <c r="AE94" s="649"/>
      <c r="AF94" s="701">
        <f>(AC94-AD94)*(1-Recovery_OX!U89)</f>
        <v>0.51853530485625077</v>
      </c>
    </row>
    <row r="95" spans="2:32">
      <c r="B95" s="694">
        <f t="shared" si="6"/>
        <v>2078</v>
      </c>
      <c r="C95" s="695">
        <f>IF(Select2=1,Food!$K97,"")</f>
        <v>7.3371499975934301E-8</v>
      </c>
      <c r="D95" s="696">
        <f>IF(Select2=1,Paper!$K97,"")</f>
        <v>6.2263460614775869E-2</v>
      </c>
      <c r="E95" s="686">
        <f>IF(Select2=1,Nappies!$K97,"")</f>
        <v>1.0998931581441837E-3</v>
      </c>
      <c r="F95" s="696">
        <f>IF(Select2=1,Garden!$K97,"")</f>
        <v>0</v>
      </c>
      <c r="G95" s="686">
        <f>IF(Select2=1,Wood!$K97,"")</f>
        <v>0</v>
      </c>
      <c r="H95" s="696">
        <f>IF(Select2=1,Textiles!$K97,"")</f>
        <v>1.4741649153339816E-2</v>
      </c>
      <c r="I95" s="697">
        <f>Sludge!K97</f>
        <v>0</v>
      </c>
      <c r="J95" s="697" t="str">
        <f>IF(Select2=2,MSW!$K97,"")</f>
        <v/>
      </c>
      <c r="K95" s="697">
        <f>Industry!$K97</f>
        <v>0</v>
      </c>
      <c r="L95" s="698">
        <f t="shared" si="8"/>
        <v>7.810507629775984E-2</v>
      </c>
      <c r="M95" s="699">
        <f>Recovery_OX!C90</f>
        <v>0</v>
      </c>
      <c r="N95" s="649"/>
      <c r="O95" s="700">
        <f>(L95-M95)*(1-Recovery_OX!F90)</f>
        <v>7.810507629775984E-2</v>
      </c>
      <c r="P95" s="640"/>
      <c r="Q95" s="651"/>
      <c r="S95" s="694">
        <f t="shared" si="7"/>
        <v>2078</v>
      </c>
      <c r="T95" s="695">
        <f>IF(Select2=1,Food!$W97,"")</f>
        <v>4.9088871527163884E-8</v>
      </c>
      <c r="U95" s="696">
        <f>IF(Select2=1,Paper!$W97,"")</f>
        <v>0.12864351366689231</v>
      </c>
      <c r="V95" s="686">
        <f>IF(Select2=1,Nappies!$W97,"")</f>
        <v>0</v>
      </c>
      <c r="W95" s="696">
        <f>IF(Select2=1,Garden!$W97,"")</f>
        <v>0</v>
      </c>
      <c r="X95" s="686">
        <f>IF(Select2=1,Wood!$W97,"")</f>
        <v>0.35074399340761531</v>
      </c>
      <c r="Y95" s="696">
        <f>IF(Select2=1,Textiles!$W97,"")</f>
        <v>1.6155231948865541E-2</v>
      </c>
      <c r="Z95" s="688">
        <f>Sludge!W97</f>
        <v>0</v>
      </c>
      <c r="AA95" s="688" t="str">
        <f>IF(Select2=2,MSW!$W97,"")</f>
        <v/>
      </c>
      <c r="AB95" s="697">
        <f>Industry!$W97</f>
        <v>0</v>
      </c>
      <c r="AC95" s="698">
        <f t="shared" si="5"/>
        <v>0.49554278811224467</v>
      </c>
      <c r="AD95" s="699">
        <f>Recovery_OX!R90</f>
        <v>0</v>
      </c>
      <c r="AE95" s="649"/>
      <c r="AF95" s="701">
        <f>(AC95-AD95)*(1-Recovery_OX!U90)</f>
        <v>0.49554278811224467</v>
      </c>
    </row>
    <row r="96" spans="2:32">
      <c r="B96" s="694">
        <f t="shared" si="6"/>
        <v>2079</v>
      </c>
      <c r="C96" s="695">
        <f>IF(Select2=1,Food!$K98,"")</f>
        <v>4.9182387241572193E-8</v>
      </c>
      <c r="D96" s="696">
        <f>IF(Select2=1,Paper!$K98,"")</f>
        <v>5.8054065883174438E-2</v>
      </c>
      <c r="E96" s="686">
        <f>IF(Select2=1,Nappies!$K98,"")</f>
        <v>9.2794115954133007E-4</v>
      </c>
      <c r="F96" s="696">
        <f>IF(Select2=1,Garden!$K98,"")</f>
        <v>0</v>
      </c>
      <c r="G96" s="686">
        <f>IF(Select2=1,Wood!$K98,"")</f>
        <v>0</v>
      </c>
      <c r="H96" s="696">
        <f>IF(Select2=1,Textiles!$K98,"")</f>
        <v>1.3745022565795796E-2</v>
      </c>
      <c r="I96" s="697">
        <f>Sludge!K98</f>
        <v>0</v>
      </c>
      <c r="J96" s="697" t="str">
        <f>IF(Select2=2,MSW!$K98,"")</f>
        <v/>
      </c>
      <c r="K96" s="697">
        <f>Industry!$K98</f>
        <v>0</v>
      </c>
      <c r="L96" s="698">
        <f t="shared" si="8"/>
        <v>7.2727078790898805E-2</v>
      </c>
      <c r="M96" s="699">
        <f>Recovery_OX!C91</f>
        <v>0</v>
      </c>
      <c r="N96" s="649"/>
      <c r="O96" s="700">
        <f>(L96-M96)*(1-Recovery_OX!F91)</f>
        <v>7.2727078790898805E-2</v>
      </c>
      <c r="P96" s="638"/>
      <c r="S96" s="694">
        <f t="shared" si="7"/>
        <v>2079</v>
      </c>
      <c r="T96" s="695">
        <f>IF(Select2=1,Food!$W98,"")</f>
        <v>3.2905254621926077E-8</v>
      </c>
      <c r="U96" s="696">
        <f>IF(Select2=1,Paper!$W98,"")</f>
        <v>0.11994641711399678</v>
      </c>
      <c r="V96" s="686">
        <f>IF(Select2=1,Nappies!$W98,"")</f>
        <v>0</v>
      </c>
      <c r="W96" s="696">
        <f>IF(Select2=1,Garden!$W98,"")</f>
        <v>0</v>
      </c>
      <c r="X96" s="686">
        <f>IF(Select2=1,Wood!$W98,"")</f>
        <v>0.33868029975420144</v>
      </c>
      <c r="Y96" s="696">
        <f>IF(Select2=1,Textiles!$W98,"")</f>
        <v>1.506303842826936E-2</v>
      </c>
      <c r="Z96" s="688">
        <f>Sludge!W98</f>
        <v>0</v>
      </c>
      <c r="AA96" s="688" t="str">
        <f>IF(Select2=2,MSW!$W98,"")</f>
        <v/>
      </c>
      <c r="AB96" s="697">
        <f>Industry!$W98</f>
        <v>0</v>
      </c>
      <c r="AC96" s="698">
        <f t="shared" si="5"/>
        <v>0.4736897882017222</v>
      </c>
      <c r="AD96" s="699">
        <f>Recovery_OX!R91</f>
        <v>0</v>
      </c>
      <c r="AE96" s="649"/>
      <c r="AF96" s="701">
        <f>(AC96-AD96)*(1-Recovery_OX!U91)</f>
        <v>0.4736897882017222</v>
      </c>
    </row>
    <row r="97" spans="2:32" ht="13.5" thickBot="1">
      <c r="B97" s="702">
        <f t="shared" si="6"/>
        <v>2080</v>
      </c>
      <c r="C97" s="703">
        <f>IF(Select2=1,Food!$K99,"")</f>
        <v>3.2967940079913312E-8</v>
      </c>
      <c r="D97" s="704">
        <f>IF(Select2=1,Paper!$K99,"")</f>
        <v>5.4129252249884602E-2</v>
      </c>
      <c r="E97" s="704">
        <f>IF(Select2=1,Nappies!$K99,"")</f>
        <v>7.8287130817667188E-4</v>
      </c>
      <c r="F97" s="704">
        <f>IF(Select2=1,Garden!$K99,"")</f>
        <v>0</v>
      </c>
      <c r="G97" s="704">
        <f>IF(Select2=1,Wood!$K99,"")</f>
        <v>0</v>
      </c>
      <c r="H97" s="704">
        <f>IF(Select2=1,Textiles!$K99,"")</f>
        <v>1.28157740948158E-2</v>
      </c>
      <c r="I97" s="705">
        <f>Sludge!K99</f>
        <v>0</v>
      </c>
      <c r="J97" s="705" t="str">
        <f>IF(Select2=2,MSW!$K99,"")</f>
        <v/>
      </c>
      <c r="K97" s="697">
        <f>Industry!$K99</f>
        <v>0</v>
      </c>
      <c r="L97" s="698">
        <f t="shared" si="8"/>
        <v>6.7727930620817153E-2</v>
      </c>
      <c r="M97" s="706">
        <f>Recovery_OX!C92</f>
        <v>0</v>
      </c>
      <c r="N97" s="649"/>
      <c r="O97" s="707">
        <f>(L97-M97)*(1-Recovery_OX!F92)</f>
        <v>6.7727930620817153E-2</v>
      </c>
      <c r="S97" s="702">
        <f t="shared" si="7"/>
        <v>2080</v>
      </c>
      <c r="T97" s="703">
        <f>IF(Select2=1,Food!$W99,"")</f>
        <v>2.2057051792983924E-8</v>
      </c>
      <c r="U97" s="704">
        <f>IF(Select2=1,Paper!$W99,"")</f>
        <v>0.11183729803695165</v>
      </c>
      <c r="V97" s="704">
        <f>IF(Select2=1,Nappies!$W99,"")</f>
        <v>0</v>
      </c>
      <c r="W97" s="704">
        <f>IF(Select2=1,Garden!$W99,"")</f>
        <v>0</v>
      </c>
      <c r="X97" s="704">
        <f>IF(Select2=1,Wood!$W99,"")</f>
        <v>0.32703153182239308</v>
      </c>
      <c r="Y97" s="704">
        <f>IF(Select2=1,Textiles!$W99,"")</f>
        <v>1.4044683939524159E-2</v>
      </c>
      <c r="Z97" s="705">
        <f>Sludge!W99</f>
        <v>0</v>
      </c>
      <c r="AA97" s="705" t="str">
        <f>IF(Select2=2,MSW!$W99,"")</f>
        <v/>
      </c>
      <c r="AB97" s="697">
        <f>Industry!$W99</f>
        <v>0</v>
      </c>
      <c r="AC97" s="708">
        <f t="shared" si="5"/>
        <v>0.4529135358559207</v>
      </c>
      <c r="AD97" s="706">
        <f>Recovery_OX!R92</f>
        <v>0</v>
      </c>
      <c r="AE97" s="649"/>
      <c r="AF97" s="709">
        <f>(AC97-AD97)*(1-Recovery_OX!U92)</f>
        <v>0.4529135358559207</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432" customWidth="1"/>
    <col min="14" max="14" width="9.85546875" style="432" customWidth="1"/>
    <col min="15" max="15" width="8.7109375" style="432" customWidth="1"/>
    <col min="16" max="16384" width="11.42578125" style="6"/>
  </cols>
  <sheetData>
    <row r="2" spans="2:15" s="430" customFormat="1">
      <c r="B2" s="430" t="s">
        <v>282</v>
      </c>
      <c r="M2" s="431"/>
      <c r="N2" s="431"/>
      <c r="O2" s="431"/>
    </row>
    <row r="4" spans="2:15">
      <c r="B4" s="6" t="s">
        <v>283</v>
      </c>
    </row>
    <row r="7" spans="2:15" ht="13.5" thickBot="1"/>
    <row r="8" spans="2:15" ht="13.5" thickBot="1">
      <c r="B8" s="433"/>
      <c r="C8" s="946" t="s">
        <v>284</v>
      </c>
      <c r="D8" s="947"/>
      <c r="E8" s="948"/>
      <c r="F8" s="946" t="s">
        <v>285</v>
      </c>
      <c r="G8" s="947"/>
      <c r="H8" s="949"/>
      <c r="I8" s="434"/>
      <c r="J8" s="946" t="s">
        <v>286</v>
      </c>
      <c r="K8" s="947"/>
      <c r="L8" s="949"/>
      <c r="M8" s="950" t="s">
        <v>287</v>
      </c>
      <c r="N8" s="951"/>
      <c r="O8" s="952"/>
    </row>
    <row r="9" spans="2:15" ht="26.25" thickBot="1">
      <c r="B9" s="147" t="s">
        <v>1</v>
      </c>
      <c r="C9" s="435" t="s">
        <v>288</v>
      </c>
      <c r="D9" s="436" t="s">
        <v>289</v>
      </c>
      <c r="E9" s="437" t="s">
        <v>290</v>
      </c>
      <c r="F9" s="438" t="s">
        <v>288</v>
      </c>
      <c r="G9" s="439" t="s">
        <v>289</v>
      </c>
      <c r="H9" s="440" t="s">
        <v>290</v>
      </c>
      <c r="I9" s="434"/>
      <c r="J9" s="438" t="s">
        <v>261</v>
      </c>
      <c r="K9" s="439" t="s">
        <v>262</v>
      </c>
      <c r="L9" s="440" t="s">
        <v>2</v>
      </c>
      <c r="M9" s="441" t="s">
        <v>261</v>
      </c>
      <c r="N9" s="442" t="s">
        <v>262</v>
      </c>
      <c r="O9" s="443" t="s">
        <v>2</v>
      </c>
    </row>
    <row r="10" spans="2:15" ht="13.5" thickBot="1">
      <c r="B10" s="123"/>
      <c r="C10" s="444" t="s">
        <v>15</v>
      </c>
      <c r="D10" s="445" t="s">
        <v>15</v>
      </c>
      <c r="E10" s="446" t="s">
        <v>15</v>
      </c>
      <c r="F10" s="447" t="s">
        <v>15</v>
      </c>
      <c r="G10" s="445" t="s">
        <v>15</v>
      </c>
      <c r="H10" s="446" t="s">
        <v>15</v>
      </c>
      <c r="I10" s="448"/>
      <c r="J10" s="447" t="s">
        <v>15</v>
      </c>
      <c r="K10" s="445" t="s">
        <v>15</v>
      </c>
      <c r="L10" s="446" t="s">
        <v>15</v>
      </c>
      <c r="M10" s="447" t="s">
        <v>15</v>
      </c>
      <c r="N10" s="445" t="s">
        <v>15</v>
      </c>
      <c r="O10" s="446" t="s">
        <v>15</v>
      </c>
    </row>
    <row r="11" spans="2:15" ht="13.5" thickBot="1">
      <c r="B11" s="449"/>
      <c r="C11" s="450"/>
      <c r="D11" s="451"/>
      <c r="E11" s="452"/>
      <c r="F11" s="453"/>
      <c r="G11" s="454"/>
      <c r="H11" s="28"/>
      <c r="I11" s="455"/>
      <c r="J11" s="456"/>
      <c r="K11" s="457"/>
      <c r="L11" s="458"/>
      <c r="M11" s="459"/>
      <c r="N11" s="451"/>
      <c r="O11" s="452"/>
    </row>
    <row r="12" spans="2:15">
      <c r="B12" s="460">
        <v>1950</v>
      </c>
      <c r="C12" s="461">
        <f>Stored_C!E18</f>
        <v>0</v>
      </c>
      <c r="D12" s="462">
        <f>Stored_C!F18+Stored_C!L18</f>
        <v>0.57299748078295798</v>
      </c>
      <c r="E12" s="463">
        <f>Stored_C!G18+Stored_C!M18</f>
        <v>0.47272292164594037</v>
      </c>
      <c r="F12" s="464">
        <f>F11+HWP!C12</f>
        <v>0</v>
      </c>
      <c r="G12" s="462">
        <f>G11+HWP!D12</f>
        <v>0.57299748078295798</v>
      </c>
      <c r="H12" s="463">
        <f>H11+HWP!E12</f>
        <v>0.47272292164594037</v>
      </c>
      <c r="I12" s="455"/>
      <c r="J12" s="465">
        <f>Garden!J19</f>
        <v>0</v>
      </c>
      <c r="K12" s="466">
        <f>Paper!J19</f>
        <v>0</v>
      </c>
      <c r="L12" s="467">
        <f>Wood!J19</f>
        <v>0</v>
      </c>
      <c r="M12" s="468">
        <f>J12*(1-Recovery_OX!E12)*(1-Recovery_OX!F12)</f>
        <v>0</v>
      </c>
      <c r="N12" s="466">
        <f>K12*(1-Recovery_OX!E12)*(1-Recovery_OX!F12)</f>
        <v>0</v>
      </c>
      <c r="O12" s="467">
        <f>L12*(1-Recovery_OX!E12)*(1-Recovery_OX!F12)</f>
        <v>0</v>
      </c>
    </row>
    <row r="13" spans="2:15">
      <c r="B13" s="469">
        <f>B12+1</f>
        <v>1951</v>
      </c>
      <c r="C13" s="470">
        <f>Stored_C!E19</f>
        <v>0</v>
      </c>
      <c r="D13" s="471">
        <f>Stored_C!F19+Stored_C!L19</f>
        <v>0.58033823944766993</v>
      </c>
      <c r="E13" s="472">
        <f>Stored_C!G19+Stored_C!M19</f>
        <v>0.47877904754432771</v>
      </c>
      <c r="F13" s="473">
        <f>F12+HWP!C13</f>
        <v>0</v>
      </c>
      <c r="G13" s="471">
        <f>G12+HWP!D13</f>
        <v>1.1533357202306278</v>
      </c>
      <c r="H13" s="472">
        <f>H12+HWP!E13</f>
        <v>0.95150196919026808</v>
      </c>
      <c r="I13" s="455"/>
      <c r="J13" s="474">
        <f>Garden!J20</f>
        <v>0</v>
      </c>
      <c r="K13" s="475">
        <f>Paper!J20</f>
        <v>0</v>
      </c>
      <c r="L13" s="476">
        <f>Wood!J20</f>
        <v>0</v>
      </c>
      <c r="M13" s="477">
        <f>J13*(1-Recovery_OX!E13)*(1-Recovery_OX!F13)</f>
        <v>0</v>
      </c>
      <c r="N13" s="475">
        <f>K13*(1-Recovery_OX!E13)*(1-Recovery_OX!F13)</f>
        <v>0</v>
      </c>
      <c r="O13" s="476">
        <f>L13*(1-Recovery_OX!E13)*(1-Recovery_OX!F13)</f>
        <v>0</v>
      </c>
    </row>
    <row r="14" spans="2:15">
      <c r="B14" s="469">
        <f t="shared" ref="B14:B77" si="0">B13+1</f>
        <v>1952</v>
      </c>
      <c r="C14" s="470">
        <f>Stored_C!E20</f>
        <v>0</v>
      </c>
      <c r="D14" s="471">
        <f>Stored_C!F20+Stored_C!L20</f>
        <v>0.59341555030758009</v>
      </c>
      <c r="E14" s="472">
        <f>Stored_C!G20+Stored_C!M20</f>
        <v>0.48956782900375351</v>
      </c>
      <c r="F14" s="473">
        <f>F13+HWP!C14</f>
        <v>0</v>
      </c>
      <c r="G14" s="471">
        <f>G13+HWP!D14</f>
        <v>1.746751270538208</v>
      </c>
      <c r="H14" s="472">
        <f>H13+HWP!E14</f>
        <v>1.4410697981940217</v>
      </c>
      <c r="I14" s="455"/>
      <c r="J14" s="474">
        <f>Garden!J21</f>
        <v>0</v>
      </c>
      <c r="K14" s="475">
        <f>Paper!J21</f>
        <v>0</v>
      </c>
      <c r="L14" s="476">
        <f>Wood!J21</f>
        <v>0</v>
      </c>
      <c r="M14" s="477">
        <f>J14*(1-Recovery_OX!E14)*(1-Recovery_OX!F14)</f>
        <v>0</v>
      </c>
      <c r="N14" s="475">
        <f>K14*(1-Recovery_OX!E14)*(1-Recovery_OX!F14)</f>
        <v>0</v>
      </c>
      <c r="O14" s="476">
        <f>L14*(1-Recovery_OX!E14)*(1-Recovery_OX!F14)</f>
        <v>0</v>
      </c>
    </row>
    <row r="15" spans="2:15">
      <c r="B15" s="469">
        <f t="shared" si="0"/>
        <v>1953</v>
      </c>
      <c r="C15" s="470">
        <f>Stored_C!E21</f>
        <v>0</v>
      </c>
      <c r="D15" s="471">
        <f>Stored_C!F21+Stored_C!L21</f>
        <v>0.60396331347719401</v>
      </c>
      <c r="E15" s="472">
        <f>Stored_C!G21+Stored_C!M21</f>
        <v>0.4982697336186851</v>
      </c>
      <c r="F15" s="473">
        <f>F14+HWP!C15</f>
        <v>0</v>
      </c>
      <c r="G15" s="471">
        <f>G14+HWP!D15</f>
        <v>2.3507145840154022</v>
      </c>
      <c r="H15" s="472">
        <f>H14+HWP!E15</f>
        <v>1.9393395318127067</v>
      </c>
      <c r="I15" s="455"/>
      <c r="J15" s="474">
        <f>Garden!J22</f>
        <v>0</v>
      </c>
      <c r="K15" s="475">
        <f>Paper!J22</f>
        <v>0</v>
      </c>
      <c r="L15" s="476">
        <f>Wood!J22</f>
        <v>0</v>
      </c>
      <c r="M15" s="477">
        <f>J15*(1-Recovery_OX!E15)*(1-Recovery_OX!F15)</f>
        <v>0</v>
      </c>
      <c r="N15" s="475">
        <f>K15*(1-Recovery_OX!E15)*(1-Recovery_OX!F15)</f>
        <v>0</v>
      </c>
      <c r="O15" s="476">
        <f>L15*(1-Recovery_OX!E15)*(1-Recovery_OX!F15)</f>
        <v>0</v>
      </c>
    </row>
    <row r="16" spans="2:15">
      <c r="B16" s="469">
        <f t="shared" si="0"/>
        <v>1954</v>
      </c>
      <c r="C16" s="470">
        <f>Stored_C!E22</f>
        <v>0</v>
      </c>
      <c r="D16" s="471">
        <f>Stored_C!F22+Stored_C!L22</f>
        <v>0.60719426136223797</v>
      </c>
      <c r="E16" s="472">
        <f>Stored_C!G22+Stored_C!M22</f>
        <v>0.50093526562384638</v>
      </c>
      <c r="F16" s="473">
        <f>F15+HWP!C16</f>
        <v>0</v>
      </c>
      <c r="G16" s="471">
        <f>G15+HWP!D16</f>
        <v>2.9579088453776401</v>
      </c>
      <c r="H16" s="472">
        <f>H15+HWP!E16</f>
        <v>2.4402747974365528</v>
      </c>
      <c r="I16" s="455"/>
      <c r="J16" s="474">
        <f>Garden!J23</f>
        <v>0</v>
      </c>
      <c r="K16" s="475">
        <f>Paper!J23</f>
        <v>0</v>
      </c>
      <c r="L16" s="476">
        <f>Wood!J23</f>
        <v>0</v>
      </c>
      <c r="M16" s="477">
        <f>J16*(1-Recovery_OX!E16)*(1-Recovery_OX!F16)</f>
        <v>0</v>
      </c>
      <c r="N16" s="475">
        <f>K16*(1-Recovery_OX!E16)*(1-Recovery_OX!F16)</f>
        <v>0</v>
      </c>
      <c r="O16" s="476">
        <f>L16*(1-Recovery_OX!E16)*(1-Recovery_OX!F16)</f>
        <v>0</v>
      </c>
    </row>
    <row r="17" spans="2:15">
      <c r="B17" s="469">
        <f t="shared" si="0"/>
        <v>1955</v>
      </c>
      <c r="C17" s="470">
        <f>Stored_C!E23</f>
        <v>0</v>
      </c>
      <c r="D17" s="471">
        <f>Stored_C!F23+Stored_C!L23</f>
        <v>0.67256954818878012</v>
      </c>
      <c r="E17" s="472">
        <f>Stored_C!G23+Stored_C!M23</f>
        <v>0.55486987725574355</v>
      </c>
      <c r="F17" s="473">
        <f>F16+HWP!C17</f>
        <v>0</v>
      </c>
      <c r="G17" s="471">
        <f>G16+HWP!D17</f>
        <v>3.6304783935664204</v>
      </c>
      <c r="H17" s="472">
        <f>H16+HWP!E17</f>
        <v>2.9951446746922965</v>
      </c>
      <c r="I17" s="455"/>
      <c r="J17" s="474">
        <f>Garden!J24</f>
        <v>0</v>
      </c>
      <c r="K17" s="475">
        <f>Paper!J24</f>
        <v>0</v>
      </c>
      <c r="L17" s="476">
        <f>Wood!J24</f>
        <v>0</v>
      </c>
      <c r="M17" s="477">
        <f>J17*(1-Recovery_OX!E17)*(1-Recovery_OX!F17)</f>
        <v>0</v>
      </c>
      <c r="N17" s="475">
        <f>K17*(1-Recovery_OX!E17)*(1-Recovery_OX!F17)</f>
        <v>0</v>
      </c>
      <c r="O17" s="476">
        <f>L17*(1-Recovery_OX!E17)*(1-Recovery_OX!F17)</f>
        <v>0</v>
      </c>
    </row>
    <row r="18" spans="2:15">
      <c r="B18" s="469">
        <f t="shared" si="0"/>
        <v>1956</v>
      </c>
      <c r="C18" s="470">
        <f>Stored_C!E24</f>
        <v>0</v>
      </c>
      <c r="D18" s="471">
        <f>Stored_C!F24+Stored_C!L24</f>
        <v>0.68640459660847819</v>
      </c>
      <c r="E18" s="472">
        <f>Stored_C!G24+Stored_C!M24</f>
        <v>0.56628379220199443</v>
      </c>
      <c r="F18" s="473">
        <f>F17+HWP!C18</f>
        <v>0</v>
      </c>
      <c r="G18" s="471">
        <f>G17+HWP!D18</f>
        <v>4.3168829901748982</v>
      </c>
      <c r="H18" s="472">
        <f>H17+HWP!E18</f>
        <v>3.561428466894291</v>
      </c>
      <c r="I18" s="455"/>
      <c r="J18" s="474">
        <f>Garden!J25</f>
        <v>0</v>
      </c>
      <c r="K18" s="475">
        <f>Paper!J25</f>
        <v>0</v>
      </c>
      <c r="L18" s="476">
        <f>Wood!J25</f>
        <v>0</v>
      </c>
      <c r="M18" s="477">
        <f>J18*(1-Recovery_OX!E18)*(1-Recovery_OX!F18)</f>
        <v>0</v>
      </c>
      <c r="N18" s="475">
        <f>K18*(1-Recovery_OX!E18)*(1-Recovery_OX!F18)</f>
        <v>0</v>
      </c>
      <c r="O18" s="476">
        <f>L18*(1-Recovery_OX!E18)*(1-Recovery_OX!F18)</f>
        <v>0</v>
      </c>
    </row>
    <row r="19" spans="2:15">
      <c r="B19" s="469">
        <f t="shared" si="0"/>
        <v>1957</v>
      </c>
      <c r="C19" s="470">
        <f>Stored_C!E25</f>
        <v>0</v>
      </c>
      <c r="D19" s="471">
        <f>Stored_C!F25+Stored_C!L25</f>
        <v>0.70022837755516809</v>
      </c>
      <c r="E19" s="472">
        <f>Stored_C!G25+Stored_C!M25</f>
        <v>0.57768841148301364</v>
      </c>
      <c r="F19" s="473">
        <f>F18+HWP!C19</f>
        <v>0</v>
      </c>
      <c r="G19" s="471">
        <f>G18+HWP!D19</f>
        <v>5.0171113677300667</v>
      </c>
      <c r="H19" s="472">
        <f>H18+HWP!E19</f>
        <v>4.1391168783773047</v>
      </c>
      <c r="I19" s="455"/>
      <c r="J19" s="474">
        <f>Garden!J26</f>
        <v>0</v>
      </c>
      <c r="K19" s="475">
        <f>Paper!J26</f>
        <v>0</v>
      </c>
      <c r="L19" s="476">
        <f>Wood!J26</f>
        <v>0</v>
      </c>
      <c r="M19" s="477">
        <f>J19*(1-Recovery_OX!E19)*(1-Recovery_OX!F19)</f>
        <v>0</v>
      </c>
      <c r="N19" s="475">
        <f>K19*(1-Recovery_OX!E19)*(1-Recovery_OX!F19)</f>
        <v>0</v>
      </c>
      <c r="O19" s="476">
        <f>L19*(1-Recovery_OX!E19)*(1-Recovery_OX!F19)</f>
        <v>0</v>
      </c>
    </row>
    <row r="20" spans="2:15">
      <c r="B20" s="469">
        <f t="shared" si="0"/>
        <v>1958</v>
      </c>
      <c r="C20" s="470">
        <f>Stored_C!E26</f>
        <v>0</v>
      </c>
      <c r="D20" s="471">
        <f>Stored_C!F26+Stored_C!L26</f>
        <v>0.7139563849812901</v>
      </c>
      <c r="E20" s="472">
        <f>Stored_C!G26+Stored_C!M26</f>
        <v>0.58901401760956429</v>
      </c>
      <c r="F20" s="473">
        <f>F19+HWP!C20</f>
        <v>0</v>
      </c>
      <c r="G20" s="471">
        <f>G19+HWP!D20</f>
        <v>5.7310677527113567</v>
      </c>
      <c r="H20" s="472">
        <f>H19+HWP!E20</f>
        <v>4.7281308959868689</v>
      </c>
      <c r="I20" s="455"/>
      <c r="J20" s="474">
        <f>Garden!J27</f>
        <v>0</v>
      </c>
      <c r="K20" s="475">
        <f>Paper!J27</f>
        <v>0</v>
      </c>
      <c r="L20" s="476">
        <f>Wood!J27</f>
        <v>0</v>
      </c>
      <c r="M20" s="477">
        <f>J20*(1-Recovery_OX!E20)*(1-Recovery_OX!F20)</f>
        <v>0</v>
      </c>
      <c r="N20" s="475">
        <f>K20*(1-Recovery_OX!E20)*(1-Recovery_OX!F20)</f>
        <v>0</v>
      </c>
      <c r="O20" s="476">
        <f>L20*(1-Recovery_OX!E20)*(1-Recovery_OX!F20)</f>
        <v>0</v>
      </c>
    </row>
    <row r="21" spans="2:15">
      <c r="B21" s="469">
        <f t="shared" si="0"/>
        <v>1959</v>
      </c>
      <c r="C21" s="470">
        <f>Stored_C!E27</f>
        <v>0</v>
      </c>
      <c r="D21" s="471">
        <f>Stored_C!F27+Stored_C!L27</f>
        <v>0.72748721162977215</v>
      </c>
      <c r="E21" s="472">
        <f>Stored_C!G27+Stored_C!M27</f>
        <v>0.60017694959456191</v>
      </c>
      <c r="F21" s="473">
        <f>F20+HWP!C21</f>
        <v>0</v>
      </c>
      <c r="G21" s="471">
        <f>G20+HWP!D21</f>
        <v>6.4585549643411291</v>
      </c>
      <c r="H21" s="472">
        <f>H20+HWP!E21</f>
        <v>5.3283078455814312</v>
      </c>
      <c r="I21" s="455"/>
      <c r="J21" s="474">
        <f>Garden!J28</f>
        <v>0</v>
      </c>
      <c r="K21" s="475">
        <f>Paper!J28</f>
        <v>0</v>
      </c>
      <c r="L21" s="476">
        <f>Wood!J28</f>
        <v>0</v>
      </c>
      <c r="M21" s="477">
        <f>J21*(1-Recovery_OX!E21)*(1-Recovery_OX!F21)</f>
        <v>0</v>
      </c>
      <c r="N21" s="475">
        <f>K21*(1-Recovery_OX!E21)*(1-Recovery_OX!F21)</f>
        <v>0</v>
      </c>
      <c r="O21" s="476">
        <f>L21*(1-Recovery_OX!E21)*(1-Recovery_OX!F21)</f>
        <v>0</v>
      </c>
    </row>
    <row r="22" spans="2:15">
      <c r="B22" s="469">
        <f t="shared" si="0"/>
        <v>1960</v>
      </c>
      <c r="C22" s="470">
        <f>Stored_C!E28</f>
        <v>0</v>
      </c>
      <c r="D22" s="471">
        <f>Stored_C!F28+Stored_C!L28</f>
        <v>0.78531329154095419</v>
      </c>
      <c r="E22" s="472">
        <f>Stored_C!G28+Stored_C!M28</f>
        <v>0.64788346552128717</v>
      </c>
      <c r="F22" s="473">
        <f>F21+HWP!C22</f>
        <v>0</v>
      </c>
      <c r="G22" s="471">
        <f>G21+HWP!D22</f>
        <v>7.2438682558820835</v>
      </c>
      <c r="H22" s="472">
        <f>H21+HWP!E22</f>
        <v>5.9761913111027187</v>
      </c>
      <c r="I22" s="455"/>
      <c r="J22" s="474">
        <f>Garden!J29</f>
        <v>0</v>
      </c>
      <c r="K22" s="475">
        <f>Paper!J29</f>
        <v>0</v>
      </c>
      <c r="L22" s="476">
        <f>Wood!J29</f>
        <v>0</v>
      </c>
      <c r="M22" s="477">
        <f>J22*(1-Recovery_OX!E22)*(1-Recovery_OX!F22)</f>
        <v>0</v>
      </c>
      <c r="N22" s="475">
        <f>K22*(1-Recovery_OX!E22)*(1-Recovery_OX!F22)</f>
        <v>0</v>
      </c>
      <c r="O22" s="476">
        <f>L22*(1-Recovery_OX!E22)*(1-Recovery_OX!F22)</f>
        <v>0</v>
      </c>
    </row>
    <row r="23" spans="2:15">
      <c r="B23" s="469">
        <f t="shared" si="0"/>
        <v>1961</v>
      </c>
      <c r="C23" s="470">
        <f>Stored_C!E29</f>
        <v>0</v>
      </c>
      <c r="D23" s="471">
        <f>Stored_C!F29+Stored_C!L29</f>
        <v>0.80588347195118415</v>
      </c>
      <c r="E23" s="472">
        <f>Stored_C!G29+Stored_C!M29</f>
        <v>0.66485386435972671</v>
      </c>
      <c r="F23" s="473">
        <f>F22+HWP!C23</f>
        <v>0</v>
      </c>
      <c r="G23" s="471">
        <f>G22+HWP!D23</f>
        <v>8.049751727833268</v>
      </c>
      <c r="H23" s="472">
        <f>H22+HWP!E23</f>
        <v>6.6410451754624455</v>
      </c>
      <c r="I23" s="455"/>
      <c r="J23" s="474">
        <f>Garden!J30</f>
        <v>0</v>
      </c>
      <c r="K23" s="475">
        <f>Paper!J30</f>
        <v>0</v>
      </c>
      <c r="L23" s="476">
        <f>Wood!J30</f>
        <v>0</v>
      </c>
      <c r="M23" s="477">
        <f>J23*(1-Recovery_OX!E23)*(1-Recovery_OX!F23)</f>
        <v>0</v>
      </c>
      <c r="N23" s="475">
        <f>K23*(1-Recovery_OX!E23)*(1-Recovery_OX!F23)</f>
        <v>0</v>
      </c>
      <c r="O23" s="476">
        <f>L23*(1-Recovery_OX!E23)*(1-Recovery_OX!F23)</f>
        <v>0</v>
      </c>
    </row>
    <row r="24" spans="2:15">
      <c r="B24" s="469">
        <f t="shared" si="0"/>
        <v>1962</v>
      </c>
      <c r="C24" s="470">
        <f>Stored_C!E30</f>
        <v>0</v>
      </c>
      <c r="D24" s="471">
        <f>Stored_C!F30+Stored_C!L30</f>
        <v>0.82150018954027204</v>
      </c>
      <c r="E24" s="472">
        <f>Stored_C!G30+Stored_C!M30</f>
        <v>0.67773765637072447</v>
      </c>
      <c r="F24" s="473">
        <f>F23+HWP!C24</f>
        <v>0</v>
      </c>
      <c r="G24" s="471">
        <f>G23+HWP!D24</f>
        <v>8.8712519173735398</v>
      </c>
      <c r="H24" s="472">
        <f>H23+HWP!E24</f>
        <v>7.31878283183317</v>
      </c>
      <c r="I24" s="455"/>
      <c r="J24" s="474">
        <f>Garden!J31</f>
        <v>0</v>
      </c>
      <c r="K24" s="475">
        <f>Paper!J31</f>
        <v>0.13944794717405465</v>
      </c>
      <c r="L24" s="476">
        <f>Wood!J31</f>
        <v>0</v>
      </c>
      <c r="M24" s="477">
        <f>J24*(1-Recovery_OX!E24)*(1-Recovery_OX!F24)</f>
        <v>0</v>
      </c>
      <c r="N24" s="475">
        <f>K24*(1-Recovery_OX!E24)*(1-Recovery_OX!F24)</f>
        <v>0.13944794717405465</v>
      </c>
      <c r="O24" s="476">
        <f>L24*(1-Recovery_OX!E24)*(1-Recovery_OX!F24)</f>
        <v>0</v>
      </c>
    </row>
    <row r="25" spans="2:15">
      <c r="B25" s="469">
        <f t="shared" si="0"/>
        <v>1963</v>
      </c>
      <c r="C25" s="470">
        <f>Stored_C!E31</f>
        <v>0</v>
      </c>
      <c r="D25" s="471">
        <f>Stored_C!F31+Stored_C!L31</f>
        <v>0.83706338663257196</v>
      </c>
      <c r="E25" s="472">
        <f>Stored_C!G31+Stored_C!M31</f>
        <v>0.69057729397187184</v>
      </c>
      <c r="F25" s="473">
        <f>F24+HWP!C25</f>
        <v>0</v>
      </c>
      <c r="G25" s="471">
        <f>G24+HWP!D25</f>
        <v>9.7083153040061116</v>
      </c>
      <c r="H25" s="472">
        <f>H24+HWP!E25</f>
        <v>8.009360125805042</v>
      </c>
      <c r="I25" s="455"/>
      <c r="J25" s="474">
        <f>Garden!J32</f>
        <v>0</v>
      </c>
      <c r="K25" s="475">
        <f>Paper!J32</f>
        <v>0.27245887320842355</v>
      </c>
      <c r="L25" s="476">
        <f>Wood!J32</f>
        <v>0</v>
      </c>
      <c r="M25" s="477">
        <f>J25*(1-Recovery_OX!E25)*(1-Recovery_OX!F25)</f>
        <v>0</v>
      </c>
      <c r="N25" s="475">
        <f>K25*(1-Recovery_OX!E25)*(1-Recovery_OX!F25)</f>
        <v>0.27245887320842355</v>
      </c>
      <c r="O25" s="476">
        <f>L25*(1-Recovery_OX!E25)*(1-Recovery_OX!F25)</f>
        <v>0</v>
      </c>
    </row>
    <row r="26" spans="2:15">
      <c r="B26" s="469">
        <f t="shared" si="0"/>
        <v>1964</v>
      </c>
      <c r="C26" s="470">
        <f>Stored_C!E32</f>
        <v>0</v>
      </c>
      <c r="D26" s="471">
        <f>Stored_C!F32+Stored_C!L32</f>
        <v>0.85223785590609602</v>
      </c>
      <c r="E26" s="472">
        <f>Stored_C!G32+Stored_C!M32</f>
        <v>0.70309623112252917</v>
      </c>
      <c r="F26" s="473">
        <f>F25+HWP!C26</f>
        <v>0</v>
      </c>
      <c r="G26" s="471">
        <f>G25+HWP!D26</f>
        <v>10.560553159912208</v>
      </c>
      <c r="H26" s="472">
        <f>H25+HWP!E26</f>
        <v>8.7124563569275715</v>
      </c>
      <c r="I26" s="455"/>
      <c r="J26" s="474">
        <f>Garden!J33</f>
        <v>0</v>
      </c>
      <c r="K26" s="475">
        <f>Paper!J33</f>
        <v>0.39985512207635404</v>
      </c>
      <c r="L26" s="476">
        <f>Wood!J33</f>
        <v>0</v>
      </c>
      <c r="M26" s="477">
        <f>J26*(1-Recovery_OX!E26)*(1-Recovery_OX!F26)</f>
        <v>0</v>
      </c>
      <c r="N26" s="475">
        <f>K26*(1-Recovery_OX!E26)*(1-Recovery_OX!F26)</f>
        <v>0.39985512207635404</v>
      </c>
      <c r="O26" s="476">
        <f>L26*(1-Recovery_OX!E26)*(1-Recovery_OX!F26)</f>
        <v>0</v>
      </c>
    </row>
    <row r="27" spans="2:15">
      <c r="B27" s="469">
        <f t="shared" si="0"/>
        <v>1965</v>
      </c>
      <c r="C27" s="470">
        <f>Stored_C!E33</f>
        <v>0</v>
      </c>
      <c r="D27" s="471">
        <f>Stored_C!F33+Stored_C!L33</f>
        <v>0.86699542867832402</v>
      </c>
      <c r="E27" s="472">
        <f>Stored_C!G33+Stored_C!M33</f>
        <v>0.71527122865961723</v>
      </c>
      <c r="F27" s="473">
        <f>F26+HWP!C27</f>
        <v>0</v>
      </c>
      <c r="G27" s="471">
        <f>G26+HWP!D27</f>
        <v>11.427548588590533</v>
      </c>
      <c r="H27" s="472">
        <f>H26+HWP!E27</f>
        <v>9.4277275855871885</v>
      </c>
      <c r="I27" s="455"/>
      <c r="J27" s="474">
        <f>Garden!J34</f>
        <v>0</v>
      </c>
      <c r="K27" s="475">
        <f>Paper!J34</f>
        <v>0.52198965136873599</v>
      </c>
      <c r="L27" s="476">
        <f>Wood!J34</f>
        <v>0</v>
      </c>
      <c r="M27" s="477">
        <f>J27*(1-Recovery_OX!E27)*(1-Recovery_OX!F27)</f>
        <v>0</v>
      </c>
      <c r="N27" s="475">
        <f>K27*(1-Recovery_OX!E27)*(1-Recovery_OX!F27)</f>
        <v>0.52198965136873599</v>
      </c>
      <c r="O27" s="476">
        <f>L27*(1-Recovery_OX!E27)*(1-Recovery_OX!F27)</f>
        <v>0</v>
      </c>
    </row>
    <row r="28" spans="2:15">
      <c r="B28" s="469">
        <f t="shared" si="0"/>
        <v>1966</v>
      </c>
      <c r="C28" s="470">
        <f>Stored_C!E34</f>
        <v>0</v>
      </c>
      <c r="D28" s="471">
        <f>Stored_C!F34+Stored_C!L34</f>
        <v>0.88163469298396802</v>
      </c>
      <c r="E28" s="472">
        <f>Stored_C!G34+Stored_C!M34</f>
        <v>0.72734862171177361</v>
      </c>
      <c r="F28" s="473">
        <f>F27+HWP!C28</f>
        <v>0</v>
      </c>
      <c r="G28" s="471">
        <f>G27+HWP!D28</f>
        <v>12.309183281574501</v>
      </c>
      <c r="H28" s="472">
        <f>H27+HWP!E28</f>
        <v>10.155076207298961</v>
      </c>
      <c r="I28" s="455"/>
      <c r="J28" s="474">
        <f>Garden!J35</f>
        <v>0</v>
      </c>
      <c r="K28" s="475">
        <f>Paper!J35</f>
        <v>0.6391997347186934</v>
      </c>
      <c r="L28" s="476">
        <f>Wood!J35</f>
        <v>0</v>
      </c>
      <c r="M28" s="477">
        <f>J28*(1-Recovery_OX!E28)*(1-Recovery_OX!F28)</f>
        <v>0</v>
      </c>
      <c r="N28" s="475">
        <f>K28*(1-Recovery_OX!E28)*(1-Recovery_OX!F28)</f>
        <v>0.6391997347186934</v>
      </c>
      <c r="O28" s="476">
        <f>L28*(1-Recovery_OX!E28)*(1-Recovery_OX!F28)</f>
        <v>0</v>
      </c>
    </row>
    <row r="29" spans="2:15">
      <c r="B29" s="469">
        <f t="shared" si="0"/>
        <v>1967</v>
      </c>
      <c r="C29" s="470">
        <f>Stored_C!E35</f>
        <v>0</v>
      </c>
      <c r="D29" s="471">
        <f>Stored_C!F35+Stored_C!L35</f>
        <v>0.93881108969729166</v>
      </c>
      <c r="E29" s="472">
        <f>Stored_C!G35+Stored_C!M35</f>
        <v>0.77451914900026564</v>
      </c>
      <c r="F29" s="473">
        <f>F28+HWP!C29</f>
        <v>0</v>
      </c>
      <c r="G29" s="471">
        <f>G28+HWP!D29</f>
        <v>13.247994371271794</v>
      </c>
      <c r="H29" s="472">
        <f>H28+HWP!E29</f>
        <v>10.929595356299227</v>
      </c>
      <c r="I29" s="455"/>
      <c r="J29" s="474">
        <f>Garden!J36</f>
        <v>0</v>
      </c>
      <c r="K29" s="475">
        <f>Paper!J36</f>
        <v>0.75179217905028661</v>
      </c>
      <c r="L29" s="476">
        <f>Wood!J36</f>
        <v>0</v>
      </c>
      <c r="M29" s="477">
        <f>J29*(1-Recovery_OX!E29)*(1-Recovery_OX!F29)</f>
        <v>0</v>
      </c>
      <c r="N29" s="475">
        <f>K29*(1-Recovery_OX!E29)*(1-Recovery_OX!F29)</f>
        <v>0.62227144970844561</v>
      </c>
      <c r="O29" s="476">
        <f>L29*(1-Recovery_OX!E29)*(1-Recovery_OX!F29)</f>
        <v>0</v>
      </c>
    </row>
    <row r="30" spans="2:15">
      <c r="B30" s="469">
        <f t="shared" si="0"/>
        <v>1968</v>
      </c>
      <c r="C30" s="470">
        <f>Stored_C!E36</f>
        <v>0</v>
      </c>
      <c r="D30" s="471">
        <f>Stored_C!F36+Stored_C!L36</f>
        <v>0.98511511082529024</v>
      </c>
      <c r="E30" s="472">
        <f>Stored_C!G36+Stored_C!M36</f>
        <v>0.81271996643086442</v>
      </c>
      <c r="F30" s="473">
        <f>F29+HWP!C30</f>
        <v>0</v>
      </c>
      <c r="G30" s="471">
        <f>G29+HWP!D30</f>
        <v>14.233109482097085</v>
      </c>
      <c r="H30" s="472">
        <f>H29+HWP!E30</f>
        <v>11.742315322730091</v>
      </c>
      <c r="I30" s="455"/>
      <c r="J30" s="474">
        <f>Garden!J37</f>
        <v>0</v>
      </c>
      <c r="K30" s="475">
        <f>Paper!J37</f>
        <v>0.86517130150598032</v>
      </c>
      <c r="L30" s="476">
        <f>Wood!J37</f>
        <v>0</v>
      </c>
      <c r="M30" s="477">
        <f>J30*(1-Recovery_OX!E30)*(1-Recovery_OX!F30)</f>
        <v>0</v>
      </c>
      <c r="N30" s="475">
        <f>K30*(1-Recovery_OX!E30)*(1-Recovery_OX!F30)</f>
        <v>0.72009744078888083</v>
      </c>
      <c r="O30" s="476">
        <f>L30*(1-Recovery_OX!E30)*(1-Recovery_OX!F30)</f>
        <v>0</v>
      </c>
    </row>
    <row r="31" spans="2:15">
      <c r="B31" s="469">
        <f t="shared" si="0"/>
        <v>1969</v>
      </c>
      <c r="C31" s="470">
        <f>Stored_C!E37</f>
        <v>0</v>
      </c>
      <c r="D31" s="471">
        <f>Stored_C!F37+Stored_C!L37</f>
        <v>1.0331701751197409</v>
      </c>
      <c r="E31" s="472">
        <f>Stored_C!G37+Stored_C!M37</f>
        <v>0.85236539447378601</v>
      </c>
      <c r="F31" s="473">
        <f>F30+HWP!C31</f>
        <v>0</v>
      </c>
      <c r="G31" s="471">
        <f>G30+HWP!D31</f>
        <v>15.266279657216826</v>
      </c>
      <c r="H31" s="472">
        <f>H30+HWP!E31</f>
        <v>12.594680717203877</v>
      </c>
      <c r="I31" s="455"/>
      <c r="J31" s="474">
        <f>Garden!J38</f>
        <v>0</v>
      </c>
      <c r="K31" s="475">
        <f>Paper!J38</f>
        <v>0.97937309514033077</v>
      </c>
      <c r="L31" s="476">
        <f>Wood!J38</f>
        <v>0</v>
      </c>
      <c r="M31" s="477">
        <f>J31*(1-Recovery_OX!E31)*(1-Recovery_OX!F31)</f>
        <v>0</v>
      </c>
      <c r="N31" s="475">
        <f>K31*(1-Recovery_OX!E31)*(1-Recovery_OX!F31)</f>
        <v>0.81857264054189949</v>
      </c>
      <c r="O31" s="476">
        <f>L31*(1-Recovery_OX!E31)*(1-Recovery_OX!F31)</f>
        <v>0</v>
      </c>
    </row>
    <row r="32" spans="2:15">
      <c r="B32" s="469">
        <f t="shared" si="0"/>
        <v>1970</v>
      </c>
      <c r="C32" s="470">
        <f>Stored_C!E38</f>
        <v>0</v>
      </c>
      <c r="D32" s="471">
        <f>Stored_C!F38+Stored_C!L38</f>
        <v>1.0830354765923946</v>
      </c>
      <c r="E32" s="472">
        <f>Stored_C!G38+Stored_C!M38</f>
        <v>0.89350426818872553</v>
      </c>
      <c r="F32" s="473">
        <f>F31+HWP!C32</f>
        <v>0</v>
      </c>
      <c r="G32" s="471">
        <f>G31+HWP!D32</f>
        <v>16.34931513380922</v>
      </c>
      <c r="H32" s="472">
        <f>H31+HWP!E32</f>
        <v>13.488184985392603</v>
      </c>
      <c r="I32" s="455"/>
      <c r="J32" s="474">
        <f>Garden!J39</f>
        <v>0</v>
      </c>
      <c r="K32" s="475">
        <f>Paper!J39</f>
        <v>1.0946680458763725</v>
      </c>
      <c r="L32" s="476">
        <f>Wood!J39</f>
        <v>0</v>
      </c>
      <c r="M32" s="477">
        <f>J32*(1-Recovery_OX!E32)*(1-Recovery_OX!F32)</f>
        <v>0</v>
      </c>
      <c r="N32" s="475">
        <f>K32*(1-Recovery_OX!E32)*(1-Recovery_OX!F32)</f>
        <v>0.91793286395553397</v>
      </c>
      <c r="O32" s="476">
        <f>L32*(1-Recovery_OX!E32)*(1-Recovery_OX!F32)</f>
        <v>0</v>
      </c>
    </row>
    <row r="33" spans="2:15">
      <c r="B33" s="469">
        <f t="shared" si="0"/>
        <v>1971</v>
      </c>
      <c r="C33" s="470">
        <f>Stored_C!E39</f>
        <v>0</v>
      </c>
      <c r="D33" s="471">
        <f>Stored_C!F39+Stored_C!L39</f>
        <v>1.1347720895337818</v>
      </c>
      <c r="E33" s="472">
        <f>Stored_C!G39+Stored_C!M39</f>
        <v>0.93618697386536998</v>
      </c>
      <c r="F33" s="473">
        <f>F32+HWP!C33</f>
        <v>0</v>
      </c>
      <c r="G33" s="471">
        <f>G32+HWP!D33</f>
        <v>17.484087223343003</v>
      </c>
      <c r="H33" s="472">
        <f>H32+HWP!E33</f>
        <v>14.424371959257973</v>
      </c>
      <c r="I33" s="455"/>
      <c r="J33" s="474">
        <f>Garden!J40</f>
        <v>0</v>
      </c>
      <c r="K33" s="475">
        <f>Paper!J40</f>
        <v>1.2113194652073294</v>
      </c>
      <c r="L33" s="476">
        <f>Wood!J40</f>
        <v>0</v>
      </c>
      <c r="M33" s="477">
        <f>J33*(1-Recovery_OX!E33)*(1-Recovery_OX!F33)</f>
        <v>0</v>
      </c>
      <c r="N33" s="475">
        <f>K33*(1-Recovery_OX!E33)*(1-Recovery_OX!F33)</f>
        <v>1.0184117553269634</v>
      </c>
      <c r="O33" s="476">
        <f>L33*(1-Recovery_OX!E33)*(1-Recovery_OX!F33)</f>
        <v>0</v>
      </c>
    </row>
    <row r="34" spans="2:15">
      <c r="B34" s="469">
        <f t="shared" si="0"/>
        <v>1972</v>
      </c>
      <c r="C34" s="470">
        <f>Stored_C!E40</f>
        <v>0</v>
      </c>
      <c r="D34" s="471">
        <f>Stored_C!F40+Stored_C!L40</f>
        <v>1.1884430259165253</v>
      </c>
      <c r="E34" s="472">
        <f>Stored_C!G40+Stored_C!M40</f>
        <v>0.98046549638113356</v>
      </c>
      <c r="F34" s="473">
        <f>F33+HWP!C34</f>
        <v>0</v>
      </c>
      <c r="G34" s="471">
        <f>G33+HWP!D34</f>
        <v>18.67253024925953</v>
      </c>
      <c r="H34" s="472">
        <f>H33+HWP!E34</f>
        <v>15.404837455639107</v>
      </c>
      <c r="I34" s="455"/>
      <c r="J34" s="474">
        <f>Garden!J41</f>
        <v>0</v>
      </c>
      <c r="K34" s="475">
        <f>Paper!J41</f>
        <v>1.3295843299001593</v>
      </c>
      <c r="L34" s="476">
        <f>Wood!J41</f>
        <v>0</v>
      </c>
      <c r="M34" s="477">
        <f>J34*(1-Recovery_OX!E34)*(1-Recovery_OX!F34)</f>
        <v>0</v>
      </c>
      <c r="N34" s="475">
        <f>K34*(1-Recovery_OX!E34)*(1-Recovery_OX!F34)</f>
        <v>1.120237879700261</v>
      </c>
      <c r="O34" s="476">
        <f>L34*(1-Recovery_OX!E34)*(1-Recovery_OX!F34)</f>
        <v>0</v>
      </c>
    </row>
    <row r="35" spans="2:15">
      <c r="B35" s="469">
        <f t="shared" si="0"/>
        <v>1973</v>
      </c>
      <c r="C35" s="470">
        <f>Stored_C!E41</f>
        <v>0</v>
      </c>
      <c r="D35" s="471">
        <f>Stored_C!F41+Stored_C!L41</f>
        <v>1.24411329450357</v>
      </c>
      <c r="E35" s="472">
        <f>Stored_C!G41+Stored_C!M41</f>
        <v>1.0263934679654452</v>
      </c>
      <c r="F35" s="473">
        <f>F34+HWP!C35</f>
        <v>0</v>
      </c>
      <c r="G35" s="471">
        <f>G34+HWP!D35</f>
        <v>19.916643543763101</v>
      </c>
      <c r="H35" s="472">
        <f>H34+HWP!E35</f>
        <v>16.431230923604552</v>
      </c>
      <c r="I35" s="455"/>
      <c r="J35" s="474">
        <f>Garden!J42</f>
        <v>0</v>
      </c>
      <c r="K35" s="475">
        <f>Paper!J42</f>
        <v>1.4497140757923646</v>
      </c>
      <c r="L35" s="476">
        <f>Wood!J42</f>
        <v>0</v>
      </c>
      <c r="M35" s="477">
        <f>J35*(1-Recovery_OX!E35)*(1-Recovery_OX!F35)</f>
        <v>0</v>
      </c>
      <c r="N35" s="475">
        <f>K35*(1-Recovery_OX!E35)*(1-Recovery_OX!F35)</f>
        <v>1.2236341203962784</v>
      </c>
      <c r="O35" s="476">
        <f>L35*(1-Recovery_OX!E35)*(1-Recovery_OX!F35)</f>
        <v>0</v>
      </c>
    </row>
    <row r="36" spans="2:15">
      <c r="B36" s="469">
        <f t="shared" si="0"/>
        <v>1974</v>
      </c>
      <c r="C36" s="470">
        <f>Stored_C!E42</f>
        <v>0</v>
      </c>
      <c r="D36" s="471">
        <f>Stored_C!F42+Stored_C!L42</f>
        <v>1.3018499617109514</v>
      </c>
      <c r="E36" s="472">
        <f>Stored_C!G42+Stored_C!M42</f>
        <v>1.0740262184115348</v>
      </c>
      <c r="F36" s="473">
        <f>F35+HWP!C36</f>
        <v>0</v>
      </c>
      <c r="G36" s="471">
        <f>G35+HWP!D36</f>
        <v>21.218493505474051</v>
      </c>
      <c r="H36" s="472">
        <f>H35+HWP!E36</f>
        <v>17.505257142016088</v>
      </c>
      <c r="I36" s="455"/>
      <c r="J36" s="474">
        <f>Garden!J43</f>
        <v>0</v>
      </c>
      <c r="K36" s="475">
        <f>Paper!J43</f>
        <v>1.5719553491090141</v>
      </c>
      <c r="L36" s="476">
        <f>Wood!J43</f>
        <v>0</v>
      </c>
      <c r="M36" s="477">
        <f>J36*(1-Recovery_OX!E36)*(1-Recovery_OX!F36)</f>
        <v>0</v>
      </c>
      <c r="N36" s="475">
        <f>K36*(1-Recovery_OX!E36)*(1-Recovery_OX!F36)</f>
        <v>1.328818035181605</v>
      </c>
      <c r="O36" s="476">
        <f>L36*(1-Recovery_OX!E36)*(1-Recovery_OX!F36)</f>
        <v>0</v>
      </c>
    </row>
    <row r="37" spans="2:15">
      <c r="B37" s="469">
        <f t="shared" si="0"/>
        <v>1975</v>
      </c>
      <c r="C37" s="470">
        <f>Stored_C!E43</f>
        <v>0</v>
      </c>
      <c r="D37" s="471">
        <f>Stored_C!F43+Stored_C!L43</f>
        <v>1.361722214276158</v>
      </c>
      <c r="E37" s="472">
        <f>Stored_C!G43+Stored_C!M43</f>
        <v>1.1234208267778303</v>
      </c>
      <c r="F37" s="473">
        <f>F36+HWP!C37</f>
        <v>0</v>
      </c>
      <c r="G37" s="471">
        <f>G36+HWP!D37</f>
        <v>22.580215719750207</v>
      </c>
      <c r="H37" s="472">
        <f>H36+HWP!E37</f>
        <v>18.628677968793919</v>
      </c>
      <c r="I37" s="455"/>
      <c r="J37" s="474">
        <f>Garden!J44</f>
        <v>0</v>
      </c>
      <c r="K37" s="475">
        <f>Paper!J44</f>
        <v>1.6965507185046587</v>
      </c>
      <c r="L37" s="476">
        <f>Wood!J44</f>
        <v>0</v>
      </c>
      <c r="M37" s="477">
        <f>J37*(1-Recovery_OX!E37)*(1-Recovery_OX!F37)</f>
        <v>0</v>
      </c>
      <c r="N37" s="475">
        <f>K37*(1-Recovery_OX!E37)*(1-Recovery_OX!F37)</f>
        <v>1.4360025656238389</v>
      </c>
      <c r="O37" s="476">
        <f>L37*(1-Recovery_OX!E37)*(1-Recovery_OX!F37)</f>
        <v>0</v>
      </c>
    </row>
    <row r="38" spans="2:15">
      <c r="B38" s="469">
        <f t="shared" si="0"/>
        <v>1976</v>
      </c>
      <c r="C38" s="470">
        <f>Stored_C!E44</f>
        <v>0</v>
      </c>
      <c r="D38" s="471">
        <f>Stored_C!F44+Stored_C!L44</f>
        <v>1.4238014237845877</v>
      </c>
      <c r="E38" s="472">
        <f>Stored_C!G44+Stored_C!M44</f>
        <v>1.1746361746222849</v>
      </c>
      <c r="F38" s="473">
        <f>F37+HWP!C38</f>
        <v>0</v>
      </c>
      <c r="G38" s="471">
        <f>G37+HWP!D38</f>
        <v>24.004017143534796</v>
      </c>
      <c r="H38" s="472">
        <f>H37+HWP!E38</f>
        <v>19.803314143416205</v>
      </c>
      <c r="I38" s="455"/>
      <c r="J38" s="474">
        <f>Garden!J45</f>
        <v>0</v>
      </c>
      <c r="K38" s="475">
        <f>Paper!J45</f>
        <v>1.8237393508278668</v>
      </c>
      <c r="L38" s="476">
        <f>Wood!J45</f>
        <v>0</v>
      </c>
      <c r="M38" s="477">
        <f>J38*(1-Recovery_OX!E38)*(1-Recovery_OX!F38)</f>
        <v>0</v>
      </c>
      <c r="N38" s="475">
        <f>K38*(1-Recovery_OX!E38)*(1-Recovery_OX!F38)</f>
        <v>1.5453968324220639</v>
      </c>
      <c r="O38" s="476">
        <f>L38*(1-Recovery_OX!E38)*(1-Recovery_OX!F38)</f>
        <v>0</v>
      </c>
    </row>
    <row r="39" spans="2:15">
      <c r="B39" s="469">
        <f t="shared" si="0"/>
        <v>1977</v>
      </c>
      <c r="C39" s="470">
        <f>Stored_C!E45</f>
        <v>0</v>
      </c>
      <c r="D39" s="471">
        <f>Stored_C!F45+Stored_C!L45</f>
        <v>1.488161213108115</v>
      </c>
      <c r="E39" s="472">
        <f>Stored_C!G45+Stored_C!M45</f>
        <v>1.2277330008141947</v>
      </c>
      <c r="F39" s="473">
        <f>F38+HWP!C39</f>
        <v>0</v>
      </c>
      <c r="G39" s="471">
        <f>G38+HWP!D39</f>
        <v>25.49217835664291</v>
      </c>
      <c r="H39" s="472">
        <f>H38+HWP!E39</f>
        <v>21.031047144230399</v>
      </c>
      <c r="I39" s="455"/>
      <c r="J39" s="474">
        <f>Garden!J46</f>
        <v>0</v>
      </c>
      <c r="K39" s="475">
        <f>Paper!J46</f>
        <v>1.9537576534134224</v>
      </c>
      <c r="L39" s="476">
        <f>Wood!J46</f>
        <v>0</v>
      </c>
      <c r="M39" s="477">
        <f>J39*(1-Recovery_OX!E39)*(1-Recovery_OX!F39)</f>
        <v>0</v>
      </c>
      <c r="N39" s="475">
        <f>K39*(1-Recovery_OX!E39)*(1-Recovery_OX!F39)</f>
        <v>1.6572069067025121</v>
      </c>
      <c r="O39" s="476">
        <f>L39*(1-Recovery_OX!E39)*(1-Recovery_OX!F39)</f>
        <v>0</v>
      </c>
    </row>
    <row r="40" spans="2:15">
      <c r="B40" s="469">
        <f t="shared" si="0"/>
        <v>1978</v>
      </c>
      <c r="C40" s="470">
        <f>Stored_C!E46</f>
        <v>0</v>
      </c>
      <c r="D40" s="471">
        <f>Stored_C!F46+Stored_C!L46</f>
        <v>1.5548775248113256</v>
      </c>
      <c r="E40" s="472">
        <f>Stored_C!G46+Stored_C!M46</f>
        <v>1.2827739579693438</v>
      </c>
      <c r="F40" s="473">
        <f>F39+HWP!C40</f>
        <v>0</v>
      </c>
      <c r="G40" s="471">
        <f>G39+HWP!D40</f>
        <v>27.047055881454234</v>
      </c>
      <c r="H40" s="472">
        <f>H39+HWP!E40</f>
        <v>22.313821102199743</v>
      </c>
      <c r="I40" s="455"/>
      <c r="J40" s="474">
        <f>Garden!J47</f>
        <v>0</v>
      </c>
      <c r="K40" s="475">
        <f>Paper!J47</f>
        <v>2.0868398855278478</v>
      </c>
      <c r="L40" s="476">
        <f>Wood!J47</f>
        <v>0</v>
      </c>
      <c r="M40" s="477">
        <f>J40*(1-Recovery_OX!E40)*(1-Recovery_OX!F40)</f>
        <v>0</v>
      </c>
      <c r="N40" s="475">
        <f>K40*(1-Recovery_OX!E40)*(1-Recovery_OX!F40)</f>
        <v>1.7716365195539254</v>
      </c>
      <c r="O40" s="476">
        <f>L40*(1-Recovery_OX!E40)*(1-Recovery_OX!F40)</f>
        <v>0</v>
      </c>
    </row>
    <row r="41" spans="2:15">
      <c r="B41" s="469">
        <f t="shared" si="0"/>
        <v>1979</v>
      </c>
      <c r="C41" s="470">
        <f>Stored_C!E47</f>
        <v>0</v>
      </c>
      <c r="D41" s="471">
        <f>Stored_C!F47+Stored_C!L47</f>
        <v>1.6240286915825766</v>
      </c>
      <c r="E41" s="472">
        <f>Stored_C!G47+Stored_C!M47</f>
        <v>1.3398236705556255</v>
      </c>
      <c r="F41" s="473">
        <f>F40+HWP!C41</f>
        <v>0</v>
      </c>
      <c r="G41" s="471">
        <f>G40+HWP!D41</f>
        <v>28.671084573036811</v>
      </c>
      <c r="H41" s="472">
        <f>H40+HWP!E41</f>
        <v>23.653644772755367</v>
      </c>
      <c r="I41" s="455"/>
      <c r="J41" s="474">
        <f>Garden!J48</f>
        <v>0</v>
      </c>
      <c r="K41" s="475">
        <f>Paper!J48</f>
        <v>2.2232187414269595</v>
      </c>
      <c r="L41" s="476">
        <f>Wood!J48</f>
        <v>0</v>
      </c>
      <c r="M41" s="477">
        <f>J41*(1-Recovery_OX!E41)*(1-Recovery_OX!F41)</f>
        <v>0</v>
      </c>
      <c r="N41" s="475">
        <f>K41*(1-Recovery_OX!E41)*(1-Recovery_OX!F41)</f>
        <v>1.8888877037917331</v>
      </c>
      <c r="O41" s="476">
        <f>L41*(1-Recovery_OX!E41)*(1-Recovery_OX!F41)</f>
        <v>0</v>
      </c>
    </row>
    <row r="42" spans="2:15">
      <c r="B42" s="469">
        <f t="shared" si="0"/>
        <v>1980</v>
      </c>
      <c r="C42" s="470">
        <f>Stored_C!E48</f>
        <v>0</v>
      </c>
      <c r="D42" s="471">
        <f>Stored_C!F48+Stored_C!L48</f>
        <v>1.6968231549720005</v>
      </c>
      <c r="E42" s="472">
        <f>Stored_C!G48+Stored_C!M48</f>
        <v>1.3998791028519002</v>
      </c>
      <c r="F42" s="473">
        <f>F41+HWP!C42</f>
        <v>0</v>
      </c>
      <c r="G42" s="471">
        <f>G41+HWP!D42</f>
        <v>30.367907728008813</v>
      </c>
      <c r="H42" s="472">
        <f>H41+HWP!E42</f>
        <v>25.053523875607269</v>
      </c>
      <c r="I42" s="455"/>
      <c r="J42" s="474">
        <f>Garden!J49</f>
        <v>0</v>
      </c>
      <c r="K42" s="475">
        <f>Paper!J49</f>
        <v>2.3631259073288113</v>
      </c>
      <c r="L42" s="476">
        <f>Wood!J49</f>
        <v>0</v>
      </c>
      <c r="M42" s="477">
        <f>J42*(1-Recovery_OX!E42)*(1-Recovery_OX!F42)</f>
        <v>0</v>
      </c>
      <c r="N42" s="475">
        <f>K42*(1-Recovery_OX!E42)*(1-Recovery_OX!F42)</f>
        <v>2.0089259861621569</v>
      </c>
      <c r="O42" s="476">
        <f>L42*(1-Recovery_OX!E42)*(1-Recovery_OX!F42)</f>
        <v>0</v>
      </c>
    </row>
    <row r="43" spans="2:15">
      <c r="B43" s="469">
        <f t="shared" si="0"/>
        <v>1981</v>
      </c>
      <c r="C43" s="470">
        <f>Stored_C!E49</f>
        <v>0</v>
      </c>
      <c r="D43" s="471">
        <f>Stored_C!F49+Stored_C!L49</f>
        <v>0</v>
      </c>
      <c r="E43" s="472">
        <f>Stored_C!G49+Stored_C!M49</f>
        <v>0</v>
      </c>
      <c r="F43" s="473">
        <f>F42+HWP!C43</f>
        <v>0</v>
      </c>
      <c r="G43" s="471">
        <f>G42+HWP!D43</f>
        <v>30.367907728008813</v>
      </c>
      <c r="H43" s="472">
        <f>H42+HWP!E43</f>
        <v>25.053523875607269</v>
      </c>
      <c r="I43" s="455"/>
      <c r="J43" s="474">
        <f>Garden!J50</f>
        <v>0</v>
      </c>
      <c r="K43" s="475">
        <f>Paper!J50</f>
        <v>2.5069943760402529</v>
      </c>
      <c r="L43" s="476">
        <f>Wood!J50</f>
        <v>0</v>
      </c>
      <c r="M43" s="477">
        <f>J43*(1-Recovery_OX!E43)*(1-Recovery_OX!F43)</f>
        <v>0</v>
      </c>
      <c r="N43" s="475">
        <f>K43*(1-Recovery_OX!E43)*(1-Recovery_OX!F43)</f>
        <v>2.5069943760402529</v>
      </c>
      <c r="O43" s="476">
        <f>L43*(1-Recovery_OX!E43)*(1-Recovery_OX!F43)</f>
        <v>0</v>
      </c>
    </row>
    <row r="44" spans="2:15">
      <c r="B44" s="469">
        <f t="shared" si="0"/>
        <v>1982</v>
      </c>
      <c r="C44" s="470">
        <f>Stored_C!E50</f>
        <v>0</v>
      </c>
      <c r="D44" s="471">
        <f>Stored_C!F50+Stored_C!L50</f>
        <v>0</v>
      </c>
      <c r="E44" s="472">
        <f>Stored_C!G50+Stored_C!M50</f>
        <v>0</v>
      </c>
      <c r="F44" s="473">
        <f>F43+HWP!C44</f>
        <v>0</v>
      </c>
      <c r="G44" s="471">
        <f>G43+HWP!D44</f>
        <v>30.367907728008813</v>
      </c>
      <c r="H44" s="472">
        <f>H43+HWP!E44</f>
        <v>25.053523875607269</v>
      </c>
      <c r="I44" s="455"/>
      <c r="J44" s="474">
        <f>Garden!J51</f>
        <v>0</v>
      </c>
      <c r="K44" s="475">
        <f>Paper!J51</f>
        <v>2.337506062758901</v>
      </c>
      <c r="L44" s="476">
        <f>Wood!J51</f>
        <v>0</v>
      </c>
      <c r="M44" s="477">
        <f>J44*(1-Recovery_OX!E44)*(1-Recovery_OX!F44)</f>
        <v>0</v>
      </c>
      <c r="N44" s="475">
        <f>K44*(1-Recovery_OX!E44)*(1-Recovery_OX!F44)</f>
        <v>2.337506062758901</v>
      </c>
      <c r="O44" s="476">
        <f>L44*(1-Recovery_OX!E44)*(1-Recovery_OX!F44)</f>
        <v>0</v>
      </c>
    </row>
    <row r="45" spans="2:15">
      <c r="B45" s="469">
        <f t="shared" si="0"/>
        <v>1983</v>
      </c>
      <c r="C45" s="470">
        <f>Stored_C!E51</f>
        <v>0</v>
      </c>
      <c r="D45" s="471">
        <f>Stored_C!F51+Stored_C!L51</f>
        <v>0</v>
      </c>
      <c r="E45" s="472">
        <f>Stored_C!G51+Stored_C!M51</f>
        <v>0</v>
      </c>
      <c r="F45" s="473">
        <f>F44+HWP!C45</f>
        <v>0</v>
      </c>
      <c r="G45" s="471">
        <f>G44+HWP!D45</f>
        <v>30.367907728008813</v>
      </c>
      <c r="H45" s="472">
        <f>H44+HWP!E45</f>
        <v>25.053523875607269</v>
      </c>
      <c r="I45" s="455"/>
      <c r="J45" s="474">
        <f>Garden!J52</f>
        <v>0</v>
      </c>
      <c r="K45" s="475">
        <f>Paper!J52</f>
        <v>2.1794762069090852</v>
      </c>
      <c r="L45" s="476">
        <f>Wood!J52</f>
        <v>0</v>
      </c>
      <c r="M45" s="477">
        <f>J45*(1-Recovery_OX!E45)*(1-Recovery_OX!F45)</f>
        <v>0</v>
      </c>
      <c r="N45" s="475">
        <f>K45*(1-Recovery_OX!E45)*(1-Recovery_OX!F45)</f>
        <v>2.1794762069090852</v>
      </c>
      <c r="O45" s="476">
        <f>L45*(1-Recovery_OX!E45)*(1-Recovery_OX!F45)</f>
        <v>0</v>
      </c>
    </row>
    <row r="46" spans="2:15">
      <c r="B46" s="469">
        <f t="shared" si="0"/>
        <v>1984</v>
      </c>
      <c r="C46" s="470">
        <f>Stored_C!E52</f>
        <v>0</v>
      </c>
      <c r="D46" s="471">
        <f>Stored_C!F52+Stored_C!L52</f>
        <v>0</v>
      </c>
      <c r="E46" s="472">
        <f>Stored_C!G52+Stored_C!M52</f>
        <v>0</v>
      </c>
      <c r="F46" s="473">
        <f>F45+HWP!C46</f>
        <v>0</v>
      </c>
      <c r="G46" s="471">
        <f>G45+HWP!D46</f>
        <v>30.367907728008813</v>
      </c>
      <c r="H46" s="472">
        <f>H45+HWP!E46</f>
        <v>25.053523875607269</v>
      </c>
      <c r="I46" s="455"/>
      <c r="J46" s="474">
        <f>Garden!J53</f>
        <v>0</v>
      </c>
      <c r="K46" s="475">
        <f>Paper!J53</f>
        <v>2.0321301459540884</v>
      </c>
      <c r="L46" s="476">
        <f>Wood!J53</f>
        <v>0</v>
      </c>
      <c r="M46" s="477">
        <f>J46*(1-Recovery_OX!E46)*(1-Recovery_OX!F46)</f>
        <v>0</v>
      </c>
      <c r="N46" s="475">
        <f>K46*(1-Recovery_OX!E46)*(1-Recovery_OX!F46)</f>
        <v>2.0321301459540884</v>
      </c>
      <c r="O46" s="476">
        <f>L46*(1-Recovery_OX!E46)*(1-Recovery_OX!F46)</f>
        <v>0</v>
      </c>
    </row>
    <row r="47" spans="2:15">
      <c r="B47" s="469">
        <f t="shared" si="0"/>
        <v>1985</v>
      </c>
      <c r="C47" s="470">
        <f>Stored_C!E53</f>
        <v>0</v>
      </c>
      <c r="D47" s="471">
        <f>Stored_C!F53+Stored_C!L53</f>
        <v>0</v>
      </c>
      <c r="E47" s="472">
        <f>Stored_C!G53+Stored_C!M53</f>
        <v>0</v>
      </c>
      <c r="F47" s="473">
        <f>F46+HWP!C47</f>
        <v>0</v>
      </c>
      <c r="G47" s="471">
        <f>G46+HWP!D47</f>
        <v>30.367907728008813</v>
      </c>
      <c r="H47" s="472">
        <f>H46+HWP!E47</f>
        <v>25.053523875607269</v>
      </c>
      <c r="I47" s="455"/>
      <c r="J47" s="474">
        <f>Garden!J54</f>
        <v>0</v>
      </c>
      <c r="K47" s="475">
        <f>Paper!J54</f>
        <v>1.894745589332165</v>
      </c>
      <c r="L47" s="476">
        <f>Wood!J54</f>
        <v>0</v>
      </c>
      <c r="M47" s="477">
        <f>J47*(1-Recovery_OX!E47)*(1-Recovery_OX!F47)</f>
        <v>0</v>
      </c>
      <c r="N47" s="475">
        <f>K47*(1-Recovery_OX!E47)*(1-Recovery_OX!F47)</f>
        <v>1.894745589332165</v>
      </c>
      <c r="O47" s="476">
        <f>L47*(1-Recovery_OX!E47)*(1-Recovery_OX!F47)</f>
        <v>0</v>
      </c>
    </row>
    <row r="48" spans="2:15">
      <c r="B48" s="469">
        <f t="shared" si="0"/>
        <v>1986</v>
      </c>
      <c r="C48" s="470">
        <f>Stored_C!E54</f>
        <v>0</v>
      </c>
      <c r="D48" s="471">
        <f>Stored_C!F54+Stored_C!L54</f>
        <v>0</v>
      </c>
      <c r="E48" s="472">
        <f>Stored_C!G54+Stored_C!M54</f>
        <v>0</v>
      </c>
      <c r="F48" s="473">
        <f>F47+HWP!C48</f>
        <v>0</v>
      </c>
      <c r="G48" s="471">
        <f>G47+HWP!D48</f>
        <v>30.367907728008813</v>
      </c>
      <c r="H48" s="472">
        <f>H47+HWP!E48</f>
        <v>25.053523875607269</v>
      </c>
      <c r="I48" s="455"/>
      <c r="J48" s="474">
        <f>Garden!J55</f>
        <v>0</v>
      </c>
      <c r="K48" s="475">
        <f>Paper!J55</f>
        <v>1.7666490777873645</v>
      </c>
      <c r="L48" s="476">
        <f>Wood!J55</f>
        <v>0</v>
      </c>
      <c r="M48" s="477">
        <f>J48*(1-Recovery_OX!E48)*(1-Recovery_OX!F48)</f>
        <v>0</v>
      </c>
      <c r="N48" s="475">
        <f>K48*(1-Recovery_OX!E48)*(1-Recovery_OX!F48)</f>
        <v>1.7666490777873645</v>
      </c>
      <c r="O48" s="476">
        <f>L48*(1-Recovery_OX!E48)*(1-Recovery_OX!F48)</f>
        <v>0</v>
      </c>
    </row>
    <row r="49" spans="2:15">
      <c r="B49" s="469">
        <f t="shared" si="0"/>
        <v>1987</v>
      </c>
      <c r="C49" s="470">
        <f>Stored_C!E55</f>
        <v>0</v>
      </c>
      <c r="D49" s="471">
        <f>Stored_C!F55+Stored_C!L55</f>
        <v>0</v>
      </c>
      <c r="E49" s="472">
        <f>Stored_C!G55+Stored_C!M55</f>
        <v>0</v>
      </c>
      <c r="F49" s="473">
        <f>F48+HWP!C49</f>
        <v>0</v>
      </c>
      <c r="G49" s="471">
        <f>G48+HWP!D49</f>
        <v>30.367907728008813</v>
      </c>
      <c r="H49" s="472">
        <f>H48+HWP!E49</f>
        <v>25.053523875607269</v>
      </c>
      <c r="I49" s="455"/>
      <c r="J49" s="474">
        <f>Garden!J56</f>
        <v>0</v>
      </c>
      <c r="K49" s="475">
        <f>Paper!J56</f>
        <v>1.6472126820714816</v>
      </c>
      <c r="L49" s="476">
        <f>Wood!J56</f>
        <v>0</v>
      </c>
      <c r="M49" s="477">
        <f>J49*(1-Recovery_OX!E49)*(1-Recovery_OX!F49)</f>
        <v>0</v>
      </c>
      <c r="N49" s="475">
        <f>K49*(1-Recovery_OX!E49)*(1-Recovery_OX!F49)</f>
        <v>1.6472126820714816</v>
      </c>
      <c r="O49" s="476">
        <f>L49*(1-Recovery_OX!E49)*(1-Recovery_OX!F49)</f>
        <v>0</v>
      </c>
    </row>
    <row r="50" spans="2:15">
      <c r="B50" s="469">
        <f t="shared" si="0"/>
        <v>1988</v>
      </c>
      <c r="C50" s="470">
        <f>Stored_C!E56</f>
        <v>0</v>
      </c>
      <c r="D50" s="471">
        <f>Stored_C!F56+Stored_C!L56</f>
        <v>0</v>
      </c>
      <c r="E50" s="472">
        <f>Stored_C!G56+Stored_C!M56</f>
        <v>0</v>
      </c>
      <c r="F50" s="473">
        <f>F49+HWP!C50</f>
        <v>0</v>
      </c>
      <c r="G50" s="471">
        <f>G49+HWP!D50</f>
        <v>30.367907728008813</v>
      </c>
      <c r="H50" s="472">
        <f>H49+HWP!E50</f>
        <v>25.053523875607269</v>
      </c>
      <c r="I50" s="455"/>
      <c r="J50" s="474">
        <f>Garden!J57</f>
        <v>0</v>
      </c>
      <c r="K50" s="475">
        <f>Paper!J57</f>
        <v>1.5358509248341512</v>
      </c>
      <c r="L50" s="476">
        <f>Wood!J57</f>
        <v>0</v>
      </c>
      <c r="M50" s="477">
        <f>J50*(1-Recovery_OX!E50)*(1-Recovery_OX!F50)</f>
        <v>0</v>
      </c>
      <c r="N50" s="475">
        <f>K50*(1-Recovery_OX!E50)*(1-Recovery_OX!F50)</f>
        <v>1.5358509248341512</v>
      </c>
      <c r="O50" s="476">
        <f>L50*(1-Recovery_OX!E50)*(1-Recovery_OX!F50)</f>
        <v>0</v>
      </c>
    </row>
    <row r="51" spans="2:15">
      <c r="B51" s="469">
        <f t="shared" si="0"/>
        <v>1989</v>
      </c>
      <c r="C51" s="470">
        <f>Stored_C!E57</f>
        <v>0</v>
      </c>
      <c r="D51" s="471">
        <f>Stored_C!F57+Stored_C!L57</f>
        <v>0</v>
      </c>
      <c r="E51" s="472">
        <f>Stored_C!G57+Stored_C!M57</f>
        <v>0</v>
      </c>
      <c r="F51" s="473">
        <f>F50+HWP!C51</f>
        <v>0</v>
      </c>
      <c r="G51" s="471">
        <f>G50+HWP!D51</f>
        <v>30.367907728008813</v>
      </c>
      <c r="H51" s="472">
        <f>H50+HWP!E51</f>
        <v>25.053523875607269</v>
      </c>
      <c r="I51" s="455"/>
      <c r="J51" s="474">
        <f>Garden!J58</f>
        <v>0</v>
      </c>
      <c r="K51" s="475">
        <f>Paper!J58</f>
        <v>1.4320179106121975</v>
      </c>
      <c r="L51" s="476">
        <f>Wood!J58</f>
        <v>0</v>
      </c>
      <c r="M51" s="477">
        <f>J51*(1-Recovery_OX!E51)*(1-Recovery_OX!F51)</f>
        <v>0</v>
      </c>
      <c r="N51" s="475">
        <f>K51*(1-Recovery_OX!E51)*(1-Recovery_OX!F51)</f>
        <v>1.4320179106121975</v>
      </c>
      <c r="O51" s="476">
        <f>L51*(1-Recovery_OX!E51)*(1-Recovery_OX!F51)</f>
        <v>0</v>
      </c>
    </row>
    <row r="52" spans="2:15">
      <c r="B52" s="469">
        <f t="shared" si="0"/>
        <v>1990</v>
      </c>
      <c r="C52" s="470">
        <f>Stored_C!E58</f>
        <v>0</v>
      </c>
      <c r="D52" s="471">
        <f>Stored_C!F58+Stored_C!L58</f>
        <v>0</v>
      </c>
      <c r="E52" s="472">
        <f>Stored_C!G58+Stored_C!M58</f>
        <v>0</v>
      </c>
      <c r="F52" s="473">
        <f>F51+HWP!C52</f>
        <v>0</v>
      </c>
      <c r="G52" s="471">
        <f>G51+HWP!D52</f>
        <v>30.367907728008813</v>
      </c>
      <c r="H52" s="472">
        <f>H51+HWP!E52</f>
        <v>25.053523875607269</v>
      </c>
      <c r="I52" s="455"/>
      <c r="J52" s="474">
        <f>Garden!J59</f>
        <v>0</v>
      </c>
      <c r="K52" s="475">
        <f>Paper!J59</f>
        <v>1.3352046498494416</v>
      </c>
      <c r="L52" s="476">
        <f>Wood!J59</f>
        <v>0</v>
      </c>
      <c r="M52" s="477">
        <f>J52*(1-Recovery_OX!E52)*(1-Recovery_OX!F52)</f>
        <v>0</v>
      </c>
      <c r="N52" s="475">
        <f>K52*(1-Recovery_OX!E52)*(1-Recovery_OX!F52)</f>
        <v>1.3352046498494416</v>
      </c>
      <c r="O52" s="476">
        <f>L52*(1-Recovery_OX!E52)*(1-Recovery_OX!F52)</f>
        <v>0</v>
      </c>
    </row>
    <row r="53" spans="2:15">
      <c r="B53" s="469">
        <f t="shared" si="0"/>
        <v>1991</v>
      </c>
      <c r="C53" s="470">
        <f>Stored_C!E59</f>
        <v>0</v>
      </c>
      <c r="D53" s="471">
        <f>Stored_C!F59+Stored_C!L59</f>
        <v>0</v>
      </c>
      <c r="E53" s="472">
        <f>Stored_C!G59+Stored_C!M59</f>
        <v>0</v>
      </c>
      <c r="F53" s="473">
        <f>F52+HWP!C53</f>
        <v>0</v>
      </c>
      <c r="G53" s="471">
        <f>G52+HWP!D53</f>
        <v>30.367907728008813</v>
      </c>
      <c r="H53" s="472">
        <f>H52+HWP!E53</f>
        <v>25.053523875607269</v>
      </c>
      <c r="I53" s="455"/>
      <c r="J53" s="474">
        <f>Garden!J60</f>
        <v>0</v>
      </c>
      <c r="K53" s="475">
        <f>Paper!J60</f>
        <v>1.2449365638293051</v>
      </c>
      <c r="L53" s="476">
        <f>Wood!J60</f>
        <v>0</v>
      </c>
      <c r="M53" s="477">
        <f>J53*(1-Recovery_OX!E53)*(1-Recovery_OX!F53)</f>
        <v>0</v>
      </c>
      <c r="N53" s="475">
        <f>K53*(1-Recovery_OX!E53)*(1-Recovery_OX!F53)</f>
        <v>1.2449365638293051</v>
      </c>
      <c r="O53" s="476">
        <f>L53*(1-Recovery_OX!E53)*(1-Recovery_OX!F53)</f>
        <v>0</v>
      </c>
    </row>
    <row r="54" spans="2:15">
      <c r="B54" s="469">
        <f t="shared" si="0"/>
        <v>1992</v>
      </c>
      <c r="C54" s="470">
        <f>Stored_C!E60</f>
        <v>0</v>
      </c>
      <c r="D54" s="471">
        <f>Stored_C!F60+Stored_C!L60</f>
        <v>0</v>
      </c>
      <c r="E54" s="472">
        <f>Stored_C!G60+Stored_C!M60</f>
        <v>0</v>
      </c>
      <c r="F54" s="473">
        <f>F53+HWP!C54</f>
        <v>0</v>
      </c>
      <c r="G54" s="471">
        <f>G53+HWP!D54</f>
        <v>30.367907728008813</v>
      </c>
      <c r="H54" s="472">
        <f>H53+HWP!E54</f>
        <v>25.053523875607269</v>
      </c>
      <c r="I54" s="455"/>
      <c r="J54" s="474">
        <f>Garden!J61</f>
        <v>0</v>
      </c>
      <c r="K54" s="475">
        <f>Paper!J61</f>
        <v>1.1607711582893911</v>
      </c>
      <c r="L54" s="476">
        <f>Wood!J61</f>
        <v>0</v>
      </c>
      <c r="M54" s="477">
        <f>J54*(1-Recovery_OX!E54)*(1-Recovery_OX!F54)</f>
        <v>0</v>
      </c>
      <c r="N54" s="475">
        <f>K54*(1-Recovery_OX!E54)*(1-Recovery_OX!F54)</f>
        <v>1.1607711582893911</v>
      </c>
      <c r="O54" s="476">
        <f>L54*(1-Recovery_OX!E54)*(1-Recovery_OX!F54)</f>
        <v>0</v>
      </c>
    </row>
    <row r="55" spans="2:15">
      <c r="B55" s="469">
        <f t="shared" si="0"/>
        <v>1993</v>
      </c>
      <c r="C55" s="470">
        <f>Stored_C!E61</f>
        <v>0</v>
      </c>
      <c r="D55" s="471">
        <f>Stored_C!F61+Stored_C!L61</f>
        <v>0</v>
      </c>
      <c r="E55" s="472">
        <f>Stored_C!G61+Stored_C!M61</f>
        <v>0</v>
      </c>
      <c r="F55" s="473">
        <f>F54+HWP!C55</f>
        <v>0</v>
      </c>
      <c r="G55" s="471">
        <f>G54+HWP!D55</f>
        <v>30.367907728008813</v>
      </c>
      <c r="H55" s="472">
        <f>H54+HWP!E55</f>
        <v>25.053523875607269</v>
      </c>
      <c r="I55" s="455"/>
      <c r="J55" s="474">
        <f>Garden!J62</f>
        <v>0</v>
      </c>
      <c r="K55" s="475">
        <f>Paper!J62</f>
        <v>1.0822958543140972</v>
      </c>
      <c r="L55" s="476">
        <f>Wood!J62</f>
        <v>0</v>
      </c>
      <c r="M55" s="477">
        <f>J55*(1-Recovery_OX!E55)*(1-Recovery_OX!F55)</f>
        <v>0</v>
      </c>
      <c r="N55" s="475">
        <f>K55*(1-Recovery_OX!E55)*(1-Recovery_OX!F55)</f>
        <v>1.0822958543140972</v>
      </c>
      <c r="O55" s="476">
        <f>L55*(1-Recovery_OX!E55)*(1-Recovery_OX!F55)</f>
        <v>0</v>
      </c>
    </row>
    <row r="56" spans="2:15">
      <c r="B56" s="469">
        <f t="shared" si="0"/>
        <v>1994</v>
      </c>
      <c r="C56" s="470">
        <f>Stored_C!E62</f>
        <v>0</v>
      </c>
      <c r="D56" s="471">
        <f>Stored_C!F62+Stored_C!L62</f>
        <v>0</v>
      </c>
      <c r="E56" s="472">
        <f>Stored_C!G62+Stored_C!M62</f>
        <v>0</v>
      </c>
      <c r="F56" s="473">
        <f>F55+HWP!C56</f>
        <v>0</v>
      </c>
      <c r="G56" s="471">
        <f>G55+HWP!D56</f>
        <v>30.367907728008813</v>
      </c>
      <c r="H56" s="472">
        <f>H55+HWP!E56</f>
        <v>25.053523875607269</v>
      </c>
      <c r="I56" s="455"/>
      <c r="J56" s="474">
        <f>Garden!J63</f>
        <v>0</v>
      </c>
      <c r="K56" s="475">
        <f>Paper!J63</f>
        <v>1.0091259658722929</v>
      </c>
      <c r="L56" s="476">
        <f>Wood!J63</f>
        <v>0</v>
      </c>
      <c r="M56" s="477">
        <f>J56*(1-Recovery_OX!E56)*(1-Recovery_OX!F56)</f>
        <v>0</v>
      </c>
      <c r="N56" s="475">
        <f>K56*(1-Recovery_OX!E56)*(1-Recovery_OX!F56)</f>
        <v>1.0091259658722929</v>
      </c>
      <c r="O56" s="476">
        <f>L56*(1-Recovery_OX!E56)*(1-Recovery_OX!F56)</f>
        <v>0</v>
      </c>
    </row>
    <row r="57" spans="2:15">
      <c r="B57" s="469">
        <f t="shared" si="0"/>
        <v>1995</v>
      </c>
      <c r="C57" s="470">
        <f>Stored_C!E63</f>
        <v>0</v>
      </c>
      <c r="D57" s="471">
        <f>Stored_C!F63+Stored_C!L63</f>
        <v>0</v>
      </c>
      <c r="E57" s="472">
        <f>Stored_C!G63+Stored_C!M63</f>
        <v>0</v>
      </c>
      <c r="F57" s="473">
        <f>F56+HWP!C57</f>
        <v>0</v>
      </c>
      <c r="G57" s="471">
        <f>G56+HWP!D57</f>
        <v>30.367907728008813</v>
      </c>
      <c r="H57" s="472">
        <f>H56+HWP!E57</f>
        <v>25.053523875607269</v>
      </c>
      <c r="I57" s="455"/>
      <c r="J57" s="474">
        <f>Garden!J64</f>
        <v>0</v>
      </c>
      <c r="K57" s="475">
        <f>Paper!J64</f>
        <v>0.94090281408594678</v>
      </c>
      <c r="L57" s="476">
        <f>Wood!J64</f>
        <v>0</v>
      </c>
      <c r="M57" s="477">
        <f>J57*(1-Recovery_OX!E57)*(1-Recovery_OX!F57)</f>
        <v>0</v>
      </c>
      <c r="N57" s="475">
        <f>K57*(1-Recovery_OX!E57)*(1-Recovery_OX!F57)</f>
        <v>0.94090281408594678</v>
      </c>
      <c r="O57" s="476">
        <f>L57*(1-Recovery_OX!E57)*(1-Recovery_OX!F57)</f>
        <v>0</v>
      </c>
    </row>
    <row r="58" spans="2:15">
      <c r="B58" s="469">
        <f t="shared" si="0"/>
        <v>1996</v>
      </c>
      <c r="C58" s="470">
        <f>Stored_C!E64</f>
        <v>0</v>
      </c>
      <c r="D58" s="471">
        <f>Stored_C!F64+Stored_C!L64</f>
        <v>0</v>
      </c>
      <c r="E58" s="472">
        <f>Stored_C!G64+Stored_C!M64</f>
        <v>0</v>
      </c>
      <c r="F58" s="473">
        <f>F57+HWP!C58</f>
        <v>0</v>
      </c>
      <c r="G58" s="471">
        <f>G57+HWP!D58</f>
        <v>30.367907728008813</v>
      </c>
      <c r="H58" s="472">
        <f>H57+HWP!E58</f>
        <v>25.053523875607269</v>
      </c>
      <c r="I58" s="455"/>
      <c r="J58" s="474">
        <f>Garden!J65</f>
        <v>0</v>
      </c>
      <c r="K58" s="475">
        <f>Paper!J65</f>
        <v>0.87729196898585216</v>
      </c>
      <c r="L58" s="476">
        <f>Wood!J65</f>
        <v>0</v>
      </c>
      <c r="M58" s="477">
        <f>J58*(1-Recovery_OX!E58)*(1-Recovery_OX!F58)</f>
        <v>0</v>
      </c>
      <c r="N58" s="475">
        <f>K58*(1-Recovery_OX!E58)*(1-Recovery_OX!F58)</f>
        <v>0.87729196898585216</v>
      </c>
      <c r="O58" s="476">
        <f>L58*(1-Recovery_OX!E58)*(1-Recovery_OX!F58)</f>
        <v>0</v>
      </c>
    </row>
    <row r="59" spans="2:15">
      <c r="B59" s="469">
        <f t="shared" si="0"/>
        <v>1997</v>
      </c>
      <c r="C59" s="470">
        <f>Stored_C!E65</f>
        <v>0</v>
      </c>
      <c r="D59" s="471">
        <f>Stored_C!F65+Stored_C!L65</f>
        <v>0</v>
      </c>
      <c r="E59" s="472">
        <f>Stored_C!G65+Stored_C!M65</f>
        <v>0</v>
      </c>
      <c r="F59" s="473">
        <f>F58+HWP!C59</f>
        <v>0</v>
      </c>
      <c r="G59" s="471">
        <f>G58+HWP!D59</f>
        <v>30.367907728008813</v>
      </c>
      <c r="H59" s="472">
        <f>H58+HWP!E59</f>
        <v>25.053523875607269</v>
      </c>
      <c r="I59" s="455"/>
      <c r="J59" s="474">
        <f>Garden!J66</f>
        <v>0</v>
      </c>
      <c r="K59" s="475">
        <f>Paper!J66</f>
        <v>0.81798161013552939</v>
      </c>
      <c r="L59" s="476">
        <f>Wood!J66</f>
        <v>0</v>
      </c>
      <c r="M59" s="477">
        <f>J59*(1-Recovery_OX!E59)*(1-Recovery_OX!F59)</f>
        <v>0</v>
      </c>
      <c r="N59" s="475">
        <f>K59*(1-Recovery_OX!E59)*(1-Recovery_OX!F59)</f>
        <v>0.81798161013552939</v>
      </c>
      <c r="O59" s="476">
        <f>L59*(1-Recovery_OX!E59)*(1-Recovery_OX!F59)</f>
        <v>0</v>
      </c>
    </row>
    <row r="60" spans="2:15">
      <c r="B60" s="469">
        <f t="shared" si="0"/>
        <v>1998</v>
      </c>
      <c r="C60" s="470">
        <f>Stored_C!E66</f>
        <v>0</v>
      </c>
      <c r="D60" s="471">
        <f>Stored_C!F66+Stored_C!L66</f>
        <v>0</v>
      </c>
      <c r="E60" s="472">
        <f>Stored_C!G66+Stored_C!M66</f>
        <v>0</v>
      </c>
      <c r="F60" s="473">
        <f>F59+HWP!C60</f>
        <v>0</v>
      </c>
      <c r="G60" s="471">
        <f>G59+HWP!D60</f>
        <v>30.367907728008813</v>
      </c>
      <c r="H60" s="472">
        <f>H59+HWP!E60</f>
        <v>25.053523875607269</v>
      </c>
      <c r="I60" s="455"/>
      <c r="J60" s="474">
        <f>Garden!J67</f>
        <v>0</v>
      </c>
      <c r="K60" s="475">
        <f>Paper!J67</f>
        <v>0.76268099808708434</v>
      </c>
      <c r="L60" s="476">
        <f>Wood!J67</f>
        <v>0</v>
      </c>
      <c r="M60" s="477">
        <f>J60*(1-Recovery_OX!E60)*(1-Recovery_OX!F60)</f>
        <v>0</v>
      </c>
      <c r="N60" s="475">
        <f>K60*(1-Recovery_OX!E60)*(1-Recovery_OX!F60)</f>
        <v>0.76268099808708434</v>
      </c>
      <c r="O60" s="476">
        <f>L60*(1-Recovery_OX!E60)*(1-Recovery_OX!F60)</f>
        <v>0</v>
      </c>
    </row>
    <row r="61" spans="2:15">
      <c r="B61" s="469">
        <f t="shared" si="0"/>
        <v>1999</v>
      </c>
      <c r="C61" s="470">
        <f>Stored_C!E67</f>
        <v>0</v>
      </c>
      <c r="D61" s="471">
        <f>Stored_C!F67+Stored_C!L67</f>
        <v>0</v>
      </c>
      <c r="E61" s="472">
        <f>Stored_C!G67+Stored_C!M67</f>
        <v>0</v>
      </c>
      <c r="F61" s="473">
        <f>F60+HWP!C61</f>
        <v>0</v>
      </c>
      <c r="G61" s="471">
        <f>G60+HWP!D61</f>
        <v>30.367907728008813</v>
      </c>
      <c r="H61" s="472">
        <f>H60+HWP!E61</f>
        <v>25.053523875607269</v>
      </c>
      <c r="I61" s="455"/>
      <c r="J61" s="474">
        <f>Garden!J68</f>
        <v>0</v>
      </c>
      <c r="K61" s="475">
        <f>Paper!J68</f>
        <v>0.71111904917609781</v>
      </c>
      <c r="L61" s="476">
        <f>Wood!J68</f>
        <v>0</v>
      </c>
      <c r="M61" s="477">
        <f>J61*(1-Recovery_OX!E61)*(1-Recovery_OX!F61)</f>
        <v>0</v>
      </c>
      <c r="N61" s="475">
        <f>K61*(1-Recovery_OX!E61)*(1-Recovery_OX!F61)</f>
        <v>0.71111904917609781</v>
      </c>
      <c r="O61" s="476">
        <f>L61*(1-Recovery_OX!E61)*(1-Recovery_OX!F61)</f>
        <v>0</v>
      </c>
    </row>
    <row r="62" spans="2:15">
      <c r="B62" s="469">
        <f t="shared" si="0"/>
        <v>2000</v>
      </c>
      <c r="C62" s="470">
        <f>Stored_C!E68</f>
        <v>0</v>
      </c>
      <c r="D62" s="471">
        <f>Stored_C!F68+Stored_C!L68</f>
        <v>0</v>
      </c>
      <c r="E62" s="472">
        <f>Stored_C!G68+Stored_C!M68</f>
        <v>0</v>
      </c>
      <c r="F62" s="473">
        <f>F61+HWP!C62</f>
        <v>0</v>
      </c>
      <c r="G62" s="471">
        <f>G61+HWP!D62</f>
        <v>30.367907728008813</v>
      </c>
      <c r="H62" s="472">
        <f>H61+HWP!E62</f>
        <v>25.053523875607269</v>
      </c>
      <c r="I62" s="455"/>
      <c r="J62" s="474">
        <f>Garden!J69</f>
        <v>0</v>
      </c>
      <c r="K62" s="475">
        <f>Paper!J69</f>
        <v>0.6630430066691877</v>
      </c>
      <c r="L62" s="476">
        <f>Wood!J69</f>
        <v>0</v>
      </c>
      <c r="M62" s="477">
        <f>J62*(1-Recovery_OX!E62)*(1-Recovery_OX!F62)</f>
        <v>0</v>
      </c>
      <c r="N62" s="475">
        <f>K62*(1-Recovery_OX!E62)*(1-Recovery_OX!F62)</f>
        <v>0.6630430066691877</v>
      </c>
      <c r="O62" s="476">
        <f>L62*(1-Recovery_OX!E62)*(1-Recovery_OX!F62)</f>
        <v>0</v>
      </c>
    </row>
    <row r="63" spans="2:15">
      <c r="B63" s="469">
        <f t="shared" si="0"/>
        <v>2001</v>
      </c>
      <c r="C63" s="470">
        <f>Stored_C!E69</f>
        <v>0</v>
      </c>
      <c r="D63" s="471">
        <f>Stored_C!F69+Stored_C!L69</f>
        <v>0</v>
      </c>
      <c r="E63" s="472">
        <f>Stored_C!G69+Stored_C!M69</f>
        <v>0</v>
      </c>
      <c r="F63" s="473">
        <f>F62+HWP!C63</f>
        <v>0</v>
      </c>
      <c r="G63" s="471">
        <f>G62+HWP!D63</f>
        <v>30.367907728008813</v>
      </c>
      <c r="H63" s="472">
        <f>H62+HWP!E63</f>
        <v>25.053523875607269</v>
      </c>
      <c r="I63" s="455"/>
      <c r="J63" s="474">
        <f>Garden!J70</f>
        <v>0</v>
      </c>
      <c r="K63" s="475">
        <f>Paper!J70</f>
        <v>0.61821720175020911</v>
      </c>
      <c r="L63" s="476">
        <f>Wood!J70</f>
        <v>0</v>
      </c>
      <c r="M63" s="477">
        <f>J63*(1-Recovery_OX!E63)*(1-Recovery_OX!F63)</f>
        <v>0</v>
      </c>
      <c r="N63" s="475">
        <f>K63*(1-Recovery_OX!E63)*(1-Recovery_OX!F63)</f>
        <v>0.61821720175020911</v>
      </c>
      <c r="O63" s="476">
        <f>L63*(1-Recovery_OX!E63)*(1-Recovery_OX!F63)</f>
        <v>0</v>
      </c>
    </row>
    <row r="64" spans="2:15">
      <c r="B64" s="469">
        <f t="shared" si="0"/>
        <v>2002</v>
      </c>
      <c r="C64" s="470">
        <f>Stored_C!E70</f>
        <v>0</v>
      </c>
      <c r="D64" s="471">
        <f>Stored_C!F70+Stored_C!L70</f>
        <v>0</v>
      </c>
      <c r="E64" s="472">
        <f>Stored_C!G70+Stored_C!M70</f>
        <v>0</v>
      </c>
      <c r="F64" s="473">
        <f>F63+HWP!C64</f>
        <v>0</v>
      </c>
      <c r="G64" s="471">
        <f>G63+HWP!D64</f>
        <v>30.367907728008813</v>
      </c>
      <c r="H64" s="472">
        <f>H63+HWP!E64</f>
        <v>25.053523875607269</v>
      </c>
      <c r="I64" s="455"/>
      <c r="J64" s="474">
        <f>Garden!J71</f>
        <v>0</v>
      </c>
      <c r="K64" s="475">
        <f>Paper!J71</f>
        <v>0.57642189827144374</v>
      </c>
      <c r="L64" s="476">
        <f>Wood!J71</f>
        <v>0</v>
      </c>
      <c r="M64" s="477">
        <f>J64*(1-Recovery_OX!E64)*(1-Recovery_OX!F64)</f>
        <v>0</v>
      </c>
      <c r="N64" s="475">
        <f>K64*(1-Recovery_OX!E64)*(1-Recovery_OX!F64)</f>
        <v>0.57642189827144374</v>
      </c>
      <c r="O64" s="476">
        <f>L64*(1-Recovery_OX!E64)*(1-Recovery_OX!F64)</f>
        <v>0</v>
      </c>
    </row>
    <row r="65" spans="2:15">
      <c r="B65" s="469">
        <f t="shared" si="0"/>
        <v>2003</v>
      </c>
      <c r="C65" s="470">
        <f>Stored_C!E71</f>
        <v>0</v>
      </c>
      <c r="D65" s="471">
        <f>Stored_C!F71+Stored_C!L71</f>
        <v>0</v>
      </c>
      <c r="E65" s="472">
        <f>Stored_C!G71+Stored_C!M71</f>
        <v>0</v>
      </c>
      <c r="F65" s="473">
        <f>F64+HWP!C65</f>
        <v>0</v>
      </c>
      <c r="G65" s="471">
        <f>G64+HWP!D65</f>
        <v>30.367907728008813</v>
      </c>
      <c r="H65" s="472">
        <f>H64+HWP!E65</f>
        <v>25.053523875607269</v>
      </c>
      <c r="I65" s="455"/>
      <c r="J65" s="474">
        <f>Garden!J72</f>
        <v>0</v>
      </c>
      <c r="K65" s="475">
        <f>Paper!J72</f>
        <v>0.53745221560674938</v>
      </c>
      <c r="L65" s="476">
        <f>Wood!J72</f>
        <v>0</v>
      </c>
      <c r="M65" s="477">
        <f>J65*(1-Recovery_OX!E65)*(1-Recovery_OX!F65)</f>
        <v>0</v>
      </c>
      <c r="N65" s="475">
        <f>K65*(1-Recovery_OX!E65)*(1-Recovery_OX!F65)</f>
        <v>0.53745221560674938</v>
      </c>
      <c r="O65" s="476">
        <f>L65*(1-Recovery_OX!E65)*(1-Recovery_OX!F65)</f>
        <v>0</v>
      </c>
    </row>
    <row r="66" spans="2:15">
      <c r="B66" s="469">
        <f t="shared" si="0"/>
        <v>2004</v>
      </c>
      <c r="C66" s="470">
        <f>Stored_C!E72</f>
        <v>0</v>
      </c>
      <c r="D66" s="471">
        <f>Stored_C!F72+Stored_C!L72</f>
        <v>0</v>
      </c>
      <c r="E66" s="472">
        <f>Stored_C!G72+Stored_C!M72</f>
        <v>0</v>
      </c>
      <c r="F66" s="473">
        <f>F65+HWP!C66</f>
        <v>0</v>
      </c>
      <c r="G66" s="471">
        <f>G65+HWP!D66</f>
        <v>30.367907728008813</v>
      </c>
      <c r="H66" s="472">
        <f>H65+HWP!E66</f>
        <v>25.053523875607269</v>
      </c>
      <c r="I66" s="455"/>
      <c r="J66" s="474">
        <f>Garden!J73</f>
        <v>0</v>
      </c>
      <c r="K66" s="475">
        <f>Paper!J73</f>
        <v>0.50111712432649236</v>
      </c>
      <c r="L66" s="476">
        <f>Wood!J73</f>
        <v>0</v>
      </c>
      <c r="M66" s="477">
        <f>J66*(1-Recovery_OX!E66)*(1-Recovery_OX!F66)</f>
        <v>0</v>
      </c>
      <c r="N66" s="475">
        <f>K66*(1-Recovery_OX!E66)*(1-Recovery_OX!F66)</f>
        <v>0.50111712432649236</v>
      </c>
      <c r="O66" s="476">
        <f>L66*(1-Recovery_OX!E66)*(1-Recovery_OX!F66)</f>
        <v>0</v>
      </c>
    </row>
    <row r="67" spans="2:15">
      <c r="B67" s="469">
        <f t="shared" si="0"/>
        <v>2005</v>
      </c>
      <c r="C67" s="470">
        <f>Stored_C!E73</f>
        <v>0</v>
      </c>
      <c r="D67" s="471">
        <f>Stored_C!F73+Stored_C!L73</f>
        <v>0</v>
      </c>
      <c r="E67" s="472">
        <f>Stored_C!G73+Stored_C!M73</f>
        <v>0</v>
      </c>
      <c r="F67" s="473">
        <f>F66+HWP!C67</f>
        <v>0</v>
      </c>
      <c r="G67" s="471">
        <f>G66+HWP!D67</f>
        <v>30.367907728008813</v>
      </c>
      <c r="H67" s="472">
        <f>H66+HWP!E67</f>
        <v>25.053523875607269</v>
      </c>
      <c r="I67" s="455"/>
      <c r="J67" s="474">
        <f>Garden!J74</f>
        <v>0</v>
      </c>
      <c r="K67" s="475">
        <f>Paper!J74</f>
        <v>0.46723850977106218</v>
      </c>
      <c r="L67" s="476">
        <f>Wood!J74</f>
        <v>0</v>
      </c>
      <c r="M67" s="477">
        <f>J67*(1-Recovery_OX!E67)*(1-Recovery_OX!F67)</f>
        <v>0</v>
      </c>
      <c r="N67" s="475">
        <f>K67*(1-Recovery_OX!E67)*(1-Recovery_OX!F67)</f>
        <v>0.46723850977106218</v>
      </c>
      <c r="O67" s="476">
        <f>L67*(1-Recovery_OX!E67)*(1-Recovery_OX!F67)</f>
        <v>0</v>
      </c>
    </row>
    <row r="68" spans="2:15">
      <c r="B68" s="469">
        <f t="shared" si="0"/>
        <v>2006</v>
      </c>
      <c r="C68" s="470">
        <f>Stored_C!E74</f>
        <v>0</v>
      </c>
      <c r="D68" s="471">
        <f>Stored_C!F74+Stored_C!L74</f>
        <v>0</v>
      </c>
      <c r="E68" s="472">
        <f>Stored_C!G74+Stored_C!M74</f>
        <v>0</v>
      </c>
      <c r="F68" s="473">
        <f>F67+HWP!C68</f>
        <v>0</v>
      </c>
      <c r="G68" s="471">
        <f>G67+HWP!D68</f>
        <v>30.367907728008813</v>
      </c>
      <c r="H68" s="472">
        <f>H67+HWP!E68</f>
        <v>25.053523875607269</v>
      </c>
      <c r="I68" s="455"/>
      <c r="J68" s="474">
        <f>Garden!J75</f>
        <v>0</v>
      </c>
      <c r="K68" s="475">
        <f>Paper!J75</f>
        <v>0.43565029893260343</v>
      </c>
      <c r="L68" s="476">
        <f>Wood!J75</f>
        <v>0</v>
      </c>
      <c r="M68" s="477">
        <f>J68*(1-Recovery_OX!E68)*(1-Recovery_OX!F68)</f>
        <v>0</v>
      </c>
      <c r="N68" s="475">
        <f>K68*(1-Recovery_OX!E68)*(1-Recovery_OX!F68)</f>
        <v>0.43565029893260343</v>
      </c>
      <c r="O68" s="476">
        <f>L68*(1-Recovery_OX!E68)*(1-Recovery_OX!F68)</f>
        <v>0</v>
      </c>
    </row>
    <row r="69" spans="2:15">
      <c r="B69" s="469">
        <f t="shared" si="0"/>
        <v>2007</v>
      </c>
      <c r="C69" s="470">
        <f>Stored_C!E75</f>
        <v>0</v>
      </c>
      <c r="D69" s="471">
        <f>Stored_C!F75+Stored_C!L75</f>
        <v>0</v>
      </c>
      <c r="E69" s="472">
        <f>Stored_C!G75+Stored_C!M75</f>
        <v>0</v>
      </c>
      <c r="F69" s="473">
        <f>F68+HWP!C69</f>
        <v>0</v>
      </c>
      <c r="G69" s="471">
        <f>G68+HWP!D69</f>
        <v>30.367907728008813</v>
      </c>
      <c r="H69" s="472">
        <f>H68+HWP!E69</f>
        <v>25.053523875607269</v>
      </c>
      <c r="I69" s="455"/>
      <c r="J69" s="474">
        <f>Garden!J76</f>
        <v>0</v>
      </c>
      <c r="K69" s="475">
        <f>Paper!J76</f>
        <v>0.40619764636493833</v>
      </c>
      <c r="L69" s="476">
        <f>Wood!J76</f>
        <v>0</v>
      </c>
      <c r="M69" s="477">
        <f>J69*(1-Recovery_OX!E69)*(1-Recovery_OX!F69)</f>
        <v>0</v>
      </c>
      <c r="N69" s="475">
        <f>K69*(1-Recovery_OX!E69)*(1-Recovery_OX!F69)</f>
        <v>0.40619764636493833</v>
      </c>
      <c r="O69" s="476">
        <f>L69*(1-Recovery_OX!E69)*(1-Recovery_OX!F69)</f>
        <v>0</v>
      </c>
    </row>
    <row r="70" spans="2:15">
      <c r="B70" s="469">
        <f t="shared" si="0"/>
        <v>2008</v>
      </c>
      <c r="C70" s="470">
        <f>Stored_C!E76</f>
        <v>0</v>
      </c>
      <c r="D70" s="471">
        <f>Stored_C!F76+Stored_C!L76</f>
        <v>0</v>
      </c>
      <c r="E70" s="472">
        <f>Stored_C!G76+Stored_C!M76</f>
        <v>0</v>
      </c>
      <c r="F70" s="473">
        <f>F69+HWP!C70</f>
        <v>0</v>
      </c>
      <c r="G70" s="471">
        <f>G69+HWP!D70</f>
        <v>30.367907728008813</v>
      </c>
      <c r="H70" s="472">
        <f>H69+HWP!E70</f>
        <v>25.053523875607269</v>
      </c>
      <c r="I70" s="455"/>
      <c r="J70" s="474">
        <f>Garden!J77</f>
        <v>0</v>
      </c>
      <c r="K70" s="475">
        <f>Paper!J77</f>
        <v>0.37873617513101038</v>
      </c>
      <c r="L70" s="476">
        <f>Wood!J77</f>
        <v>0</v>
      </c>
      <c r="M70" s="477">
        <f>J70*(1-Recovery_OX!E70)*(1-Recovery_OX!F70)</f>
        <v>0</v>
      </c>
      <c r="N70" s="475">
        <f>K70*(1-Recovery_OX!E70)*(1-Recovery_OX!F70)</f>
        <v>0.37873617513101038</v>
      </c>
      <c r="O70" s="476">
        <f>L70*(1-Recovery_OX!E70)*(1-Recovery_OX!F70)</f>
        <v>0</v>
      </c>
    </row>
    <row r="71" spans="2:15">
      <c r="B71" s="469">
        <f t="shared" si="0"/>
        <v>2009</v>
      </c>
      <c r="C71" s="470">
        <f>Stored_C!E77</f>
        <v>0</v>
      </c>
      <c r="D71" s="471">
        <f>Stored_C!F77+Stored_C!L77</f>
        <v>0</v>
      </c>
      <c r="E71" s="472">
        <f>Stored_C!G77+Stored_C!M77</f>
        <v>0</v>
      </c>
      <c r="F71" s="473">
        <f>F70+HWP!C71</f>
        <v>0</v>
      </c>
      <c r="G71" s="471">
        <f>G70+HWP!D71</f>
        <v>30.367907728008813</v>
      </c>
      <c r="H71" s="472">
        <f>H70+HWP!E71</f>
        <v>25.053523875607269</v>
      </c>
      <c r="I71" s="455"/>
      <c r="J71" s="474">
        <f>Garden!J78</f>
        <v>0</v>
      </c>
      <c r="K71" s="475">
        <f>Paper!J78</f>
        <v>0.35313126906697101</v>
      </c>
      <c r="L71" s="476">
        <f>Wood!J78</f>
        <v>0</v>
      </c>
      <c r="M71" s="477">
        <f>J71*(1-Recovery_OX!E71)*(1-Recovery_OX!F71)</f>
        <v>0</v>
      </c>
      <c r="N71" s="475">
        <f>K71*(1-Recovery_OX!E71)*(1-Recovery_OX!F71)</f>
        <v>0.35313126906697101</v>
      </c>
      <c r="O71" s="476">
        <f>L71*(1-Recovery_OX!E71)*(1-Recovery_OX!F71)</f>
        <v>0</v>
      </c>
    </row>
    <row r="72" spans="2:15">
      <c r="B72" s="469">
        <f t="shared" si="0"/>
        <v>2010</v>
      </c>
      <c r="C72" s="470">
        <f>Stored_C!E78</f>
        <v>0</v>
      </c>
      <c r="D72" s="471">
        <f>Stored_C!F78+Stored_C!L78</f>
        <v>0</v>
      </c>
      <c r="E72" s="472">
        <f>Stored_C!G78+Stored_C!M78</f>
        <v>0</v>
      </c>
      <c r="F72" s="473">
        <f>F71+HWP!C72</f>
        <v>0</v>
      </c>
      <c r="G72" s="471">
        <f>G71+HWP!D72</f>
        <v>30.367907728008813</v>
      </c>
      <c r="H72" s="472">
        <f>H71+HWP!E72</f>
        <v>25.053523875607269</v>
      </c>
      <c r="I72" s="455"/>
      <c r="J72" s="474">
        <f>Garden!J79</f>
        <v>0</v>
      </c>
      <c r="K72" s="475">
        <f>Paper!J79</f>
        <v>0.32925741289358834</v>
      </c>
      <c r="L72" s="476">
        <f>Wood!J79</f>
        <v>0</v>
      </c>
      <c r="M72" s="477">
        <f>J72*(1-Recovery_OX!E72)*(1-Recovery_OX!F72)</f>
        <v>0</v>
      </c>
      <c r="N72" s="475">
        <f>K72*(1-Recovery_OX!E72)*(1-Recovery_OX!F72)</f>
        <v>0.32925741289358834</v>
      </c>
      <c r="O72" s="476">
        <f>L72*(1-Recovery_OX!E72)*(1-Recovery_OX!F72)</f>
        <v>0</v>
      </c>
    </row>
    <row r="73" spans="2:15">
      <c r="B73" s="469">
        <f t="shared" si="0"/>
        <v>2011</v>
      </c>
      <c r="C73" s="470">
        <f>Stored_C!E79</f>
        <v>0</v>
      </c>
      <c r="D73" s="471">
        <f>Stored_C!F79+Stored_C!L79</f>
        <v>0</v>
      </c>
      <c r="E73" s="472">
        <f>Stored_C!G79+Stored_C!M79</f>
        <v>0</v>
      </c>
      <c r="F73" s="473">
        <f>F72+HWP!C73</f>
        <v>0</v>
      </c>
      <c r="G73" s="471">
        <f>G72+HWP!D73</f>
        <v>30.367907728008813</v>
      </c>
      <c r="H73" s="472">
        <f>H72+HWP!E73</f>
        <v>25.053523875607269</v>
      </c>
      <c r="I73" s="455"/>
      <c r="J73" s="474">
        <f>Garden!J80</f>
        <v>0</v>
      </c>
      <c r="K73" s="475">
        <f>Paper!J80</f>
        <v>0.30699757694020285</v>
      </c>
      <c r="L73" s="476">
        <f>Wood!J80</f>
        <v>0</v>
      </c>
      <c r="M73" s="477">
        <f>J73*(1-Recovery_OX!E73)*(1-Recovery_OX!F73)</f>
        <v>0</v>
      </c>
      <c r="N73" s="475">
        <f>K73*(1-Recovery_OX!E73)*(1-Recovery_OX!F73)</f>
        <v>0.30699757694020285</v>
      </c>
      <c r="O73" s="476">
        <f>L73*(1-Recovery_OX!E73)*(1-Recovery_OX!F73)</f>
        <v>0</v>
      </c>
    </row>
    <row r="74" spans="2:15">
      <c r="B74" s="469">
        <f t="shared" si="0"/>
        <v>2012</v>
      </c>
      <c r="C74" s="470">
        <f>Stored_C!E80</f>
        <v>0</v>
      </c>
      <c r="D74" s="471">
        <f>Stored_C!F80+Stored_C!L80</f>
        <v>0</v>
      </c>
      <c r="E74" s="472">
        <f>Stored_C!G80+Stored_C!M80</f>
        <v>0</v>
      </c>
      <c r="F74" s="473">
        <f>F73+HWP!C74</f>
        <v>0</v>
      </c>
      <c r="G74" s="471">
        <f>G73+HWP!D74</f>
        <v>30.367907728008813</v>
      </c>
      <c r="H74" s="472">
        <f>H73+HWP!E74</f>
        <v>25.053523875607269</v>
      </c>
      <c r="I74" s="455"/>
      <c r="J74" s="474">
        <f>Garden!J81</f>
        <v>0</v>
      </c>
      <c r="K74" s="475">
        <f>Paper!J81</f>
        <v>0.286242643465146</v>
      </c>
      <c r="L74" s="476">
        <f>Wood!J81</f>
        <v>0</v>
      </c>
      <c r="M74" s="477">
        <f>J74*(1-Recovery_OX!E74)*(1-Recovery_OX!F74)</f>
        <v>0</v>
      </c>
      <c r="N74" s="475">
        <f>K74*(1-Recovery_OX!E74)*(1-Recovery_OX!F74)</f>
        <v>0.286242643465146</v>
      </c>
      <c r="O74" s="476">
        <f>L74*(1-Recovery_OX!E74)*(1-Recovery_OX!F74)</f>
        <v>0</v>
      </c>
    </row>
    <row r="75" spans="2:15">
      <c r="B75" s="469">
        <f t="shared" si="0"/>
        <v>2013</v>
      </c>
      <c r="C75" s="470">
        <f>Stored_C!E81</f>
        <v>0</v>
      </c>
      <c r="D75" s="471">
        <f>Stored_C!F81+Stored_C!L81</f>
        <v>0</v>
      </c>
      <c r="E75" s="472">
        <f>Stored_C!G81+Stored_C!M81</f>
        <v>0</v>
      </c>
      <c r="F75" s="473">
        <f>F74+HWP!C75</f>
        <v>0</v>
      </c>
      <c r="G75" s="471">
        <f>G74+HWP!D75</f>
        <v>30.367907728008813</v>
      </c>
      <c r="H75" s="472">
        <f>H74+HWP!E75</f>
        <v>25.053523875607269</v>
      </c>
      <c r="I75" s="455"/>
      <c r="J75" s="474">
        <f>Garden!J82</f>
        <v>0</v>
      </c>
      <c r="K75" s="475">
        <f>Paper!J82</f>
        <v>0.26689087176044385</v>
      </c>
      <c r="L75" s="476">
        <f>Wood!J82</f>
        <v>0</v>
      </c>
      <c r="M75" s="477">
        <f>J75*(1-Recovery_OX!E75)*(1-Recovery_OX!F75)</f>
        <v>0</v>
      </c>
      <c r="N75" s="475">
        <f>K75*(1-Recovery_OX!E75)*(1-Recovery_OX!F75)</f>
        <v>0.26689087176044385</v>
      </c>
      <c r="O75" s="476">
        <f>L75*(1-Recovery_OX!E75)*(1-Recovery_OX!F75)</f>
        <v>0</v>
      </c>
    </row>
    <row r="76" spans="2:15">
      <c r="B76" s="469">
        <f t="shared" si="0"/>
        <v>2014</v>
      </c>
      <c r="C76" s="470">
        <f>Stored_C!E82</f>
        <v>0</v>
      </c>
      <c r="D76" s="471">
        <f>Stored_C!F82+Stored_C!L82</f>
        <v>0</v>
      </c>
      <c r="E76" s="472">
        <f>Stored_C!G82+Stored_C!M82</f>
        <v>0</v>
      </c>
      <c r="F76" s="473">
        <f>F75+HWP!C76</f>
        <v>0</v>
      </c>
      <c r="G76" s="471">
        <f>G75+HWP!D76</f>
        <v>30.367907728008813</v>
      </c>
      <c r="H76" s="472">
        <f>H75+HWP!E76</f>
        <v>25.053523875607269</v>
      </c>
      <c r="I76" s="455"/>
      <c r="J76" s="474">
        <f>Garden!J83</f>
        <v>0</v>
      </c>
      <c r="K76" s="475">
        <f>Paper!J83</f>
        <v>0.24884739941874881</v>
      </c>
      <c r="L76" s="476">
        <f>Wood!J83</f>
        <v>0</v>
      </c>
      <c r="M76" s="477">
        <f>J76*(1-Recovery_OX!E76)*(1-Recovery_OX!F76)</f>
        <v>0</v>
      </c>
      <c r="N76" s="475">
        <f>K76*(1-Recovery_OX!E76)*(1-Recovery_OX!F76)</f>
        <v>0.24884739941874881</v>
      </c>
      <c r="O76" s="476">
        <f>L76*(1-Recovery_OX!E76)*(1-Recovery_OX!F76)</f>
        <v>0</v>
      </c>
    </row>
    <row r="77" spans="2:15">
      <c r="B77" s="469">
        <f t="shared" si="0"/>
        <v>2015</v>
      </c>
      <c r="C77" s="470">
        <f>Stored_C!E83</f>
        <v>0</v>
      </c>
      <c r="D77" s="471">
        <f>Stored_C!F83+Stored_C!L83</f>
        <v>0</v>
      </c>
      <c r="E77" s="472">
        <f>Stored_C!G83+Stored_C!M83</f>
        <v>0</v>
      </c>
      <c r="F77" s="473">
        <f>F76+HWP!C77</f>
        <v>0</v>
      </c>
      <c r="G77" s="471">
        <f>G76+HWP!D77</f>
        <v>30.367907728008813</v>
      </c>
      <c r="H77" s="472">
        <f>H76+HWP!E77</f>
        <v>25.053523875607269</v>
      </c>
      <c r="I77" s="455"/>
      <c r="J77" s="474">
        <f>Garden!J84</f>
        <v>0</v>
      </c>
      <c r="K77" s="475">
        <f>Paper!J84</f>
        <v>0.23202377731770846</v>
      </c>
      <c r="L77" s="476">
        <f>Wood!J84</f>
        <v>0</v>
      </c>
      <c r="M77" s="477">
        <f>J77*(1-Recovery_OX!E77)*(1-Recovery_OX!F77)</f>
        <v>0</v>
      </c>
      <c r="N77" s="475">
        <f>K77*(1-Recovery_OX!E77)*(1-Recovery_OX!F77)</f>
        <v>0.23202377731770846</v>
      </c>
      <c r="O77" s="476">
        <f>L77*(1-Recovery_OX!E77)*(1-Recovery_OX!F77)</f>
        <v>0</v>
      </c>
    </row>
    <row r="78" spans="2:15">
      <c r="B78" s="469">
        <f t="shared" ref="B78:B92" si="1">B77+1</f>
        <v>2016</v>
      </c>
      <c r="C78" s="470">
        <f>Stored_C!E84</f>
        <v>0</v>
      </c>
      <c r="D78" s="471">
        <f>Stored_C!F84+Stored_C!L84</f>
        <v>0</v>
      </c>
      <c r="E78" s="472">
        <f>Stored_C!G84+Stored_C!M84</f>
        <v>0</v>
      </c>
      <c r="F78" s="473">
        <f>F77+HWP!C78</f>
        <v>0</v>
      </c>
      <c r="G78" s="471">
        <f>G77+HWP!D78</f>
        <v>30.367907728008813</v>
      </c>
      <c r="H78" s="472">
        <f>H77+HWP!E78</f>
        <v>25.053523875607269</v>
      </c>
      <c r="I78" s="455"/>
      <c r="J78" s="474">
        <f>Garden!J85</f>
        <v>0</v>
      </c>
      <c r="K78" s="475">
        <f>Paper!J85</f>
        <v>0.21633753604226533</v>
      </c>
      <c r="L78" s="476">
        <f>Wood!J85</f>
        <v>0</v>
      </c>
      <c r="M78" s="477">
        <f>J78*(1-Recovery_OX!E78)*(1-Recovery_OX!F78)</f>
        <v>0</v>
      </c>
      <c r="N78" s="475">
        <f>K78*(1-Recovery_OX!E78)*(1-Recovery_OX!F78)</f>
        <v>0.21633753604226533</v>
      </c>
      <c r="O78" s="476">
        <f>L78*(1-Recovery_OX!E78)*(1-Recovery_OX!F78)</f>
        <v>0</v>
      </c>
    </row>
    <row r="79" spans="2:15">
      <c r="B79" s="469">
        <f t="shared" si="1"/>
        <v>2017</v>
      </c>
      <c r="C79" s="470">
        <f>Stored_C!E85</f>
        <v>0</v>
      </c>
      <c r="D79" s="471">
        <f>Stored_C!F85+Stored_C!L85</f>
        <v>0</v>
      </c>
      <c r="E79" s="472">
        <f>Stored_C!G85+Stored_C!M85</f>
        <v>0</v>
      </c>
      <c r="F79" s="473">
        <f>F78+HWP!C79</f>
        <v>0</v>
      </c>
      <c r="G79" s="471">
        <f>G78+HWP!D79</f>
        <v>30.367907728008813</v>
      </c>
      <c r="H79" s="472">
        <f>H78+HWP!E79</f>
        <v>25.053523875607269</v>
      </c>
      <c r="I79" s="455"/>
      <c r="J79" s="474">
        <f>Garden!J86</f>
        <v>0</v>
      </c>
      <c r="K79" s="475">
        <f>Paper!J86</f>
        <v>0.20171178161948852</v>
      </c>
      <c r="L79" s="476">
        <f>Wood!J86</f>
        <v>0</v>
      </c>
      <c r="M79" s="477">
        <f>J79*(1-Recovery_OX!E79)*(1-Recovery_OX!F79)</f>
        <v>0</v>
      </c>
      <c r="N79" s="475">
        <f>K79*(1-Recovery_OX!E79)*(1-Recovery_OX!F79)</f>
        <v>0.20171178161948852</v>
      </c>
      <c r="O79" s="476">
        <f>L79*(1-Recovery_OX!E79)*(1-Recovery_OX!F79)</f>
        <v>0</v>
      </c>
    </row>
    <row r="80" spans="2:15">
      <c r="B80" s="469">
        <f t="shared" si="1"/>
        <v>2018</v>
      </c>
      <c r="C80" s="470">
        <f>Stored_C!E86</f>
        <v>0</v>
      </c>
      <c r="D80" s="471">
        <f>Stored_C!F86+Stored_C!L86</f>
        <v>0</v>
      </c>
      <c r="E80" s="472">
        <f>Stored_C!G86+Stored_C!M86</f>
        <v>0</v>
      </c>
      <c r="F80" s="473">
        <f>F79+HWP!C80</f>
        <v>0</v>
      </c>
      <c r="G80" s="471">
        <f>G79+HWP!D80</f>
        <v>30.367907728008813</v>
      </c>
      <c r="H80" s="472">
        <f>H79+HWP!E80</f>
        <v>25.053523875607269</v>
      </c>
      <c r="I80" s="455"/>
      <c r="J80" s="474">
        <f>Garden!J87</f>
        <v>0</v>
      </c>
      <c r="K80" s="475">
        <f>Paper!J87</f>
        <v>0.18807481858422934</v>
      </c>
      <c r="L80" s="476">
        <f>Wood!J87</f>
        <v>0</v>
      </c>
      <c r="M80" s="477">
        <f>J80*(1-Recovery_OX!E80)*(1-Recovery_OX!F80)</f>
        <v>0</v>
      </c>
      <c r="N80" s="475">
        <f>K80*(1-Recovery_OX!E80)*(1-Recovery_OX!F80)</f>
        <v>0.18807481858422934</v>
      </c>
      <c r="O80" s="476">
        <f>L80*(1-Recovery_OX!E80)*(1-Recovery_OX!F80)</f>
        <v>0</v>
      </c>
    </row>
    <row r="81" spans="2:15">
      <c r="B81" s="469">
        <f t="shared" si="1"/>
        <v>2019</v>
      </c>
      <c r="C81" s="470">
        <f>Stored_C!E87</f>
        <v>0</v>
      </c>
      <c r="D81" s="471">
        <f>Stored_C!F87+Stored_C!L87</f>
        <v>0</v>
      </c>
      <c r="E81" s="472">
        <f>Stored_C!G87+Stored_C!M87</f>
        <v>0</v>
      </c>
      <c r="F81" s="473">
        <f>F80+HWP!C81</f>
        <v>0</v>
      </c>
      <c r="G81" s="471">
        <f>G80+HWP!D81</f>
        <v>30.367907728008813</v>
      </c>
      <c r="H81" s="472">
        <f>H80+HWP!E81</f>
        <v>25.053523875607269</v>
      </c>
      <c r="I81" s="455"/>
      <c r="J81" s="474">
        <f>Garden!J88</f>
        <v>0</v>
      </c>
      <c r="K81" s="475">
        <f>Paper!J88</f>
        <v>0.17535979852786784</v>
      </c>
      <c r="L81" s="476">
        <f>Wood!J88</f>
        <v>0</v>
      </c>
      <c r="M81" s="477">
        <f>J81*(1-Recovery_OX!E81)*(1-Recovery_OX!F81)</f>
        <v>0</v>
      </c>
      <c r="N81" s="475">
        <f>K81*(1-Recovery_OX!E81)*(1-Recovery_OX!F81)</f>
        <v>0.17535979852786784</v>
      </c>
      <c r="O81" s="476">
        <f>L81*(1-Recovery_OX!E81)*(1-Recovery_OX!F81)</f>
        <v>0</v>
      </c>
    </row>
    <row r="82" spans="2:15">
      <c r="B82" s="469">
        <f t="shared" si="1"/>
        <v>2020</v>
      </c>
      <c r="C82" s="470">
        <f>Stored_C!E88</f>
        <v>0</v>
      </c>
      <c r="D82" s="471">
        <f>Stored_C!F88+Stored_C!L88</f>
        <v>0</v>
      </c>
      <c r="E82" s="472">
        <f>Stored_C!G88+Stored_C!M88</f>
        <v>0</v>
      </c>
      <c r="F82" s="473">
        <f>F81+HWP!C82</f>
        <v>0</v>
      </c>
      <c r="G82" s="471">
        <f>G81+HWP!D82</f>
        <v>30.367907728008813</v>
      </c>
      <c r="H82" s="472">
        <f>H81+HWP!E82</f>
        <v>25.053523875607269</v>
      </c>
      <c r="I82" s="455"/>
      <c r="J82" s="474">
        <f>Garden!J89</f>
        <v>0</v>
      </c>
      <c r="K82" s="475">
        <f>Paper!J89</f>
        <v>0.16350439240733619</v>
      </c>
      <c r="L82" s="476">
        <f>Wood!J89</f>
        <v>0</v>
      </c>
      <c r="M82" s="477">
        <f>J82*(1-Recovery_OX!E82)*(1-Recovery_OX!F82)</f>
        <v>0</v>
      </c>
      <c r="N82" s="475">
        <f>K82*(1-Recovery_OX!E82)*(1-Recovery_OX!F82)</f>
        <v>0.16350439240733619</v>
      </c>
      <c r="O82" s="476">
        <f>L82*(1-Recovery_OX!E82)*(1-Recovery_OX!F82)</f>
        <v>0</v>
      </c>
    </row>
    <row r="83" spans="2:15">
      <c r="B83" s="469">
        <f t="shared" si="1"/>
        <v>2021</v>
      </c>
      <c r="C83" s="470">
        <f>Stored_C!E89</f>
        <v>0</v>
      </c>
      <c r="D83" s="471">
        <f>Stored_C!F89+Stored_C!L89</f>
        <v>0</v>
      </c>
      <c r="E83" s="472">
        <f>Stored_C!G89+Stored_C!M89</f>
        <v>0</v>
      </c>
      <c r="F83" s="473">
        <f>F82+HWP!C83</f>
        <v>0</v>
      </c>
      <c r="G83" s="471">
        <f>G82+HWP!D83</f>
        <v>30.367907728008813</v>
      </c>
      <c r="H83" s="472">
        <f>H82+HWP!E83</f>
        <v>25.053523875607269</v>
      </c>
      <c r="I83" s="455"/>
      <c r="J83" s="474">
        <f>Garden!J90</f>
        <v>0</v>
      </c>
      <c r="K83" s="475">
        <f>Paper!J90</f>
        <v>0.15245048500807734</v>
      </c>
      <c r="L83" s="476">
        <f>Wood!J90</f>
        <v>0</v>
      </c>
      <c r="M83" s="477">
        <f>J83*(1-Recovery_OX!E83)*(1-Recovery_OX!F83)</f>
        <v>0</v>
      </c>
      <c r="N83" s="475">
        <f>K83*(1-Recovery_OX!E83)*(1-Recovery_OX!F83)</f>
        <v>0.15245048500807734</v>
      </c>
      <c r="O83" s="476">
        <f>L83*(1-Recovery_OX!E83)*(1-Recovery_OX!F83)</f>
        <v>0</v>
      </c>
    </row>
    <row r="84" spans="2:15">
      <c r="B84" s="469">
        <f t="shared" si="1"/>
        <v>2022</v>
      </c>
      <c r="C84" s="470">
        <f>Stored_C!E90</f>
        <v>0</v>
      </c>
      <c r="D84" s="471">
        <f>Stored_C!F90+Stored_C!L90</f>
        <v>0</v>
      </c>
      <c r="E84" s="472">
        <f>Stored_C!G90+Stored_C!M90</f>
        <v>0</v>
      </c>
      <c r="F84" s="473">
        <f>F83+HWP!C84</f>
        <v>0</v>
      </c>
      <c r="G84" s="471">
        <f>G83+HWP!D84</f>
        <v>30.367907728008813</v>
      </c>
      <c r="H84" s="472">
        <f>H83+HWP!E84</f>
        <v>25.053523875607269</v>
      </c>
      <c r="I84" s="455"/>
      <c r="J84" s="474">
        <f>Garden!J91</f>
        <v>0</v>
      </c>
      <c r="K84" s="475">
        <f>Paper!J91</f>
        <v>0.14214389006319572</v>
      </c>
      <c r="L84" s="476">
        <f>Wood!J91</f>
        <v>0</v>
      </c>
      <c r="M84" s="477">
        <f>J84*(1-Recovery_OX!E84)*(1-Recovery_OX!F84)</f>
        <v>0</v>
      </c>
      <c r="N84" s="475">
        <f>K84*(1-Recovery_OX!E84)*(1-Recovery_OX!F84)</f>
        <v>0.14214389006319572</v>
      </c>
      <c r="O84" s="476">
        <f>L84*(1-Recovery_OX!E84)*(1-Recovery_OX!F84)</f>
        <v>0</v>
      </c>
    </row>
    <row r="85" spans="2:15">
      <c r="B85" s="469">
        <f t="shared" si="1"/>
        <v>2023</v>
      </c>
      <c r="C85" s="470">
        <f>Stored_C!E91</f>
        <v>0</v>
      </c>
      <c r="D85" s="471">
        <f>Stored_C!F91+Stored_C!L91</f>
        <v>0</v>
      </c>
      <c r="E85" s="472">
        <f>Stored_C!G91+Stored_C!M91</f>
        <v>0</v>
      </c>
      <c r="F85" s="473">
        <f>F84+HWP!C85</f>
        <v>0</v>
      </c>
      <c r="G85" s="471">
        <f>G84+HWP!D85</f>
        <v>30.367907728008813</v>
      </c>
      <c r="H85" s="472">
        <f>H84+HWP!E85</f>
        <v>25.053523875607269</v>
      </c>
      <c r="I85" s="455"/>
      <c r="J85" s="474">
        <f>Garden!J92</f>
        <v>0</v>
      </c>
      <c r="K85" s="475">
        <f>Paper!J92</f>
        <v>0.13253408463231423</v>
      </c>
      <c r="L85" s="476">
        <f>Wood!J92</f>
        <v>0</v>
      </c>
      <c r="M85" s="477">
        <f>J85*(1-Recovery_OX!E85)*(1-Recovery_OX!F85)</f>
        <v>0</v>
      </c>
      <c r="N85" s="475">
        <f>K85*(1-Recovery_OX!E85)*(1-Recovery_OX!F85)</f>
        <v>0.13253408463231423</v>
      </c>
      <c r="O85" s="476">
        <f>L85*(1-Recovery_OX!E85)*(1-Recovery_OX!F85)</f>
        <v>0</v>
      </c>
    </row>
    <row r="86" spans="2:15">
      <c r="B86" s="469">
        <f t="shared" si="1"/>
        <v>2024</v>
      </c>
      <c r="C86" s="470">
        <f>Stored_C!E92</f>
        <v>0</v>
      </c>
      <c r="D86" s="471">
        <f>Stored_C!F92+Stored_C!L92</f>
        <v>0</v>
      </c>
      <c r="E86" s="472">
        <f>Stored_C!G92+Stored_C!M92</f>
        <v>0</v>
      </c>
      <c r="F86" s="473">
        <f>F85+HWP!C86</f>
        <v>0</v>
      </c>
      <c r="G86" s="471">
        <f>G85+HWP!D86</f>
        <v>30.367907728008813</v>
      </c>
      <c r="H86" s="472">
        <f>H85+HWP!E86</f>
        <v>25.053523875607269</v>
      </c>
      <c r="I86" s="455"/>
      <c r="J86" s="474">
        <f>Garden!J93</f>
        <v>0</v>
      </c>
      <c r="K86" s="475">
        <f>Paper!J93</f>
        <v>0.12357396143806169</v>
      </c>
      <c r="L86" s="476">
        <f>Wood!J93</f>
        <v>0</v>
      </c>
      <c r="M86" s="477">
        <f>J86*(1-Recovery_OX!E86)*(1-Recovery_OX!F86)</f>
        <v>0</v>
      </c>
      <c r="N86" s="475">
        <f>K86*(1-Recovery_OX!E86)*(1-Recovery_OX!F86)</f>
        <v>0.12357396143806169</v>
      </c>
      <c r="O86" s="476">
        <f>L86*(1-Recovery_OX!E86)*(1-Recovery_OX!F86)</f>
        <v>0</v>
      </c>
    </row>
    <row r="87" spans="2:15">
      <c r="B87" s="469">
        <f t="shared" si="1"/>
        <v>2025</v>
      </c>
      <c r="C87" s="470">
        <f>Stored_C!E93</f>
        <v>0</v>
      </c>
      <c r="D87" s="471">
        <f>Stored_C!F93+Stored_C!L93</f>
        <v>0</v>
      </c>
      <c r="E87" s="472">
        <f>Stored_C!G93+Stored_C!M93</f>
        <v>0</v>
      </c>
      <c r="F87" s="473">
        <f>F86+HWP!C87</f>
        <v>0</v>
      </c>
      <c r="G87" s="471">
        <f>G86+HWP!D87</f>
        <v>30.367907728008813</v>
      </c>
      <c r="H87" s="472">
        <f>H86+HWP!E87</f>
        <v>25.053523875607269</v>
      </c>
      <c r="I87" s="455"/>
      <c r="J87" s="474">
        <f>Garden!J94</f>
        <v>0</v>
      </c>
      <c r="K87" s="475">
        <f>Paper!J94</f>
        <v>0.1152195979461447</v>
      </c>
      <c r="L87" s="476">
        <f>Wood!J94</f>
        <v>0</v>
      </c>
      <c r="M87" s="477">
        <f>J87*(1-Recovery_OX!E87)*(1-Recovery_OX!F87)</f>
        <v>0</v>
      </c>
      <c r="N87" s="475">
        <f>K87*(1-Recovery_OX!E87)*(1-Recovery_OX!F87)</f>
        <v>0.1152195979461447</v>
      </c>
      <c r="O87" s="476">
        <f>L87*(1-Recovery_OX!E87)*(1-Recovery_OX!F87)</f>
        <v>0</v>
      </c>
    </row>
    <row r="88" spans="2:15">
      <c r="B88" s="469">
        <f t="shared" si="1"/>
        <v>2026</v>
      </c>
      <c r="C88" s="470">
        <f>Stored_C!E94</f>
        <v>0</v>
      </c>
      <c r="D88" s="471">
        <f>Stored_C!F94+Stored_C!L94</f>
        <v>0</v>
      </c>
      <c r="E88" s="472">
        <f>Stored_C!G94+Stored_C!M94</f>
        <v>0</v>
      </c>
      <c r="F88" s="473">
        <f>F87+HWP!C88</f>
        <v>0</v>
      </c>
      <c r="G88" s="471">
        <f>G87+HWP!D88</f>
        <v>30.367907728008813</v>
      </c>
      <c r="H88" s="472">
        <f>H87+HWP!E88</f>
        <v>25.053523875607269</v>
      </c>
      <c r="I88" s="455"/>
      <c r="J88" s="474">
        <f>Garden!J95</f>
        <v>0</v>
      </c>
      <c r="K88" s="475">
        <f>Paper!J95</f>
        <v>0.1074300410570334</v>
      </c>
      <c r="L88" s="476">
        <f>Wood!J95</f>
        <v>0</v>
      </c>
      <c r="M88" s="477">
        <f>J88*(1-Recovery_OX!E88)*(1-Recovery_OX!F88)</f>
        <v>0</v>
      </c>
      <c r="N88" s="475">
        <f>K88*(1-Recovery_OX!E88)*(1-Recovery_OX!F88)</f>
        <v>0.1074300410570334</v>
      </c>
      <c r="O88" s="476">
        <f>L88*(1-Recovery_OX!E88)*(1-Recovery_OX!F88)</f>
        <v>0</v>
      </c>
    </row>
    <row r="89" spans="2:15">
      <c r="B89" s="469">
        <f t="shared" si="1"/>
        <v>2027</v>
      </c>
      <c r="C89" s="470">
        <f>Stored_C!E95</f>
        <v>0</v>
      </c>
      <c r="D89" s="471">
        <f>Stored_C!F95+Stored_C!L95</f>
        <v>0</v>
      </c>
      <c r="E89" s="472">
        <f>Stored_C!G95+Stored_C!M95</f>
        <v>0</v>
      </c>
      <c r="F89" s="473">
        <f>F88+HWP!C89</f>
        <v>0</v>
      </c>
      <c r="G89" s="471">
        <f>G88+HWP!D89</f>
        <v>30.367907728008813</v>
      </c>
      <c r="H89" s="472">
        <f>H88+HWP!E89</f>
        <v>25.053523875607269</v>
      </c>
      <c r="I89" s="455"/>
      <c r="J89" s="474">
        <f>Garden!J96</f>
        <v>0</v>
      </c>
      <c r="K89" s="475">
        <f>Paper!J96</f>
        <v>0.10016710635382021</v>
      </c>
      <c r="L89" s="476">
        <f>Wood!J96</f>
        <v>0</v>
      </c>
      <c r="M89" s="477">
        <f>J89*(1-Recovery_OX!E89)*(1-Recovery_OX!F89)</f>
        <v>0</v>
      </c>
      <c r="N89" s="475">
        <f>K89*(1-Recovery_OX!E89)*(1-Recovery_OX!F89)</f>
        <v>0.10016710635382021</v>
      </c>
      <c r="O89" s="476">
        <f>L89*(1-Recovery_OX!E89)*(1-Recovery_OX!F89)</f>
        <v>0</v>
      </c>
    </row>
    <row r="90" spans="2:15">
      <c r="B90" s="469">
        <f t="shared" si="1"/>
        <v>2028</v>
      </c>
      <c r="C90" s="470">
        <f>Stored_C!E96</f>
        <v>0</v>
      </c>
      <c r="D90" s="471">
        <f>Stored_C!F96+Stored_C!L96</f>
        <v>0</v>
      </c>
      <c r="E90" s="472">
        <f>Stored_C!G96+Stored_C!M96</f>
        <v>0</v>
      </c>
      <c r="F90" s="473">
        <f>F89+HWP!C90</f>
        <v>0</v>
      </c>
      <c r="G90" s="471">
        <f>G89+HWP!D90</f>
        <v>30.367907728008813</v>
      </c>
      <c r="H90" s="472">
        <f>H89+HWP!E90</f>
        <v>25.053523875607269</v>
      </c>
      <c r="I90" s="455"/>
      <c r="J90" s="474">
        <f>Garden!J97</f>
        <v>0</v>
      </c>
      <c r="K90" s="475">
        <f>Paper!J97</f>
        <v>9.3395190922163807E-2</v>
      </c>
      <c r="L90" s="476">
        <f>Wood!J97</f>
        <v>0</v>
      </c>
      <c r="M90" s="477">
        <f>J90*(1-Recovery_OX!E90)*(1-Recovery_OX!F90)</f>
        <v>0</v>
      </c>
      <c r="N90" s="475">
        <f>K90*(1-Recovery_OX!E90)*(1-Recovery_OX!F90)</f>
        <v>9.3395190922163807E-2</v>
      </c>
      <c r="O90" s="476">
        <f>L90*(1-Recovery_OX!E90)*(1-Recovery_OX!F90)</f>
        <v>0</v>
      </c>
    </row>
    <row r="91" spans="2:15">
      <c r="B91" s="469">
        <f t="shared" si="1"/>
        <v>2029</v>
      </c>
      <c r="C91" s="470">
        <f>Stored_C!E97</f>
        <v>0</v>
      </c>
      <c r="D91" s="471">
        <f>Stored_C!F97+Stored_C!L97</f>
        <v>0</v>
      </c>
      <c r="E91" s="472">
        <f>Stored_C!G97+Stored_C!M97</f>
        <v>0</v>
      </c>
      <c r="F91" s="473">
        <f>F90+HWP!C91</f>
        <v>0</v>
      </c>
      <c r="G91" s="471">
        <f>G90+HWP!D91</f>
        <v>30.367907728008813</v>
      </c>
      <c r="H91" s="472">
        <f>H90+HWP!E91</f>
        <v>25.053523875607269</v>
      </c>
      <c r="I91" s="455"/>
      <c r="J91" s="474">
        <f>Garden!J98</f>
        <v>0</v>
      </c>
      <c r="K91" s="475">
        <f>Paper!J98</f>
        <v>8.7081098824761657E-2</v>
      </c>
      <c r="L91" s="476">
        <f>Wood!J98</f>
        <v>0</v>
      </c>
      <c r="M91" s="477">
        <f>J91*(1-Recovery_OX!E91)*(1-Recovery_OX!F91)</f>
        <v>0</v>
      </c>
      <c r="N91" s="475">
        <f>K91*(1-Recovery_OX!E91)*(1-Recovery_OX!F91)</f>
        <v>8.7081098824761657E-2</v>
      </c>
      <c r="O91" s="476">
        <f>L91*(1-Recovery_OX!E91)*(1-Recovery_OX!F91)</f>
        <v>0</v>
      </c>
    </row>
    <row r="92" spans="2:15" ht="13.5" thickBot="1">
      <c r="B92" s="478">
        <f t="shared" si="1"/>
        <v>2030</v>
      </c>
      <c r="C92" s="479">
        <f>Stored_C!E98</f>
        <v>0</v>
      </c>
      <c r="D92" s="480">
        <f>Stored_C!F98+Stored_C!L98</f>
        <v>0</v>
      </c>
      <c r="E92" s="481">
        <f>Stored_C!G98+Stored_C!M98</f>
        <v>0</v>
      </c>
      <c r="F92" s="482">
        <f>F91+HWP!C92</f>
        <v>0</v>
      </c>
      <c r="G92" s="480">
        <f>G91+HWP!D92</f>
        <v>30.367907728008813</v>
      </c>
      <c r="H92" s="481">
        <f>H91+HWP!E92</f>
        <v>25.053523875607269</v>
      </c>
      <c r="I92" s="455"/>
      <c r="J92" s="483">
        <f>Garden!J99</f>
        <v>0</v>
      </c>
      <c r="K92" s="484">
        <f>Paper!J99</f>
        <v>8.1193878374826903E-2</v>
      </c>
      <c r="L92" s="485">
        <f>Wood!J99</f>
        <v>0</v>
      </c>
      <c r="M92" s="486">
        <f>J92*(1-Recovery_OX!E92)*(1-Recovery_OX!F92)</f>
        <v>0</v>
      </c>
      <c r="N92" s="484">
        <f>K92*(1-Recovery_OX!E92)*(1-Recovery_OX!F92)</f>
        <v>8.1193878374826903E-2</v>
      </c>
      <c r="O92" s="485">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2017-09-14T07:00:03Z</dcterms:modified>
</cp:coreProperties>
</file>