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2.xml" ContentType="application/vnd.openxmlformats-officedocument.drawing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GIZ_GELAMAI\8_RAD GRK Revisi\Perhitungan BAU Baseline dan Mitigasi_Hitung Ulang\Limbah\Hitungan Limbah_Mitigasi_2010-2030_IW\Balikpapan\"/>
    </mc:Choice>
  </mc:AlternateContent>
  <bookViews>
    <workbookView xWindow="0" yWindow="0" windowWidth="20490" windowHeight="7755" tabRatio="917" firstSheet="8" activeTab="8"/>
  </bookViews>
  <sheets>
    <sheet name="4A_DOC" sheetId="21" r:id="rId1"/>
    <sheet name="4B_CH4 emissions" sheetId="1" r:id="rId2"/>
    <sheet name="4B_N2O emission" sheetId="2" r:id="rId3"/>
    <sheet name="4C1_Amount_Waste_OpenBurned" sheetId="4" r:id="rId4"/>
    <sheet name="4C2_CO2_OpenBurning" sheetId="5" r:id="rId5"/>
    <sheet name="4C2_CH4_OpenBurning" sheetId="8" r:id="rId6"/>
    <sheet name="4C2_N2O_OpenBurning" sheetId="10" r:id="rId7"/>
    <sheet name="REKAPITULASI" sheetId="22" r:id="rId8"/>
    <sheet name="4D1_TOW_DomesticWastewater" sheetId="11" r:id="rId9"/>
    <sheet name="4D1_CH4_EF_DomesticWastewater" sheetId="12" r:id="rId10"/>
    <sheet name="4D1_CH4_Domestic_Wastewater" sheetId="13" r:id="rId11"/>
    <sheet name="4D1_N_effluent" sheetId="17" r:id="rId12"/>
    <sheet name="4D1_Indirect_N2O" sheetId="18" r:id="rId13"/>
  </sheets>
  <externalReferences>
    <externalReference r:id="rId14"/>
  </externalReferences>
  <definedNames>
    <definedName name="_xlnm.Print_Area" localSheetId="2">'4B_N2O emission'!$A$2:$E$41</definedName>
    <definedName name="_xlnm.Print_Area" localSheetId="3">'4C1_Amount_Waste_OpenBurned'!$A$2:$G$33</definedName>
    <definedName name="_xlnm.Print_Area" localSheetId="5">'4C2_CH4_OpenBurning'!$A$2:$D$34</definedName>
    <definedName name="_xlnm.Print_Area" localSheetId="4">'4C2_CO2_OpenBurning'!$A$2:$I$29</definedName>
    <definedName name="_xlnm.Print_Area" localSheetId="6">'4C2_N2O_OpenBurning'!$A$2:$D$35</definedName>
    <definedName name="_xlnm.Print_Area" localSheetId="10">'4D1_CH4_Domestic_Wastewater'!$A$2:$I$27</definedName>
    <definedName name="_xlnm.Print_Area" localSheetId="9">'4D1_CH4_EF_DomesticWastewater'!$A$2:$D$26</definedName>
    <definedName name="_xlnm.Print_Area" localSheetId="12">'4D1_Indirect_N2O'!$A$2:$F$22</definedName>
    <definedName name="_xlnm.Print_Area" localSheetId="11">'4D1_N_effluent'!$A$2:$H$22</definedName>
    <definedName name="_xlnm.Print_Area" localSheetId="8">'4D1_TOW_DomesticWastewater'!$A$2:$E$34</definedName>
  </definedNames>
  <calcPr calcId="152511"/>
</workbook>
</file>

<file path=xl/calcChain.xml><?xml version="1.0" encoding="utf-8"?>
<calcChain xmlns="http://schemas.openxmlformats.org/spreadsheetml/2006/main">
  <c r="C17" i="17" l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16" i="17"/>
  <c r="C15" i="17"/>
  <c r="D17" i="12" l="1"/>
  <c r="D18" i="12"/>
  <c r="B32" i="4" l="1"/>
  <c r="B31" i="4"/>
  <c r="B31" i="11" s="1"/>
  <c r="B31" i="17" s="1"/>
  <c r="B30" i="4"/>
  <c r="B30" i="11" s="1"/>
  <c r="B30" i="17" s="1"/>
  <c r="B29" i="4"/>
  <c r="B29" i="11" s="1"/>
  <c r="B29" i="17" s="1"/>
  <c r="B28" i="4"/>
  <c r="B28" i="11" s="1"/>
  <c r="B28" i="17" s="1"/>
  <c r="B27" i="4"/>
  <c r="B27" i="11" s="1"/>
  <c r="B27" i="17" s="1"/>
  <c r="B26" i="4"/>
  <c r="B26" i="11" s="1"/>
  <c r="B26" i="17" s="1"/>
  <c r="B25" i="4"/>
  <c r="B25" i="11" s="1"/>
  <c r="B25" i="17" s="1"/>
  <c r="B24" i="4"/>
  <c r="B24" i="11" s="1"/>
  <c r="B24" i="17" s="1"/>
  <c r="B23" i="4"/>
  <c r="B23" i="11" s="1"/>
  <c r="B23" i="17" s="1"/>
  <c r="B22" i="4"/>
  <c r="B22" i="11" s="1"/>
  <c r="B22" i="17" s="1"/>
  <c r="B21" i="4"/>
  <c r="B21" i="11" s="1"/>
  <c r="B21" i="17" s="1"/>
  <c r="B20" i="4"/>
  <c r="B20" i="11" s="1"/>
  <c r="B20" i="17" s="1"/>
  <c r="B19" i="4"/>
  <c r="B19" i="11" s="1"/>
  <c r="B19" i="17" s="1"/>
  <c r="B18" i="4"/>
  <c r="B18" i="11" s="1"/>
  <c r="B18" i="17" s="1"/>
  <c r="B17" i="4"/>
  <c r="B17" i="11" s="1"/>
  <c r="B17" i="17" s="1"/>
  <c r="B16" i="4"/>
  <c r="B16" i="11" s="1"/>
  <c r="B16" i="17" s="1"/>
  <c r="B15" i="4"/>
  <c r="B15" i="11" s="1"/>
  <c r="B15" i="17" s="1"/>
  <c r="B14" i="4"/>
  <c r="B14" i="11" s="1"/>
  <c r="B14" i="17" s="1"/>
  <c r="B13" i="4"/>
  <c r="B13" i="11" s="1"/>
  <c r="B13" i="17" s="1"/>
  <c r="B12" i="4"/>
  <c r="B12" i="11" s="1"/>
  <c r="B12" i="17" s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A70" i="22" l="1"/>
  <c r="A71" i="22"/>
  <c r="A72" i="22"/>
  <c r="A73" i="22"/>
  <c r="A74" i="22"/>
  <c r="A75" i="22"/>
  <c r="A76" i="22"/>
  <c r="A77" i="22"/>
  <c r="A78" i="22"/>
  <c r="A48" i="22"/>
  <c r="A49" i="22"/>
  <c r="A50" i="22"/>
  <c r="A17" i="22"/>
  <c r="A43" i="22" s="1"/>
  <c r="A18" i="22"/>
  <c r="A44" i="22" s="1"/>
  <c r="A19" i="22"/>
  <c r="A45" i="22" s="1"/>
  <c r="A20" i="22"/>
  <c r="A46" i="22" s="1"/>
  <c r="A21" i="22"/>
  <c r="A47" i="22" s="1"/>
  <c r="A22" i="22"/>
  <c r="A23" i="22"/>
  <c r="A24" i="22"/>
  <c r="A25" i="22"/>
  <c r="A51" i="22" s="1"/>
  <c r="E562" i="13"/>
  <c r="E561" i="13"/>
  <c r="E560" i="13"/>
  <c r="E559" i="13"/>
  <c r="E557" i="13"/>
  <c r="E556" i="13"/>
  <c r="E555" i="13"/>
  <c r="E554" i="13"/>
  <c r="E552" i="13"/>
  <c r="E551" i="13"/>
  <c r="E550" i="13"/>
  <c r="E549" i="13"/>
  <c r="E534" i="13"/>
  <c r="E533" i="13"/>
  <c r="E532" i="13"/>
  <c r="E531" i="13"/>
  <c r="E529" i="13"/>
  <c r="E528" i="13"/>
  <c r="E527" i="13"/>
  <c r="E526" i="13"/>
  <c r="E524" i="13"/>
  <c r="E523" i="13"/>
  <c r="E522" i="13"/>
  <c r="E521" i="13"/>
  <c r="E506" i="13"/>
  <c r="E505" i="13"/>
  <c r="E504" i="13"/>
  <c r="E503" i="13"/>
  <c r="E501" i="13"/>
  <c r="E500" i="13"/>
  <c r="E499" i="13"/>
  <c r="E498" i="13"/>
  <c r="E496" i="13"/>
  <c r="E495" i="13"/>
  <c r="E494" i="13"/>
  <c r="E493" i="13"/>
  <c r="E478" i="13"/>
  <c r="E477" i="13"/>
  <c r="E476" i="13"/>
  <c r="E475" i="13"/>
  <c r="E473" i="13"/>
  <c r="E472" i="13"/>
  <c r="E471" i="13"/>
  <c r="E470" i="13"/>
  <c r="E468" i="13"/>
  <c r="E467" i="13"/>
  <c r="E466" i="13"/>
  <c r="E465" i="13"/>
  <c r="E450" i="13"/>
  <c r="E449" i="13"/>
  <c r="E448" i="13"/>
  <c r="E447" i="13"/>
  <c r="E445" i="13"/>
  <c r="E444" i="13"/>
  <c r="E443" i="13"/>
  <c r="E442" i="13"/>
  <c r="E440" i="13"/>
  <c r="E439" i="13"/>
  <c r="E438" i="13"/>
  <c r="E437" i="13"/>
  <c r="E422" i="13"/>
  <c r="E421" i="13"/>
  <c r="E420" i="13"/>
  <c r="E419" i="13"/>
  <c r="E417" i="13"/>
  <c r="E416" i="13"/>
  <c r="E415" i="13"/>
  <c r="E414" i="13"/>
  <c r="E412" i="13"/>
  <c r="E411" i="13"/>
  <c r="E410" i="13"/>
  <c r="E409" i="13"/>
  <c r="E394" i="13"/>
  <c r="E393" i="13"/>
  <c r="E392" i="13"/>
  <c r="E391" i="13"/>
  <c r="E389" i="13"/>
  <c r="E388" i="13"/>
  <c r="E387" i="13"/>
  <c r="E386" i="13"/>
  <c r="E384" i="13"/>
  <c r="E383" i="13"/>
  <c r="E382" i="13"/>
  <c r="E381" i="13"/>
  <c r="E366" i="13"/>
  <c r="E365" i="13"/>
  <c r="E364" i="13"/>
  <c r="E363" i="13"/>
  <c r="E361" i="13"/>
  <c r="E360" i="13"/>
  <c r="E359" i="13"/>
  <c r="E358" i="13"/>
  <c r="E356" i="13"/>
  <c r="E355" i="13"/>
  <c r="E354" i="13"/>
  <c r="E353" i="13"/>
  <c r="E338" i="13"/>
  <c r="E337" i="13"/>
  <c r="E336" i="13"/>
  <c r="E335" i="13"/>
  <c r="E333" i="13"/>
  <c r="E332" i="13"/>
  <c r="E331" i="13"/>
  <c r="E330" i="13"/>
  <c r="E328" i="13"/>
  <c r="E327" i="13"/>
  <c r="E326" i="13"/>
  <c r="E325" i="13"/>
  <c r="H597" i="5"/>
  <c r="H596" i="5"/>
  <c r="H595" i="5"/>
  <c r="H594" i="5"/>
  <c r="F594" i="5"/>
  <c r="H593" i="5"/>
  <c r="F593" i="5"/>
  <c r="H592" i="5"/>
  <c r="F592" i="5"/>
  <c r="H591" i="5"/>
  <c r="H590" i="5"/>
  <c r="F590" i="5"/>
  <c r="H589" i="5"/>
  <c r="H567" i="5"/>
  <c r="H566" i="5"/>
  <c r="H565" i="5"/>
  <c r="H564" i="5"/>
  <c r="F564" i="5"/>
  <c r="H563" i="5"/>
  <c r="F563" i="5"/>
  <c r="H562" i="5"/>
  <c r="F562" i="5"/>
  <c r="H561" i="5"/>
  <c r="H560" i="5"/>
  <c r="F560" i="5"/>
  <c r="H559" i="5"/>
  <c r="H537" i="5"/>
  <c r="H536" i="5"/>
  <c r="H535" i="5"/>
  <c r="H534" i="5"/>
  <c r="F534" i="5"/>
  <c r="H533" i="5"/>
  <c r="F533" i="5"/>
  <c r="H532" i="5"/>
  <c r="F532" i="5"/>
  <c r="H531" i="5"/>
  <c r="H530" i="5"/>
  <c r="F530" i="5"/>
  <c r="H529" i="5"/>
  <c r="H507" i="5"/>
  <c r="H506" i="5"/>
  <c r="H505" i="5"/>
  <c r="H504" i="5"/>
  <c r="F504" i="5"/>
  <c r="H503" i="5"/>
  <c r="F503" i="5"/>
  <c r="H502" i="5"/>
  <c r="F502" i="5"/>
  <c r="H501" i="5"/>
  <c r="H500" i="5"/>
  <c r="F500" i="5"/>
  <c r="H499" i="5"/>
  <c r="H477" i="5"/>
  <c r="H476" i="5"/>
  <c r="H475" i="5"/>
  <c r="H474" i="5"/>
  <c r="F474" i="5"/>
  <c r="H473" i="5"/>
  <c r="F473" i="5"/>
  <c r="H472" i="5"/>
  <c r="F472" i="5"/>
  <c r="H471" i="5"/>
  <c r="H470" i="5"/>
  <c r="F470" i="5"/>
  <c r="H469" i="5"/>
  <c r="H447" i="5"/>
  <c r="H446" i="5"/>
  <c r="H445" i="5"/>
  <c r="H444" i="5"/>
  <c r="F444" i="5"/>
  <c r="H443" i="5"/>
  <c r="F443" i="5"/>
  <c r="H442" i="5"/>
  <c r="F442" i="5"/>
  <c r="H441" i="5"/>
  <c r="H440" i="5"/>
  <c r="F440" i="5"/>
  <c r="H439" i="5"/>
  <c r="H417" i="5"/>
  <c r="H416" i="5"/>
  <c r="H415" i="5"/>
  <c r="H414" i="5"/>
  <c r="F414" i="5"/>
  <c r="H413" i="5"/>
  <c r="F413" i="5"/>
  <c r="H412" i="5"/>
  <c r="F412" i="5"/>
  <c r="H411" i="5"/>
  <c r="H410" i="5"/>
  <c r="F410" i="5"/>
  <c r="H409" i="5"/>
  <c r="H387" i="5"/>
  <c r="H386" i="5"/>
  <c r="H385" i="5"/>
  <c r="H384" i="5"/>
  <c r="F384" i="5"/>
  <c r="H383" i="5"/>
  <c r="F383" i="5"/>
  <c r="H382" i="5"/>
  <c r="F382" i="5"/>
  <c r="H381" i="5"/>
  <c r="H380" i="5"/>
  <c r="F380" i="5"/>
  <c r="H379" i="5"/>
  <c r="H357" i="5"/>
  <c r="H356" i="5"/>
  <c r="H355" i="5"/>
  <c r="H354" i="5"/>
  <c r="F354" i="5"/>
  <c r="H353" i="5"/>
  <c r="F353" i="5"/>
  <c r="H352" i="5"/>
  <c r="F352" i="5"/>
  <c r="H351" i="5"/>
  <c r="H350" i="5"/>
  <c r="F350" i="5"/>
  <c r="H349" i="5"/>
  <c r="E310" i="13" l="1"/>
  <c r="E309" i="13"/>
  <c r="E308" i="13"/>
  <c r="E307" i="13"/>
  <c r="E305" i="13"/>
  <c r="E304" i="13"/>
  <c r="E303" i="13"/>
  <c r="E302" i="13"/>
  <c r="E300" i="13"/>
  <c r="E299" i="13"/>
  <c r="E298" i="13"/>
  <c r="E297" i="13"/>
  <c r="E282" i="13"/>
  <c r="E281" i="13"/>
  <c r="E280" i="13"/>
  <c r="E279" i="13"/>
  <c r="E277" i="13"/>
  <c r="E276" i="13"/>
  <c r="E275" i="13"/>
  <c r="E274" i="13"/>
  <c r="E272" i="13"/>
  <c r="E271" i="13"/>
  <c r="E270" i="13"/>
  <c r="E269" i="13"/>
  <c r="E254" i="13"/>
  <c r="E253" i="13"/>
  <c r="E252" i="13"/>
  <c r="E251" i="13"/>
  <c r="E249" i="13"/>
  <c r="E248" i="13"/>
  <c r="E247" i="13"/>
  <c r="E246" i="13"/>
  <c r="E244" i="13"/>
  <c r="E243" i="13"/>
  <c r="E242" i="13"/>
  <c r="E241" i="13"/>
  <c r="E226" i="13"/>
  <c r="E225" i="13"/>
  <c r="E224" i="13"/>
  <c r="E223" i="13"/>
  <c r="E221" i="13"/>
  <c r="E220" i="13"/>
  <c r="E219" i="13"/>
  <c r="E218" i="13"/>
  <c r="E216" i="13"/>
  <c r="E215" i="13"/>
  <c r="E214" i="13"/>
  <c r="E213" i="13"/>
  <c r="E198" i="13"/>
  <c r="E197" i="13"/>
  <c r="E196" i="13"/>
  <c r="E195" i="13"/>
  <c r="E193" i="13"/>
  <c r="E192" i="13"/>
  <c r="E191" i="13"/>
  <c r="E190" i="13"/>
  <c r="E188" i="13"/>
  <c r="E187" i="13"/>
  <c r="E186" i="13"/>
  <c r="E185" i="13"/>
  <c r="E170" i="13"/>
  <c r="E169" i="13"/>
  <c r="E168" i="13"/>
  <c r="E167" i="13"/>
  <c r="E165" i="13"/>
  <c r="E164" i="13"/>
  <c r="E163" i="13"/>
  <c r="E162" i="13"/>
  <c r="E160" i="13"/>
  <c r="E159" i="13"/>
  <c r="E158" i="13"/>
  <c r="E157" i="13"/>
  <c r="E142" i="13"/>
  <c r="E141" i="13"/>
  <c r="E140" i="13"/>
  <c r="E139" i="13"/>
  <c r="E137" i="13"/>
  <c r="E136" i="13"/>
  <c r="E135" i="13"/>
  <c r="E134" i="13"/>
  <c r="E132" i="13"/>
  <c r="E131" i="13"/>
  <c r="E130" i="13"/>
  <c r="E129" i="13"/>
  <c r="E114" i="13"/>
  <c r="E113" i="13"/>
  <c r="E112" i="13"/>
  <c r="E111" i="13"/>
  <c r="E109" i="13"/>
  <c r="E108" i="13"/>
  <c r="E107" i="13"/>
  <c r="E106" i="13"/>
  <c r="E104" i="13"/>
  <c r="E103" i="13"/>
  <c r="E102" i="13"/>
  <c r="E101" i="13"/>
  <c r="E86" i="13"/>
  <c r="E85" i="13"/>
  <c r="E84" i="13"/>
  <c r="E83" i="13"/>
  <c r="E81" i="13"/>
  <c r="E80" i="13"/>
  <c r="E79" i="13"/>
  <c r="E78" i="13"/>
  <c r="E76" i="13"/>
  <c r="E75" i="13"/>
  <c r="E74" i="13"/>
  <c r="E73" i="13"/>
  <c r="E58" i="13"/>
  <c r="E57" i="13"/>
  <c r="E56" i="13"/>
  <c r="E55" i="13"/>
  <c r="E53" i="13"/>
  <c r="E52" i="13"/>
  <c r="E51" i="13"/>
  <c r="E50" i="13"/>
  <c r="E48" i="13"/>
  <c r="E47" i="13"/>
  <c r="E46" i="13"/>
  <c r="E45" i="13"/>
  <c r="E25" i="13"/>
  <c r="E24" i="13"/>
  <c r="E23" i="13"/>
  <c r="E22" i="13"/>
  <c r="E20" i="13"/>
  <c r="E19" i="13"/>
  <c r="E18" i="13"/>
  <c r="E17" i="13"/>
  <c r="E15" i="13"/>
  <c r="E14" i="13"/>
  <c r="E13" i="13"/>
  <c r="E12" i="13"/>
  <c r="H327" i="5"/>
  <c r="H326" i="5"/>
  <c r="H325" i="5"/>
  <c r="H324" i="5"/>
  <c r="F324" i="5"/>
  <c r="H323" i="5"/>
  <c r="F323" i="5"/>
  <c r="H322" i="5"/>
  <c r="F322" i="5"/>
  <c r="H321" i="5"/>
  <c r="H320" i="5"/>
  <c r="F320" i="5"/>
  <c r="H319" i="5"/>
  <c r="H297" i="5"/>
  <c r="H296" i="5"/>
  <c r="H295" i="5"/>
  <c r="H294" i="5"/>
  <c r="F294" i="5"/>
  <c r="H293" i="5"/>
  <c r="F293" i="5"/>
  <c r="H292" i="5"/>
  <c r="F292" i="5"/>
  <c r="H291" i="5"/>
  <c r="H290" i="5"/>
  <c r="F290" i="5"/>
  <c r="H289" i="5"/>
  <c r="H267" i="5"/>
  <c r="H266" i="5"/>
  <c r="H265" i="5"/>
  <c r="H264" i="5"/>
  <c r="F264" i="5"/>
  <c r="H263" i="5"/>
  <c r="F263" i="5"/>
  <c r="H262" i="5"/>
  <c r="F262" i="5"/>
  <c r="H261" i="5"/>
  <c r="H260" i="5"/>
  <c r="F260" i="5"/>
  <c r="H259" i="5"/>
  <c r="H237" i="5"/>
  <c r="H236" i="5"/>
  <c r="H235" i="5"/>
  <c r="H234" i="5"/>
  <c r="F234" i="5"/>
  <c r="H233" i="5"/>
  <c r="F233" i="5"/>
  <c r="H232" i="5"/>
  <c r="F232" i="5"/>
  <c r="H231" i="5"/>
  <c r="H230" i="5"/>
  <c r="F230" i="5"/>
  <c r="H229" i="5"/>
  <c r="H207" i="5"/>
  <c r="H206" i="5"/>
  <c r="H205" i="5"/>
  <c r="H204" i="5"/>
  <c r="F204" i="5"/>
  <c r="H203" i="5"/>
  <c r="F203" i="5"/>
  <c r="H202" i="5"/>
  <c r="F202" i="5"/>
  <c r="H201" i="5"/>
  <c r="H200" i="5"/>
  <c r="F200" i="5"/>
  <c r="H199" i="5"/>
  <c r="H177" i="5"/>
  <c r="H176" i="5"/>
  <c r="H175" i="5"/>
  <c r="H174" i="5"/>
  <c r="F174" i="5"/>
  <c r="H173" i="5"/>
  <c r="F173" i="5"/>
  <c r="H172" i="5"/>
  <c r="F172" i="5"/>
  <c r="H171" i="5"/>
  <c r="H170" i="5"/>
  <c r="F170" i="5"/>
  <c r="H169" i="5"/>
  <c r="H147" i="5"/>
  <c r="H146" i="5"/>
  <c r="H145" i="5"/>
  <c r="H144" i="5"/>
  <c r="F144" i="5"/>
  <c r="H143" i="5"/>
  <c r="F143" i="5"/>
  <c r="H142" i="5"/>
  <c r="F142" i="5"/>
  <c r="H141" i="5"/>
  <c r="H140" i="5"/>
  <c r="F140" i="5"/>
  <c r="H139" i="5"/>
  <c r="H116" i="5"/>
  <c r="H115" i="5"/>
  <c r="H114" i="5"/>
  <c r="H113" i="5"/>
  <c r="F113" i="5"/>
  <c r="H112" i="5"/>
  <c r="F112" i="5"/>
  <c r="H111" i="5"/>
  <c r="F111" i="5"/>
  <c r="H110" i="5"/>
  <c r="H109" i="5"/>
  <c r="F109" i="5"/>
  <c r="H108" i="5"/>
  <c r="H85" i="5"/>
  <c r="H84" i="5"/>
  <c r="H83" i="5"/>
  <c r="H82" i="5"/>
  <c r="F82" i="5"/>
  <c r="H81" i="5"/>
  <c r="F81" i="5"/>
  <c r="H80" i="5"/>
  <c r="F80" i="5"/>
  <c r="H79" i="5"/>
  <c r="H78" i="5"/>
  <c r="F78" i="5"/>
  <c r="H77" i="5"/>
  <c r="H55" i="5"/>
  <c r="H54" i="5"/>
  <c r="H53" i="5"/>
  <c r="H52" i="5"/>
  <c r="F52" i="5"/>
  <c r="H51" i="5"/>
  <c r="F51" i="5"/>
  <c r="H50" i="5"/>
  <c r="F50" i="5"/>
  <c r="H49" i="5"/>
  <c r="H48" i="5"/>
  <c r="F48" i="5"/>
  <c r="H47" i="5"/>
  <c r="B32" i="17"/>
  <c r="H12" i="17"/>
  <c r="B32" i="11"/>
  <c r="E12" i="11"/>
  <c r="C11" i="8"/>
  <c r="B79" i="22" l="1"/>
  <c r="C79" i="22" s="1"/>
  <c r="D22" i="18"/>
  <c r="D23" i="18"/>
  <c r="D24" i="18"/>
  <c r="D25" i="18"/>
  <c r="D26" i="18"/>
  <c r="D27" i="18"/>
  <c r="D28" i="18"/>
  <c r="D29" i="18"/>
  <c r="D30" i="18"/>
  <c r="D31" i="18"/>
  <c r="H23" i="17"/>
  <c r="B22" i="18" s="1"/>
  <c r="F22" i="18" s="1"/>
  <c r="G22" i="18" s="1"/>
  <c r="D70" i="22" s="1"/>
  <c r="H24" i="17"/>
  <c r="B23" i="18" s="1"/>
  <c r="F23" i="18" s="1"/>
  <c r="G23" i="18" s="1"/>
  <c r="D71" i="22" s="1"/>
  <c r="H25" i="17"/>
  <c r="B24" i="18" s="1"/>
  <c r="F24" i="18" s="1"/>
  <c r="G24" i="18" s="1"/>
  <c r="D72" i="22" s="1"/>
  <c r="H26" i="17"/>
  <c r="B25" i="18" s="1"/>
  <c r="F25" i="18" s="1"/>
  <c r="G25" i="18" s="1"/>
  <c r="D73" i="22" s="1"/>
  <c r="H27" i="17"/>
  <c r="B26" i="18" s="1"/>
  <c r="F26" i="18" s="1"/>
  <c r="G26" i="18" s="1"/>
  <c r="D74" i="22" s="1"/>
  <c r="H28" i="17"/>
  <c r="B27" i="18" s="1"/>
  <c r="F27" i="18" s="1"/>
  <c r="G27" i="18" s="1"/>
  <c r="D75" i="22" s="1"/>
  <c r="H29" i="17"/>
  <c r="B28" i="18" s="1"/>
  <c r="F28" i="18" s="1"/>
  <c r="G28" i="18" s="1"/>
  <c r="D76" i="22" s="1"/>
  <c r="H30" i="17"/>
  <c r="B29" i="18" s="1"/>
  <c r="F29" i="18" s="1"/>
  <c r="G29" i="18" s="1"/>
  <c r="D77" i="22" s="1"/>
  <c r="H31" i="17"/>
  <c r="B30" i="18" s="1"/>
  <c r="F30" i="18" s="1"/>
  <c r="G30" i="18" s="1"/>
  <c r="D78" i="22" s="1"/>
  <c r="H32" i="17"/>
  <c r="B31" i="18" s="1"/>
  <c r="F31" i="18" s="1"/>
  <c r="G31" i="18" s="1"/>
  <c r="D79" i="22" s="1"/>
  <c r="E79" i="22" s="1"/>
  <c r="C14" i="2"/>
  <c r="C15" i="2"/>
  <c r="C16" i="2"/>
  <c r="C17" i="2"/>
  <c r="C18" i="2"/>
  <c r="C19" i="2"/>
  <c r="C20" i="2"/>
  <c r="C21" i="2"/>
  <c r="E21" i="2" s="1"/>
  <c r="D15" i="22" s="1"/>
  <c r="C22" i="2"/>
  <c r="E22" i="2" s="1"/>
  <c r="D16" i="22" s="1"/>
  <c r="C23" i="2"/>
  <c r="E23" i="2" s="1"/>
  <c r="D17" i="22" s="1"/>
  <c r="C24" i="2"/>
  <c r="E24" i="2" s="1"/>
  <c r="D18" i="22" s="1"/>
  <c r="C25" i="2"/>
  <c r="E25" i="2" s="1"/>
  <c r="D19" i="22" s="1"/>
  <c r="C26" i="2"/>
  <c r="E26" i="2" s="1"/>
  <c r="D20" i="22" s="1"/>
  <c r="C27" i="2"/>
  <c r="E27" i="2" s="1"/>
  <c r="D21" i="22" s="1"/>
  <c r="C28" i="2"/>
  <c r="E28" i="2" s="1"/>
  <c r="D22" i="22" s="1"/>
  <c r="C29" i="2"/>
  <c r="E29" i="2" s="1"/>
  <c r="D23" i="22" s="1"/>
  <c r="C30" i="2"/>
  <c r="E30" i="2" s="1"/>
  <c r="D24" i="22" s="1"/>
  <c r="C31" i="2"/>
  <c r="C32" i="2"/>
  <c r="B31" i="2"/>
  <c r="B32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E14" i="1"/>
  <c r="E15" i="1"/>
  <c r="E16" i="1"/>
  <c r="E17" i="1"/>
  <c r="E18" i="1"/>
  <c r="E19" i="1"/>
  <c r="E20" i="1"/>
  <c r="E21" i="1"/>
  <c r="E22" i="1"/>
  <c r="G22" i="1" s="1"/>
  <c r="B16" i="22" s="1"/>
  <c r="E23" i="1"/>
  <c r="G23" i="1" s="1"/>
  <c r="B17" i="22" s="1"/>
  <c r="E24" i="1"/>
  <c r="G24" i="1" s="1"/>
  <c r="B18" i="22" s="1"/>
  <c r="E25" i="1"/>
  <c r="G25" i="1" s="1"/>
  <c r="B19" i="22" s="1"/>
  <c r="E26" i="1"/>
  <c r="G26" i="1" s="1"/>
  <c r="B20" i="22" s="1"/>
  <c r="E27" i="1"/>
  <c r="G27" i="1" s="1"/>
  <c r="B21" i="22" s="1"/>
  <c r="E28" i="1"/>
  <c r="G28" i="1" s="1"/>
  <c r="B22" i="22" s="1"/>
  <c r="E29" i="1"/>
  <c r="G29" i="1" s="1"/>
  <c r="B23" i="22" s="1"/>
  <c r="E30" i="1"/>
  <c r="G30" i="1" s="1"/>
  <c r="B24" i="22" s="1"/>
  <c r="E31" i="1"/>
  <c r="G31" i="1" s="1"/>
  <c r="B25" i="22" s="1"/>
  <c r="E32" i="1"/>
  <c r="E23" i="11"/>
  <c r="M23" i="13" s="1"/>
  <c r="E24" i="11"/>
  <c r="M24" i="13" s="1"/>
  <c r="E25" i="11"/>
  <c r="M25" i="13" s="1"/>
  <c r="E26" i="11"/>
  <c r="M26" i="13" s="1"/>
  <c r="E27" i="11"/>
  <c r="M27" i="13" s="1"/>
  <c r="E28" i="11"/>
  <c r="M28" i="13" s="1"/>
  <c r="E29" i="11"/>
  <c r="M29" i="13" s="1"/>
  <c r="E30" i="11"/>
  <c r="M30" i="13" s="1"/>
  <c r="E31" i="11"/>
  <c r="M31" i="13" s="1"/>
  <c r="E32" i="11"/>
  <c r="M32" i="13" s="1"/>
  <c r="C23" i="11"/>
  <c r="C24" i="11"/>
  <c r="C25" i="11"/>
  <c r="C26" i="11"/>
  <c r="C27" i="11"/>
  <c r="C28" i="11"/>
  <c r="C29" i="11"/>
  <c r="C30" i="11"/>
  <c r="C31" i="11"/>
  <c r="C32" i="11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20" i="8"/>
  <c r="C22" i="8"/>
  <c r="C23" i="8"/>
  <c r="C24" i="8"/>
  <c r="C25" i="8"/>
  <c r="C26" i="8"/>
  <c r="C27" i="8"/>
  <c r="C28" i="8"/>
  <c r="C29" i="8"/>
  <c r="C30" i="8"/>
  <c r="C31" i="8"/>
  <c r="G22" i="4"/>
  <c r="L23" i="5" s="1"/>
  <c r="G23" i="4"/>
  <c r="B22" i="8" s="1"/>
  <c r="D22" i="8" s="1"/>
  <c r="B43" i="22" s="1"/>
  <c r="G24" i="4"/>
  <c r="B23" i="8" s="1"/>
  <c r="D23" i="8" s="1"/>
  <c r="B44" i="22" s="1"/>
  <c r="G25" i="4"/>
  <c r="B24" i="8" s="1"/>
  <c r="D24" i="8" s="1"/>
  <c r="B45" i="22" s="1"/>
  <c r="G26" i="4"/>
  <c r="L27" i="5" s="1"/>
  <c r="G27" i="4"/>
  <c r="B27" i="10" s="1"/>
  <c r="D27" i="10" s="1"/>
  <c r="D47" i="22" s="1"/>
  <c r="G28" i="4"/>
  <c r="B27" i="8" s="1"/>
  <c r="D27" i="8" s="1"/>
  <c r="B48" i="22" s="1"/>
  <c r="G29" i="4"/>
  <c r="L30" i="5" s="1"/>
  <c r="G30" i="4"/>
  <c r="B30" i="10" s="1"/>
  <c r="D30" i="10" s="1"/>
  <c r="D50" i="22" s="1"/>
  <c r="G31" i="4"/>
  <c r="B30" i="8" s="1"/>
  <c r="D30" i="8" s="1"/>
  <c r="B51" i="22" s="1"/>
  <c r="C23" i="22" l="1"/>
  <c r="C20" i="22"/>
  <c r="E18" i="22"/>
  <c r="E74" i="22"/>
  <c r="C48" i="22"/>
  <c r="C19" i="22"/>
  <c r="E17" i="22"/>
  <c r="E73" i="22"/>
  <c r="E47" i="22"/>
  <c r="C18" i="22"/>
  <c r="E24" i="22"/>
  <c r="E72" i="22"/>
  <c r="C25" i="22"/>
  <c r="C17" i="22"/>
  <c r="E23" i="22"/>
  <c r="E71" i="22"/>
  <c r="C45" i="22"/>
  <c r="C24" i="22"/>
  <c r="E22" i="22"/>
  <c r="E78" i="22"/>
  <c r="E70" i="22"/>
  <c r="C44" i="22"/>
  <c r="E21" i="22"/>
  <c r="E77" i="22"/>
  <c r="C51" i="22"/>
  <c r="C43" i="22"/>
  <c r="C22" i="22"/>
  <c r="E20" i="22"/>
  <c r="E76" i="22"/>
  <c r="E50" i="22"/>
  <c r="C21" i="22"/>
  <c r="E19" i="22"/>
  <c r="E75" i="22"/>
  <c r="L26" i="5"/>
  <c r="C416" i="5" s="1"/>
  <c r="I416" i="5" s="1"/>
  <c r="F387" i="13"/>
  <c r="I387" i="13" s="1"/>
  <c r="J387" i="13" s="1"/>
  <c r="F395" i="13"/>
  <c r="I395" i="13" s="1"/>
  <c r="J395" i="13" s="1"/>
  <c r="F389" i="13"/>
  <c r="I389" i="13" s="1"/>
  <c r="J389" i="13" s="1"/>
  <c r="F385" i="13"/>
  <c r="I385" i="13" s="1"/>
  <c r="J385" i="13" s="1"/>
  <c r="F393" i="13"/>
  <c r="I393" i="13" s="1"/>
  <c r="J393" i="13" s="1"/>
  <c r="F386" i="13"/>
  <c r="I386" i="13" s="1"/>
  <c r="J386" i="13" s="1"/>
  <c r="F394" i="13"/>
  <c r="I394" i="13" s="1"/>
  <c r="J394" i="13" s="1"/>
  <c r="F391" i="13"/>
  <c r="I391" i="13" s="1"/>
  <c r="J391" i="13" s="1"/>
  <c r="F392" i="13"/>
  <c r="I392" i="13" s="1"/>
  <c r="J392" i="13" s="1"/>
  <c r="F381" i="13"/>
  <c r="I381" i="13" s="1"/>
  <c r="F382" i="13"/>
  <c r="I382" i="13" s="1"/>
  <c r="J382" i="13" s="1"/>
  <c r="F383" i="13"/>
  <c r="I383" i="13" s="1"/>
  <c r="J383" i="13" s="1"/>
  <c r="F388" i="13"/>
  <c r="I388" i="13" s="1"/>
  <c r="J388" i="13" s="1"/>
  <c r="F390" i="13"/>
  <c r="I390" i="13" s="1"/>
  <c r="J390" i="13" s="1"/>
  <c r="F384" i="13"/>
  <c r="I384" i="13" s="1"/>
  <c r="J384" i="13" s="1"/>
  <c r="F442" i="13"/>
  <c r="I442" i="13" s="1"/>
  <c r="J442" i="13" s="1"/>
  <c r="F450" i="13"/>
  <c r="I450" i="13" s="1"/>
  <c r="J450" i="13" s="1"/>
  <c r="F443" i="13"/>
  <c r="I443" i="13" s="1"/>
  <c r="J443" i="13" s="1"/>
  <c r="F451" i="13"/>
  <c r="I451" i="13" s="1"/>
  <c r="J451" i="13" s="1"/>
  <c r="F444" i="13"/>
  <c r="I444" i="13" s="1"/>
  <c r="J444" i="13" s="1"/>
  <c r="F437" i="13"/>
  <c r="I437" i="13" s="1"/>
  <c r="F445" i="13"/>
  <c r="I445" i="13" s="1"/>
  <c r="J445" i="13" s="1"/>
  <c r="F440" i="13"/>
  <c r="I440" i="13" s="1"/>
  <c r="J440" i="13" s="1"/>
  <c r="F448" i="13"/>
  <c r="I448" i="13" s="1"/>
  <c r="J448" i="13" s="1"/>
  <c r="F441" i="13"/>
  <c r="I441" i="13" s="1"/>
  <c r="J441" i="13" s="1"/>
  <c r="F449" i="13"/>
  <c r="I449" i="13" s="1"/>
  <c r="J449" i="13" s="1"/>
  <c r="F438" i="13"/>
  <c r="I438" i="13" s="1"/>
  <c r="J438" i="13" s="1"/>
  <c r="F439" i="13"/>
  <c r="I439" i="13" s="1"/>
  <c r="J439" i="13" s="1"/>
  <c r="F446" i="13"/>
  <c r="I446" i="13" s="1"/>
  <c r="J446" i="13" s="1"/>
  <c r="F447" i="13"/>
  <c r="I447" i="13" s="1"/>
  <c r="J447" i="13" s="1"/>
  <c r="C536" i="5"/>
  <c r="I536" i="5" s="1"/>
  <c r="C534" i="5"/>
  <c r="I534" i="5" s="1"/>
  <c r="C530" i="5"/>
  <c r="I530" i="5" s="1"/>
  <c r="C537" i="5"/>
  <c r="I537" i="5" s="1"/>
  <c r="C532" i="5"/>
  <c r="I532" i="5" s="1"/>
  <c r="C531" i="5"/>
  <c r="I531" i="5" s="1"/>
  <c r="C535" i="5"/>
  <c r="I535" i="5" s="1"/>
  <c r="C533" i="5"/>
  <c r="I533" i="5" s="1"/>
  <c r="C529" i="5"/>
  <c r="I529" i="5" s="1"/>
  <c r="F498" i="13"/>
  <c r="I498" i="13" s="1"/>
  <c r="J498" i="13" s="1"/>
  <c r="F506" i="13"/>
  <c r="I506" i="13" s="1"/>
  <c r="J506" i="13" s="1"/>
  <c r="F499" i="13"/>
  <c r="I499" i="13" s="1"/>
  <c r="J499" i="13" s="1"/>
  <c r="F507" i="13"/>
  <c r="I507" i="13" s="1"/>
  <c r="J507" i="13" s="1"/>
  <c r="F500" i="13"/>
  <c r="I500" i="13" s="1"/>
  <c r="J500" i="13" s="1"/>
  <c r="F493" i="13"/>
  <c r="I493" i="13" s="1"/>
  <c r="F501" i="13"/>
  <c r="I501" i="13" s="1"/>
  <c r="J501" i="13" s="1"/>
  <c r="F496" i="13"/>
  <c r="I496" i="13" s="1"/>
  <c r="J496" i="13" s="1"/>
  <c r="F504" i="13"/>
  <c r="I504" i="13" s="1"/>
  <c r="J504" i="13" s="1"/>
  <c r="F497" i="13"/>
  <c r="I497" i="13" s="1"/>
  <c r="J497" i="13" s="1"/>
  <c r="F505" i="13"/>
  <c r="I505" i="13" s="1"/>
  <c r="J505" i="13" s="1"/>
  <c r="F494" i="13"/>
  <c r="I494" i="13" s="1"/>
  <c r="J494" i="13" s="1"/>
  <c r="F495" i="13"/>
  <c r="I495" i="13" s="1"/>
  <c r="J495" i="13" s="1"/>
  <c r="F502" i="13"/>
  <c r="I502" i="13" s="1"/>
  <c r="J502" i="13" s="1"/>
  <c r="F503" i="13"/>
  <c r="I503" i="13" s="1"/>
  <c r="J503" i="13" s="1"/>
  <c r="F469" i="13"/>
  <c r="I469" i="13" s="1"/>
  <c r="J469" i="13" s="1"/>
  <c r="F477" i="13"/>
  <c r="I477" i="13" s="1"/>
  <c r="J477" i="13" s="1"/>
  <c r="F470" i="13"/>
  <c r="I470" i="13" s="1"/>
  <c r="J470" i="13" s="1"/>
  <c r="F478" i="13"/>
  <c r="I478" i="13" s="1"/>
  <c r="J478" i="13" s="1"/>
  <c r="F471" i="13"/>
  <c r="I471" i="13" s="1"/>
  <c r="J471" i="13" s="1"/>
  <c r="F479" i="13"/>
  <c r="I479" i="13" s="1"/>
  <c r="J479" i="13" s="1"/>
  <c r="F472" i="13"/>
  <c r="I472" i="13" s="1"/>
  <c r="J472" i="13" s="1"/>
  <c r="F465" i="13"/>
  <c r="I465" i="13" s="1"/>
  <c r="F467" i="13"/>
  <c r="I467" i="13" s="1"/>
  <c r="J467" i="13" s="1"/>
  <c r="F475" i="13"/>
  <c r="I475" i="13" s="1"/>
  <c r="J475" i="13" s="1"/>
  <c r="F468" i="13"/>
  <c r="I468" i="13" s="1"/>
  <c r="J468" i="13" s="1"/>
  <c r="F476" i="13"/>
  <c r="I476" i="13" s="1"/>
  <c r="J476" i="13" s="1"/>
  <c r="F466" i="13"/>
  <c r="I466" i="13" s="1"/>
  <c r="J466" i="13" s="1"/>
  <c r="F473" i="13"/>
  <c r="I473" i="13" s="1"/>
  <c r="J473" i="13" s="1"/>
  <c r="F474" i="13"/>
  <c r="I474" i="13" s="1"/>
  <c r="J474" i="13" s="1"/>
  <c r="C446" i="5"/>
  <c r="I446" i="5" s="1"/>
  <c r="C444" i="5"/>
  <c r="I444" i="5" s="1"/>
  <c r="C440" i="5"/>
  <c r="I440" i="5" s="1"/>
  <c r="C447" i="5"/>
  <c r="I447" i="5" s="1"/>
  <c r="C445" i="5"/>
  <c r="I445" i="5" s="1"/>
  <c r="C443" i="5"/>
  <c r="I443" i="5" s="1"/>
  <c r="C442" i="5"/>
  <c r="I442" i="5" s="1"/>
  <c r="C441" i="5"/>
  <c r="I441" i="5" s="1"/>
  <c r="C439" i="5"/>
  <c r="I439" i="5" s="1"/>
  <c r="F414" i="13"/>
  <c r="I414" i="13" s="1"/>
  <c r="J414" i="13" s="1"/>
  <c r="F422" i="13"/>
  <c r="I422" i="13" s="1"/>
  <c r="J422" i="13" s="1"/>
  <c r="F415" i="13"/>
  <c r="I415" i="13" s="1"/>
  <c r="J415" i="13" s="1"/>
  <c r="F423" i="13"/>
  <c r="I423" i="13" s="1"/>
  <c r="J423" i="13" s="1"/>
  <c r="F416" i="13"/>
  <c r="I416" i="13" s="1"/>
  <c r="J416" i="13" s="1"/>
  <c r="F409" i="13"/>
  <c r="I409" i="13" s="1"/>
  <c r="F417" i="13"/>
  <c r="I417" i="13" s="1"/>
  <c r="J417" i="13" s="1"/>
  <c r="F412" i="13"/>
  <c r="I412" i="13" s="1"/>
  <c r="J412" i="13" s="1"/>
  <c r="F420" i="13"/>
  <c r="I420" i="13" s="1"/>
  <c r="J420" i="13" s="1"/>
  <c r="F413" i="13"/>
  <c r="I413" i="13" s="1"/>
  <c r="J413" i="13" s="1"/>
  <c r="F421" i="13"/>
  <c r="I421" i="13" s="1"/>
  <c r="J421" i="13" s="1"/>
  <c r="F410" i="13"/>
  <c r="I410" i="13" s="1"/>
  <c r="J410" i="13" s="1"/>
  <c r="F418" i="13"/>
  <c r="I418" i="13" s="1"/>
  <c r="J418" i="13" s="1"/>
  <c r="F419" i="13"/>
  <c r="I419" i="13" s="1"/>
  <c r="J419" i="13" s="1"/>
  <c r="F411" i="13"/>
  <c r="I411" i="13" s="1"/>
  <c r="J411" i="13" s="1"/>
  <c r="B31" i="10"/>
  <c r="D31" i="10" s="1"/>
  <c r="D51" i="22" s="1"/>
  <c r="B26" i="10"/>
  <c r="D26" i="10" s="1"/>
  <c r="D46" i="22" s="1"/>
  <c r="F360" i="13"/>
  <c r="I360" i="13" s="1"/>
  <c r="J360" i="13" s="1"/>
  <c r="F353" i="13"/>
  <c r="I353" i="13" s="1"/>
  <c r="F354" i="13"/>
  <c r="I354" i="13" s="1"/>
  <c r="J354" i="13" s="1"/>
  <c r="F362" i="13"/>
  <c r="I362" i="13" s="1"/>
  <c r="J362" i="13" s="1"/>
  <c r="F358" i="13"/>
  <c r="I358" i="13" s="1"/>
  <c r="J358" i="13" s="1"/>
  <c r="F366" i="13"/>
  <c r="I366" i="13" s="1"/>
  <c r="J366" i="13" s="1"/>
  <c r="F365" i="13"/>
  <c r="I365" i="13" s="1"/>
  <c r="J365" i="13" s="1"/>
  <c r="F355" i="13"/>
  <c r="I355" i="13" s="1"/>
  <c r="J355" i="13" s="1"/>
  <c r="F367" i="13"/>
  <c r="I367" i="13" s="1"/>
  <c r="J367" i="13" s="1"/>
  <c r="F359" i="13"/>
  <c r="I359" i="13" s="1"/>
  <c r="J359" i="13" s="1"/>
  <c r="F356" i="13"/>
  <c r="I356" i="13" s="1"/>
  <c r="J356" i="13" s="1"/>
  <c r="F357" i="13"/>
  <c r="I357" i="13" s="1"/>
  <c r="J357" i="13" s="1"/>
  <c r="F363" i="13"/>
  <c r="I363" i="13" s="1"/>
  <c r="J363" i="13" s="1"/>
  <c r="F364" i="13"/>
  <c r="I364" i="13" s="1"/>
  <c r="J364" i="13" s="1"/>
  <c r="F361" i="13"/>
  <c r="I361" i="13" s="1"/>
  <c r="J361" i="13" s="1"/>
  <c r="B23" i="10"/>
  <c r="D23" i="10" s="1"/>
  <c r="D43" i="22" s="1"/>
  <c r="F552" i="13"/>
  <c r="I552" i="13" s="1"/>
  <c r="J552" i="13" s="1"/>
  <c r="F560" i="13"/>
  <c r="I560" i="13" s="1"/>
  <c r="J560" i="13" s="1"/>
  <c r="F553" i="13"/>
  <c r="I553" i="13" s="1"/>
  <c r="J553" i="13" s="1"/>
  <c r="F561" i="13"/>
  <c r="I561" i="13" s="1"/>
  <c r="J561" i="13" s="1"/>
  <c r="F554" i="13"/>
  <c r="I554" i="13" s="1"/>
  <c r="J554" i="13" s="1"/>
  <c r="F562" i="13"/>
  <c r="I562" i="13" s="1"/>
  <c r="J562" i="13" s="1"/>
  <c r="F555" i="13"/>
  <c r="I555" i="13" s="1"/>
  <c r="J555" i="13" s="1"/>
  <c r="F563" i="13"/>
  <c r="I563" i="13" s="1"/>
  <c r="J563" i="13" s="1"/>
  <c r="F550" i="13"/>
  <c r="I550" i="13" s="1"/>
  <c r="J550" i="13" s="1"/>
  <c r="F558" i="13"/>
  <c r="I558" i="13" s="1"/>
  <c r="J558" i="13" s="1"/>
  <c r="F551" i="13"/>
  <c r="I551" i="13" s="1"/>
  <c r="J551" i="13" s="1"/>
  <c r="F559" i="13"/>
  <c r="I559" i="13" s="1"/>
  <c r="J559" i="13" s="1"/>
  <c r="F556" i="13"/>
  <c r="I556" i="13" s="1"/>
  <c r="J556" i="13" s="1"/>
  <c r="F557" i="13"/>
  <c r="I557" i="13" s="1"/>
  <c r="J557" i="13" s="1"/>
  <c r="F549" i="13"/>
  <c r="I549" i="13" s="1"/>
  <c r="F332" i="13"/>
  <c r="I332" i="13" s="1"/>
  <c r="J332" i="13" s="1"/>
  <c r="F325" i="13"/>
  <c r="I325" i="13" s="1"/>
  <c r="F326" i="13"/>
  <c r="I326" i="13" s="1"/>
  <c r="J326" i="13" s="1"/>
  <c r="F334" i="13"/>
  <c r="I334" i="13" s="1"/>
  <c r="J334" i="13" s="1"/>
  <c r="F330" i="13"/>
  <c r="I330" i="13" s="1"/>
  <c r="J330" i="13" s="1"/>
  <c r="F338" i="13"/>
  <c r="I338" i="13" s="1"/>
  <c r="J338" i="13" s="1"/>
  <c r="F337" i="13"/>
  <c r="I337" i="13" s="1"/>
  <c r="J337" i="13" s="1"/>
  <c r="F327" i="13"/>
  <c r="I327" i="13" s="1"/>
  <c r="J327" i="13" s="1"/>
  <c r="F339" i="13"/>
  <c r="I339" i="13" s="1"/>
  <c r="J339" i="13" s="1"/>
  <c r="F331" i="13"/>
  <c r="I331" i="13" s="1"/>
  <c r="J331" i="13" s="1"/>
  <c r="F328" i="13"/>
  <c r="I328" i="13" s="1"/>
  <c r="J328" i="13" s="1"/>
  <c r="F329" i="13"/>
  <c r="I329" i="13" s="1"/>
  <c r="J329" i="13" s="1"/>
  <c r="F335" i="13"/>
  <c r="I335" i="13" s="1"/>
  <c r="J335" i="13" s="1"/>
  <c r="F336" i="13"/>
  <c r="I336" i="13" s="1"/>
  <c r="J336" i="13" s="1"/>
  <c r="F333" i="13"/>
  <c r="I333" i="13" s="1"/>
  <c r="J333" i="13" s="1"/>
  <c r="F525" i="13"/>
  <c r="I525" i="13" s="1"/>
  <c r="J525" i="13" s="1"/>
  <c r="F533" i="13"/>
  <c r="I533" i="13" s="1"/>
  <c r="J533" i="13" s="1"/>
  <c r="F526" i="13"/>
  <c r="I526" i="13" s="1"/>
  <c r="J526" i="13" s="1"/>
  <c r="F534" i="13"/>
  <c r="I534" i="13" s="1"/>
  <c r="J534" i="13" s="1"/>
  <c r="F527" i="13"/>
  <c r="I527" i="13" s="1"/>
  <c r="J527" i="13" s="1"/>
  <c r="F535" i="13"/>
  <c r="I535" i="13" s="1"/>
  <c r="J535" i="13" s="1"/>
  <c r="F528" i="13"/>
  <c r="I528" i="13" s="1"/>
  <c r="J528" i="13" s="1"/>
  <c r="F521" i="13"/>
  <c r="I521" i="13" s="1"/>
  <c r="F523" i="13"/>
  <c r="I523" i="13" s="1"/>
  <c r="J523" i="13" s="1"/>
  <c r="F531" i="13"/>
  <c r="I531" i="13" s="1"/>
  <c r="J531" i="13" s="1"/>
  <c r="F524" i="13"/>
  <c r="I524" i="13" s="1"/>
  <c r="J524" i="13" s="1"/>
  <c r="F532" i="13"/>
  <c r="I532" i="13" s="1"/>
  <c r="J532" i="13" s="1"/>
  <c r="F530" i="13"/>
  <c r="I530" i="13" s="1"/>
  <c r="J530" i="13" s="1"/>
  <c r="F522" i="13"/>
  <c r="I522" i="13" s="1"/>
  <c r="J522" i="13" s="1"/>
  <c r="F529" i="13"/>
  <c r="I529" i="13" s="1"/>
  <c r="J529" i="13" s="1"/>
  <c r="L25" i="5"/>
  <c r="L24" i="5"/>
  <c r="B25" i="10"/>
  <c r="D25" i="10" s="1"/>
  <c r="D45" i="22" s="1"/>
  <c r="B28" i="10"/>
  <c r="D28" i="10" s="1"/>
  <c r="D48" i="22" s="1"/>
  <c r="C324" i="5"/>
  <c r="I324" i="5" s="1"/>
  <c r="C322" i="5"/>
  <c r="I322" i="5" s="1"/>
  <c r="C327" i="5"/>
  <c r="I327" i="5" s="1"/>
  <c r="C319" i="5"/>
  <c r="I319" i="5" s="1"/>
  <c r="C326" i="5"/>
  <c r="I326" i="5" s="1"/>
  <c r="C325" i="5"/>
  <c r="I325" i="5" s="1"/>
  <c r="C321" i="5"/>
  <c r="I321" i="5" s="1"/>
  <c r="C320" i="5"/>
  <c r="I320" i="5" s="1"/>
  <c r="C323" i="5"/>
  <c r="I323" i="5" s="1"/>
  <c r="L32" i="5"/>
  <c r="B29" i="10"/>
  <c r="D29" i="10" s="1"/>
  <c r="D49" i="22" s="1"/>
  <c r="A28" i="4"/>
  <c r="A28" i="10"/>
  <c r="A27" i="8"/>
  <c r="K29" i="5"/>
  <c r="A28" i="17"/>
  <c r="L28" i="13"/>
  <c r="A27" i="18"/>
  <c r="A28" i="11"/>
  <c r="A30" i="18"/>
  <c r="A31" i="11"/>
  <c r="A30" i="8"/>
  <c r="A31" i="17"/>
  <c r="A31" i="10"/>
  <c r="A31" i="4"/>
  <c r="L31" i="13"/>
  <c r="K32" i="5"/>
  <c r="A26" i="8"/>
  <c r="A27" i="11"/>
  <c r="L27" i="13"/>
  <c r="K28" i="5"/>
  <c r="A26" i="18"/>
  <c r="A27" i="4"/>
  <c r="A27" i="17"/>
  <c r="A27" i="10"/>
  <c r="L26" i="13"/>
  <c r="K27" i="5"/>
  <c r="A25" i="8"/>
  <c r="A25" i="18"/>
  <c r="A26" i="11"/>
  <c r="A26" i="17"/>
  <c r="A26" i="10"/>
  <c r="A26" i="4"/>
  <c r="L25" i="13"/>
  <c r="K26" i="5"/>
  <c r="A24" i="8"/>
  <c r="A24" i="18"/>
  <c r="A25" i="11"/>
  <c r="A25" i="17"/>
  <c r="A25" i="10"/>
  <c r="A25" i="4"/>
  <c r="A22" i="18"/>
  <c r="A23" i="11"/>
  <c r="A22" i="8"/>
  <c r="K24" i="5"/>
  <c r="A23" i="17"/>
  <c r="A23" i="10"/>
  <c r="A23" i="4"/>
  <c r="L23" i="13"/>
  <c r="A29" i="18"/>
  <c r="A30" i="17"/>
  <c r="A30" i="10"/>
  <c r="A30" i="11"/>
  <c r="A30" i="4"/>
  <c r="A29" i="8"/>
  <c r="K31" i="5"/>
  <c r="L30" i="13"/>
  <c r="K25" i="5"/>
  <c r="A23" i="18"/>
  <c r="A24" i="11"/>
  <c r="A24" i="4"/>
  <c r="A24" i="17"/>
  <c r="A24" i="10"/>
  <c r="L24" i="13"/>
  <c r="A23" i="8"/>
  <c r="A29" i="17"/>
  <c r="A29" i="10"/>
  <c r="L29" i="13"/>
  <c r="A29" i="4"/>
  <c r="A28" i="8"/>
  <c r="K30" i="5"/>
  <c r="A28" i="18"/>
  <c r="A29" i="11"/>
  <c r="K33" i="5"/>
  <c r="A31" i="18"/>
  <c r="A32" i="11"/>
  <c r="A32" i="17"/>
  <c r="A32" i="10"/>
  <c r="A32" i="4"/>
  <c r="A31" i="8"/>
  <c r="L32" i="13"/>
  <c r="K23" i="5"/>
  <c r="A22" i="17"/>
  <c r="A22" i="10"/>
  <c r="A21" i="8"/>
  <c r="A16" i="22"/>
  <c r="A42" i="22" s="1"/>
  <c r="A69" i="22" s="1"/>
  <c r="A22" i="4"/>
  <c r="L22" i="13"/>
  <c r="A21" i="18"/>
  <c r="A22" i="11"/>
  <c r="A20" i="4"/>
  <c r="L20" i="13"/>
  <c r="A19" i="8"/>
  <c r="A14" i="22"/>
  <c r="A40" i="22" s="1"/>
  <c r="A67" i="22" s="1"/>
  <c r="A19" i="18"/>
  <c r="A20" i="11"/>
  <c r="K21" i="5"/>
  <c r="A20" i="17"/>
  <c r="A20" i="10"/>
  <c r="A18" i="8"/>
  <c r="A19" i="4"/>
  <c r="L19" i="13"/>
  <c r="A13" i="22"/>
  <c r="A39" i="22" s="1"/>
  <c r="A66" i="22" s="1"/>
  <c r="A18" i="18"/>
  <c r="A19" i="11"/>
  <c r="K20" i="5"/>
  <c r="A19" i="17"/>
  <c r="A19" i="10"/>
  <c r="A18" i="4"/>
  <c r="A17" i="8"/>
  <c r="L18" i="13"/>
  <c r="A12" i="22"/>
  <c r="A38" i="22" s="1"/>
  <c r="A65" i="22" s="1"/>
  <c r="A17" i="18"/>
  <c r="A18" i="11"/>
  <c r="K19" i="5"/>
  <c r="A18" i="17"/>
  <c r="A18" i="10"/>
  <c r="A21" i="17"/>
  <c r="A21" i="10"/>
  <c r="A20" i="8"/>
  <c r="A21" i="4"/>
  <c r="L21" i="13"/>
  <c r="A15" i="22"/>
  <c r="A41" i="22" s="1"/>
  <c r="A68" i="22" s="1"/>
  <c r="A20" i="18"/>
  <c r="A21" i="11"/>
  <c r="K22" i="5"/>
  <c r="L17" i="13"/>
  <c r="A16" i="18"/>
  <c r="A17" i="11"/>
  <c r="K18" i="5"/>
  <c r="A17" i="4"/>
  <c r="A11" i="22"/>
  <c r="A37" i="22" s="1"/>
  <c r="A64" i="22" s="1"/>
  <c r="A17" i="17"/>
  <c r="A17" i="10"/>
  <c r="A16" i="8"/>
  <c r="A16" i="10"/>
  <c r="A10" i="22"/>
  <c r="A36" i="22" s="1"/>
  <c r="A63" i="22" s="1"/>
  <c r="A15" i="18"/>
  <c r="A16" i="11"/>
  <c r="K17" i="5"/>
  <c r="A16" i="17"/>
  <c r="A15" i="8"/>
  <c r="A16" i="4"/>
  <c r="L16" i="13"/>
  <c r="A9" i="22"/>
  <c r="A35" i="22" s="1"/>
  <c r="A62" i="22" s="1"/>
  <c r="A14" i="18"/>
  <c r="A15" i="11"/>
  <c r="A15" i="10"/>
  <c r="K16" i="5"/>
  <c r="A15" i="17"/>
  <c r="A14" i="8"/>
  <c r="A15" i="4"/>
  <c r="L15" i="13"/>
  <c r="A14" i="17"/>
  <c r="A14" i="4"/>
  <c r="A14" i="10"/>
  <c r="L14" i="13"/>
  <c r="A13" i="8"/>
  <c r="A14" i="11"/>
  <c r="A8" i="22"/>
  <c r="A34" i="22" s="1"/>
  <c r="A61" i="22" s="1"/>
  <c r="K15" i="5"/>
  <c r="A13" i="18"/>
  <c r="B28" i="8"/>
  <c r="D28" i="8" s="1"/>
  <c r="B49" i="22" s="1"/>
  <c r="L31" i="5"/>
  <c r="B26" i="8"/>
  <c r="D26" i="8" s="1"/>
  <c r="B47" i="22" s="1"/>
  <c r="B25" i="8"/>
  <c r="D25" i="8" s="1"/>
  <c r="B46" i="22" s="1"/>
  <c r="L29" i="5"/>
  <c r="B24" i="10"/>
  <c r="D24" i="10" s="1"/>
  <c r="D44" i="22" s="1"/>
  <c r="B29" i="8"/>
  <c r="D29" i="8" s="1"/>
  <c r="B50" i="22" s="1"/>
  <c r="L28" i="5"/>
  <c r="B21" i="8"/>
  <c r="B22" i="10"/>
  <c r="D22" i="10" s="1"/>
  <c r="F79" i="22"/>
  <c r="E32" i="2"/>
  <c r="E16" i="22" s="1"/>
  <c r="E31" i="2"/>
  <c r="E20" i="2"/>
  <c r="D14" i="22" s="1"/>
  <c r="E18" i="2"/>
  <c r="D12" i="22" s="1"/>
  <c r="E17" i="2"/>
  <c r="D11" i="22" s="1"/>
  <c r="E16" i="2"/>
  <c r="D10" i="22" s="1"/>
  <c r="E14" i="2"/>
  <c r="D8" i="22" s="1"/>
  <c r="C13" i="2"/>
  <c r="E13" i="2" s="1"/>
  <c r="D7" i="22" s="1"/>
  <c r="C12" i="2"/>
  <c r="E12" i="2" s="1"/>
  <c r="D6" i="22" s="1"/>
  <c r="G12" i="4"/>
  <c r="B11" i="8" s="1"/>
  <c r="D12" i="18"/>
  <c r="D13" i="18"/>
  <c r="D14" i="18"/>
  <c r="D15" i="18"/>
  <c r="D16" i="18"/>
  <c r="D17" i="18"/>
  <c r="D18" i="18"/>
  <c r="D19" i="18"/>
  <c r="D20" i="18"/>
  <c r="D21" i="18"/>
  <c r="H13" i="17"/>
  <c r="B12" i="18" s="1"/>
  <c r="F12" i="18" s="1"/>
  <c r="G12" i="18" s="1"/>
  <c r="D60" i="22" s="1"/>
  <c r="C13" i="11"/>
  <c r="H14" i="17"/>
  <c r="B13" i="18" s="1"/>
  <c r="F13" i="18" s="1"/>
  <c r="G13" i="18" s="1"/>
  <c r="D61" i="22" s="1"/>
  <c r="C14" i="11"/>
  <c r="H15" i="17"/>
  <c r="B14" i="18" s="1"/>
  <c r="F14" i="18" s="1"/>
  <c r="G14" i="18" s="1"/>
  <c r="D62" i="22" s="1"/>
  <c r="C15" i="11"/>
  <c r="H16" i="17"/>
  <c r="B15" i="18" s="1"/>
  <c r="F15" i="18" s="1"/>
  <c r="G15" i="18" s="1"/>
  <c r="D63" i="22" s="1"/>
  <c r="C16" i="11"/>
  <c r="E17" i="11"/>
  <c r="M17" i="13" s="1"/>
  <c r="C17" i="11"/>
  <c r="C18" i="11"/>
  <c r="H19" i="17"/>
  <c r="B18" i="18" s="1"/>
  <c r="F18" i="18" s="1"/>
  <c r="G18" i="18" s="1"/>
  <c r="D66" i="22" s="1"/>
  <c r="C19" i="11"/>
  <c r="H20" i="17"/>
  <c r="B19" i="18" s="1"/>
  <c r="F19" i="18" s="1"/>
  <c r="G19" i="18" s="1"/>
  <c r="D67" i="22" s="1"/>
  <c r="C20" i="11"/>
  <c r="H21" i="17"/>
  <c r="B20" i="18" s="1"/>
  <c r="F20" i="18" s="1"/>
  <c r="G20" i="18" s="1"/>
  <c r="D68" i="22" s="1"/>
  <c r="C21" i="11"/>
  <c r="H22" i="17"/>
  <c r="B21" i="18" s="1"/>
  <c r="F21" i="18" s="1"/>
  <c r="G21" i="18" s="1"/>
  <c r="D69" i="22" s="1"/>
  <c r="C22" i="11"/>
  <c r="C12" i="11"/>
  <c r="C13" i="10"/>
  <c r="C12" i="10"/>
  <c r="C12" i="8"/>
  <c r="C13" i="8"/>
  <c r="C14" i="8"/>
  <c r="C15" i="8"/>
  <c r="C16" i="8"/>
  <c r="C17" i="8"/>
  <c r="C18" i="8"/>
  <c r="C19" i="8"/>
  <c r="C21" i="8"/>
  <c r="G13" i="4"/>
  <c r="B12" i="8" s="1"/>
  <c r="G14" i="4"/>
  <c r="G15" i="4"/>
  <c r="G16" i="4"/>
  <c r="G17" i="4"/>
  <c r="G18" i="4"/>
  <c r="G19" i="4"/>
  <c r="G20" i="4"/>
  <c r="G21" i="4"/>
  <c r="G32" i="4"/>
  <c r="B11" i="18"/>
  <c r="F11" i="18" s="1"/>
  <c r="G11" i="18" s="1"/>
  <c r="D59" i="22" s="1"/>
  <c r="E15" i="2"/>
  <c r="D9" i="22" s="1"/>
  <c r="E19" i="2"/>
  <c r="D13" i="22" s="1"/>
  <c r="E13" i="1"/>
  <c r="G13" i="1" s="1"/>
  <c r="B7" i="22" s="1"/>
  <c r="G14" i="1"/>
  <c r="B8" i="22" s="1"/>
  <c r="G15" i="1"/>
  <c r="B9" i="22" s="1"/>
  <c r="G18" i="1"/>
  <c r="B12" i="22" s="1"/>
  <c r="G19" i="1"/>
  <c r="B13" i="22" s="1"/>
  <c r="B13" i="2"/>
  <c r="B12" i="2"/>
  <c r="B47" i="21"/>
  <c r="D47" i="21"/>
  <c r="B46" i="21"/>
  <c r="D46" i="21" s="1"/>
  <c r="B45" i="21"/>
  <c r="D45" i="21"/>
  <c r="B44" i="21"/>
  <c r="B42" i="21"/>
  <c r="D42" i="21" s="1"/>
  <c r="B40" i="21"/>
  <c r="B39" i="21"/>
  <c r="B36" i="21"/>
  <c r="B35" i="21"/>
  <c r="D35" i="21"/>
  <c r="B34" i="21"/>
  <c r="B33" i="21"/>
  <c r="D33" i="21" s="1"/>
  <c r="B32" i="21"/>
  <c r="D32" i="21" s="1"/>
  <c r="B31" i="21"/>
  <c r="D31" i="21" s="1"/>
  <c r="B30" i="21"/>
  <c r="B29" i="21"/>
  <c r="D29" i="21" s="1"/>
  <c r="D37" i="21" s="1"/>
  <c r="B28" i="21"/>
  <c r="D40" i="21"/>
  <c r="D41" i="21"/>
  <c r="D43" i="21"/>
  <c r="D36" i="21"/>
  <c r="D34" i="21"/>
  <c r="D30" i="21"/>
  <c r="D28" i="21"/>
  <c r="B25" i="21"/>
  <c r="D25" i="21" s="1"/>
  <c r="D17" i="21"/>
  <c r="D24" i="21"/>
  <c r="D23" i="21"/>
  <c r="D22" i="21"/>
  <c r="D21" i="21"/>
  <c r="D20" i="21"/>
  <c r="D19" i="21"/>
  <c r="D18" i="21"/>
  <c r="D26" i="21" s="1"/>
  <c r="D11" i="18"/>
  <c r="D19" i="12"/>
  <c r="D20" i="12"/>
  <c r="D21" i="12"/>
  <c r="D22" i="12"/>
  <c r="D23" i="12"/>
  <c r="D24" i="12"/>
  <c r="D25" i="12"/>
  <c r="D26" i="12"/>
  <c r="D14" i="12"/>
  <c r="D15" i="12"/>
  <c r="D13" i="12"/>
  <c r="H21" i="5"/>
  <c r="H20" i="5"/>
  <c r="H19" i="5"/>
  <c r="H18" i="5"/>
  <c r="F18" i="5"/>
  <c r="H17" i="5"/>
  <c r="F17" i="5"/>
  <c r="H16" i="5"/>
  <c r="F16" i="5"/>
  <c r="H15" i="5"/>
  <c r="H14" i="5"/>
  <c r="F14" i="5"/>
  <c r="H13" i="5"/>
  <c r="E14" i="11"/>
  <c r="M14" i="13" s="1"/>
  <c r="G32" i="1"/>
  <c r="C16" i="22" s="1"/>
  <c r="G21" i="1"/>
  <c r="B15" i="22" s="1"/>
  <c r="E12" i="1"/>
  <c r="G20" i="1"/>
  <c r="B14" i="22" s="1"/>
  <c r="G17" i="1"/>
  <c r="B11" i="22" s="1"/>
  <c r="G16" i="1"/>
  <c r="B10" i="22" s="1"/>
  <c r="F17" i="22" l="1"/>
  <c r="C411" i="5"/>
  <c r="I411" i="5" s="1"/>
  <c r="F24" i="22"/>
  <c r="F23" i="22"/>
  <c r="F21" i="22"/>
  <c r="F19" i="22"/>
  <c r="F22" i="22"/>
  <c r="F18" i="22"/>
  <c r="F20" i="22"/>
  <c r="E59" i="22"/>
  <c r="C49" i="22"/>
  <c r="C9" i="22"/>
  <c r="E44" i="22"/>
  <c r="E51" i="22"/>
  <c r="C10" i="22"/>
  <c r="C8" i="22"/>
  <c r="E67" i="22"/>
  <c r="C11" i="22"/>
  <c r="C7" i="22"/>
  <c r="E62" i="22"/>
  <c r="E6" i="22"/>
  <c r="C46" i="22"/>
  <c r="E48" i="22"/>
  <c r="E10" i="22"/>
  <c r="E63" i="22"/>
  <c r="E14" i="22"/>
  <c r="C14" i="22"/>
  <c r="E13" i="22"/>
  <c r="E66" i="22"/>
  <c r="E7" i="22"/>
  <c r="C47" i="22"/>
  <c r="E45" i="22"/>
  <c r="E9" i="22"/>
  <c r="E61" i="22"/>
  <c r="E8" i="22"/>
  <c r="C15" i="22"/>
  <c r="E69" i="22"/>
  <c r="E43" i="22"/>
  <c r="C13" i="22"/>
  <c r="E60" i="22"/>
  <c r="E11" i="22"/>
  <c r="E46" i="22"/>
  <c r="C12" i="22"/>
  <c r="E68" i="22"/>
  <c r="E12" i="22"/>
  <c r="C50" i="22"/>
  <c r="E49" i="22"/>
  <c r="C410" i="5"/>
  <c r="I410" i="5" s="1"/>
  <c r="C413" i="5"/>
  <c r="I413" i="5" s="1"/>
  <c r="C409" i="5"/>
  <c r="I409" i="5" s="1"/>
  <c r="C417" i="5"/>
  <c r="I417" i="5" s="1"/>
  <c r="C412" i="5"/>
  <c r="I412" i="5" s="1"/>
  <c r="C415" i="5"/>
  <c r="I415" i="5" s="1"/>
  <c r="C414" i="5"/>
  <c r="I414" i="5" s="1"/>
  <c r="C472" i="5"/>
  <c r="I472" i="5" s="1"/>
  <c r="C470" i="5"/>
  <c r="I470" i="5" s="1"/>
  <c r="C474" i="5"/>
  <c r="I474" i="5" s="1"/>
  <c r="C477" i="5"/>
  <c r="I477" i="5" s="1"/>
  <c r="C476" i="5"/>
  <c r="I476" i="5" s="1"/>
  <c r="C475" i="5"/>
  <c r="I475" i="5" s="1"/>
  <c r="C473" i="5"/>
  <c r="I473" i="5" s="1"/>
  <c r="C471" i="5"/>
  <c r="I471" i="5" s="1"/>
  <c r="C469" i="5"/>
  <c r="I469" i="5" s="1"/>
  <c r="I329" i="5"/>
  <c r="M23" i="5" s="1"/>
  <c r="F42" i="22" s="1"/>
  <c r="I536" i="13"/>
  <c r="J521" i="13"/>
  <c r="J536" i="13" s="1"/>
  <c r="N30" i="13" s="1"/>
  <c r="B77" i="22" s="1"/>
  <c r="J549" i="13"/>
  <c r="J564" i="13" s="1"/>
  <c r="N31" i="13" s="1"/>
  <c r="B78" i="22" s="1"/>
  <c r="I564" i="13"/>
  <c r="J353" i="13"/>
  <c r="J368" i="13" s="1"/>
  <c r="N24" i="13" s="1"/>
  <c r="B71" i="22" s="1"/>
  <c r="I368" i="13"/>
  <c r="I424" i="13"/>
  <c r="J409" i="13"/>
  <c r="J424" i="13" s="1"/>
  <c r="N26" i="13" s="1"/>
  <c r="B73" i="22" s="1"/>
  <c r="I449" i="5"/>
  <c r="M27" i="5" s="1"/>
  <c r="F46" i="22" s="1"/>
  <c r="I539" i="5"/>
  <c r="M30" i="5" s="1"/>
  <c r="F49" i="22" s="1"/>
  <c r="E15" i="22"/>
  <c r="D25" i="22"/>
  <c r="I508" i="13"/>
  <c r="J493" i="13"/>
  <c r="J508" i="13" s="1"/>
  <c r="N29" i="13" s="1"/>
  <c r="B76" i="22" s="1"/>
  <c r="C506" i="5"/>
  <c r="I506" i="5" s="1"/>
  <c r="C504" i="5"/>
  <c r="I504" i="5" s="1"/>
  <c r="C500" i="5"/>
  <c r="I500" i="5" s="1"/>
  <c r="C501" i="5"/>
  <c r="I501" i="5" s="1"/>
  <c r="C499" i="5"/>
  <c r="I499" i="5" s="1"/>
  <c r="C507" i="5"/>
  <c r="I507" i="5" s="1"/>
  <c r="C503" i="5"/>
  <c r="I503" i="5" s="1"/>
  <c r="C502" i="5"/>
  <c r="I502" i="5" s="1"/>
  <c r="C505" i="5"/>
  <c r="I505" i="5" s="1"/>
  <c r="J437" i="13"/>
  <c r="J452" i="13" s="1"/>
  <c r="N27" i="13" s="1"/>
  <c r="B74" i="22" s="1"/>
  <c r="I452" i="13"/>
  <c r="C592" i="5"/>
  <c r="I592" i="5" s="1"/>
  <c r="C590" i="5"/>
  <c r="I590" i="5" s="1"/>
  <c r="C594" i="5"/>
  <c r="I594" i="5" s="1"/>
  <c r="C596" i="5"/>
  <c r="I596" i="5" s="1"/>
  <c r="C595" i="5"/>
  <c r="I595" i="5" s="1"/>
  <c r="C593" i="5"/>
  <c r="I593" i="5" s="1"/>
  <c r="C591" i="5"/>
  <c r="I591" i="5" s="1"/>
  <c r="C597" i="5"/>
  <c r="I597" i="5" s="1"/>
  <c r="C589" i="5"/>
  <c r="I589" i="5" s="1"/>
  <c r="C565" i="5"/>
  <c r="I565" i="5" s="1"/>
  <c r="C563" i="5"/>
  <c r="I563" i="5" s="1"/>
  <c r="C567" i="5"/>
  <c r="I567" i="5" s="1"/>
  <c r="C559" i="5"/>
  <c r="I559" i="5" s="1"/>
  <c r="C562" i="5"/>
  <c r="I562" i="5" s="1"/>
  <c r="C561" i="5"/>
  <c r="I561" i="5" s="1"/>
  <c r="C560" i="5"/>
  <c r="I560" i="5" s="1"/>
  <c r="C566" i="5"/>
  <c r="I566" i="5" s="1"/>
  <c r="C564" i="5"/>
  <c r="I564" i="5" s="1"/>
  <c r="C351" i="5"/>
  <c r="I351" i="5" s="1"/>
  <c r="C357" i="5"/>
  <c r="I357" i="5" s="1"/>
  <c r="C349" i="5"/>
  <c r="I349" i="5" s="1"/>
  <c r="C353" i="5"/>
  <c r="I353" i="5" s="1"/>
  <c r="C354" i="5"/>
  <c r="I354" i="5" s="1"/>
  <c r="C352" i="5"/>
  <c r="I352" i="5" s="1"/>
  <c r="C350" i="5"/>
  <c r="I350" i="5" s="1"/>
  <c r="C356" i="5"/>
  <c r="I356" i="5" s="1"/>
  <c r="C355" i="5"/>
  <c r="I355" i="5" s="1"/>
  <c r="I340" i="13"/>
  <c r="J325" i="13"/>
  <c r="J340" i="13" s="1"/>
  <c r="N23" i="13" s="1"/>
  <c r="B70" i="22" s="1"/>
  <c r="J381" i="13"/>
  <c r="J396" i="13" s="1"/>
  <c r="N25" i="13" s="1"/>
  <c r="B72" i="22" s="1"/>
  <c r="I396" i="13"/>
  <c r="C380" i="5"/>
  <c r="I380" i="5" s="1"/>
  <c r="C386" i="5"/>
  <c r="I386" i="5" s="1"/>
  <c r="C382" i="5"/>
  <c r="I382" i="5" s="1"/>
  <c r="C387" i="5"/>
  <c r="I387" i="5" s="1"/>
  <c r="C383" i="5"/>
  <c r="I383" i="5" s="1"/>
  <c r="C385" i="5"/>
  <c r="I385" i="5" s="1"/>
  <c r="C384" i="5"/>
  <c r="I384" i="5" s="1"/>
  <c r="C379" i="5"/>
  <c r="I379" i="5" s="1"/>
  <c r="C381" i="5"/>
  <c r="I381" i="5" s="1"/>
  <c r="I480" i="13"/>
  <c r="J465" i="13"/>
  <c r="J480" i="13" s="1"/>
  <c r="N28" i="13" s="1"/>
  <c r="B75" i="22" s="1"/>
  <c r="F76" i="13"/>
  <c r="I76" i="13" s="1"/>
  <c r="J76" i="13" s="1"/>
  <c r="F84" i="13"/>
  <c r="I84" i="13" s="1"/>
  <c r="J84" i="13" s="1"/>
  <c r="F78" i="13"/>
  <c r="I78" i="13" s="1"/>
  <c r="J78" i="13" s="1"/>
  <c r="F86" i="13"/>
  <c r="I86" i="13" s="1"/>
  <c r="J86" i="13" s="1"/>
  <c r="F81" i="13"/>
  <c r="I81" i="13" s="1"/>
  <c r="J81" i="13" s="1"/>
  <c r="F74" i="13"/>
  <c r="I74" i="13" s="1"/>
  <c r="J74" i="13" s="1"/>
  <c r="F82" i="13"/>
  <c r="I82" i="13" s="1"/>
  <c r="J82" i="13" s="1"/>
  <c r="F85" i="13"/>
  <c r="I85" i="13" s="1"/>
  <c r="J85" i="13" s="1"/>
  <c r="F87" i="13"/>
  <c r="I87" i="13" s="1"/>
  <c r="J87" i="13" s="1"/>
  <c r="F75" i="13"/>
  <c r="I75" i="13" s="1"/>
  <c r="J75" i="13" s="1"/>
  <c r="F77" i="13"/>
  <c r="I77" i="13" s="1"/>
  <c r="J77" i="13" s="1"/>
  <c r="F73" i="13"/>
  <c r="I73" i="13" s="1"/>
  <c r="F79" i="13"/>
  <c r="I79" i="13" s="1"/>
  <c r="J79" i="13" s="1"/>
  <c r="F80" i="13"/>
  <c r="I80" i="13" s="1"/>
  <c r="J80" i="13" s="1"/>
  <c r="F83" i="13"/>
  <c r="I83" i="13" s="1"/>
  <c r="J83" i="13" s="1"/>
  <c r="F162" i="13"/>
  <c r="I162" i="13" s="1"/>
  <c r="J162" i="13" s="1"/>
  <c r="F170" i="13"/>
  <c r="I170" i="13" s="1"/>
  <c r="J170" i="13" s="1"/>
  <c r="F163" i="13"/>
  <c r="I163" i="13" s="1"/>
  <c r="J163" i="13" s="1"/>
  <c r="F171" i="13"/>
  <c r="I171" i="13" s="1"/>
  <c r="J171" i="13" s="1"/>
  <c r="F164" i="13"/>
  <c r="I164" i="13" s="1"/>
  <c r="J164" i="13" s="1"/>
  <c r="F157" i="13"/>
  <c r="I157" i="13" s="1"/>
  <c r="F165" i="13"/>
  <c r="I165" i="13" s="1"/>
  <c r="J165" i="13" s="1"/>
  <c r="F159" i="13"/>
  <c r="I159" i="13" s="1"/>
  <c r="J159" i="13" s="1"/>
  <c r="F167" i="13"/>
  <c r="I167" i="13" s="1"/>
  <c r="J167" i="13" s="1"/>
  <c r="F160" i="13"/>
  <c r="I160" i="13" s="1"/>
  <c r="J160" i="13" s="1"/>
  <c r="F168" i="13"/>
  <c r="I168" i="13" s="1"/>
  <c r="J168" i="13" s="1"/>
  <c r="F158" i="13"/>
  <c r="I158" i="13" s="1"/>
  <c r="J158" i="13" s="1"/>
  <c r="F161" i="13"/>
  <c r="I161" i="13" s="1"/>
  <c r="J161" i="13" s="1"/>
  <c r="F169" i="13"/>
  <c r="I169" i="13" s="1"/>
  <c r="J169" i="13" s="1"/>
  <c r="F166" i="13"/>
  <c r="I166" i="13" s="1"/>
  <c r="J166" i="13" s="1"/>
  <c r="B12" i="10"/>
  <c r="D12" i="10" s="1"/>
  <c r="D32" i="22" s="1"/>
  <c r="L13" i="13"/>
  <c r="A13" i="10"/>
  <c r="A13" i="4"/>
  <c r="A13" i="11"/>
  <c r="A13" i="17"/>
  <c r="K14" i="5"/>
  <c r="A7" i="22"/>
  <c r="A33" i="22" s="1"/>
  <c r="A60" i="22" s="1"/>
  <c r="A12" i="8"/>
  <c r="A12" i="18"/>
  <c r="A6" i="22"/>
  <c r="A32" i="22" s="1"/>
  <c r="A59" i="22" s="1"/>
  <c r="A11" i="8"/>
  <c r="A12" i="11"/>
  <c r="L12" i="13"/>
  <c r="A12" i="17"/>
  <c r="K13" i="5"/>
  <c r="A12" i="10"/>
  <c r="A11" i="18"/>
  <c r="A12" i="4"/>
  <c r="G12" i="1"/>
  <c r="B6" i="22" s="1"/>
  <c r="B31" i="8"/>
  <c r="D31" i="8" s="1"/>
  <c r="L33" i="5"/>
  <c r="B32" i="10"/>
  <c r="D32" i="10" s="1"/>
  <c r="L18" i="5"/>
  <c r="B17" i="10"/>
  <c r="D17" i="10" s="1"/>
  <c r="D37" i="22" s="1"/>
  <c r="B16" i="8"/>
  <c r="D16" i="8" s="1"/>
  <c r="B37" i="22" s="1"/>
  <c r="B16" i="10"/>
  <c r="D16" i="10" s="1"/>
  <c r="D36" i="22" s="1"/>
  <c r="B15" i="8"/>
  <c r="D15" i="8" s="1"/>
  <c r="B36" i="22" s="1"/>
  <c r="L17" i="5"/>
  <c r="L21" i="5"/>
  <c r="B20" i="10"/>
  <c r="D20" i="10" s="1"/>
  <c r="D40" i="22" s="1"/>
  <c r="B19" i="8"/>
  <c r="D19" i="8" s="1"/>
  <c r="B40" i="22" s="1"/>
  <c r="L20" i="5"/>
  <c r="B19" i="10"/>
  <c r="D19" i="10" s="1"/>
  <c r="D39" i="22" s="1"/>
  <c r="B18" i="8"/>
  <c r="D18" i="8" s="1"/>
  <c r="B39" i="22" s="1"/>
  <c r="L13" i="5"/>
  <c r="C13" i="5" s="1"/>
  <c r="L15" i="5"/>
  <c r="B14" i="10"/>
  <c r="D14" i="10" s="1"/>
  <c r="D34" i="22" s="1"/>
  <c r="B13" i="8"/>
  <c r="D13" i="8" s="1"/>
  <c r="B34" i="22" s="1"/>
  <c r="L19" i="5"/>
  <c r="B18" i="10"/>
  <c r="D18" i="10" s="1"/>
  <c r="D38" i="22" s="1"/>
  <c r="B17" i="8"/>
  <c r="D17" i="8" s="1"/>
  <c r="B38" i="22" s="1"/>
  <c r="L16" i="5"/>
  <c r="B15" i="10"/>
  <c r="D15" i="10" s="1"/>
  <c r="D35" i="22" s="1"/>
  <c r="B14" i="8"/>
  <c r="D14" i="8" s="1"/>
  <c r="B35" i="22" s="1"/>
  <c r="L22" i="5"/>
  <c r="B20" i="8"/>
  <c r="D20" i="8" s="1"/>
  <c r="B41" i="22" s="1"/>
  <c r="B21" i="10"/>
  <c r="D21" i="10" s="1"/>
  <c r="D41" i="22" s="1"/>
  <c r="D11" i="8"/>
  <c r="B32" i="22" s="1"/>
  <c r="D12" i="8"/>
  <c r="B33" i="22" s="1"/>
  <c r="H17" i="17"/>
  <c r="B16" i="18" s="1"/>
  <c r="F16" i="18" s="1"/>
  <c r="G16" i="18" s="1"/>
  <c r="D64" i="22" s="1"/>
  <c r="E15" i="11"/>
  <c r="M15" i="13" s="1"/>
  <c r="E16" i="11"/>
  <c r="M16" i="13" s="1"/>
  <c r="E21" i="11"/>
  <c r="M21" i="13" s="1"/>
  <c r="E20" i="11"/>
  <c r="M20" i="13" s="1"/>
  <c r="M12" i="13"/>
  <c r="F12" i="13" s="1"/>
  <c r="I12" i="13" s="1"/>
  <c r="E13" i="11"/>
  <c r="M13" i="13" s="1"/>
  <c r="E19" i="11"/>
  <c r="M19" i="13" s="1"/>
  <c r="F16" i="22"/>
  <c r="D42" i="22"/>
  <c r="D21" i="8"/>
  <c r="B42" i="22" s="1"/>
  <c r="H18" i="17"/>
  <c r="B17" i="18" s="1"/>
  <c r="F17" i="18" s="1"/>
  <c r="G17" i="18" s="1"/>
  <c r="D65" i="22" s="1"/>
  <c r="E18" i="11"/>
  <c r="M18" i="13" s="1"/>
  <c r="B13" i="10"/>
  <c r="D44" i="21"/>
  <c r="E22" i="11"/>
  <c r="M22" i="13" s="1"/>
  <c r="D39" i="21"/>
  <c r="D48" i="21" s="1"/>
  <c r="L14" i="5"/>
  <c r="F10" i="22" l="1"/>
  <c r="F12" i="22"/>
  <c r="F8" i="22"/>
  <c r="F14" i="22"/>
  <c r="C70" i="22"/>
  <c r="F70" i="22" s="1"/>
  <c r="C76" i="22"/>
  <c r="F76" i="22" s="1"/>
  <c r="C78" i="22"/>
  <c r="F78" i="22" s="1"/>
  <c r="C74" i="22"/>
  <c r="F74" i="22" s="1"/>
  <c r="C71" i="22"/>
  <c r="F71" i="22" s="1"/>
  <c r="C75" i="22"/>
  <c r="F75" i="22" s="1"/>
  <c r="C77" i="22"/>
  <c r="F77" i="22" s="1"/>
  <c r="C73" i="22"/>
  <c r="F73" i="22" s="1"/>
  <c r="C72" i="22"/>
  <c r="F72" i="22" s="1"/>
  <c r="F13" i="22"/>
  <c r="F9" i="22"/>
  <c r="G46" i="22"/>
  <c r="F11" i="22"/>
  <c r="F7" i="22"/>
  <c r="C34" i="22"/>
  <c r="C42" i="22"/>
  <c r="E35" i="22"/>
  <c r="C36" i="22"/>
  <c r="E42" i="22"/>
  <c r="C39" i="22"/>
  <c r="E36" i="22"/>
  <c r="E25" i="22"/>
  <c r="F25" i="22" s="1"/>
  <c r="C38" i="22"/>
  <c r="E39" i="22"/>
  <c r="C37" i="22"/>
  <c r="F15" i="22"/>
  <c r="C41" i="22"/>
  <c r="C32" i="22"/>
  <c r="C6" i="22"/>
  <c r="F6" i="22" s="1"/>
  <c r="E38" i="22"/>
  <c r="E37" i="22"/>
  <c r="E32" i="22"/>
  <c r="G49" i="22"/>
  <c r="E41" i="22"/>
  <c r="C40" i="22"/>
  <c r="E40" i="22"/>
  <c r="E64" i="22"/>
  <c r="E34" i="22"/>
  <c r="E65" i="22"/>
  <c r="C33" i="22"/>
  <c r="C35" i="22"/>
  <c r="I419" i="5"/>
  <c r="M26" i="5" s="1"/>
  <c r="F45" i="22" s="1"/>
  <c r="G45" i="22" s="1"/>
  <c r="I479" i="5"/>
  <c r="M28" i="5" s="1"/>
  <c r="F47" i="22" s="1"/>
  <c r="G47" i="22" s="1"/>
  <c r="I359" i="5"/>
  <c r="M24" i="5" s="1"/>
  <c r="F43" i="22" s="1"/>
  <c r="G43" i="22" s="1"/>
  <c r="I389" i="5"/>
  <c r="M25" i="5" s="1"/>
  <c r="F44" i="22" s="1"/>
  <c r="G44" i="22" s="1"/>
  <c r="I599" i="5"/>
  <c r="M32" i="5" s="1"/>
  <c r="F51" i="22" s="1"/>
  <c r="G51" i="22" s="1"/>
  <c r="I509" i="5"/>
  <c r="M29" i="5" s="1"/>
  <c r="F48" i="22" s="1"/>
  <c r="G48" i="22" s="1"/>
  <c r="I569" i="5"/>
  <c r="M31" i="5" s="1"/>
  <c r="F50" i="22" s="1"/>
  <c r="G50" i="22" s="1"/>
  <c r="F191" i="13"/>
  <c r="I191" i="13" s="1"/>
  <c r="J191" i="13" s="1"/>
  <c r="F199" i="13"/>
  <c r="I199" i="13" s="1"/>
  <c r="J199" i="13" s="1"/>
  <c r="F192" i="13"/>
  <c r="I192" i="13" s="1"/>
  <c r="J192" i="13" s="1"/>
  <c r="F185" i="13"/>
  <c r="I185" i="13" s="1"/>
  <c r="F193" i="13"/>
  <c r="I193" i="13" s="1"/>
  <c r="J193" i="13" s="1"/>
  <c r="F186" i="13"/>
  <c r="I186" i="13" s="1"/>
  <c r="J186" i="13" s="1"/>
  <c r="F194" i="13"/>
  <c r="I194" i="13" s="1"/>
  <c r="J194" i="13" s="1"/>
  <c r="F188" i="13"/>
  <c r="I188" i="13" s="1"/>
  <c r="J188" i="13" s="1"/>
  <c r="F196" i="13"/>
  <c r="I196" i="13" s="1"/>
  <c r="J196" i="13" s="1"/>
  <c r="F189" i="13"/>
  <c r="I189" i="13" s="1"/>
  <c r="J189" i="13" s="1"/>
  <c r="F197" i="13"/>
  <c r="I197" i="13" s="1"/>
  <c r="J197" i="13" s="1"/>
  <c r="F190" i="13"/>
  <c r="I190" i="13" s="1"/>
  <c r="J190" i="13" s="1"/>
  <c r="F195" i="13"/>
  <c r="I195" i="13" s="1"/>
  <c r="J195" i="13" s="1"/>
  <c r="F198" i="13"/>
  <c r="I198" i="13" s="1"/>
  <c r="J198" i="13" s="1"/>
  <c r="F187" i="13"/>
  <c r="I187" i="13" s="1"/>
  <c r="J187" i="13" s="1"/>
  <c r="F214" i="13"/>
  <c r="I214" i="13" s="1"/>
  <c r="J214" i="13" s="1"/>
  <c r="F222" i="13"/>
  <c r="I222" i="13" s="1"/>
  <c r="J222" i="13" s="1"/>
  <c r="F215" i="13"/>
  <c r="I215" i="13" s="1"/>
  <c r="J215" i="13" s="1"/>
  <c r="F223" i="13"/>
  <c r="I223" i="13" s="1"/>
  <c r="J223" i="13" s="1"/>
  <c r="F216" i="13"/>
  <c r="I216" i="13" s="1"/>
  <c r="J216" i="13" s="1"/>
  <c r="F224" i="13"/>
  <c r="I224" i="13" s="1"/>
  <c r="J224" i="13" s="1"/>
  <c r="F217" i="13"/>
  <c r="I217" i="13" s="1"/>
  <c r="J217" i="13" s="1"/>
  <c r="F225" i="13"/>
  <c r="I225" i="13" s="1"/>
  <c r="J225" i="13" s="1"/>
  <c r="F219" i="13"/>
  <c r="I219" i="13" s="1"/>
  <c r="J219" i="13" s="1"/>
  <c r="F227" i="13"/>
  <c r="I227" i="13" s="1"/>
  <c r="J227" i="13" s="1"/>
  <c r="F220" i="13"/>
  <c r="I220" i="13" s="1"/>
  <c r="J220" i="13" s="1"/>
  <c r="F213" i="13"/>
  <c r="I213" i="13" s="1"/>
  <c r="F218" i="13"/>
  <c r="I218" i="13" s="1"/>
  <c r="J218" i="13" s="1"/>
  <c r="F221" i="13"/>
  <c r="I221" i="13" s="1"/>
  <c r="J221" i="13" s="1"/>
  <c r="F226" i="13"/>
  <c r="I226" i="13" s="1"/>
  <c r="J226" i="13" s="1"/>
  <c r="C232" i="5"/>
  <c r="I232" i="5" s="1"/>
  <c r="C230" i="5"/>
  <c r="I230" i="5" s="1"/>
  <c r="C235" i="5"/>
  <c r="I235" i="5" s="1"/>
  <c r="C234" i="5"/>
  <c r="I234" i="5" s="1"/>
  <c r="C233" i="5"/>
  <c r="I233" i="5" s="1"/>
  <c r="C231" i="5"/>
  <c r="I231" i="5" s="1"/>
  <c r="C237" i="5"/>
  <c r="I237" i="5" s="1"/>
  <c r="C236" i="5"/>
  <c r="I236" i="5" s="1"/>
  <c r="C229" i="5"/>
  <c r="I229" i="5" s="1"/>
  <c r="F47" i="13"/>
  <c r="I47" i="13" s="1"/>
  <c r="J47" i="13" s="1"/>
  <c r="F55" i="13"/>
  <c r="I55" i="13" s="1"/>
  <c r="J55" i="13" s="1"/>
  <c r="F49" i="13"/>
  <c r="I49" i="13" s="1"/>
  <c r="J49" i="13" s="1"/>
  <c r="F57" i="13"/>
  <c r="I57" i="13" s="1"/>
  <c r="J57" i="13" s="1"/>
  <c r="F52" i="13"/>
  <c r="I52" i="13" s="1"/>
  <c r="J52" i="13" s="1"/>
  <c r="F45" i="13"/>
  <c r="I45" i="13" s="1"/>
  <c r="F56" i="13"/>
  <c r="I56" i="13" s="1"/>
  <c r="J56" i="13" s="1"/>
  <c r="F58" i="13"/>
  <c r="I58" i="13" s="1"/>
  <c r="J58" i="13" s="1"/>
  <c r="F48" i="13"/>
  <c r="I48" i="13" s="1"/>
  <c r="J48" i="13" s="1"/>
  <c r="F46" i="13"/>
  <c r="I46" i="13" s="1"/>
  <c r="J46" i="13" s="1"/>
  <c r="F59" i="13"/>
  <c r="I59" i="13" s="1"/>
  <c r="J59" i="13" s="1"/>
  <c r="F51" i="13"/>
  <c r="I51" i="13" s="1"/>
  <c r="J51" i="13" s="1"/>
  <c r="F53" i="13"/>
  <c r="I53" i="13" s="1"/>
  <c r="J53" i="13" s="1"/>
  <c r="F54" i="13"/>
  <c r="I54" i="13" s="1"/>
  <c r="J54" i="13" s="1"/>
  <c r="F50" i="13"/>
  <c r="I50" i="13" s="1"/>
  <c r="J50" i="13" s="1"/>
  <c r="C206" i="5"/>
  <c r="I206" i="5" s="1"/>
  <c r="C204" i="5"/>
  <c r="I204" i="5" s="1"/>
  <c r="C201" i="5"/>
  <c r="I201" i="5" s="1"/>
  <c r="C202" i="5"/>
  <c r="I202" i="5" s="1"/>
  <c r="C200" i="5"/>
  <c r="I200" i="5" s="1"/>
  <c r="C199" i="5"/>
  <c r="I199" i="5" s="1"/>
  <c r="C207" i="5"/>
  <c r="I207" i="5" s="1"/>
  <c r="C205" i="5"/>
  <c r="I205" i="5" s="1"/>
  <c r="C203" i="5"/>
  <c r="I203" i="5" s="1"/>
  <c r="C170" i="5"/>
  <c r="I170" i="5" s="1"/>
  <c r="C176" i="5"/>
  <c r="I176" i="5" s="1"/>
  <c r="C173" i="5"/>
  <c r="I173" i="5" s="1"/>
  <c r="C177" i="5"/>
  <c r="I177" i="5" s="1"/>
  <c r="C175" i="5"/>
  <c r="I175" i="5" s="1"/>
  <c r="C172" i="5"/>
  <c r="I172" i="5" s="1"/>
  <c r="C171" i="5"/>
  <c r="I171" i="5" s="1"/>
  <c r="C169" i="5"/>
  <c r="I169" i="5" s="1"/>
  <c r="C174" i="5"/>
  <c r="I174" i="5" s="1"/>
  <c r="F105" i="13"/>
  <c r="I105" i="13" s="1"/>
  <c r="J105" i="13" s="1"/>
  <c r="F113" i="13"/>
  <c r="I113" i="13" s="1"/>
  <c r="J113" i="13" s="1"/>
  <c r="F107" i="13"/>
  <c r="I107" i="13" s="1"/>
  <c r="J107" i="13" s="1"/>
  <c r="F115" i="13"/>
  <c r="I115" i="13" s="1"/>
  <c r="J115" i="13" s="1"/>
  <c r="F102" i="13"/>
  <c r="I102" i="13" s="1"/>
  <c r="J102" i="13" s="1"/>
  <c r="F110" i="13"/>
  <c r="I110" i="13" s="1"/>
  <c r="J110" i="13" s="1"/>
  <c r="F103" i="13"/>
  <c r="I103" i="13" s="1"/>
  <c r="J103" i="13" s="1"/>
  <c r="F111" i="13"/>
  <c r="I111" i="13" s="1"/>
  <c r="J111" i="13" s="1"/>
  <c r="F112" i="13"/>
  <c r="I112" i="13" s="1"/>
  <c r="J112" i="13" s="1"/>
  <c r="F114" i="13"/>
  <c r="I114" i="13" s="1"/>
  <c r="J114" i="13" s="1"/>
  <c r="F101" i="13"/>
  <c r="I101" i="13" s="1"/>
  <c r="F106" i="13"/>
  <c r="I106" i="13" s="1"/>
  <c r="J106" i="13" s="1"/>
  <c r="F108" i="13"/>
  <c r="I108" i="13" s="1"/>
  <c r="J108" i="13" s="1"/>
  <c r="F109" i="13"/>
  <c r="I109" i="13" s="1"/>
  <c r="J109" i="13" s="1"/>
  <c r="F104" i="13"/>
  <c r="I104" i="13" s="1"/>
  <c r="J104" i="13" s="1"/>
  <c r="C115" i="5"/>
  <c r="I115" i="5" s="1"/>
  <c r="C113" i="5"/>
  <c r="I113" i="5" s="1"/>
  <c r="C110" i="5"/>
  <c r="I110" i="5" s="1"/>
  <c r="C111" i="5"/>
  <c r="I111" i="5" s="1"/>
  <c r="C109" i="5"/>
  <c r="I109" i="5" s="1"/>
  <c r="C108" i="5"/>
  <c r="I108" i="5" s="1"/>
  <c r="C116" i="5"/>
  <c r="I116" i="5" s="1"/>
  <c r="C114" i="5"/>
  <c r="I114" i="5" s="1"/>
  <c r="C112" i="5"/>
  <c r="I112" i="5" s="1"/>
  <c r="F304" i="13"/>
  <c r="I304" i="13" s="1"/>
  <c r="J304" i="13" s="1"/>
  <c r="F297" i="13"/>
  <c r="I297" i="13" s="1"/>
  <c r="F305" i="13"/>
  <c r="I305" i="13" s="1"/>
  <c r="J305" i="13" s="1"/>
  <c r="F298" i="13"/>
  <c r="I298" i="13" s="1"/>
  <c r="J298" i="13" s="1"/>
  <c r="F306" i="13"/>
  <c r="I306" i="13" s="1"/>
  <c r="J306" i="13" s="1"/>
  <c r="F299" i="13"/>
  <c r="I299" i="13" s="1"/>
  <c r="J299" i="13" s="1"/>
  <c r="F307" i="13"/>
  <c r="I307" i="13" s="1"/>
  <c r="J307" i="13" s="1"/>
  <c r="F301" i="13"/>
  <c r="I301" i="13" s="1"/>
  <c r="J301" i="13" s="1"/>
  <c r="F309" i="13"/>
  <c r="I309" i="13" s="1"/>
  <c r="J309" i="13" s="1"/>
  <c r="F302" i="13"/>
  <c r="I302" i="13" s="1"/>
  <c r="J302" i="13" s="1"/>
  <c r="F310" i="13"/>
  <c r="I310" i="13" s="1"/>
  <c r="J310" i="13" s="1"/>
  <c r="F303" i="13"/>
  <c r="I303" i="13" s="1"/>
  <c r="J303" i="13" s="1"/>
  <c r="F300" i="13"/>
  <c r="I300" i="13" s="1"/>
  <c r="J300" i="13" s="1"/>
  <c r="F311" i="13"/>
  <c r="I311" i="13" s="1"/>
  <c r="J311" i="13" s="1"/>
  <c r="F308" i="13"/>
  <c r="I308" i="13" s="1"/>
  <c r="J308" i="13" s="1"/>
  <c r="I172" i="13"/>
  <c r="J157" i="13"/>
  <c r="J172" i="13" s="1"/>
  <c r="N17" i="13" s="1"/>
  <c r="B64" i="22" s="1"/>
  <c r="F243" i="13"/>
  <c r="I243" i="13" s="1"/>
  <c r="J243" i="13" s="1"/>
  <c r="F251" i="13"/>
  <c r="I251" i="13" s="1"/>
  <c r="J251" i="13" s="1"/>
  <c r="F244" i="13"/>
  <c r="I244" i="13" s="1"/>
  <c r="J244" i="13" s="1"/>
  <c r="F252" i="13"/>
  <c r="I252" i="13" s="1"/>
  <c r="J252" i="13" s="1"/>
  <c r="F245" i="13"/>
  <c r="I245" i="13" s="1"/>
  <c r="J245" i="13" s="1"/>
  <c r="F253" i="13"/>
  <c r="I253" i="13" s="1"/>
  <c r="J253" i="13" s="1"/>
  <c r="F246" i="13"/>
  <c r="I246" i="13" s="1"/>
  <c r="J246" i="13" s="1"/>
  <c r="F254" i="13"/>
  <c r="I254" i="13" s="1"/>
  <c r="J254" i="13" s="1"/>
  <c r="F248" i="13"/>
  <c r="I248" i="13" s="1"/>
  <c r="J248" i="13" s="1"/>
  <c r="F241" i="13"/>
  <c r="I241" i="13" s="1"/>
  <c r="F249" i="13"/>
  <c r="I249" i="13" s="1"/>
  <c r="J249" i="13" s="1"/>
  <c r="F242" i="13"/>
  <c r="I242" i="13" s="1"/>
  <c r="J242" i="13" s="1"/>
  <c r="F247" i="13"/>
  <c r="I247" i="13" s="1"/>
  <c r="J247" i="13" s="1"/>
  <c r="F250" i="13"/>
  <c r="I250" i="13" s="1"/>
  <c r="J250" i="13" s="1"/>
  <c r="F255" i="13"/>
  <c r="I255" i="13" s="1"/>
  <c r="J255" i="13" s="1"/>
  <c r="C295" i="5"/>
  <c r="I295" i="5" s="1"/>
  <c r="C293" i="5"/>
  <c r="I293" i="5" s="1"/>
  <c r="C290" i="5"/>
  <c r="I290" i="5" s="1"/>
  <c r="C292" i="5"/>
  <c r="I292" i="5" s="1"/>
  <c r="C291" i="5"/>
  <c r="I291" i="5" s="1"/>
  <c r="C289" i="5"/>
  <c r="I289" i="5" s="1"/>
  <c r="C297" i="5"/>
  <c r="I297" i="5" s="1"/>
  <c r="C296" i="5"/>
  <c r="I296" i="5" s="1"/>
  <c r="C294" i="5"/>
  <c r="I294" i="5" s="1"/>
  <c r="C261" i="5"/>
  <c r="I261" i="5" s="1"/>
  <c r="C267" i="5"/>
  <c r="I267" i="5" s="1"/>
  <c r="C259" i="5"/>
  <c r="I259" i="5" s="1"/>
  <c r="C264" i="5"/>
  <c r="I264" i="5" s="1"/>
  <c r="C266" i="5"/>
  <c r="I266" i="5" s="1"/>
  <c r="C265" i="5"/>
  <c r="I265" i="5" s="1"/>
  <c r="C263" i="5"/>
  <c r="I263" i="5" s="1"/>
  <c r="C262" i="5"/>
  <c r="I262" i="5" s="1"/>
  <c r="C260" i="5"/>
  <c r="I260" i="5" s="1"/>
  <c r="J73" i="13"/>
  <c r="J88" i="13" s="1"/>
  <c r="N14" i="13" s="1"/>
  <c r="B61" i="22" s="1"/>
  <c r="I88" i="13"/>
  <c r="F276" i="13"/>
  <c r="I276" i="13" s="1"/>
  <c r="J276" i="13" s="1"/>
  <c r="F269" i="13"/>
  <c r="I269" i="13" s="1"/>
  <c r="F277" i="13"/>
  <c r="I277" i="13" s="1"/>
  <c r="J277" i="13" s="1"/>
  <c r="F270" i="13"/>
  <c r="I270" i="13" s="1"/>
  <c r="J270" i="13" s="1"/>
  <c r="F278" i="13"/>
  <c r="I278" i="13" s="1"/>
  <c r="J278" i="13" s="1"/>
  <c r="F271" i="13"/>
  <c r="I271" i="13" s="1"/>
  <c r="J271" i="13" s="1"/>
  <c r="F279" i="13"/>
  <c r="I279" i="13" s="1"/>
  <c r="J279" i="13" s="1"/>
  <c r="F273" i="13"/>
  <c r="I273" i="13" s="1"/>
  <c r="J273" i="13" s="1"/>
  <c r="F281" i="13"/>
  <c r="I281" i="13" s="1"/>
  <c r="J281" i="13" s="1"/>
  <c r="F274" i="13"/>
  <c r="I274" i="13" s="1"/>
  <c r="J274" i="13" s="1"/>
  <c r="F282" i="13"/>
  <c r="I282" i="13" s="1"/>
  <c r="J282" i="13" s="1"/>
  <c r="F275" i="13"/>
  <c r="I275" i="13" s="1"/>
  <c r="J275" i="13" s="1"/>
  <c r="F280" i="13"/>
  <c r="I280" i="13" s="1"/>
  <c r="J280" i="13" s="1"/>
  <c r="F283" i="13"/>
  <c r="I283" i="13" s="1"/>
  <c r="J283" i="13" s="1"/>
  <c r="F272" i="13"/>
  <c r="I272" i="13" s="1"/>
  <c r="J272" i="13" s="1"/>
  <c r="C79" i="5"/>
  <c r="I79" i="5" s="1"/>
  <c r="C85" i="5"/>
  <c r="I85" i="5" s="1"/>
  <c r="C77" i="5"/>
  <c r="I77" i="5" s="1"/>
  <c r="C82" i="5"/>
  <c r="I82" i="5" s="1"/>
  <c r="C78" i="5"/>
  <c r="I78" i="5" s="1"/>
  <c r="C84" i="5"/>
  <c r="I84" i="5" s="1"/>
  <c r="C83" i="5"/>
  <c r="I83" i="5" s="1"/>
  <c r="C81" i="5"/>
  <c r="I81" i="5" s="1"/>
  <c r="C80" i="5"/>
  <c r="I80" i="5" s="1"/>
  <c r="C143" i="5"/>
  <c r="I143" i="5" s="1"/>
  <c r="C141" i="5"/>
  <c r="I141" i="5" s="1"/>
  <c r="C146" i="5"/>
  <c r="I146" i="5" s="1"/>
  <c r="C145" i="5"/>
  <c r="I145" i="5" s="1"/>
  <c r="C144" i="5"/>
  <c r="I144" i="5" s="1"/>
  <c r="C142" i="5"/>
  <c r="I142" i="5" s="1"/>
  <c r="C139" i="5"/>
  <c r="I139" i="5" s="1"/>
  <c r="C147" i="5"/>
  <c r="I147" i="5" s="1"/>
  <c r="C140" i="5"/>
  <c r="I140" i="5" s="1"/>
  <c r="C52" i="5"/>
  <c r="I52" i="5" s="1"/>
  <c r="C50" i="5"/>
  <c r="I50" i="5" s="1"/>
  <c r="C55" i="5"/>
  <c r="I55" i="5" s="1"/>
  <c r="C47" i="5"/>
  <c r="I47" i="5" s="1"/>
  <c r="C51" i="5"/>
  <c r="I51" i="5" s="1"/>
  <c r="C49" i="5"/>
  <c r="I49" i="5" s="1"/>
  <c r="C48" i="5"/>
  <c r="I48" i="5" s="1"/>
  <c r="C54" i="5"/>
  <c r="I54" i="5" s="1"/>
  <c r="C53" i="5"/>
  <c r="I53" i="5" s="1"/>
  <c r="F135" i="13"/>
  <c r="I135" i="13" s="1"/>
  <c r="J135" i="13" s="1"/>
  <c r="F143" i="13"/>
  <c r="I143" i="13" s="1"/>
  <c r="J143" i="13" s="1"/>
  <c r="F136" i="13"/>
  <c r="I136" i="13" s="1"/>
  <c r="J136" i="13" s="1"/>
  <c r="F129" i="13"/>
  <c r="I129" i="13" s="1"/>
  <c r="F137" i="13"/>
  <c r="I137" i="13" s="1"/>
  <c r="J137" i="13" s="1"/>
  <c r="F130" i="13"/>
  <c r="I130" i="13" s="1"/>
  <c r="J130" i="13" s="1"/>
  <c r="F138" i="13"/>
  <c r="I138" i="13" s="1"/>
  <c r="J138" i="13" s="1"/>
  <c r="F132" i="13"/>
  <c r="I132" i="13" s="1"/>
  <c r="J132" i="13" s="1"/>
  <c r="F140" i="13"/>
  <c r="I140" i="13" s="1"/>
  <c r="J140" i="13" s="1"/>
  <c r="F133" i="13"/>
  <c r="I133" i="13" s="1"/>
  <c r="J133" i="13" s="1"/>
  <c r="F141" i="13"/>
  <c r="I141" i="13" s="1"/>
  <c r="J141" i="13" s="1"/>
  <c r="F131" i="13"/>
  <c r="I131" i="13" s="1"/>
  <c r="J131" i="13" s="1"/>
  <c r="F134" i="13"/>
  <c r="I134" i="13" s="1"/>
  <c r="J134" i="13" s="1"/>
  <c r="F142" i="13"/>
  <c r="I142" i="13" s="1"/>
  <c r="J142" i="13" s="1"/>
  <c r="F139" i="13"/>
  <c r="I139" i="13" s="1"/>
  <c r="J139" i="13" s="1"/>
  <c r="F18" i="13"/>
  <c r="I18" i="13" s="1"/>
  <c r="J18" i="13" s="1"/>
  <c r="F26" i="13"/>
  <c r="I26" i="13" s="1"/>
  <c r="J26" i="13" s="1"/>
  <c r="F13" i="13"/>
  <c r="I13" i="13" s="1"/>
  <c r="J13" i="13" s="1"/>
  <c r="F22" i="13"/>
  <c r="I22" i="13" s="1"/>
  <c r="J22" i="13" s="1"/>
  <c r="F17" i="13"/>
  <c r="I17" i="13" s="1"/>
  <c r="J17" i="13" s="1"/>
  <c r="F19" i="13"/>
  <c r="I19" i="13" s="1"/>
  <c r="J12" i="13"/>
  <c r="F14" i="13"/>
  <c r="I14" i="13" s="1"/>
  <c r="J14" i="13" s="1"/>
  <c r="F15" i="13"/>
  <c r="I15" i="13" s="1"/>
  <c r="J15" i="13" s="1"/>
  <c r="F24" i="13"/>
  <c r="I24" i="13" s="1"/>
  <c r="J24" i="13" s="1"/>
  <c r="F20" i="13"/>
  <c r="I20" i="13" s="1"/>
  <c r="J20" i="13" s="1"/>
  <c r="F21" i="13"/>
  <c r="I21" i="13" s="1"/>
  <c r="J21" i="13" s="1"/>
  <c r="F23" i="13"/>
  <c r="I23" i="13" s="1"/>
  <c r="J23" i="13" s="1"/>
  <c r="F16" i="13"/>
  <c r="I16" i="13" s="1"/>
  <c r="J16" i="13" s="1"/>
  <c r="F25" i="13"/>
  <c r="I25" i="13" s="1"/>
  <c r="J25" i="13" s="1"/>
  <c r="I13" i="5"/>
  <c r="C20" i="5"/>
  <c r="I20" i="5" s="1"/>
  <c r="C16" i="5"/>
  <c r="I16" i="5" s="1"/>
  <c r="C15" i="5"/>
  <c r="I15" i="5" s="1"/>
  <c r="C19" i="5"/>
  <c r="I19" i="5" s="1"/>
  <c r="C17" i="5"/>
  <c r="I17" i="5" s="1"/>
  <c r="C21" i="5"/>
  <c r="I21" i="5" s="1"/>
  <c r="C18" i="5"/>
  <c r="I18" i="5" s="1"/>
  <c r="C14" i="5"/>
  <c r="I14" i="5" s="1"/>
  <c r="D13" i="10"/>
  <c r="D33" i="22" s="1"/>
  <c r="G42" i="22" l="1"/>
  <c r="E33" i="22"/>
  <c r="I284" i="13"/>
  <c r="J269" i="13"/>
  <c r="J284" i="13" s="1"/>
  <c r="N21" i="13" s="1"/>
  <c r="B68" i="22" s="1"/>
  <c r="I299" i="5"/>
  <c r="M22" i="5" s="1"/>
  <c r="F41" i="22" s="1"/>
  <c r="G41" i="22" s="1"/>
  <c r="I179" i="5"/>
  <c r="M18" i="5" s="1"/>
  <c r="F37" i="22" s="1"/>
  <c r="G37" i="22" s="1"/>
  <c r="I239" i="5"/>
  <c r="M20" i="5" s="1"/>
  <c r="F39" i="22" s="1"/>
  <c r="G39" i="22" s="1"/>
  <c r="C61" i="22"/>
  <c r="F61" i="22" s="1"/>
  <c r="I118" i="5"/>
  <c r="M16" i="5" s="1"/>
  <c r="F35" i="22" s="1"/>
  <c r="G35" i="22" s="1"/>
  <c r="J45" i="13"/>
  <c r="J60" i="13" s="1"/>
  <c r="N13" i="13" s="1"/>
  <c r="B60" i="22" s="1"/>
  <c r="I60" i="13"/>
  <c r="I256" i="13"/>
  <c r="J241" i="13"/>
  <c r="J256" i="13" s="1"/>
  <c r="N20" i="13" s="1"/>
  <c r="B67" i="22" s="1"/>
  <c r="I209" i="5"/>
  <c r="M19" i="5" s="1"/>
  <c r="F38" i="22" s="1"/>
  <c r="G38" i="22" s="1"/>
  <c r="I200" i="13"/>
  <c r="J185" i="13"/>
  <c r="J200" i="13" s="1"/>
  <c r="N18" i="13" s="1"/>
  <c r="B65" i="22" s="1"/>
  <c r="C64" i="22"/>
  <c r="F64" i="22" s="1"/>
  <c r="J129" i="13"/>
  <c r="J144" i="13" s="1"/>
  <c r="N16" i="13" s="1"/>
  <c r="B63" i="22" s="1"/>
  <c r="I144" i="13"/>
  <c r="I116" i="13"/>
  <c r="J101" i="13"/>
  <c r="J116" i="13" s="1"/>
  <c r="N15" i="13" s="1"/>
  <c r="B62" i="22" s="1"/>
  <c r="J213" i="13"/>
  <c r="J228" i="13" s="1"/>
  <c r="N19" i="13" s="1"/>
  <c r="B66" i="22" s="1"/>
  <c r="I228" i="13"/>
  <c r="I87" i="5"/>
  <c r="M15" i="5" s="1"/>
  <c r="F34" i="22" s="1"/>
  <c r="G34" i="22" s="1"/>
  <c r="I269" i="5"/>
  <c r="M21" i="5" s="1"/>
  <c r="F40" i="22" s="1"/>
  <c r="G40" i="22" s="1"/>
  <c r="I149" i="5"/>
  <c r="M17" i="5" s="1"/>
  <c r="F36" i="22" s="1"/>
  <c r="G36" i="22" s="1"/>
  <c r="I57" i="5"/>
  <c r="M14" i="5" s="1"/>
  <c r="F33" i="22" s="1"/>
  <c r="I312" i="13"/>
  <c r="J297" i="13"/>
  <c r="J312" i="13" s="1"/>
  <c r="N22" i="13" s="1"/>
  <c r="B69" i="22" s="1"/>
  <c r="I23" i="5"/>
  <c r="M13" i="5" s="1"/>
  <c r="F32" i="22" s="1"/>
  <c r="G32" i="22" s="1"/>
  <c r="J19" i="13"/>
  <c r="I27" i="13"/>
  <c r="G33" i="22" l="1"/>
  <c r="C67" i="22"/>
  <c r="F67" i="22" s="1"/>
  <c r="C65" i="22"/>
  <c r="F65" i="22" s="1"/>
  <c r="C69" i="22"/>
  <c r="F69" i="22" s="1"/>
  <c r="C63" i="22"/>
  <c r="F63" i="22" s="1"/>
  <c r="C60" i="22"/>
  <c r="F60" i="22" s="1"/>
  <c r="C62" i="22"/>
  <c r="F62" i="22" s="1"/>
  <c r="C68" i="22"/>
  <c r="F68" i="22" s="1"/>
  <c r="C66" i="22"/>
  <c r="F66" i="22" s="1"/>
  <c r="J27" i="13"/>
  <c r="N12" i="13" s="1"/>
  <c r="B59" i="22" s="1"/>
  <c r="C59" i="22" l="1"/>
  <c r="F59" i="22" s="1"/>
</calcChain>
</file>

<file path=xl/comments1.xml><?xml version="1.0" encoding="utf-8"?>
<comments xmlns="http://schemas.openxmlformats.org/spreadsheetml/2006/main">
  <authors>
    <author>T- Force 6100 AM2</author>
  </authors>
  <commentList>
    <comment ref="C1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2.4, DOC content of wet waste
Volume 5
IPCC 2006</t>
        </r>
      </text>
    </comment>
    <comment ref="C2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2.4, DOC content of wet waste
Volume 5
IPCC 2006</t>
        </r>
      </text>
    </comment>
    <comment ref="C3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2.4, DOC content of wet waste
Volume 5
IPCC 2006</t>
        </r>
      </text>
    </comment>
  </commentList>
</comments>
</file>

<file path=xl/comments10.xml><?xml version="1.0" encoding="utf-8"?>
<comments xmlns="http://schemas.openxmlformats.org/spreadsheetml/2006/main">
  <authors>
    <author>T- Force 6100 AM2</author>
    <author>Indra Budhi K</author>
  </authors>
  <commentList>
    <comment ref="C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7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7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7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7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7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7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8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8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8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0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0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0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0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0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1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1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1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1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1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2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2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3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3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3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3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3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4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4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57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57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5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0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6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6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6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6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7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7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8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8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8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8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8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9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9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9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9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9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9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1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1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1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1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1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1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2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2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2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2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2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4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4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4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4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4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5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5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5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5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5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6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6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7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7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7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7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7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7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8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8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97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97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9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0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0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0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0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0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0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1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1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32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32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32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2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32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32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2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3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3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3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3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3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3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35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35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35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5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35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35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5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5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6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6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6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6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6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38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38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38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8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38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38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8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8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9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9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9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9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9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0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0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0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0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0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1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1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1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1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1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1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2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2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3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37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37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3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3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3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0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4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4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4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4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4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5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5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6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6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6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6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6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6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6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7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7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7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7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7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7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9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9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9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9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9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9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9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49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0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0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0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52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52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52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2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52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52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2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2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2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3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3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3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3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3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54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54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54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4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54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55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5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5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5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5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5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5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6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6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</commentList>
</comments>
</file>

<file path=xl/comments11.xml><?xml version="1.0" encoding="utf-8"?>
<comments xmlns="http://schemas.openxmlformats.org/spreadsheetml/2006/main">
  <authors>
    <author>T- Force 6100 AM2</author>
    <author>Iwied</author>
  </authors>
  <commentList>
    <comment ref="C12" authorId="0" shapeId="0">
      <text>
        <r>
          <rPr>
            <b/>
            <sz val="8"/>
            <color indexed="81"/>
            <rFont val="Tahoma"/>
            <family val="2"/>
          </rPr>
          <t xml:space="preserve">malahayati:
</t>
        </r>
        <r>
          <rPr>
            <sz val="8"/>
            <color indexed="81"/>
            <rFont val="Tahoma"/>
            <family val="2"/>
          </rPr>
          <t xml:space="preserve">Isi dengan data dari BPS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Equation 6.8
Volume 5
IPCC 2006</t>
        </r>
      </text>
    </comment>
    <comment ref="E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equation 6.8
Deafult value for developing
 country</t>
        </r>
      </text>
    </comment>
    <comment ref="F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Section 6.3.1.3
Volume 6
IPCC 2006</t>
        </r>
      </text>
    </comment>
    <comment ref="G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Default = 0
From Equation 6.8
Volume 6
IPCC 2006</t>
        </r>
      </text>
    </comment>
    <comment ref="C15" authorId="1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Rata-rata Konsumsi Protein di Kaltim pada periode 2011-2013</t>
        </r>
      </text>
    </comment>
  </commentList>
</comments>
</file>

<file path=xl/comments12.xml><?xml version="1.0" encoding="utf-8"?>
<comments xmlns="http://schemas.openxmlformats.org/spreadsheetml/2006/main">
  <authors>
    <author>T- Force 6100 AM2</author>
  </authors>
  <commentList>
    <comment ref="C1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6.11, Chapter 6
Volume 5
IPCC 2006</t>
        </r>
      </text>
    </comment>
  </commentList>
</comments>
</file>

<file path=xl/comments2.xml><?xml version="1.0" encoding="utf-8"?>
<comments xmlns="http://schemas.openxmlformats.org/spreadsheetml/2006/main">
  <authors>
    <author>Iwied</author>
    <author>T- Force 6100 AM2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Diisi dari kolom Kompos (gg/tahun)</t>
        </r>
      </text>
    </comment>
    <comment ref="D12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 Table 4.1, Volume 5, IPCC 2006</t>
        </r>
      </text>
    </comment>
  </commentList>
</comments>
</file>

<file path=xl/comments3.xml><?xml version="1.0" encoding="utf-8"?>
<comments xmlns="http://schemas.openxmlformats.org/spreadsheetml/2006/main">
  <authors>
    <author>T- Force 6100 AM2</author>
  </authors>
  <commentList>
    <comment ref="D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4.1 
Volume 5
IPCC 2006
wet weight basis</t>
        </r>
      </text>
    </comment>
  </commentList>
</comments>
</file>

<file path=xl/comments4.xml><?xml version="1.0" encoding="utf-8"?>
<comments xmlns="http://schemas.openxmlformats.org/spreadsheetml/2006/main">
  <authors>
    <author>Iwied</author>
  </authors>
  <commentList>
    <comment ref="C8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Diambil dari mana ?</t>
        </r>
      </text>
    </comment>
  </commentList>
</comments>
</file>

<file path=xl/comments5.xml><?xml version="1.0" encoding="utf-8"?>
<comments xmlns="http://schemas.openxmlformats.org/spreadsheetml/2006/main">
  <authors>
    <author>GIGABYTE</author>
    <author>T- Force 6100 AM2</author>
  </authors>
  <commentList>
    <comment ref="C13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7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77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08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22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25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28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31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34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34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34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34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34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37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37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37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37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37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0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0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0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0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0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3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6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9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52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5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5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5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5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55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5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5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5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5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58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5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5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5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5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</commentList>
</comments>
</file>

<file path=xl/comments6.xml><?xml version="1.0" encoding="utf-8"?>
<comments xmlns="http://schemas.openxmlformats.org/spreadsheetml/2006/main">
  <authors>
    <author>GIGABYTE</author>
  </authors>
  <commentList>
    <comment ref="C11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</commentList>
</comments>
</file>

<file path=xl/comments7.xml><?xml version="1.0" encoding="utf-8"?>
<comments xmlns="http://schemas.openxmlformats.org/spreadsheetml/2006/main">
  <authors>
    <author>GIGABYTE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</commentList>
</comments>
</file>

<file path=xl/comments8.xml><?xml version="1.0" encoding="utf-8"?>
<comments xmlns="http://schemas.openxmlformats.org/spreadsheetml/2006/main">
  <authors>
    <author>Iwied</author>
    <author>T- Force 6100 AM2</author>
  </authors>
  <commentList>
    <comment ref="B12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AM: Jumlah Populasi dikurangi dengan Jumlah Jiwa yang terlayani dengan IPAL (asumsi 1 unit IPAL dapat melayani -/+ 1.200 jiwa).
Balikpapan telah ada satu Unit IPAL yg telah beroperasi</t>
        </r>
      </text>
    </comment>
    <comment ref="C12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6.4 
IPCC 2006
Volume 5
Asia, Middle East and Latin America</t>
        </r>
      </text>
    </comment>
    <comment ref="D12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Section 6.2.2.3
Volume 6
IPCC 2006
"Uncollected"</t>
        </r>
      </text>
    </comment>
  </commentList>
</comments>
</file>

<file path=xl/comments9.xml><?xml version="1.0" encoding="utf-8"?>
<comments xmlns="http://schemas.openxmlformats.org/spreadsheetml/2006/main">
  <authors>
    <author>T- Force 6100 AM2</author>
  </authors>
  <commentList>
    <comment ref="B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6.2
Volume 6
IPCC 2006</t>
        </r>
      </text>
    </comment>
    <comment ref="C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6.3
Volume 6
IPCC 2006</t>
        </r>
      </text>
    </comment>
  </commentList>
</comments>
</file>

<file path=xl/sharedStrings.xml><?xml version="1.0" encoding="utf-8"?>
<sst xmlns="http://schemas.openxmlformats.org/spreadsheetml/2006/main" count="2858" uniqueCount="325">
  <si>
    <t>Sector</t>
  </si>
  <si>
    <t>Waste</t>
  </si>
  <si>
    <t>Category</t>
  </si>
  <si>
    <t>Biological Treatment of Solid Waste</t>
  </si>
  <si>
    <t>Category Code</t>
  </si>
  <si>
    <t>4B</t>
  </si>
  <si>
    <t>Sheet</t>
  </si>
  <si>
    <r>
      <t>1 of 1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Biological Treatment of Solid Waste</t>
    </r>
  </si>
  <si>
    <t>STEP 1</t>
  </si>
  <si>
    <t>STEP 2</t>
  </si>
  <si>
    <t>STEP 3</t>
  </si>
  <si>
    <t>A</t>
  </si>
  <si>
    <t>B</t>
  </si>
  <si>
    <t>C</t>
  </si>
  <si>
    <t>D</t>
  </si>
  <si>
    <t>E</t>
  </si>
  <si>
    <t>Biological Treatment System</t>
  </si>
  <si>
    <r>
      <t>Total Annual amount treated by biological treatment facilities</t>
    </r>
    <r>
      <rPr>
        <vertAlign val="superscript"/>
        <sz val="10"/>
        <rFont val="GillSans"/>
      </rPr>
      <t>3</t>
    </r>
  </si>
  <si>
    <t xml:space="preserve">Emission Factor </t>
  </si>
  <si>
    <t>Gross Annual Methane Generation</t>
  </si>
  <si>
    <t>Recovered/flared Methane per Year</t>
  </si>
  <si>
    <t>Net Annual Methane Emissions</t>
  </si>
  <si>
    <t>(Gg)</t>
  </si>
  <si>
    <r>
      <t>(g CH</t>
    </r>
    <r>
      <rPr>
        <vertAlign val="subscript"/>
        <sz val="10"/>
        <rFont val="GillSans"/>
      </rPr>
      <t>4</t>
    </r>
    <r>
      <rPr>
        <sz val="10"/>
        <rFont val="GillSans"/>
      </rPr>
      <t>/kg waste treated)</t>
    </r>
  </si>
  <si>
    <r>
      <t>(Gg CH</t>
    </r>
    <r>
      <rPr>
        <vertAlign val="subscript"/>
        <sz val="10"/>
        <rFont val="GillSans"/>
      </rPr>
      <t>4</t>
    </r>
    <r>
      <rPr>
        <sz val="10"/>
        <rFont val="GillSans"/>
      </rPr>
      <t>)</t>
    </r>
  </si>
  <si>
    <r>
      <t>C= (A x B) x10</t>
    </r>
    <r>
      <rPr>
        <vertAlign val="superscript"/>
        <sz val="10"/>
        <rFont val="GillSans"/>
      </rPr>
      <t>-3</t>
    </r>
  </si>
  <si>
    <t>E = (C - D)</t>
  </si>
  <si>
    <t>Composting</t>
  </si>
  <si>
    <t>Waste Category/
Types of Waste1</t>
  </si>
  <si>
    <r>
      <t>1 of 1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Biological Treatment of Solid Waste</t>
    </r>
  </si>
  <si>
    <r>
      <t>Waste Category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/Types of Waste</t>
    </r>
    <r>
      <rPr>
        <b/>
        <vertAlign val="superscript"/>
        <sz val="10"/>
        <rFont val="Arial"/>
        <family val="2"/>
      </rPr>
      <t>1</t>
    </r>
  </si>
  <si>
    <t>Net Annual Nitrous Oxide Emissions</t>
  </si>
  <si>
    <r>
      <t>(g N</t>
    </r>
    <r>
      <rPr>
        <vertAlign val="subscript"/>
        <sz val="10"/>
        <rFont val="GillSans"/>
      </rPr>
      <t>2</t>
    </r>
    <r>
      <rPr>
        <sz val="10"/>
        <rFont val="GillSans"/>
      </rPr>
      <t>O/kg waste treated)</t>
    </r>
  </si>
  <si>
    <r>
      <t>(Gg N</t>
    </r>
    <r>
      <rPr>
        <vertAlign val="subscript"/>
        <sz val="10"/>
        <rFont val="GillSans"/>
      </rPr>
      <t>2</t>
    </r>
    <r>
      <rPr>
        <sz val="10"/>
        <rFont val="GillSans"/>
      </rPr>
      <t>O)</t>
    </r>
  </si>
  <si>
    <t xml:space="preserve">Incineration and Open Burning of Waste </t>
  </si>
  <si>
    <t>4C1</t>
  </si>
  <si>
    <t xml:space="preserve">A                               </t>
  </si>
  <si>
    <t xml:space="preserve">(Wet Weight) </t>
  </si>
  <si>
    <t>Conversion Factor</t>
  </si>
  <si>
    <t>dm</t>
  </si>
  <si>
    <t>CF</t>
  </si>
  <si>
    <t>FCF</t>
  </si>
  <si>
    <t>OF</t>
  </si>
  <si>
    <t>(Gg Waste)</t>
  </si>
  <si>
    <t>(fraction)</t>
  </si>
  <si>
    <t>44/12</t>
  </si>
  <si>
    <r>
      <t>(Gg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</si>
  <si>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Textiles</t>
  </si>
  <si>
    <t>Other (specify)</t>
  </si>
  <si>
    <t>1 Information on the waste category should include information of the origin of the waste (MSW, Industrial, Sludge or Other) and type of waste (Food waste or Garden and Park Waste).</t>
  </si>
  <si>
    <t>2 If anaerobic digestion involves recovery and energy use of the gas, the emissions should be reported in the Energy Sector.</t>
  </si>
  <si>
    <t>3 Information on whether the amount treated is given as wet or dry weight should be given.</t>
  </si>
  <si>
    <t>1 Information on the waste category should include information of the origin of the waste (MSW, Industrial, Sludge or Other) and type of waste (Food waste  or Garden and Park Waste).</t>
  </si>
  <si>
    <t>1 For default data and relevant equations on the dry matter content in MSW and other types of waste, see Section 5.3.3 in Chapter 5.</t>
  </si>
  <si>
    <t>2 For default data and relevant equations on the fraction of carbon, see Section 5.4.1.1 in Chapter 5.</t>
  </si>
  <si>
    <t>3 For default data and relevant equations on the fraction of fossil carbon, see Section 5.4.1.2 in Chapter 5.</t>
  </si>
  <si>
    <t>1 of 1  Estimation of total amount of waste open-burned</t>
  </si>
  <si>
    <t xml:space="preserve">D         </t>
  </si>
  <si>
    <t>F</t>
  </si>
  <si>
    <t xml:space="preserve">Population </t>
  </si>
  <si>
    <t>Fraction of Population Burning Waste</t>
  </si>
  <si>
    <t xml:space="preserve">Per Capita Waste Generation        </t>
  </si>
  <si>
    <t>Fraction of the waste amount burned relative to the total amount of waste treated</t>
  </si>
  <si>
    <t xml:space="preserve">Total Amount of MSW Open-burned         </t>
  </si>
  <si>
    <t>P</t>
  </si>
  <si>
    <r>
      <t xml:space="preserve">P </t>
    </r>
    <r>
      <rPr>
        <vertAlign val="subscript"/>
        <sz val="10"/>
        <rFont val="Arial"/>
        <family val="2"/>
      </rPr>
      <t>frac</t>
    </r>
  </si>
  <si>
    <r>
      <t>MSW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</t>
    </r>
  </si>
  <si>
    <r>
      <t>B</t>
    </r>
    <r>
      <rPr>
        <vertAlign val="subscript"/>
        <sz val="10"/>
        <rFont val="Arial"/>
        <family val="2"/>
      </rPr>
      <t xml:space="preserve">frac  </t>
    </r>
    <r>
      <rPr>
        <vertAlign val="superscript"/>
        <sz val="10"/>
        <rFont val="Arial"/>
        <family val="2"/>
      </rPr>
      <t>1</t>
    </r>
  </si>
  <si>
    <r>
      <t>MSW</t>
    </r>
    <r>
      <rPr>
        <vertAlign val="subscript"/>
        <sz val="10"/>
        <rFont val="Arial"/>
        <family val="2"/>
      </rPr>
      <t>B</t>
    </r>
  </si>
  <si>
    <t>(Capita)</t>
  </si>
  <si>
    <t>(kg waste/capita/day)</t>
  </si>
  <si>
    <t>(day)</t>
  </si>
  <si>
    <t xml:space="preserve">(Gg/yr) </t>
  </si>
  <si>
    <t>F = A x B x C x D x E</t>
  </si>
  <si>
    <t xml:space="preserve">Number of days by year   
365        </t>
  </si>
  <si>
    <t>Incineration and Open Burning of Waste</t>
  </si>
  <si>
    <t>4C2</t>
  </si>
  <si>
    <r>
      <t>1 of 1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Open Burning of Waste</t>
    </r>
  </si>
  <si>
    <t>G</t>
  </si>
  <si>
    <t>H</t>
  </si>
  <si>
    <t>I</t>
  </si>
  <si>
    <t>J</t>
  </si>
  <si>
    <t>K</t>
  </si>
  <si>
    <t>L</t>
  </si>
  <si>
    <t>Type of Waste</t>
  </si>
  <si>
    <t>Total Amount of Waste open-burned</t>
  </si>
  <si>
    <r>
      <t xml:space="preserve">Dry Matter Content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     </t>
    </r>
  </si>
  <si>
    <t>Fraction of Carbon</t>
  </si>
  <si>
    <r>
      <t xml:space="preserve">in Dry Matter 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        </t>
    </r>
  </si>
  <si>
    <t>Fraction of Fossil Carbon</t>
  </si>
  <si>
    <r>
      <t xml:space="preserve">in Total Carbon 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   </t>
    </r>
  </si>
  <si>
    <t xml:space="preserve">Oxidation Factor       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</si>
  <si>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                   </t>
    </r>
  </si>
  <si>
    <r>
      <t xml:space="preserve">F = (A x B x C x D) </t>
    </r>
    <r>
      <rPr>
        <vertAlign val="superscript"/>
        <sz val="10"/>
        <rFont val="Arial"/>
        <family val="2"/>
      </rPr>
      <t>4</t>
    </r>
  </si>
  <si>
    <t xml:space="preserve">L=  F x G x H x I x J x K </t>
  </si>
  <si>
    <r>
      <t xml:space="preserve">Composition </t>
    </r>
    <r>
      <rPr>
        <vertAlign val="superscript"/>
        <sz val="10"/>
        <rFont val="Arial"/>
        <family val="2"/>
      </rPr>
      <t>5,6</t>
    </r>
  </si>
  <si>
    <r>
      <t>4 The amount MSW can be calculated in the previous sheet</t>
    </r>
    <r>
      <rPr>
        <sz val="8"/>
        <rFont val="Times New Roman"/>
        <family val="1"/>
      </rPr>
      <t xml:space="preserve"> “</t>
    </r>
    <r>
      <rPr>
        <sz val="8"/>
        <rFont val="Arial"/>
        <family val="2"/>
      </rPr>
      <t xml:space="preserve">Estimation of Total Amount of Waste Open-burned”.  See also Equation 5.7. </t>
    </r>
  </si>
  <si>
    <t>5 Users may either enter all MSW incinerated in the MSW row or the amount of waste by composition by adding the appropriate rows.</t>
  </si>
  <si>
    <t xml:space="preserve">Methane Emissions       </t>
  </si>
  <si>
    <r>
      <t>(Gg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</si>
  <si>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I of I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Open Burning of Waste</t>
    </r>
  </si>
  <si>
    <t xml:space="preserve">Methane Emission Factor           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</si>
  <si>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/Gg Wet Waste) </t>
    </r>
    <r>
      <rPr>
        <vertAlign val="superscript"/>
        <sz val="10"/>
        <rFont val="Arial"/>
        <family val="2"/>
      </rPr>
      <t>2</t>
    </r>
  </si>
  <si>
    <r>
      <t>H= F x G x 10</t>
    </r>
    <r>
      <rPr>
        <vertAlign val="superscript"/>
        <sz val="10"/>
        <rFont val="Arial"/>
        <family val="2"/>
      </rPr>
      <t>-6    3</t>
    </r>
  </si>
  <si>
    <t>1 Total amount of MSW open-burned is obtained by estimates in the Worksheet “Total amount of waste open-burned”.</t>
  </si>
  <si>
    <r>
      <t>2 If the total amount of waste is expressed in term of dry waste,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emission factor needs to refer to dry weight instead.</t>
    </r>
  </si>
  <si>
    <r>
      <t>3 Factor of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as emission factor is given in kg /Gg waste incinerated on a wet weight basis.</t>
    </r>
  </si>
  <si>
    <r>
      <t xml:space="preserve">Total Amount of Waste
Open-burned
      (Wet Weight) </t>
    </r>
    <r>
      <rPr>
        <vertAlign val="superscript"/>
        <sz val="10"/>
        <rFont val="Arial"/>
        <family val="2"/>
      </rPr>
      <t>1 ,2</t>
    </r>
  </si>
  <si>
    <t xml:space="preserve">Nitrous Oxide Emission Factor           </t>
  </si>
  <si>
    <t xml:space="preserve">Nitrous Oxide Emissions       </t>
  </si>
  <si>
    <r>
      <t>(Gg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O)</t>
    </r>
  </si>
  <si>
    <r>
      <t>I of I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Open Burning of Waste</t>
    </r>
  </si>
  <si>
    <t xml:space="preserve">(Gg Waste)  </t>
  </si>
  <si>
    <r>
      <t xml:space="preserve"> 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O/Gg Dry Waste) </t>
    </r>
    <r>
      <rPr>
        <vertAlign val="superscript"/>
        <sz val="10"/>
        <rFont val="Arial"/>
        <family val="2"/>
      </rPr>
      <t>2</t>
    </r>
  </si>
  <si>
    <r>
      <t>H= F x G x 10</t>
    </r>
    <r>
      <rPr>
        <vertAlign val="superscript"/>
        <sz val="10"/>
        <rFont val="Arial"/>
        <family val="2"/>
      </rPr>
      <t>-6      3</t>
    </r>
  </si>
  <si>
    <t>2 If the total amount of waste is expressed in terms of dry waste, a fraction of dry matter should not be applied.</t>
  </si>
  <si>
    <r>
      <t xml:space="preserve">Total Amount of Waste Open-burned    
     (Wet Weight) </t>
    </r>
    <r>
      <rPr>
        <vertAlign val="superscript"/>
        <sz val="10"/>
        <rFont val="Arial"/>
        <family val="2"/>
      </rPr>
      <t>1,2</t>
    </r>
  </si>
  <si>
    <t>Domestic Wastewater Treatment and Discharge</t>
  </si>
  <si>
    <t>4D1</t>
  </si>
  <si>
    <t>1 of 3  Estimation of Organically Degradable Material in Domestic Wastewater</t>
  </si>
  <si>
    <t>Region or City</t>
  </si>
  <si>
    <t xml:space="preserve">Degradable organic component </t>
  </si>
  <si>
    <t>Correction factor for industrial BOD discharged in sewers</t>
  </si>
  <si>
    <t>Organically degradable material in wastewater</t>
  </si>
  <si>
    <t>(P)</t>
  </si>
  <si>
    <t>(BOD)</t>
  </si>
  <si>
    <r>
      <t xml:space="preserve">(I)  </t>
    </r>
    <r>
      <rPr>
        <vertAlign val="superscript"/>
        <sz val="10"/>
        <rFont val="Arial"/>
        <family val="2"/>
      </rPr>
      <t>2</t>
    </r>
  </si>
  <si>
    <t>(TOW)</t>
  </si>
  <si>
    <t>cap</t>
  </si>
  <si>
    <r>
      <t xml:space="preserve">(kg BOD/cap.yr) </t>
    </r>
    <r>
      <rPr>
        <vertAlign val="superscript"/>
        <sz val="10"/>
        <rFont val="Arial"/>
        <family val="2"/>
      </rPr>
      <t>1</t>
    </r>
  </si>
  <si>
    <t>(kg BOD/yr)</t>
  </si>
  <si>
    <t>D = A x B x C</t>
  </si>
  <si>
    <t>1 g BOD/cap.day x 0.001 x 365 = kg BOD/cap.yr</t>
  </si>
  <si>
    <t>2 Correction factor for additional industrial BOD discharged into sewers, (for collected the default is 1.25, for uncollected the default is 1.00).</t>
  </si>
  <si>
    <r>
      <t>2 of 3  Estimation of CH</t>
    </r>
    <r>
      <rPr>
        <b/>
        <vertAlign val="subscript"/>
        <sz val="10"/>
        <rFont val="Arial"/>
        <family val="2"/>
      </rPr>
      <t xml:space="preserve">4 </t>
    </r>
    <r>
      <rPr>
        <b/>
        <sz val="10"/>
        <rFont val="Arial"/>
        <family val="2"/>
      </rPr>
      <t xml:space="preserve">emission factor </t>
    </r>
    <r>
      <rPr>
        <b/>
        <vertAlign val="subscript"/>
        <sz val="10"/>
        <rFont val="Arial"/>
        <family val="2"/>
      </rPr>
      <t>­</t>
    </r>
    <r>
      <rPr>
        <b/>
        <sz val="10"/>
        <rFont val="Arial"/>
        <family val="2"/>
      </rPr>
      <t>for Domestic Wastewater</t>
    </r>
  </si>
  <si>
    <t>Maximum methane producing capacity</t>
  </si>
  <si>
    <t>Methane correction factor for each treatment system</t>
  </si>
  <si>
    <t>Emission factor</t>
  </si>
  <si>
    <r>
      <t>(B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>)</t>
    </r>
  </si>
  <si>
    <r>
      <t>(MCF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</si>
  <si>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(EF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</si>
  <si>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/kgBOD)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</si>
  <si>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 BOD)</t>
    </r>
  </si>
  <si>
    <t>C = A x B</t>
  </si>
  <si>
    <t>Type of treatment 
or discharge</t>
  </si>
  <si>
    <r>
      <t>3 of 3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Domestic Wastewater</t>
    </r>
  </si>
  <si>
    <t>Income group</t>
  </si>
  <si>
    <t>Type of treatment or discharge pathway</t>
  </si>
  <si>
    <t>Fraction of population income group</t>
  </si>
  <si>
    <t>Degree of utilization</t>
  </si>
  <si>
    <t>Emission Factor</t>
  </si>
  <si>
    <t>Sludge removed</t>
  </si>
  <si>
    <t>Methane recovered and flared</t>
  </si>
  <si>
    <t>Net methane emissions</t>
  </si>
  <si>
    <r>
      <t xml:space="preserve">(U 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</si>
  <si>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(T</t>
    </r>
    <r>
      <rPr>
        <vertAlign val="subscript"/>
        <sz val="10"/>
        <rFont val="Arial"/>
        <family val="2"/>
      </rPr>
      <t xml:space="preserve"> i j</t>
    </r>
    <r>
      <rPr>
        <sz val="10"/>
        <rFont val="Arial"/>
        <family val="2"/>
      </rPr>
      <t>)</t>
    </r>
  </si>
  <si>
    <r>
      <t xml:space="preserve">(EF 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</si>
  <si>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t>(S)</t>
  </si>
  <si>
    <t>(R)</t>
  </si>
  <si>
    <r>
      <t>(CH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</si>
  <si>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/yr)</t>
    </r>
  </si>
  <si>
    <t>Sheet 2 of 3</t>
  </si>
  <si>
    <t>Sheet 1 of 3</t>
  </si>
  <si>
    <t>G = [(A x B x C) x ( D -E)] - F</t>
  </si>
  <si>
    <t>Rural</t>
  </si>
  <si>
    <t>Urban high income</t>
  </si>
  <si>
    <t>Urban low income</t>
  </si>
  <si>
    <t>1 of 2  Estimation of nitrogen in effluent</t>
  </si>
  <si>
    <t xml:space="preserve">Per capita protein consumption </t>
  </si>
  <si>
    <t>Fraction of nitrogen in protein</t>
  </si>
  <si>
    <t>Fraction of non-consumption protein</t>
  </si>
  <si>
    <t>Fraction of industrial and commercial co-discharged protein</t>
  </si>
  <si>
    <t xml:space="preserve">Total nitrogen in effluent </t>
  </si>
  <si>
    <t>(Protein)</t>
  </si>
  <si>
    <r>
      <t>(F</t>
    </r>
    <r>
      <rPr>
        <vertAlign val="subscript"/>
        <sz val="10"/>
        <rFont val="GillSans"/>
      </rPr>
      <t>NPR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</si>
  <si>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NON-CON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</si>
  <si>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IND-COM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</si>
  <si>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SLUDGE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</si>
  <si>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</si>
  <si>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t>units</t>
  </si>
  <si>
    <t>(people)</t>
  </si>
  <si>
    <t>(kg/person/ year)</t>
  </si>
  <si>
    <t>(kg N/kg protein)</t>
  </si>
  <si>
    <t>(-)</t>
  </si>
  <si>
    <t>(kg)</t>
  </si>
  <si>
    <t>kg N/year)</t>
  </si>
  <si>
    <r>
      <t xml:space="preserve">H = (A x B x C x D  x E) </t>
    </r>
    <r>
      <rPr>
        <sz val="10"/>
        <rFont val="Arial"/>
        <family val="2"/>
      </rPr>
      <t>–</t>
    </r>
    <r>
      <rPr>
        <sz val="10"/>
        <rFont val="GillSans"/>
      </rPr>
      <t xml:space="preserve"> F</t>
    </r>
  </si>
  <si>
    <t>Nitrogen removed with sludge
(default is zero)</t>
  </si>
  <si>
    <r>
      <t>2 of 2  Estimation of emission factor and emissions of indirect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from Wastewater</t>
    </r>
  </si>
  <si>
    <t xml:space="preserve">C </t>
  </si>
  <si>
    <r>
      <t>Nitrogen in effluent 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</si>
  <si>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r>
      <t>Conversion factor of kg N</t>
    </r>
    <r>
      <rPr>
        <vertAlign val="subscript"/>
        <sz val="10"/>
        <rFont val="GillSans"/>
      </rPr>
      <t>2</t>
    </r>
    <r>
      <rPr>
        <sz val="10"/>
        <rFont val="GillSans"/>
      </rPr>
      <t>O-N into kg N</t>
    </r>
    <r>
      <rPr>
        <vertAlign val="subscript"/>
        <sz val="10"/>
        <rFont val="GillSans"/>
      </rPr>
      <t>2</t>
    </r>
    <r>
      <rPr>
        <sz val="10"/>
        <rFont val="GillSans"/>
      </rPr>
      <t>O</t>
    </r>
  </si>
  <si>
    <t>Emissions from Wastewater plants (default = zero)</t>
  </si>
  <si>
    <r>
      <t>Total N</t>
    </r>
    <r>
      <rPr>
        <vertAlign val="subscript"/>
        <sz val="10"/>
        <rFont val="GillSans"/>
      </rPr>
      <t>2</t>
    </r>
    <r>
      <rPr>
        <sz val="10"/>
        <rFont val="GillSans"/>
      </rPr>
      <t>O  emissions</t>
    </r>
  </si>
  <si>
    <t>(kg N/year)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</si>
  <si>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O-N/kg N)</t>
    </r>
  </si>
  <si>
    <t>44/28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</si>
  <si>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O-N/year)</t>
    </r>
  </si>
  <si>
    <r>
      <t xml:space="preserve">E=  A x B  x C </t>
    </r>
    <r>
      <rPr>
        <sz val="10"/>
        <rFont val="Arial"/>
        <family val="2"/>
      </rPr>
      <t>–</t>
    </r>
    <r>
      <rPr>
        <sz val="10"/>
        <rFont val="GillSans"/>
      </rPr>
      <t xml:space="preserve"> D</t>
    </r>
  </si>
  <si>
    <r>
      <t>1 When all the amount of waste is burned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could be considered equal 1. When a substantial quantity of waste in open dumps is burned, a relatively large part of waste is left unburned. In this situation,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should be estimated using survey or research data available or expert judgement.</t>
    </r>
  </si>
  <si>
    <r>
      <t>6 All relevant fractions of fossil C should be included. For consistency with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and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sheets, the total amount open-burned should be reported here. However, the fossil 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emissions from MSW should be reported only once (either for total MSW or the components).</t>
    </r>
  </si>
  <si>
    <t>Municipal Solid Waste</t>
  </si>
  <si>
    <r>
      <t>E = (C - D) x10</t>
    </r>
    <r>
      <rPr>
        <vertAlign val="superscript"/>
        <sz val="10"/>
        <color indexed="10"/>
        <rFont val="GillSans"/>
      </rPr>
      <t>- 3</t>
    </r>
  </si>
  <si>
    <t>Food waste</t>
  </si>
  <si>
    <t>Paper/cardboard</t>
  </si>
  <si>
    <t>Wood</t>
  </si>
  <si>
    <t>Rubber/Leather</t>
  </si>
  <si>
    <t>Plastic</t>
  </si>
  <si>
    <t>Metal</t>
  </si>
  <si>
    <t>Glass</t>
  </si>
  <si>
    <t>Other</t>
  </si>
  <si>
    <t>Treated System</t>
  </si>
  <si>
    <t>Sea, river and lake discharge</t>
  </si>
  <si>
    <t>Stagnant sewer</t>
  </si>
  <si>
    <t>Flowing sewer (open or closed)</t>
  </si>
  <si>
    <t>Untreated System</t>
  </si>
  <si>
    <t>centralized, aerobic treatment plant</t>
  </si>
  <si>
    <t>centralized, aerobic treatment plant (not well managed)</t>
  </si>
  <si>
    <t>Anaerobic digester for sludge</t>
  </si>
  <si>
    <t>Anaerobic shallow lagoon</t>
  </si>
  <si>
    <t>Anaerobic deep lagoon</t>
  </si>
  <si>
    <t>Septic system</t>
  </si>
  <si>
    <t>Latrine (dry climate, ground water table lower than latrine, communal)</t>
  </si>
  <si>
    <t>Latrine (wet climate/flush water use, ground water table higher than latrine)</t>
  </si>
  <si>
    <t>Latrine (regular sediment removal for fertilizer)</t>
  </si>
  <si>
    <t>Septic tank</t>
  </si>
  <si>
    <t>Latrine</t>
  </si>
  <si>
    <t xml:space="preserve">Other </t>
  </si>
  <si>
    <t>Sewer</t>
  </si>
  <si>
    <t>None</t>
  </si>
  <si>
    <t xml:space="preserve"> C = A x B x (10^(-3))</t>
  </si>
  <si>
    <r>
      <t>(Gg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/yr)</t>
    </r>
  </si>
  <si>
    <r>
      <t>(Gg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O-N/year)</t>
    </r>
  </si>
  <si>
    <t>Solid Waste Disposal</t>
  </si>
  <si>
    <t>4A</t>
  </si>
  <si>
    <t>DOC</t>
  </si>
  <si>
    <t>(Gg C/Gg waste)</t>
  </si>
  <si>
    <t>W i</t>
  </si>
  <si>
    <t>DOC i</t>
  </si>
  <si>
    <t>TOTAL</t>
  </si>
  <si>
    <t>1 of 2  Estimation of DOC Factor</t>
  </si>
  <si>
    <t>Jakarta</t>
  </si>
  <si>
    <t>Study of JICA (Jakarta, Surabaya, Medan, Makassar)</t>
  </si>
  <si>
    <t>Bandung, Study of ITB</t>
  </si>
  <si>
    <t>Total Organically degradable material in wastewater</t>
  </si>
  <si>
    <r>
      <t>Latrine (</t>
    </r>
    <r>
      <rPr>
        <i/>
        <sz val="10"/>
        <rFont val="Arial"/>
        <family val="2"/>
      </rPr>
      <t>dry climate, ground water table lower than latrine, small family 3-5 persons</t>
    </r>
    <r>
      <rPr>
        <sz val="10"/>
        <rFont val="Arial"/>
        <family val="2"/>
      </rPr>
      <t>)</t>
    </r>
  </si>
  <si>
    <r>
      <t>Anaerobic digestion at biogas facilities</t>
    </r>
    <r>
      <rPr>
        <b/>
        <vertAlign val="superscript"/>
        <sz val="10"/>
        <color indexed="51"/>
        <rFont val="Arial"/>
        <family val="2"/>
      </rPr>
      <t>2</t>
    </r>
  </si>
  <si>
    <t>tahun</t>
  </si>
  <si>
    <t>pehitungan ini dibuat per tahun</t>
  </si>
  <si>
    <t>Rekapitulasi emisi CO2 (Gg CO2)</t>
  </si>
  <si>
    <t>Methane Emission factor        =</t>
  </si>
  <si>
    <t>gram/t MSW wet weight</t>
  </si>
  <si>
    <t>g N2O/kg dry matter</t>
  </si>
  <si>
    <t>Nitrous Oxide emission factor value =</t>
  </si>
  <si>
    <t>Degradable Organic component =</t>
  </si>
  <si>
    <t>gram/(person.day)</t>
  </si>
  <si>
    <t>Nilai TOW</t>
  </si>
  <si>
    <t>Rekapitulasi emisi CH4 (Gg CH4)</t>
  </si>
  <si>
    <t>untuk komposting isi dengan 0</t>
  </si>
  <si>
    <t>Tahun</t>
  </si>
  <si>
    <t>B = A x 21</t>
  </si>
  <si>
    <t>D = C x 310</t>
  </si>
  <si>
    <t>E = B+D</t>
  </si>
  <si>
    <t xml:space="preserve"> Emisi GRK Dari Pembakaran Sampah</t>
  </si>
  <si>
    <t xml:space="preserve"> Emisi GRK dari komposting </t>
  </si>
  <si>
    <t>Rekapitulasi   BaU Baseline Emisi GRK dari Pengomposan Sampah</t>
  </si>
  <si>
    <t xml:space="preserve"> Rekapitulasi BaU Baseline Emisi GRK dari Aktifitas Pembakaran Terbuka </t>
  </si>
  <si>
    <t>Jumlah sampah yang dibakar</t>
  </si>
  <si>
    <t>perhitungan ini dibuat per tahun</t>
  </si>
  <si>
    <t>Rekapitulasi BaU Baseline Emisi GRK dari Pengelolaan Air Limbah Domestik</t>
  </si>
  <si>
    <t>SUB TOTAL PADA TAHUN 2011</t>
  </si>
  <si>
    <t>SUB TOTAL PADA TAHUN 2012</t>
  </si>
  <si>
    <t>SUB TOTAL PADA TAHUN 2013</t>
  </si>
  <si>
    <t>SUB TOTAL PADA TAHUN 2014</t>
  </si>
  <si>
    <t>SUB TOTAL PADA TAHUN 2015</t>
  </si>
  <si>
    <t>SUB TOTAL PADA TAHUN 2016</t>
  </si>
  <si>
    <t>SUB TOTAL PADA TAHUN 2017</t>
  </si>
  <si>
    <t>SUB TOTAL PADA TAHUN 2018</t>
  </si>
  <si>
    <t>SUB TOTAL PADA TAHUN 2019</t>
  </si>
  <si>
    <t>SUB TOTAL PADA TAHUN 2020</t>
  </si>
  <si>
    <t>SUB TOTAL PADA TAHUN 2021</t>
  </si>
  <si>
    <t>SUB TOTAL PADA TAHUN 2022</t>
  </si>
  <si>
    <t>SUB TOTAL PADA TAHUN 2023</t>
  </si>
  <si>
    <t>SUB TOTAL PADA TAHUN 2024</t>
  </si>
  <si>
    <t>SUB TOTAL PADA TAHUN 2025</t>
  </si>
  <si>
    <t>SUB TOTAL PADA TAHUN 2026</t>
  </si>
  <si>
    <t>SUB TOTAL PADA TAHUN 2027</t>
  </si>
  <si>
    <t>SUB TOTAL PADA TAHUN 2028</t>
  </si>
  <si>
    <t>SUB TOTAL PADA TAHUN 2029</t>
  </si>
  <si>
    <t>SUB TOTAL PADA TAHUN 2030</t>
  </si>
  <si>
    <t>Total 2011</t>
  </si>
  <si>
    <t>Total 2012</t>
  </si>
  <si>
    <t>Total 2013</t>
  </si>
  <si>
    <t>Total 2014</t>
  </si>
  <si>
    <t>Total 2015</t>
  </si>
  <si>
    <t>Total 2016</t>
  </si>
  <si>
    <t>Total 2017</t>
  </si>
  <si>
    <t>Total 2018</t>
  </si>
  <si>
    <t>Total 2019</t>
  </si>
  <si>
    <t>Total 2020</t>
  </si>
  <si>
    <t>Total 2021</t>
  </si>
  <si>
    <t>Total 2022</t>
  </si>
  <si>
    <t>Total 2023</t>
  </si>
  <si>
    <t>Total 2024</t>
  </si>
  <si>
    <t>Total 2025</t>
  </si>
  <si>
    <t>Total 2026</t>
  </si>
  <si>
    <t>Total 2027</t>
  </si>
  <si>
    <t>Total 2028</t>
  </si>
  <si>
    <t>Total 2029</t>
  </si>
  <si>
    <t>Total 2030</t>
  </si>
  <si>
    <r>
      <t>Emisi CH</t>
    </r>
    <r>
      <rPr>
        <vertAlign val="subscript"/>
        <sz val="10"/>
        <color indexed="9"/>
        <rFont val="Arial"/>
        <family val="2"/>
      </rPr>
      <t>4</t>
    </r>
  </si>
  <si>
    <r>
      <t>Emisi N</t>
    </r>
    <r>
      <rPr>
        <vertAlign val="subscript"/>
        <sz val="10"/>
        <color indexed="9"/>
        <rFont val="Arial"/>
        <family val="2"/>
      </rPr>
      <t>2</t>
    </r>
    <r>
      <rPr>
        <sz val="10"/>
        <color indexed="9"/>
        <rFont val="Arial"/>
        <family val="2"/>
      </rPr>
      <t>O</t>
    </r>
  </si>
  <si>
    <r>
      <t>Total Gg CO</t>
    </r>
    <r>
      <rPr>
        <vertAlign val="subscript"/>
        <sz val="10"/>
        <color indexed="9"/>
        <rFont val="Arial"/>
        <family val="2"/>
      </rPr>
      <t>2</t>
    </r>
    <r>
      <rPr>
        <sz val="10"/>
        <color indexed="9"/>
        <rFont val="Arial"/>
        <family val="2"/>
      </rPr>
      <t>eq</t>
    </r>
  </si>
  <si>
    <r>
      <t>Gg CH</t>
    </r>
    <r>
      <rPr>
        <vertAlign val="subscript"/>
        <sz val="10"/>
        <color indexed="9"/>
        <rFont val="Arial"/>
        <family val="2"/>
      </rPr>
      <t>4</t>
    </r>
  </si>
  <si>
    <r>
      <t>Gg CO</t>
    </r>
    <r>
      <rPr>
        <vertAlign val="subscript"/>
        <sz val="10"/>
        <color indexed="9"/>
        <rFont val="Arial"/>
        <family val="2"/>
      </rPr>
      <t>2</t>
    </r>
    <r>
      <rPr>
        <sz val="10"/>
        <color indexed="9"/>
        <rFont val="Arial"/>
        <family val="2"/>
      </rPr>
      <t>eq</t>
    </r>
  </si>
  <si>
    <r>
      <t>Gg N</t>
    </r>
    <r>
      <rPr>
        <vertAlign val="subscript"/>
        <sz val="10"/>
        <color indexed="9"/>
        <rFont val="Arial"/>
        <family val="2"/>
      </rPr>
      <t>2</t>
    </r>
    <r>
      <rPr>
        <sz val="10"/>
        <color indexed="9"/>
        <rFont val="Arial"/>
        <family val="2"/>
      </rPr>
      <t>O</t>
    </r>
  </si>
  <si>
    <r>
      <t>Emisi CO</t>
    </r>
    <r>
      <rPr>
        <vertAlign val="subscript"/>
        <sz val="10"/>
        <color indexed="9"/>
        <rFont val="Arial"/>
        <family val="2"/>
      </rPr>
      <t>2</t>
    </r>
  </si>
  <si>
    <r>
      <t>Gg CO</t>
    </r>
    <r>
      <rPr>
        <vertAlign val="subscript"/>
        <sz val="10"/>
        <color indexed="9"/>
        <rFont val="Arial"/>
        <family val="2"/>
      </rPr>
      <t>2</t>
    </r>
  </si>
  <si>
    <r>
      <t>Emisi CH</t>
    </r>
    <r>
      <rPr>
        <vertAlign val="subscript"/>
        <sz val="10"/>
        <rFont val="Arial"/>
        <family val="2"/>
      </rPr>
      <t>4</t>
    </r>
  </si>
  <si>
    <r>
      <t>Emisi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</si>
  <si>
    <r>
      <t>Gg CH</t>
    </r>
    <r>
      <rPr>
        <vertAlign val="subscript"/>
        <sz val="10"/>
        <rFont val="Arial"/>
        <family val="2"/>
      </rPr>
      <t>4</t>
    </r>
  </si>
  <si>
    <r>
      <t>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eq (hasil konversi dari 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</si>
  <si>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</si>
  <si>
    <r>
      <t>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eq (hasil konversi dari 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O)</t>
    </r>
  </si>
  <si>
    <r>
      <t>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eq (hasil penjumlahan)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</si>
</sst>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4" formatCode="0.000"/>
    <numFmt numFmtId="165" formatCode="#,##0.000"/>
    <numFmt numFmtId="166" formatCode="_-* #,##0.000_-;\-* #,##0.000_-;_-* &quot;-&quot;??_-;_-@_-"/>
    <numFmt numFmtId="167" formatCode="_-* #,##0_-;\-* #,##0_-;_-* &quot;-&quot;??_-;_-@_-"/>
    <numFmt numFmtId="168" formatCode="_-* #,##0.0000_-;\-* #,##0.0000_-;_-* &quot;-&quot;??_-;_-@_-"/>
    <numFmt numFmtId="169" formatCode="0.00000"/>
    <numFmt numFmtId="170" formatCode="_-* #,##0.00000_-;\-* #,##0.00000_-;_-* &quot;-&quot;??_-;_-@_-"/>
  </numFmts>
  <fonts count="58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GillSans"/>
    </font>
    <font>
      <b/>
      <vertAlign val="subscript"/>
      <sz val="10"/>
      <name val="Arial"/>
      <family val="2"/>
    </font>
    <font>
      <b/>
      <sz val="9"/>
      <color indexed="9"/>
      <name val="GillSans"/>
    </font>
    <font>
      <b/>
      <sz val="10"/>
      <color indexed="9"/>
      <name val="GillSans"/>
    </font>
    <font>
      <sz val="10"/>
      <name val="Arial"/>
      <family val="2"/>
    </font>
    <font>
      <sz val="10"/>
      <name val="GillSans"/>
    </font>
    <font>
      <b/>
      <vertAlign val="superscript"/>
      <sz val="10"/>
      <name val="Arial"/>
      <family val="2"/>
    </font>
    <font>
      <vertAlign val="superscript"/>
      <sz val="10"/>
      <name val="GillSans"/>
    </font>
    <font>
      <vertAlign val="subscript"/>
      <sz val="10"/>
      <name val="GillSans"/>
    </font>
    <font>
      <sz val="8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vertAlign val="subscript"/>
      <sz val="8"/>
      <name val="Arial"/>
      <family val="2"/>
    </font>
    <font>
      <sz val="8"/>
      <name val="Times New Roman"/>
      <family val="1"/>
    </font>
    <font>
      <sz val="9"/>
      <name val="Arial"/>
      <family val="2"/>
    </font>
    <font>
      <vertAlign val="superscript"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10"/>
      <name val="GillSans"/>
    </font>
    <font>
      <vertAlign val="superscript"/>
      <sz val="10"/>
      <color indexed="10"/>
      <name val="GillSans"/>
    </font>
    <font>
      <sz val="10"/>
      <color indexed="18"/>
      <name val="GillSans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10"/>
      <name val="GillSans"/>
      <charset val="1"/>
    </font>
    <font>
      <i/>
      <sz val="10"/>
      <name val="Arial"/>
      <family val="2"/>
    </font>
    <font>
      <b/>
      <vertAlign val="superscript"/>
      <sz val="10"/>
      <color indexed="51"/>
      <name val="Arial"/>
      <family val="2"/>
    </font>
    <font>
      <b/>
      <sz val="10"/>
      <color rgb="FFFFC000"/>
      <name val="Arial"/>
      <family val="2"/>
    </font>
    <font>
      <sz val="10"/>
      <color rgb="FFFF0000"/>
      <name val="GillSans"/>
    </font>
    <font>
      <b/>
      <sz val="10"/>
      <color rgb="FF00B050"/>
      <name val="Arial"/>
      <family val="2"/>
    </font>
    <font>
      <b/>
      <sz val="10"/>
      <color rgb="FFC00000"/>
      <name val="Arial"/>
      <family val="2"/>
    </font>
    <font>
      <b/>
      <sz val="10"/>
      <color rgb="FF0070C0"/>
      <name val="Arial"/>
      <family val="2"/>
    </font>
    <font>
      <sz val="10"/>
      <color theme="0"/>
      <name val="Arial"/>
      <family val="2"/>
    </font>
    <font>
      <vertAlign val="subscript"/>
      <sz val="10"/>
      <color indexed="9"/>
      <name val="Arial"/>
      <family val="2"/>
    </font>
    <font>
      <sz val="10"/>
      <color indexed="9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43">
    <xf numFmtId="0" fontId="0" fillId="0" borderId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5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9" borderId="0" applyNumberFormat="0" applyBorder="0" applyAlignment="0" applyProtection="0"/>
    <xf numFmtId="0" fontId="28" fillId="3" borderId="0" applyNumberFormat="0" applyBorder="0" applyAlignment="0" applyProtection="0"/>
    <xf numFmtId="0" fontId="29" fillId="20" borderId="1" applyNumberFormat="0" applyAlignment="0" applyProtection="0"/>
    <xf numFmtId="0" fontId="30" fillId="21" borderId="2" applyNumberFormat="0" applyAlignment="0" applyProtection="0"/>
    <xf numFmtId="43" fontId="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4" borderId="0" applyNumberFormat="0" applyBorder="0" applyAlignment="0" applyProtection="0"/>
    <xf numFmtId="0" fontId="33" fillId="0" borderId="3" applyNumberFormat="0" applyFill="0" applyAlignment="0" applyProtection="0"/>
    <xf numFmtId="0" fontId="34" fillId="0" borderId="4" applyNumberFormat="0" applyFill="0" applyAlignment="0" applyProtection="0"/>
    <xf numFmtId="0" fontId="35" fillId="0" borderId="5" applyNumberFormat="0" applyFill="0" applyAlignment="0" applyProtection="0"/>
    <xf numFmtId="0" fontId="35" fillId="0" borderId="0" applyNumberFormat="0" applyFill="0" applyBorder="0" applyAlignment="0" applyProtection="0"/>
    <xf numFmtId="0" fontId="36" fillId="7" borderId="1" applyNumberFormat="0" applyAlignment="0" applyProtection="0"/>
    <xf numFmtId="0" fontId="37" fillId="0" borderId="6" applyNumberFormat="0" applyFill="0" applyAlignment="0" applyProtection="0"/>
    <xf numFmtId="0" fontId="38" fillId="22" borderId="0" applyNumberFormat="0" applyBorder="0" applyAlignment="0" applyProtection="0"/>
    <xf numFmtId="0" fontId="7" fillId="23" borderId="7" applyNumberFormat="0" applyFont="0" applyAlignment="0" applyProtection="0"/>
    <xf numFmtId="0" fontId="39" fillId="20" borderId="8" applyNumberFormat="0" applyAlignment="0" applyProtection="0"/>
    <xf numFmtId="0" fontId="40" fillId="0" borderId="0" applyNumberFormat="0" applyFill="0" applyBorder="0" applyAlignment="0" applyProtection="0"/>
    <xf numFmtId="0" fontId="41" fillId="0" borderId="9" applyNumberFormat="0" applyFill="0" applyAlignment="0" applyProtection="0"/>
    <xf numFmtId="0" fontId="42" fillId="0" borderId="0" applyNumberFormat="0" applyFill="0" applyBorder="0" applyAlignment="0" applyProtection="0"/>
  </cellStyleXfs>
  <cellXfs count="289">
    <xf numFmtId="0" fontId="0" fillId="0" borderId="0" xfId="0"/>
    <xf numFmtId="0" fontId="8" fillId="0" borderId="15" xfId="0" applyFont="1" applyBorder="1" applyAlignment="1">
      <alignment horizontal="center" vertical="center" wrapText="1"/>
    </xf>
    <xf numFmtId="0" fontId="7" fillId="0" borderId="12" xfId="0" applyFont="1" applyBorder="1" applyAlignment="1">
      <alignment vertical="center"/>
    </xf>
    <xf numFmtId="0" fontId="2" fillId="0" borderId="14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7" fillId="0" borderId="13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165" fontId="7" fillId="0" borderId="21" xfId="0" applyNumberFormat="1" applyFont="1" applyBorder="1" applyAlignment="1">
      <alignment vertical="center" wrapText="1"/>
    </xf>
    <xf numFmtId="165" fontId="7" fillId="0" borderId="12" xfId="0" applyNumberFormat="1" applyFont="1" applyBorder="1" applyAlignment="1">
      <alignment vertical="center" wrapText="1"/>
    </xf>
    <xf numFmtId="0" fontId="0" fillId="27" borderId="14" xfId="0" applyFill="1" applyBorder="1"/>
    <xf numFmtId="0" fontId="0" fillId="27" borderId="0" xfId="0" applyFill="1"/>
    <xf numFmtId="0" fontId="19" fillId="0" borderId="12" xfId="0" applyNumberFormat="1" applyFont="1" applyBorder="1" applyAlignment="1" applyProtection="1">
      <alignment horizontal="center" vertical="center"/>
    </xf>
    <xf numFmtId="0" fontId="19" fillId="0" borderId="17" xfId="0" quotePrefix="1" applyNumberFormat="1" applyFont="1" applyBorder="1" applyAlignment="1" applyProtection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Border="1"/>
    <xf numFmtId="0" fontId="0" fillId="0" borderId="13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19" fillId="0" borderId="17" xfId="0" applyNumberFormat="1" applyFont="1" applyBorder="1" applyAlignment="1" applyProtection="1">
      <alignment horizontal="center" vertical="top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12" xfId="0" applyNumberFormat="1" applyBorder="1"/>
    <xf numFmtId="165" fontId="7" fillId="0" borderId="19" xfId="0" applyNumberFormat="1" applyFont="1" applyBorder="1" applyAlignment="1">
      <alignment vertical="top" wrapText="1"/>
    </xf>
    <xf numFmtId="0" fontId="0" fillId="0" borderId="15" xfId="0" applyBorder="1" applyAlignment="1">
      <alignment vertical="center"/>
    </xf>
    <xf numFmtId="165" fontId="2" fillId="0" borderId="12" xfId="0" applyNumberFormat="1" applyFont="1" applyBorder="1"/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1" xfId="0" applyBorder="1"/>
    <xf numFmtId="2" fontId="7" fillId="0" borderId="12" xfId="0" applyNumberFormat="1" applyFont="1" applyBorder="1" applyAlignment="1">
      <alignment vertical="center" wrapText="1"/>
    </xf>
    <xf numFmtId="2" fontId="7" fillId="0" borderId="21" xfId="0" applyNumberFormat="1" applyFont="1" applyBorder="1" applyAlignment="1">
      <alignment vertical="center" wrapText="1"/>
    </xf>
    <xf numFmtId="165" fontId="1" fillId="0" borderId="12" xfId="0" applyNumberFormat="1" applyFont="1" applyBorder="1"/>
    <xf numFmtId="165" fontId="2" fillId="0" borderId="12" xfId="0" applyNumberFormat="1" applyFont="1" applyFill="1" applyBorder="1"/>
    <xf numFmtId="0" fontId="48" fillId="0" borderId="12" xfId="0" applyFont="1" applyBorder="1" applyAlignment="1">
      <alignment vertical="center" wrapText="1"/>
    </xf>
    <xf numFmtId="0" fontId="7" fillId="28" borderId="21" xfId="0" applyFont="1" applyFill="1" applyBorder="1" applyAlignment="1">
      <alignment vertical="center" wrapText="1"/>
    </xf>
    <xf numFmtId="2" fontId="7" fillId="28" borderId="16" xfId="0" applyNumberFormat="1" applyFont="1" applyFill="1" applyBorder="1" applyAlignment="1">
      <alignment vertical="center" wrapText="1"/>
    </xf>
    <xf numFmtId="0" fontId="7" fillId="28" borderId="12" xfId="0" applyFont="1" applyFill="1" applyBorder="1" applyAlignment="1">
      <alignment vertical="center" wrapText="1"/>
    </xf>
    <xf numFmtId="2" fontId="7" fillId="28" borderId="15" xfId="0" applyNumberFormat="1" applyFont="1" applyFill="1" applyBorder="1" applyAlignment="1">
      <alignment vertical="center" wrapText="1"/>
    </xf>
    <xf numFmtId="2" fontId="7" fillId="28" borderId="12" xfId="0" applyNumberFormat="1" applyFont="1" applyFill="1" applyBorder="1" applyAlignment="1">
      <alignment vertical="center" wrapText="1"/>
    </xf>
    <xf numFmtId="0" fontId="7" fillId="30" borderId="16" xfId="0" applyFont="1" applyFill="1" applyBorder="1" applyAlignment="1">
      <alignment vertical="center" wrapText="1"/>
    </xf>
    <xf numFmtId="0" fontId="7" fillId="30" borderId="15" xfId="0" applyFont="1" applyFill="1" applyBorder="1" applyAlignment="1">
      <alignment vertical="center" wrapText="1"/>
    </xf>
    <xf numFmtId="0" fontId="7" fillId="30" borderId="12" xfId="0" applyFont="1" applyFill="1" applyBorder="1" applyAlignment="1">
      <alignment vertical="center" wrapText="1"/>
    </xf>
    <xf numFmtId="0" fontId="8" fillId="0" borderId="14" xfId="0" applyFont="1" applyBorder="1" applyAlignment="1">
      <alignment vertical="center" wrapText="1"/>
    </xf>
    <xf numFmtId="0" fontId="8" fillId="0" borderId="14" xfId="0" applyFont="1" applyBorder="1" applyAlignment="1">
      <alignment horizontal="center" vertical="center" wrapText="1"/>
    </xf>
    <xf numFmtId="0" fontId="7" fillId="0" borderId="18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7" fillId="0" borderId="16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5" fillId="24" borderId="10" xfId="0" applyFont="1" applyFill="1" applyBorder="1" applyAlignment="1">
      <alignment horizontal="center" vertical="center" wrapText="1"/>
    </xf>
    <xf numFmtId="0" fontId="5" fillId="24" borderId="11" xfId="0" applyFont="1" applyFill="1" applyBorder="1" applyAlignment="1">
      <alignment horizontal="center" vertical="center" wrapText="1"/>
    </xf>
    <xf numFmtId="0" fontId="6" fillId="24" borderId="11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justify" vertical="center" wrapText="1"/>
    </xf>
    <xf numFmtId="0" fontId="8" fillId="25" borderId="12" xfId="0" applyFont="1" applyFill="1" applyBorder="1" applyAlignment="1">
      <alignment horizontal="justify" vertical="center" wrapText="1"/>
    </xf>
    <xf numFmtId="0" fontId="8" fillId="0" borderId="12" xfId="0" applyFont="1" applyBorder="1" applyAlignment="1">
      <alignment horizontal="justify" vertical="center" wrapText="1"/>
    </xf>
    <xf numFmtId="164" fontId="8" fillId="28" borderId="12" xfId="0" applyNumberFormat="1" applyFont="1" applyFill="1" applyBorder="1" applyAlignment="1">
      <alignment horizontal="right" vertical="center" wrapText="1"/>
    </xf>
    <xf numFmtId="0" fontId="8" fillId="0" borderId="12" xfId="0" applyFont="1" applyBorder="1" applyAlignment="1">
      <alignment horizontal="right" vertical="center" wrapText="1"/>
    </xf>
    <xf numFmtId="164" fontId="8" fillId="0" borderId="12" xfId="0" applyNumberFormat="1" applyFont="1" applyBorder="1" applyAlignment="1">
      <alignment horizontal="right" vertical="center" wrapText="1"/>
    </xf>
    <xf numFmtId="0" fontId="49" fillId="25" borderId="12" xfId="0" applyFont="1" applyFill="1" applyBorder="1" applyAlignment="1">
      <alignment horizontal="justify" vertical="center" wrapText="1"/>
    </xf>
    <xf numFmtId="166" fontId="2" fillId="0" borderId="12" xfId="28" applyNumberFormat="1" applyFont="1" applyBorder="1" applyAlignment="1">
      <alignment vertical="center" wrapText="1"/>
    </xf>
    <xf numFmtId="0" fontId="5" fillId="24" borderId="12" xfId="0" applyFont="1" applyFill="1" applyBorder="1" applyAlignment="1">
      <alignment horizontal="center" vertical="center" wrapText="1"/>
    </xf>
    <xf numFmtId="0" fontId="6" fillId="24" borderId="12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vertical="center" wrapText="1"/>
    </xf>
    <xf numFmtId="0" fontId="23" fillId="0" borderId="13" xfId="0" applyFont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right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3" xfId="0" applyFont="1" applyBorder="1" applyAlignment="1">
      <alignment vertical="center" wrapText="1"/>
    </xf>
    <xf numFmtId="0" fontId="7" fillId="28" borderId="15" xfId="0" applyFont="1" applyFill="1" applyBorder="1" applyAlignment="1">
      <alignment vertical="center" wrapText="1"/>
    </xf>
    <xf numFmtId="0" fontId="7" fillId="0" borderId="21" xfId="0" applyFont="1" applyBorder="1" applyAlignment="1">
      <alignment vertical="center" wrapText="1"/>
    </xf>
    <xf numFmtId="167" fontId="7" fillId="28" borderId="12" xfId="28" applyNumberFormat="1" applyFont="1" applyFill="1" applyBorder="1" applyAlignment="1">
      <alignment vertical="center" wrapText="1"/>
    </xf>
    <xf numFmtId="43" fontId="7" fillId="0" borderId="14" xfId="28" applyNumberFormat="1" applyFont="1" applyBorder="1" applyAlignment="1">
      <alignment vertical="center" wrapText="1"/>
    </xf>
    <xf numFmtId="43" fontId="7" fillId="0" borderId="12" xfId="28" applyNumberFormat="1" applyFont="1" applyBorder="1" applyAlignment="1">
      <alignment vertical="center" wrapText="1"/>
    </xf>
    <xf numFmtId="43" fontId="7" fillId="0" borderId="15" xfId="28" applyNumberFormat="1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4" fillId="26" borderId="12" xfId="0" applyFont="1" applyFill="1" applyBorder="1" applyAlignment="1">
      <alignment horizontal="center" vertical="center" wrapText="1"/>
    </xf>
    <xf numFmtId="164" fontId="7" fillId="28" borderId="12" xfId="0" applyNumberFormat="1" applyFont="1" applyFill="1" applyBorder="1" applyAlignment="1">
      <alignment vertical="center" wrapText="1"/>
    </xf>
    <xf numFmtId="164" fontId="7" fillId="0" borderId="12" xfId="0" applyNumberFormat="1" applyFont="1" applyBorder="1" applyAlignment="1">
      <alignment horizontal="right" vertical="center" wrapText="1"/>
    </xf>
    <xf numFmtId="2" fontId="7" fillId="0" borderId="12" xfId="0" applyNumberFormat="1" applyFont="1" applyBorder="1" applyAlignment="1">
      <alignment horizontal="right" vertical="center" wrapText="1"/>
    </xf>
    <xf numFmtId="0" fontId="0" fillId="0" borderId="12" xfId="0" applyBorder="1" applyAlignment="1">
      <alignment horizontal="center" vertical="center"/>
    </xf>
    <xf numFmtId="0" fontId="2" fillId="0" borderId="12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43" fontId="0" fillId="0" borderId="12" xfId="28" applyFont="1" applyBorder="1" applyAlignment="1">
      <alignment horizontal="center" vertical="center"/>
    </xf>
    <xf numFmtId="43" fontId="2" fillId="0" borderId="12" xfId="28" applyFont="1" applyBorder="1" applyAlignment="1">
      <alignment vertical="center" wrapText="1"/>
    </xf>
    <xf numFmtId="43" fontId="0" fillId="0" borderId="12" xfId="28" applyFont="1" applyBorder="1" applyAlignment="1">
      <alignment vertical="center"/>
    </xf>
    <xf numFmtId="1" fontId="53" fillId="34" borderId="12" xfId="0" applyNumberFormat="1" applyFont="1" applyFill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164" fontId="7" fillId="0" borderId="21" xfId="0" applyNumberFormat="1" applyFont="1" applyBorder="1" applyAlignment="1">
      <alignment horizontal="right" vertical="center" wrapText="1"/>
    </xf>
    <xf numFmtId="164" fontId="7" fillId="0" borderId="15" xfId="0" applyNumberFormat="1" applyFont="1" applyBorder="1" applyAlignment="1">
      <alignment horizontal="right" vertical="center" wrapText="1"/>
    </xf>
    <xf numFmtId="43" fontId="7" fillId="0" borderId="21" xfId="28" applyFont="1" applyBorder="1" applyAlignment="1">
      <alignment horizontal="center" vertical="center" wrapText="1"/>
    </xf>
    <xf numFmtId="43" fontId="7" fillId="0" borderId="12" xfId="28" applyFont="1" applyBorder="1" applyAlignment="1">
      <alignment horizontal="center" vertical="center" wrapText="1"/>
    </xf>
    <xf numFmtId="43" fontId="7" fillId="0" borderId="15" xfId="28" applyFont="1" applyBorder="1" applyAlignment="1">
      <alignment horizontal="center" vertical="center" wrapText="1"/>
    </xf>
    <xf numFmtId="0" fontId="2" fillId="0" borderId="12" xfId="0" applyFont="1" applyBorder="1" applyAlignment="1">
      <alignment horizontal="right" vertical="center" wrapText="1"/>
    </xf>
    <xf numFmtId="0" fontId="7" fillId="29" borderId="15" xfId="0" applyFont="1" applyFill="1" applyBorder="1" applyAlignment="1">
      <alignment vertical="center" wrapText="1"/>
    </xf>
    <xf numFmtId="3" fontId="7" fillId="0" borderId="15" xfId="0" applyNumberFormat="1" applyFont="1" applyBorder="1" applyAlignment="1">
      <alignment vertical="center" wrapText="1"/>
    </xf>
    <xf numFmtId="167" fontId="7" fillId="0" borderId="12" xfId="28" applyNumberFormat="1" applyFont="1" applyFill="1" applyBorder="1" applyAlignment="1">
      <alignment vertical="center" wrapText="1"/>
    </xf>
    <xf numFmtId="0" fontId="7" fillId="0" borderId="19" xfId="0" applyFont="1" applyBorder="1" applyAlignment="1">
      <alignment vertical="center" wrapText="1"/>
    </xf>
    <xf numFmtId="0" fontId="0" fillId="26" borderId="12" xfId="0" applyFill="1" applyBorder="1" applyAlignment="1">
      <alignment vertical="center"/>
    </xf>
    <xf numFmtId="3" fontId="0" fillId="0" borderId="12" xfId="0" applyNumberFormat="1" applyBorder="1" applyAlignment="1">
      <alignment horizontal="center" vertical="center"/>
    </xf>
    <xf numFmtId="165" fontId="7" fillId="0" borderId="12" xfId="0" applyNumberFormat="1" applyFont="1" applyBorder="1" applyAlignment="1">
      <alignment horizontal="right" vertical="center" wrapText="1"/>
    </xf>
    <xf numFmtId="165" fontId="2" fillId="0" borderId="12" xfId="0" applyNumberFormat="1" applyFont="1" applyBorder="1" applyAlignment="1">
      <alignment horizontal="right" vertical="center" wrapText="1"/>
    </xf>
    <xf numFmtId="1" fontId="53" fillId="34" borderId="17" xfId="0" applyNumberFormat="1" applyFont="1" applyFill="1" applyBorder="1" applyAlignment="1">
      <alignment vertical="center" wrapText="1"/>
    </xf>
    <xf numFmtId="1" fontId="53" fillId="34" borderId="17" xfId="0" applyNumberFormat="1" applyFont="1" applyFill="1" applyBorder="1" applyAlignment="1">
      <alignment wrapText="1"/>
    </xf>
    <xf numFmtId="0" fontId="3" fillId="24" borderId="12" xfId="0" applyFont="1" applyFill="1" applyBorder="1" applyAlignment="1">
      <alignment horizontal="right" vertical="center" wrapText="1"/>
    </xf>
    <xf numFmtId="3" fontId="0" fillId="0" borderId="12" xfId="0" applyNumberFormat="1" applyFill="1" applyBorder="1" applyAlignment="1">
      <alignment vertical="center"/>
    </xf>
    <xf numFmtId="164" fontId="45" fillId="28" borderId="12" xfId="0" applyNumberFormat="1" applyFont="1" applyFill="1" applyBorder="1" applyAlignment="1">
      <alignment vertical="center" wrapText="1"/>
    </xf>
    <xf numFmtId="3" fontId="8" fillId="0" borderId="12" xfId="0" applyNumberFormat="1" applyFont="1" applyBorder="1" applyAlignment="1">
      <alignment horizontal="right" vertical="center" wrapText="1"/>
    </xf>
    <xf numFmtId="0" fontId="8" fillId="0" borderId="22" xfId="0" applyFont="1" applyBorder="1" applyAlignment="1">
      <alignment horizontal="center" vertical="center" wrapText="1"/>
    </xf>
    <xf numFmtId="165" fontId="8" fillId="0" borderId="21" xfId="0" applyNumberFormat="1" applyFont="1" applyBorder="1" applyAlignment="1">
      <alignment vertical="center" wrapText="1"/>
    </xf>
    <xf numFmtId="165" fontId="8" fillId="0" borderId="21" xfId="0" applyNumberFormat="1" applyFont="1" applyBorder="1" applyAlignment="1">
      <alignment horizontal="right" vertical="center" wrapText="1"/>
    </xf>
    <xf numFmtId="165" fontId="8" fillId="0" borderId="21" xfId="0" applyNumberFormat="1" applyFont="1" applyBorder="1" applyAlignment="1">
      <alignment horizontal="center" vertical="center" wrapText="1"/>
    </xf>
    <xf numFmtId="164" fontId="2" fillId="0" borderId="17" xfId="0" applyNumberFormat="1" applyFont="1" applyBorder="1" applyAlignment="1">
      <alignment vertical="center"/>
    </xf>
    <xf numFmtId="165" fontId="8" fillId="0" borderId="12" xfId="0" applyNumberFormat="1" applyFont="1" applyBorder="1" applyAlignment="1">
      <alignment vertical="center" wrapText="1"/>
    </xf>
    <xf numFmtId="165" fontId="8" fillId="0" borderId="12" xfId="0" applyNumberFormat="1" applyFont="1" applyBorder="1" applyAlignment="1">
      <alignment horizontal="right" vertical="center" wrapText="1"/>
    </xf>
    <xf numFmtId="165" fontId="8" fillId="0" borderId="12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vertical="center"/>
    </xf>
    <xf numFmtId="165" fontId="8" fillId="0" borderId="15" xfId="0" applyNumberFormat="1" applyFont="1" applyBorder="1" applyAlignment="1">
      <alignment vertical="center" wrapText="1"/>
    </xf>
    <xf numFmtId="0" fontId="50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2" fillId="0" borderId="0" xfId="0" applyFont="1" applyAlignment="1">
      <alignment vertical="center"/>
    </xf>
    <xf numFmtId="165" fontId="0" fillId="0" borderId="12" xfId="0" applyNumberFormat="1" applyBorder="1" applyAlignment="1">
      <alignment vertical="center"/>
    </xf>
    <xf numFmtId="43" fontId="8" fillId="28" borderId="12" xfId="28" applyFont="1" applyFill="1" applyBorder="1" applyAlignment="1">
      <alignment horizontal="right" vertical="center" wrapText="1"/>
    </xf>
    <xf numFmtId="43" fontId="8" fillId="0" borderId="12" xfId="28" applyFont="1" applyBorder="1" applyAlignment="1">
      <alignment horizontal="right" vertical="center" wrapText="1"/>
    </xf>
    <xf numFmtId="0" fontId="7" fillId="28" borderId="14" xfId="0" applyFont="1" applyFill="1" applyBorder="1" applyAlignment="1">
      <alignment horizontal="center" vertical="center" wrapText="1"/>
    </xf>
    <xf numFmtId="166" fontId="0" fillId="0" borderId="12" xfId="28" applyNumberFormat="1" applyFont="1" applyBorder="1" applyAlignment="1">
      <alignment vertical="center"/>
    </xf>
    <xf numFmtId="166" fontId="1" fillId="0" borderId="12" xfId="28" applyNumberFormat="1" applyFont="1" applyBorder="1" applyAlignment="1">
      <alignment vertical="center"/>
    </xf>
    <xf numFmtId="0" fontId="14" fillId="26" borderId="12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0" fillId="0" borderId="15" xfId="0" applyBorder="1" applyAlignment="1">
      <alignment vertical="center"/>
    </xf>
    <xf numFmtId="0" fontId="7" fillId="0" borderId="12" xfId="0" applyFont="1" applyBorder="1" applyAlignment="1">
      <alignment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6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168" fontId="7" fillId="0" borderId="12" xfId="28" applyNumberFormat="1" applyFont="1" applyBorder="1" applyAlignment="1">
      <alignment horizontal="right" vertical="center" wrapText="1"/>
    </xf>
    <xf numFmtId="168" fontId="7" fillId="0" borderId="15" xfId="28" applyNumberFormat="1" applyFont="1" applyBorder="1" applyAlignment="1">
      <alignment horizontal="right" vertical="center" wrapText="1"/>
    </xf>
    <xf numFmtId="0" fontId="1" fillId="0" borderId="0" xfId="0" applyFont="1" applyAlignment="1">
      <alignment vertical="center"/>
    </xf>
    <xf numFmtId="164" fontId="1" fillId="0" borderId="12" xfId="0" applyNumberFormat="1" applyFont="1" applyBorder="1" applyAlignment="1">
      <alignment vertical="center" wrapText="1"/>
    </xf>
    <xf numFmtId="2" fontId="1" fillId="0" borderId="12" xfId="0" applyNumberFormat="1" applyFont="1" applyBorder="1" applyAlignment="1">
      <alignment vertical="center" wrapText="1"/>
    </xf>
    <xf numFmtId="169" fontId="1" fillId="0" borderId="12" xfId="0" applyNumberFormat="1" applyFont="1" applyBorder="1" applyAlignment="1">
      <alignment vertical="center" wrapText="1"/>
    </xf>
    <xf numFmtId="2" fontId="1" fillId="0" borderId="12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 wrapText="1"/>
    </xf>
    <xf numFmtId="2" fontId="1" fillId="0" borderId="0" xfId="0" applyNumberFormat="1" applyFont="1" applyBorder="1" applyAlignment="1">
      <alignment vertical="center" wrapText="1"/>
    </xf>
    <xf numFmtId="169" fontId="1" fillId="0" borderId="0" xfId="0" applyNumberFormat="1" applyFont="1" applyBorder="1" applyAlignment="1">
      <alignment vertical="center" wrapText="1"/>
    </xf>
    <xf numFmtId="2" fontId="1" fillId="0" borderId="0" xfId="0" applyNumberFormat="1" applyFont="1" applyBorder="1" applyAlignment="1">
      <alignment vertical="center"/>
    </xf>
    <xf numFmtId="168" fontId="1" fillId="0" borderId="12" xfId="28" applyNumberFormat="1" applyFont="1" applyBorder="1" applyAlignment="1">
      <alignment vertical="center" wrapText="1"/>
    </xf>
    <xf numFmtId="170" fontId="1" fillId="0" borderId="12" xfId="28" applyNumberFormat="1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53" fillId="34" borderId="11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3" fillId="32" borderId="23" xfId="0" applyFont="1" applyFill="1" applyBorder="1" applyAlignment="1">
      <alignment horizontal="center" vertical="center"/>
    </xf>
    <xf numFmtId="0" fontId="53" fillId="32" borderId="11" xfId="0" applyFont="1" applyFill="1" applyBorder="1" applyAlignment="1">
      <alignment horizontal="center" vertical="center" wrapText="1"/>
    </xf>
    <xf numFmtId="0" fontId="1" fillId="31" borderId="25" xfId="0" applyFont="1" applyFill="1" applyBorder="1" applyAlignment="1">
      <alignment horizontal="center" vertical="center" wrapText="1"/>
    </xf>
    <xf numFmtId="0" fontId="1" fillId="31" borderId="24" xfId="0" applyFont="1" applyFill="1" applyBorder="1" applyAlignment="1">
      <alignment horizontal="center" vertical="center" wrapText="1"/>
    </xf>
    <xf numFmtId="0" fontId="2" fillId="35" borderId="24" xfId="0" applyFont="1" applyFill="1" applyBorder="1" applyAlignment="1">
      <alignment horizontal="center" vertical="center" wrapText="1"/>
    </xf>
    <xf numFmtId="0" fontId="1" fillId="33" borderId="23" xfId="0" applyFont="1" applyFill="1" applyBorder="1" applyAlignment="1">
      <alignment horizontal="center" vertical="center" wrapText="1"/>
    </xf>
    <xf numFmtId="0" fontId="1" fillId="31" borderId="23" xfId="0" applyFont="1" applyFill="1" applyBorder="1" applyAlignment="1">
      <alignment horizontal="center" vertical="center" wrapText="1"/>
    </xf>
    <xf numFmtId="0" fontId="1" fillId="35" borderId="23" xfId="0" applyFont="1" applyFill="1" applyBorder="1" applyAlignment="1">
      <alignment horizontal="center" vertical="center" wrapText="1"/>
    </xf>
    <xf numFmtId="0" fontId="56" fillId="33" borderId="23" xfId="0" applyFont="1" applyFill="1" applyBorder="1" applyAlignment="1">
      <alignment horizontal="center" vertical="center" wrapText="1"/>
    </xf>
    <xf numFmtId="0" fontId="56" fillId="31" borderId="27" xfId="0" applyFont="1" applyFill="1" applyBorder="1" applyAlignment="1">
      <alignment horizontal="center" vertical="center" wrapText="1"/>
    </xf>
    <xf numFmtId="0" fontId="56" fillId="31" borderId="23" xfId="0" applyFont="1" applyFill="1" applyBorder="1" applyAlignment="1">
      <alignment horizontal="center" vertical="center" wrapText="1"/>
    </xf>
    <xf numFmtId="0" fontId="57" fillId="35" borderId="23" xfId="0" applyFont="1" applyFill="1" applyBorder="1" applyAlignment="1">
      <alignment horizontal="center" vertical="center" wrapText="1"/>
    </xf>
    <xf numFmtId="0" fontId="56" fillId="33" borderId="11" xfId="0" applyFont="1" applyFill="1" applyBorder="1" applyAlignment="1">
      <alignment horizontal="center" vertical="center" wrapText="1"/>
    </xf>
    <xf numFmtId="0" fontId="56" fillId="31" borderId="28" xfId="0" applyFont="1" applyFill="1" applyBorder="1" applyAlignment="1">
      <alignment horizontal="center" vertical="center" wrapText="1"/>
    </xf>
    <xf numFmtId="0" fontId="56" fillId="31" borderId="11" xfId="0" applyFont="1" applyFill="1" applyBorder="1" applyAlignment="1">
      <alignment horizontal="center" vertical="center" wrapText="1"/>
    </xf>
    <xf numFmtId="0" fontId="57" fillId="35" borderId="11" xfId="0" applyFont="1" applyFill="1" applyBorder="1" applyAlignment="1">
      <alignment horizontal="center" vertical="center" wrapText="1"/>
    </xf>
    <xf numFmtId="166" fontId="56" fillId="0" borderId="12" xfId="28" applyNumberFormat="1" applyFont="1" applyBorder="1" applyAlignment="1">
      <alignment horizontal="right" vertical="center" wrapText="1"/>
    </xf>
    <xf numFmtId="2" fontId="56" fillId="0" borderId="12" xfId="0" applyNumberFormat="1" applyFont="1" applyBorder="1" applyAlignment="1">
      <alignment horizontal="right" vertical="center" wrapText="1"/>
    </xf>
    <xf numFmtId="0" fontId="56" fillId="0" borderId="12" xfId="0" applyFont="1" applyBorder="1" applyAlignment="1">
      <alignment horizontal="right" vertical="center" wrapText="1"/>
    </xf>
    <xf numFmtId="2" fontId="8" fillId="0" borderId="12" xfId="0" applyNumberFormat="1" applyFont="1" applyBorder="1" applyAlignment="1">
      <alignment horizontal="right" vertical="center" wrapText="1"/>
    </xf>
    <xf numFmtId="0" fontId="7" fillId="36" borderId="12" xfId="0" applyFont="1" applyFill="1" applyBorder="1" applyAlignment="1">
      <alignment vertical="center" wrapText="1"/>
    </xf>
    <xf numFmtId="0" fontId="7" fillId="36" borderId="20" xfId="0" applyFont="1" applyFill="1" applyBorder="1" applyAlignment="1">
      <alignment vertical="center" wrapText="1"/>
    </xf>
    <xf numFmtId="43" fontId="7" fillId="37" borderId="12" xfId="28" applyFont="1" applyFill="1" applyBorder="1" applyAlignment="1">
      <alignment horizontal="center" vertical="center" wrapText="1"/>
    </xf>
    <xf numFmtId="167" fontId="7" fillId="37" borderId="12" xfId="28" applyNumberFormat="1" applyFont="1" applyFill="1" applyBorder="1" applyAlignment="1">
      <alignment vertical="center" wrapText="1"/>
    </xf>
    <xf numFmtId="0" fontId="7" fillId="37" borderId="15" xfId="0" applyFont="1" applyFill="1" applyBorder="1" applyAlignment="1">
      <alignment vertical="center" wrapText="1"/>
    </xf>
    <xf numFmtId="3" fontId="7" fillId="37" borderId="15" xfId="0" applyNumberFormat="1" applyFont="1" applyFill="1" applyBorder="1" applyAlignment="1">
      <alignment vertical="center" wrapText="1"/>
    </xf>
    <xf numFmtId="164" fontId="45" fillId="37" borderId="12" xfId="0" applyNumberFormat="1" applyFont="1" applyFill="1" applyBorder="1" applyAlignment="1">
      <alignment vertical="center" wrapText="1"/>
    </xf>
    <xf numFmtId="0" fontId="2" fillId="25" borderId="19" xfId="0" applyFont="1" applyFill="1" applyBorder="1" applyAlignment="1">
      <alignment horizontal="left"/>
    </xf>
    <xf numFmtId="0" fontId="2" fillId="25" borderId="29" xfId="0" applyFont="1" applyFill="1" applyBorder="1" applyAlignment="1">
      <alignment horizontal="left"/>
    </xf>
    <xf numFmtId="0" fontId="2" fillId="25" borderId="20" xfId="0" applyFont="1" applyFill="1" applyBorder="1" applyAlignment="1">
      <alignment horizontal="left"/>
    </xf>
    <xf numFmtId="165" fontId="2" fillId="25" borderId="12" xfId="0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right" wrapText="1" indent="1"/>
    </xf>
    <xf numFmtId="0" fontId="2" fillId="0" borderId="12" xfId="0" applyFont="1" applyBorder="1" applyAlignment="1">
      <alignment horizontal="left" wrapText="1" indent="1"/>
    </xf>
    <xf numFmtId="0" fontId="2" fillId="0" borderId="14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3" fillId="0" borderId="12" xfId="0" applyFont="1" applyBorder="1" applyAlignment="1">
      <alignment horizontal="righ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25" borderId="19" xfId="0" applyFont="1" applyFill="1" applyBorder="1" applyAlignment="1">
      <alignment horizontal="right" vertical="center" wrapText="1"/>
    </xf>
    <xf numFmtId="0" fontId="2" fillId="25" borderId="29" xfId="0" applyFont="1" applyFill="1" applyBorder="1" applyAlignment="1">
      <alignment horizontal="right" vertical="center" wrapText="1"/>
    </xf>
    <xf numFmtId="0" fontId="2" fillId="25" borderId="20" xfId="0" applyFont="1" applyFill="1" applyBorder="1" applyAlignment="1">
      <alignment horizontal="right" vertical="center" wrapText="1"/>
    </xf>
    <xf numFmtId="0" fontId="2" fillId="0" borderId="38" xfId="0" applyFont="1" applyBorder="1" applyAlignment="1">
      <alignment vertical="center" wrapText="1"/>
    </xf>
    <xf numFmtId="0" fontId="0" fillId="0" borderId="38" xfId="0" applyBorder="1" applyAlignment="1">
      <alignment vertical="center"/>
    </xf>
    <xf numFmtId="0" fontId="0" fillId="0" borderId="39" xfId="0" applyBorder="1" applyAlignment="1">
      <alignment vertical="center"/>
    </xf>
    <xf numFmtId="0" fontId="12" fillId="0" borderId="30" xfId="0" applyFont="1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3" fillId="0" borderId="2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6" fillId="24" borderId="10" xfId="0" applyFont="1" applyFill="1" applyBorder="1" applyAlignment="1">
      <alignment horizontal="center" vertical="center" wrapText="1"/>
    </xf>
    <xf numFmtId="0" fontId="6" fillId="24" borderId="33" xfId="0" applyFont="1" applyFill="1" applyBorder="1" applyAlignment="1">
      <alignment horizontal="center" vertical="center" wrapText="1"/>
    </xf>
    <xf numFmtId="0" fontId="6" fillId="24" borderId="34" xfId="0" applyFont="1" applyFill="1" applyBorder="1" applyAlignment="1">
      <alignment horizontal="center" vertical="center" wrapText="1"/>
    </xf>
    <xf numFmtId="0" fontId="12" fillId="0" borderId="22" xfId="0" applyFont="1" applyBorder="1" applyAlignment="1">
      <alignment vertical="center" wrapText="1"/>
    </xf>
    <xf numFmtId="0" fontId="0" fillId="0" borderId="35" xfId="0" applyBorder="1" applyAlignment="1">
      <alignment vertical="center" wrapText="1"/>
    </xf>
    <xf numFmtId="0" fontId="0" fillId="0" borderId="36" xfId="0" applyBorder="1" applyAlignment="1">
      <alignment vertical="center" wrapText="1"/>
    </xf>
    <xf numFmtId="0" fontId="12" fillId="0" borderId="37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38" xfId="0" applyBorder="1" applyAlignment="1">
      <alignment vertical="center" wrapText="1"/>
    </xf>
    <xf numFmtId="0" fontId="6" fillId="24" borderId="12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12" fillId="0" borderId="12" xfId="0" applyFont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14" fillId="26" borderId="12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12" fillId="0" borderId="15" xfId="0" applyFont="1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2" xfId="0" applyBorder="1" applyAlignment="1">
      <alignment horizontal="center" vertical="center" wrapText="1"/>
    </xf>
    <xf numFmtId="0" fontId="12" fillId="0" borderId="14" xfId="0" applyFont="1" applyBorder="1" applyAlignment="1">
      <alignment vertical="center" wrapText="1"/>
    </xf>
    <xf numFmtId="0" fontId="0" fillId="0" borderId="14" xfId="0" applyBorder="1" applyAlignment="1">
      <alignment vertical="center"/>
    </xf>
    <xf numFmtId="0" fontId="12" fillId="0" borderId="17" xfId="0" applyFont="1" applyBorder="1" applyAlignment="1">
      <alignment vertical="center" wrapText="1"/>
    </xf>
    <xf numFmtId="0" fontId="0" fillId="0" borderId="17" xfId="0" applyBorder="1" applyAlignment="1">
      <alignment vertical="center"/>
    </xf>
    <xf numFmtId="0" fontId="7" fillId="0" borderId="12" xfId="0" applyFont="1" applyBorder="1" applyAlignment="1">
      <alignment vertical="center" wrapText="1"/>
    </xf>
    <xf numFmtId="0" fontId="7" fillId="0" borderId="14" xfId="0" applyFont="1" applyBorder="1" applyAlignment="1">
      <alignment horizontal="center" vertical="center" wrapText="1"/>
    </xf>
    <xf numFmtId="1" fontId="53" fillId="34" borderId="12" xfId="0" applyNumberFormat="1" applyFont="1" applyFill="1" applyBorder="1" applyAlignment="1">
      <alignment horizontal="center" vertical="center" wrapText="1"/>
    </xf>
    <xf numFmtId="0" fontId="7" fillId="0" borderId="18" xfId="0" applyFont="1" applyBorder="1" applyAlignment="1">
      <alignment vertical="center" wrapText="1"/>
    </xf>
    <xf numFmtId="0" fontId="1" fillId="35" borderId="27" xfId="0" applyFont="1" applyFill="1" applyBorder="1" applyAlignment="1">
      <alignment horizontal="center" vertical="center" wrapText="1"/>
    </xf>
    <xf numFmtId="0" fontId="1" fillId="35" borderId="28" xfId="0" applyFont="1" applyFill="1" applyBorder="1" applyAlignment="1">
      <alignment horizontal="center" vertical="center" wrapText="1"/>
    </xf>
    <xf numFmtId="0" fontId="1" fillId="33" borderId="25" xfId="0" applyFont="1" applyFill="1" applyBorder="1" applyAlignment="1">
      <alignment horizontal="center" vertical="center"/>
    </xf>
    <xf numFmtId="0" fontId="1" fillId="33" borderId="24" xfId="0" applyFont="1" applyFill="1" applyBorder="1" applyAlignment="1">
      <alignment horizontal="center" vertical="center"/>
    </xf>
    <xf numFmtId="0" fontId="56" fillId="33" borderId="27" xfId="0" applyFont="1" applyFill="1" applyBorder="1" applyAlignment="1">
      <alignment horizontal="center" vertical="center" wrapText="1"/>
    </xf>
    <xf numFmtId="0" fontId="56" fillId="33" borderId="28" xfId="0" applyFont="1" applyFill="1" applyBorder="1" applyAlignment="1">
      <alignment horizontal="center" vertical="center" wrapText="1"/>
    </xf>
    <xf numFmtId="0" fontId="53" fillId="34" borderId="27" xfId="0" applyFont="1" applyFill="1" applyBorder="1" applyAlignment="1">
      <alignment horizontal="center" vertical="center" wrapText="1"/>
    </xf>
    <xf numFmtId="0" fontId="53" fillId="34" borderId="28" xfId="0" applyFont="1" applyFill="1" applyBorder="1" applyAlignment="1">
      <alignment horizontal="center" vertical="center" wrapText="1"/>
    </xf>
    <xf numFmtId="0" fontId="53" fillId="32" borderId="27" xfId="0" applyFont="1" applyFill="1" applyBorder="1" applyAlignment="1">
      <alignment horizontal="center" vertical="center" wrapText="1"/>
    </xf>
    <xf numFmtId="0" fontId="53" fillId="32" borderId="28" xfId="0" applyFont="1" applyFill="1" applyBorder="1" applyAlignment="1">
      <alignment horizontal="center" vertical="center" wrapText="1"/>
    </xf>
    <xf numFmtId="0" fontId="53" fillId="34" borderId="27" xfId="0" applyFont="1" applyFill="1" applyBorder="1" applyAlignment="1">
      <alignment horizontal="center" vertical="center"/>
    </xf>
    <xf numFmtId="0" fontId="53" fillId="34" borderId="28" xfId="0" applyFont="1" applyFill="1" applyBorder="1" applyAlignment="1">
      <alignment horizontal="center" vertical="center"/>
    </xf>
    <xf numFmtId="0" fontId="53" fillId="34" borderId="25" xfId="0" applyFont="1" applyFill="1" applyBorder="1" applyAlignment="1">
      <alignment horizontal="center" vertical="center"/>
    </xf>
    <xf numFmtId="0" fontId="53" fillId="34" borderId="26" xfId="0" applyFont="1" applyFill="1" applyBorder="1" applyAlignment="1">
      <alignment horizontal="center" vertical="center"/>
    </xf>
    <xf numFmtId="0" fontId="53" fillId="34" borderId="24" xfId="0" applyFont="1" applyFill="1" applyBorder="1" applyAlignment="1">
      <alignment horizontal="center" vertical="center"/>
    </xf>
    <xf numFmtId="0" fontId="53" fillId="32" borderId="27" xfId="0" applyFont="1" applyFill="1" applyBorder="1" applyAlignment="1">
      <alignment horizontal="center" vertical="center"/>
    </xf>
    <xf numFmtId="0" fontId="53" fillId="32" borderId="28" xfId="0" applyFont="1" applyFill="1" applyBorder="1" applyAlignment="1">
      <alignment horizontal="center" vertical="center"/>
    </xf>
    <xf numFmtId="0" fontId="53" fillId="32" borderId="25" xfId="0" applyFont="1" applyFill="1" applyBorder="1" applyAlignment="1">
      <alignment horizontal="center" vertical="center"/>
    </xf>
    <xf numFmtId="0" fontId="53" fillId="32" borderId="26" xfId="0" applyFont="1" applyFill="1" applyBorder="1" applyAlignment="1">
      <alignment horizontal="center" vertical="center"/>
    </xf>
    <xf numFmtId="0" fontId="53" fillId="32" borderId="24" xfId="0" applyFont="1" applyFill="1" applyBorder="1" applyAlignment="1">
      <alignment horizontal="center" vertical="center"/>
    </xf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2" xfId="0" applyBorder="1" applyAlignment="1">
      <alignment horizontal="left" vertical="center" wrapText="1"/>
    </xf>
    <xf numFmtId="0" fontId="2" fillId="26" borderId="12" xfId="0" applyFont="1" applyFill="1" applyBorder="1" applyAlignment="1">
      <alignment horizontal="center" vertical="center" wrapText="1"/>
    </xf>
    <xf numFmtId="0" fontId="2" fillId="25" borderId="19" xfId="0" applyFont="1" applyFill="1" applyBorder="1" applyAlignment="1">
      <alignment horizontal="left" vertical="center" wrapText="1"/>
    </xf>
    <xf numFmtId="0" fontId="2" fillId="25" borderId="29" xfId="0" applyFont="1" applyFill="1" applyBorder="1" applyAlignment="1">
      <alignment horizontal="left" vertical="center" wrapText="1"/>
    </xf>
    <xf numFmtId="0" fontId="2" fillId="25" borderId="20" xfId="0" applyFont="1" applyFill="1" applyBorder="1" applyAlignment="1">
      <alignment horizontal="left" vertical="center" wrapText="1"/>
    </xf>
    <xf numFmtId="0" fontId="2" fillId="25" borderId="41" xfId="0" applyFont="1" applyFill="1" applyBorder="1" applyAlignment="1">
      <alignment horizontal="left" vertical="center" wrapText="1"/>
    </xf>
    <xf numFmtId="0" fontId="2" fillId="25" borderId="42" xfId="0" applyFont="1" applyFill="1" applyBorder="1" applyAlignment="1">
      <alignment horizontal="left" vertical="center" wrapText="1"/>
    </xf>
    <xf numFmtId="0" fontId="2" fillId="25" borderId="40" xfId="0" applyFont="1" applyFill="1" applyBorder="1" applyAlignment="1">
      <alignment horizontal="left" vertical="center" wrapText="1"/>
    </xf>
    <xf numFmtId="1" fontId="53" fillId="34" borderId="14" xfId="0" applyNumberFormat="1" applyFont="1" applyFill="1" applyBorder="1" applyAlignment="1">
      <alignment horizontal="center" vertical="center" wrapText="1"/>
    </xf>
    <xf numFmtId="1" fontId="53" fillId="34" borderId="17" xfId="0" applyNumberFormat="1" applyFont="1" applyFill="1" applyBorder="1" applyAlignment="1">
      <alignment horizontal="center" vertical="center" wrapText="1"/>
    </xf>
    <xf numFmtId="1" fontId="53" fillId="34" borderId="15" xfId="0" applyNumberFormat="1" applyFont="1" applyFill="1" applyBorder="1" applyAlignment="1">
      <alignment horizontal="center" vertical="center" wrapText="1"/>
    </xf>
    <xf numFmtId="0" fontId="2" fillId="25" borderId="12" xfId="0" applyFont="1" applyFill="1" applyBorder="1" applyAlignment="1">
      <alignment horizontal="right" vertical="center" wrapText="1"/>
    </xf>
    <xf numFmtId="0" fontId="2" fillId="0" borderId="12" xfId="0" applyFont="1" applyBorder="1" applyAlignment="1">
      <alignment horizontal="right" vertical="center" wrapText="1"/>
    </xf>
    <xf numFmtId="0" fontId="0" fillId="0" borderId="12" xfId="0" applyBorder="1" applyAlignment="1">
      <alignment horizontal="right" vertical="center" wrapText="1"/>
    </xf>
    <xf numFmtId="0" fontId="7" fillId="0" borderId="16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0" fillId="0" borderId="12" xfId="0" applyBorder="1" applyAlignment="1">
      <alignment horizontal="left" vertical="center"/>
    </xf>
    <xf numFmtId="0" fontId="2" fillId="0" borderId="0" xfId="0" applyFont="1" applyBorder="1" applyAlignment="1">
      <alignment horizontal="right" vertical="center" wrapText="1"/>
    </xf>
    <xf numFmtId="0" fontId="6" fillId="24" borderId="12" xfId="0" applyFont="1" applyFill="1" applyBorder="1" applyAlignment="1">
      <alignment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29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29</xdr:row>
      <xdr:rowOff>57150</xdr:rowOff>
    </xdr:from>
    <xdr:to>
      <xdr:col>5</xdr:col>
      <xdr:colOff>742950</xdr:colOff>
      <xdr:row>31</xdr:row>
      <xdr:rowOff>85725</xdr:rowOff>
    </xdr:to>
    <xdr:sp macro="" textlink="">
      <xdr:nvSpPr>
        <xdr:cNvPr id="2" name="Up Arrow 1">
          <a:extLst>
            <a:ext uri="{FF2B5EF4-FFF2-40B4-BE49-F238E27FC236}">
              <a16:creationId xmlns:a16="http://schemas.microsoft.com/office/drawing/2014/main" xmlns="" id="{70F5B018-3675-4F43-AF95-40606019B04C}"/>
            </a:ext>
          </a:extLst>
        </xdr:cNvPr>
        <xdr:cNvSpPr/>
      </xdr:nvSpPr>
      <xdr:spPr>
        <a:xfrm>
          <a:off x="5476875" y="5219700"/>
          <a:ext cx="381000" cy="3524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30</xdr:row>
      <xdr:rowOff>66675</xdr:rowOff>
    </xdr:from>
    <xdr:to>
      <xdr:col>3</xdr:col>
      <xdr:colOff>638175</xdr:colOff>
      <xdr:row>31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1042B5CC-E64E-4B4C-A337-E8B9754C3DE4}"/>
            </a:ext>
          </a:extLst>
        </xdr:cNvPr>
        <xdr:cNvSpPr txBox="1"/>
      </xdr:nvSpPr>
      <xdr:spPr>
        <a:xfrm>
          <a:off x="2019300" y="6448425"/>
          <a:ext cx="142875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id-ID" sz="1100"/>
            <a:t>contoh pengisian</a:t>
          </a:r>
        </a:p>
      </xdr:txBody>
    </xdr:sp>
    <xdr:clientData/>
  </xdr:twoCellAnchor>
  <xdr:twoCellAnchor>
    <xdr:from>
      <xdr:col>2</xdr:col>
      <xdr:colOff>704850</xdr:colOff>
      <xdr:row>27</xdr:row>
      <xdr:rowOff>123825</xdr:rowOff>
    </xdr:from>
    <xdr:to>
      <xdr:col>3</xdr:col>
      <xdr:colOff>104775</xdr:colOff>
      <xdr:row>29</xdr:row>
      <xdr:rowOff>123825</xdr:rowOff>
    </xdr:to>
    <xdr:sp macro="" textlink="">
      <xdr:nvSpPr>
        <xdr:cNvPr id="3" name="Up Arrow 2">
          <a:extLst>
            <a:ext uri="{FF2B5EF4-FFF2-40B4-BE49-F238E27FC236}">
              <a16:creationId xmlns:a16="http://schemas.microsoft.com/office/drawing/2014/main" xmlns="" id="{A3EA279C-DD6F-446A-BAAB-BCD07F66F161}"/>
            </a:ext>
          </a:extLst>
        </xdr:cNvPr>
        <xdr:cNvSpPr/>
      </xdr:nvSpPr>
      <xdr:spPr>
        <a:xfrm>
          <a:off x="2638425" y="5267325"/>
          <a:ext cx="276225" cy="3238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5</xdr:col>
      <xdr:colOff>409575</xdr:colOff>
      <xdr:row>27</xdr:row>
      <xdr:rowOff>104774</xdr:rowOff>
    </xdr:from>
    <xdr:to>
      <xdr:col>5</xdr:col>
      <xdr:colOff>828675</xdr:colOff>
      <xdr:row>30</xdr:row>
      <xdr:rowOff>133350</xdr:rowOff>
    </xdr:to>
    <xdr:sp macro="" textlink="">
      <xdr:nvSpPr>
        <xdr:cNvPr id="4" name="Up Arrow 3">
          <a:extLst>
            <a:ext uri="{FF2B5EF4-FFF2-40B4-BE49-F238E27FC236}">
              <a16:creationId xmlns:a16="http://schemas.microsoft.com/office/drawing/2014/main" xmlns="" id="{B37E1307-68CB-4469-A154-3B40CDF969E8}"/>
            </a:ext>
          </a:extLst>
        </xdr:cNvPr>
        <xdr:cNvSpPr/>
      </xdr:nvSpPr>
      <xdr:spPr>
        <a:xfrm>
          <a:off x="4819650" y="5876924"/>
          <a:ext cx="419100" cy="514351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PP_Hitungan%20Mitigasi_2011-2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Sheet1"/>
      <sheetName val="Rekapitulasi BaU Emisi GRK"/>
      <sheetName val="Rekap BAU Emisi Industri Sawitt"/>
      <sheetName val="Frksi pengelolaan smph Mitigasi"/>
      <sheetName val="Rekaptlasi Mitigasi Emisi GRK"/>
    </sheetNames>
    <sheetDataSet>
      <sheetData sheetId="0">
        <row r="5">
          <cell r="B5">
            <v>572184</v>
          </cell>
        </row>
        <row r="6">
          <cell r="B6">
            <v>583272</v>
          </cell>
        </row>
        <row r="7">
          <cell r="B7">
            <v>594322</v>
          </cell>
        </row>
        <row r="8">
          <cell r="B8">
            <v>605096</v>
          </cell>
        </row>
        <row r="9">
          <cell r="B9">
            <v>615574</v>
          </cell>
        </row>
        <row r="10">
          <cell r="B10">
            <v>625968</v>
          </cell>
        </row>
        <row r="11">
          <cell r="B11">
            <v>649989</v>
          </cell>
        </row>
        <row r="12">
          <cell r="B12">
            <v>665088</v>
          </cell>
        </row>
        <row r="13">
          <cell r="B13">
            <v>680187</v>
          </cell>
        </row>
        <row r="14">
          <cell r="B14">
            <v>695286</v>
          </cell>
        </row>
        <row r="15">
          <cell r="B15">
            <v>710385</v>
          </cell>
        </row>
        <row r="16">
          <cell r="B16">
            <v>725484</v>
          </cell>
        </row>
        <row r="17">
          <cell r="B17">
            <v>740583</v>
          </cell>
        </row>
        <row r="18">
          <cell r="B18">
            <v>755682</v>
          </cell>
        </row>
        <row r="19">
          <cell r="B19">
            <v>770781</v>
          </cell>
        </row>
        <row r="20">
          <cell r="B20">
            <v>785880</v>
          </cell>
        </row>
        <row r="21">
          <cell r="B21">
            <v>800979</v>
          </cell>
        </row>
        <row r="22">
          <cell r="B22">
            <v>816078</v>
          </cell>
        </row>
        <row r="23">
          <cell r="B23">
            <v>831177</v>
          </cell>
        </row>
        <row r="24">
          <cell r="B24">
            <v>846276</v>
          </cell>
        </row>
      </sheetData>
      <sheetData sheetId="1">
        <row r="29">
          <cell r="D29">
            <v>1.6993864799999998</v>
          </cell>
        </row>
        <row r="30">
          <cell r="D30">
            <v>1.7323178399999999</v>
          </cell>
        </row>
        <row r="31">
          <cell r="D31">
            <v>1.7651363399999997</v>
          </cell>
        </row>
        <row r="32">
          <cell r="D32">
            <v>1.7971351199999999</v>
          </cell>
        </row>
        <row r="33">
          <cell r="D33">
            <v>1.82825478</v>
          </cell>
        </row>
        <row r="34">
          <cell r="D34">
            <v>1.8591249599999997</v>
          </cell>
        </row>
        <row r="35">
          <cell r="D35">
            <v>1.9854856489049999</v>
          </cell>
        </row>
        <row r="36">
          <cell r="D36">
            <v>2.0895085541721601</v>
          </cell>
        </row>
        <row r="37">
          <cell r="D37">
            <v>2.1978480543212249</v>
          </cell>
        </row>
        <row r="38">
          <cell r="D38">
            <v>2.3106657026556605</v>
          </cell>
        </row>
        <row r="39">
          <cell r="D39">
            <v>2.4281287548630361</v>
          </cell>
        </row>
        <row r="40">
          <cell r="D40">
            <v>2.5504103628292505</v>
          </cell>
        </row>
        <row r="41">
          <cell r="D41">
            <v>2.6776897748684014</v>
          </cell>
        </row>
        <row r="42">
          <cell r="D42">
            <v>2.8101525425765757</v>
          </cell>
        </row>
        <row r="43">
          <cell r="D43">
            <v>2.9479907345244789</v>
          </cell>
        </row>
        <row r="44">
          <cell r="D44">
            <v>3.0914031570107046</v>
          </cell>
        </row>
        <row r="45">
          <cell r="D45">
            <v>3.2405955821045285</v>
          </cell>
        </row>
        <row r="46">
          <cell r="D46">
            <v>3.3957809832144181</v>
          </cell>
        </row>
        <row r="47">
          <cell r="D47">
            <v>3.5571797784260069</v>
          </cell>
        </row>
        <row r="48">
          <cell r="D48">
            <v>3.7236144000000002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M48"/>
  <sheetViews>
    <sheetView topLeftCell="A31" zoomScale="115" zoomScaleNormal="115" workbookViewId="0">
      <selection activeCell="B39" sqref="B39"/>
    </sheetView>
  </sheetViews>
  <sheetFormatPr defaultRowHeight="12.75"/>
  <cols>
    <col min="1" max="1" width="16.5703125" customWidth="1"/>
    <col min="2" max="2" width="12.7109375" customWidth="1"/>
    <col min="3" max="3" width="15.42578125" customWidth="1"/>
    <col min="4" max="4" width="17" customWidth="1"/>
    <col min="5" max="5" width="3.28515625" hidden="1" customWidth="1"/>
    <col min="6" max="6" width="9.140625" hidden="1" customWidth="1"/>
    <col min="7" max="7" width="23.28515625" hidden="1" customWidth="1"/>
    <col min="13" max="13" width="10" bestFit="1" customWidth="1"/>
  </cols>
  <sheetData>
    <row r="2" spans="1:7">
      <c r="A2" s="192" t="s">
        <v>0</v>
      </c>
      <c r="B2" s="192"/>
      <c r="C2" s="193" t="s">
        <v>1</v>
      </c>
      <c r="D2" s="193"/>
      <c r="E2" s="193"/>
      <c r="F2" s="193"/>
      <c r="G2" s="193"/>
    </row>
    <row r="3" spans="1:7">
      <c r="A3" s="192" t="s">
        <v>2</v>
      </c>
      <c r="B3" s="192"/>
      <c r="C3" s="193" t="s">
        <v>233</v>
      </c>
      <c r="D3" s="193"/>
      <c r="E3" s="193"/>
      <c r="F3" s="193"/>
      <c r="G3" s="193"/>
    </row>
    <row r="4" spans="1:7">
      <c r="A4" s="192" t="s">
        <v>4</v>
      </c>
      <c r="B4" s="192"/>
      <c r="C4" s="193" t="s">
        <v>234</v>
      </c>
      <c r="D4" s="193"/>
      <c r="E4" s="193"/>
      <c r="F4" s="193"/>
      <c r="G4" s="193"/>
    </row>
    <row r="5" spans="1:7">
      <c r="A5" s="192" t="s">
        <v>6</v>
      </c>
      <c r="B5" s="192"/>
      <c r="C5" s="193" t="s">
        <v>240</v>
      </c>
      <c r="D5" s="193"/>
      <c r="E5" s="193"/>
      <c r="F5" s="193"/>
      <c r="G5" s="193"/>
    </row>
    <row r="6" spans="1:7">
      <c r="A6" s="16"/>
      <c r="B6" s="17"/>
      <c r="C6" s="17"/>
      <c r="D6" s="17"/>
      <c r="E6" s="17"/>
      <c r="F6" s="17"/>
      <c r="G6" s="17"/>
    </row>
    <row r="7" spans="1:7">
      <c r="B7" s="18" t="s">
        <v>11</v>
      </c>
      <c r="C7" s="28" t="s">
        <v>12</v>
      </c>
      <c r="D7" s="28" t="s">
        <v>13</v>
      </c>
    </row>
    <row r="8" spans="1:7">
      <c r="A8" s="194" t="s">
        <v>84</v>
      </c>
      <c r="B8" s="27" t="s">
        <v>237</v>
      </c>
      <c r="C8" s="21" t="s">
        <v>238</v>
      </c>
      <c r="D8" s="21" t="s">
        <v>235</v>
      </c>
      <c r="E8" s="25"/>
      <c r="F8" s="20"/>
      <c r="G8" s="26"/>
    </row>
    <row r="9" spans="1:7">
      <c r="A9" s="195"/>
      <c r="B9" s="19"/>
      <c r="C9" s="22"/>
      <c r="D9" s="23"/>
      <c r="E9" s="26"/>
      <c r="F9" s="25"/>
      <c r="G9" s="26"/>
    </row>
    <row r="10" spans="1:7">
      <c r="A10" s="195"/>
      <c r="B10" s="19"/>
      <c r="C10" s="22"/>
      <c r="D10" s="23"/>
      <c r="E10" s="26"/>
      <c r="F10" s="25"/>
      <c r="G10" s="26"/>
    </row>
    <row r="11" spans="1:7">
      <c r="A11" s="195"/>
      <c r="B11" s="19"/>
      <c r="C11" s="22"/>
      <c r="D11" s="23"/>
      <c r="E11" s="26"/>
      <c r="F11" s="25"/>
      <c r="G11" s="26"/>
    </row>
    <row r="12" spans="1:7">
      <c r="A12" s="195"/>
      <c r="B12" s="19"/>
      <c r="C12" s="22"/>
      <c r="D12" s="23"/>
      <c r="E12" s="26"/>
      <c r="F12" s="25"/>
      <c r="G12" s="26"/>
    </row>
    <row r="13" spans="1:7">
      <c r="A13" s="195"/>
      <c r="B13" s="19"/>
      <c r="C13" s="22" t="s">
        <v>236</v>
      </c>
      <c r="D13" s="23"/>
      <c r="E13" s="26"/>
      <c r="F13" s="25"/>
      <c r="G13" s="26"/>
    </row>
    <row r="14" spans="1:7" ht="13.5" thickBot="1">
      <c r="A14" s="196"/>
      <c r="B14" s="24"/>
      <c r="C14" s="24"/>
      <c r="D14" s="29" t="s">
        <v>143</v>
      </c>
      <c r="E14" s="26"/>
      <c r="F14" s="26"/>
      <c r="G14" s="26"/>
    </row>
    <row r="15" spans="1:7" ht="13.5" thickTop="1">
      <c r="B15" s="23"/>
      <c r="D15" s="36"/>
      <c r="E15" s="26"/>
      <c r="F15" s="26"/>
      <c r="G15" s="26"/>
    </row>
    <row r="16" spans="1:7">
      <c r="A16" s="188" t="s">
        <v>243</v>
      </c>
      <c r="B16" s="189"/>
      <c r="C16" s="189"/>
      <c r="D16" s="190"/>
      <c r="E16" s="26"/>
      <c r="F16" s="26"/>
      <c r="G16" s="26"/>
    </row>
    <row r="17" spans="1:13">
      <c r="A17" s="31" t="s">
        <v>203</v>
      </c>
      <c r="B17" s="39">
        <v>0.63560000000000005</v>
      </c>
      <c r="C17" s="30">
        <v>0.15</v>
      </c>
      <c r="D17" s="30">
        <f>B17*C17</f>
        <v>9.5340000000000008E-2</v>
      </c>
      <c r="E17" s="26"/>
      <c r="F17" s="26"/>
      <c r="G17" s="26"/>
    </row>
    <row r="18" spans="1:13" ht="12.75" customHeight="1">
      <c r="A18" s="31" t="s">
        <v>204</v>
      </c>
      <c r="B18" s="39">
        <v>0.1042</v>
      </c>
      <c r="C18" s="30">
        <v>0.4</v>
      </c>
      <c r="D18" s="30">
        <f t="shared" ref="D18:D25" si="0">B18*C18</f>
        <v>4.1680000000000002E-2</v>
      </c>
      <c r="E18" s="26"/>
      <c r="F18" s="26"/>
      <c r="G18" s="26"/>
    </row>
    <row r="19" spans="1:13">
      <c r="A19" s="31" t="s">
        <v>205</v>
      </c>
      <c r="B19" s="39">
        <v>0</v>
      </c>
      <c r="C19" s="30">
        <v>0.43</v>
      </c>
      <c r="D19" s="30">
        <f t="shared" si="0"/>
        <v>0</v>
      </c>
      <c r="E19" s="26"/>
      <c r="F19" s="26"/>
      <c r="G19" s="26"/>
      <c r="M19" s="13"/>
    </row>
    <row r="20" spans="1:13">
      <c r="A20" s="31" t="s">
        <v>47</v>
      </c>
      <c r="B20" s="39">
        <v>0</v>
      </c>
      <c r="C20" s="30">
        <v>0.24</v>
      </c>
      <c r="D20" s="30">
        <f t="shared" si="0"/>
        <v>0</v>
      </c>
      <c r="E20" s="26"/>
      <c r="F20" s="26"/>
      <c r="G20" s="26"/>
    </row>
    <row r="21" spans="1:13" ht="14.25" customHeight="1">
      <c r="A21" s="31" t="s">
        <v>206</v>
      </c>
      <c r="B21" s="39">
        <v>0</v>
      </c>
      <c r="C21" s="30">
        <v>0.39</v>
      </c>
      <c r="D21" s="30">
        <f t="shared" si="0"/>
        <v>0</v>
      </c>
    </row>
    <row r="22" spans="1:13">
      <c r="A22" s="31" t="s">
        <v>207</v>
      </c>
      <c r="B22" s="39">
        <v>1.4500000000000001E-2</v>
      </c>
      <c r="C22" s="30">
        <v>0</v>
      </c>
      <c r="D22" s="30">
        <f t="shared" si="0"/>
        <v>0</v>
      </c>
    </row>
    <row r="23" spans="1:13">
      <c r="A23" s="31" t="s">
        <v>208</v>
      </c>
      <c r="B23" s="39">
        <v>9.7600000000000006E-2</v>
      </c>
      <c r="C23" s="30">
        <v>0</v>
      </c>
      <c r="D23" s="30">
        <f t="shared" si="0"/>
        <v>0</v>
      </c>
    </row>
    <row r="24" spans="1:13">
      <c r="A24" s="31" t="s">
        <v>209</v>
      </c>
      <c r="B24" s="39">
        <v>1.7000000000000001E-2</v>
      </c>
      <c r="C24" s="30">
        <v>0</v>
      </c>
      <c r="D24" s="30">
        <f t="shared" si="0"/>
        <v>0</v>
      </c>
    </row>
    <row r="25" spans="1:13">
      <c r="A25" s="31" t="s">
        <v>210</v>
      </c>
      <c r="B25" s="39">
        <f>(0.95+12.16)/100</f>
        <v>0.13109999999999999</v>
      </c>
      <c r="C25" s="30">
        <v>0</v>
      </c>
      <c r="D25" s="30">
        <f t="shared" si="0"/>
        <v>0</v>
      </c>
    </row>
    <row r="26" spans="1:13">
      <c r="A26" s="191" t="s">
        <v>239</v>
      </c>
      <c r="B26" s="191"/>
      <c r="C26" s="191"/>
      <c r="D26" s="40">
        <f>SUM(D17:D25)</f>
        <v>0.13702</v>
      </c>
    </row>
    <row r="27" spans="1:13">
      <c r="A27" s="188" t="s">
        <v>241</v>
      </c>
      <c r="B27" s="189"/>
      <c r="C27" s="189"/>
      <c r="D27" s="190"/>
    </row>
    <row r="28" spans="1:13">
      <c r="A28" s="31" t="s">
        <v>203</v>
      </c>
      <c r="B28" s="39">
        <f>79.37/100</f>
        <v>0.79370000000000007</v>
      </c>
      <c r="C28" s="30">
        <v>0.15</v>
      </c>
      <c r="D28" s="30">
        <f>B28*C28</f>
        <v>0.11905500000000001</v>
      </c>
    </row>
    <row r="29" spans="1:13">
      <c r="A29" s="31" t="s">
        <v>204</v>
      </c>
      <c r="B29" s="39">
        <f>8.57/100</f>
        <v>8.5699999999999998E-2</v>
      </c>
      <c r="C29" s="30">
        <v>0.4</v>
      </c>
      <c r="D29" s="30">
        <f t="shared" ref="D29:D36" si="1">B29*C29</f>
        <v>3.4279999999999998E-2</v>
      </c>
    </row>
    <row r="30" spans="1:13">
      <c r="A30" s="31" t="s">
        <v>205</v>
      </c>
      <c r="B30" s="39">
        <f>0.75/100</f>
        <v>7.4999999999999997E-3</v>
      </c>
      <c r="C30" s="30">
        <v>0.43</v>
      </c>
      <c r="D30" s="30">
        <f t="shared" si="1"/>
        <v>3.225E-3</v>
      </c>
    </row>
    <row r="31" spans="1:13">
      <c r="A31" s="31" t="s">
        <v>47</v>
      </c>
      <c r="B31" s="39">
        <f>0.79/100</f>
        <v>7.9000000000000008E-3</v>
      </c>
      <c r="C31" s="30">
        <v>0.24</v>
      </c>
      <c r="D31" s="30">
        <f t="shared" si="1"/>
        <v>1.8960000000000001E-3</v>
      </c>
    </row>
    <row r="32" spans="1:13">
      <c r="A32" s="31" t="s">
        <v>206</v>
      </c>
      <c r="B32" s="39">
        <f>0.35/100</f>
        <v>3.4999999999999996E-3</v>
      </c>
      <c r="C32" s="30">
        <v>0.39</v>
      </c>
      <c r="D32" s="30">
        <f t="shared" si="1"/>
        <v>1.3649999999999999E-3</v>
      </c>
    </row>
    <row r="33" spans="1:4">
      <c r="A33" s="31" t="s">
        <v>207</v>
      </c>
      <c r="B33" s="39">
        <f>6.51/100</f>
        <v>6.5099999999999991E-2</v>
      </c>
      <c r="C33" s="30">
        <v>0</v>
      </c>
      <c r="D33" s="30">
        <f t="shared" si="1"/>
        <v>0</v>
      </c>
    </row>
    <row r="34" spans="1:4">
      <c r="A34" s="31" t="s">
        <v>208</v>
      </c>
      <c r="B34" s="39">
        <f>1.45/100</f>
        <v>1.4499999999999999E-2</v>
      </c>
      <c r="C34" s="30">
        <v>0</v>
      </c>
      <c r="D34" s="30">
        <f t="shared" si="1"/>
        <v>0</v>
      </c>
    </row>
    <row r="35" spans="1:4">
      <c r="A35" s="31" t="s">
        <v>209</v>
      </c>
      <c r="B35" s="39">
        <f>1.54/100</f>
        <v>1.54E-2</v>
      </c>
      <c r="C35" s="30">
        <v>0</v>
      </c>
      <c r="D35" s="30">
        <f t="shared" si="1"/>
        <v>0</v>
      </c>
    </row>
    <row r="36" spans="1:4">
      <c r="A36" s="31" t="s">
        <v>210</v>
      </c>
      <c r="B36" s="39">
        <f>0.67/100</f>
        <v>6.7000000000000002E-3</v>
      </c>
      <c r="C36" s="30">
        <v>0</v>
      </c>
      <c r="D36" s="30">
        <f t="shared" si="1"/>
        <v>0</v>
      </c>
    </row>
    <row r="37" spans="1:4">
      <c r="A37" s="191" t="s">
        <v>239</v>
      </c>
      <c r="B37" s="191"/>
      <c r="C37" s="191"/>
      <c r="D37" s="33">
        <f>SUM(D28:D36)</f>
        <v>0.15982100000000002</v>
      </c>
    </row>
    <row r="38" spans="1:4">
      <c r="A38" s="188" t="s">
        <v>242</v>
      </c>
      <c r="B38" s="189"/>
      <c r="C38" s="189"/>
      <c r="D38" s="190"/>
    </row>
    <row r="39" spans="1:4">
      <c r="A39" s="31" t="s">
        <v>203</v>
      </c>
      <c r="B39" s="39">
        <f>(59.47+6.92)/100</f>
        <v>0.66390000000000005</v>
      </c>
      <c r="C39" s="30">
        <v>0.15</v>
      </c>
      <c r="D39" s="30">
        <f>B39*C39</f>
        <v>9.9585000000000007E-2</v>
      </c>
    </row>
    <row r="40" spans="1:4">
      <c r="A40" s="31" t="s">
        <v>204</v>
      </c>
      <c r="B40" s="39">
        <f>12.85/100</f>
        <v>0.1285</v>
      </c>
      <c r="C40" s="30">
        <v>0.4</v>
      </c>
      <c r="D40" s="30">
        <f t="shared" ref="D40:D47" si="2">B40*C40</f>
        <v>5.1400000000000001E-2</v>
      </c>
    </row>
    <row r="41" spans="1:4">
      <c r="A41" s="31" t="s">
        <v>205</v>
      </c>
      <c r="B41" s="39">
        <v>0</v>
      </c>
      <c r="C41" s="30">
        <v>0.43</v>
      </c>
      <c r="D41" s="30">
        <f t="shared" si="2"/>
        <v>0</v>
      </c>
    </row>
    <row r="42" spans="1:4">
      <c r="A42" s="31" t="s">
        <v>47</v>
      </c>
      <c r="B42" s="39">
        <f>0.81/100</f>
        <v>8.1000000000000013E-3</v>
      </c>
      <c r="C42" s="30">
        <v>0.24</v>
      </c>
      <c r="D42" s="30">
        <f t="shared" si="2"/>
        <v>1.9440000000000002E-3</v>
      </c>
    </row>
    <row r="43" spans="1:4">
      <c r="A43" s="31" t="s">
        <v>206</v>
      </c>
      <c r="B43" s="39">
        <v>0</v>
      </c>
      <c r="C43" s="30">
        <v>0.39</v>
      </c>
      <c r="D43" s="30">
        <f t="shared" si="2"/>
        <v>0</v>
      </c>
    </row>
    <row r="44" spans="1:4">
      <c r="A44" s="31" t="s">
        <v>207</v>
      </c>
      <c r="B44" s="39">
        <f>10.71/100</f>
        <v>0.10710000000000001</v>
      </c>
      <c r="C44" s="30">
        <v>0</v>
      </c>
      <c r="D44" s="30">
        <f t="shared" si="2"/>
        <v>0</v>
      </c>
    </row>
    <row r="45" spans="1:4">
      <c r="A45" s="31" t="s">
        <v>208</v>
      </c>
      <c r="B45" s="39">
        <f>1.77/100</f>
        <v>1.77E-2</v>
      </c>
      <c r="C45" s="30">
        <v>0</v>
      </c>
      <c r="D45" s="30">
        <f t="shared" si="2"/>
        <v>0</v>
      </c>
    </row>
    <row r="46" spans="1:4">
      <c r="A46" s="31" t="s">
        <v>209</v>
      </c>
      <c r="B46" s="39">
        <f>1.33/100</f>
        <v>1.3300000000000001E-2</v>
      </c>
      <c r="C46" s="30">
        <v>0</v>
      </c>
      <c r="D46" s="30">
        <f t="shared" si="2"/>
        <v>0</v>
      </c>
    </row>
    <row r="47" spans="1:4">
      <c r="A47" s="31" t="s">
        <v>210</v>
      </c>
      <c r="B47" s="39">
        <f>6.21/100</f>
        <v>6.2100000000000002E-2</v>
      </c>
      <c r="C47" s="30">
        <v>0</v>
      </c>
      <c r="D47" s="30">
        <f t="shared" si="2"/>
        <v>0</v>
      </c>
    </row>
    <row r="48" spans="1:4">
      <c r="A48" s="191" t="s">
        <v>239</v>
      </c>
      <c r="B48" s="191"/>
      <c r="C48" s="191"/>
      <c r="D48" s="33">
        <f>SUM(D39:D47)</f>
        <v>0.15292900000000001</v>
      </c>
    </row>
  </sheetData>
  <mergeCells count="15">
    <mergeCell ref="A2:B2"/>
    <mergeCell ref="C2:G2"/>
    <mergeCell ref="A3:B3"/>
    <mergeCell ref="C3:G3"/>
    <mergeCell ref="A8:A14"/>
    <mergeCell ref="A4:B4"/>
    <mergeCell ref="C4:G4"/>
    <mergeCell ref="A5:B5"/>
    <mergeCell ref="C5:G5"/>
    <mergeCell ref="A16:D16"/>
    <mergeCell ref="A27:D27"/>
    <mergeCell ref="A37:C37"/>
    <mergeCell ref="A38:D38"/>
    <mergeCell ref="A48:C48"/>
    <mergeCell ref="A26:C26"/>
  </mergeCells>
  <phoneticPr fontId="13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tabColor theme="9" tint="-0.249977111117893"/>
  </sheetPr>
  <dimension ref="A2:D26"/>
  <sheetViews>
    <sheetView topLeftCell="A6" zoomScale="85" zoomScaleNormal="85" workbookViewId="0">
      <selection activeCell="F25" sqref="F25"/>
    </sheetView>
  </sheetViews>
  <sheetFormatPr defaultRowHeight="12.75"/>
  <cols>
    <col min="1" max="1" width="45.140625" style="6" customWidth="1"/>
    <col min="2" max="4" width="25.7109375" style="6" customWidth="1"/>
    <col min="5" max="16384" width="9.140625" style="6"/>
  </cols>
  <sheetData>
    <row r="2" spans="1:4" ht="14.25" customHeight="1">
      <c r="A2" s="102" t="s">
        <v>0</v>
      </c>
      <c r="B2" s="199" t="s">
        <v>1</v>
      </c>
      <c r="C2" s="267"/>
      <c r="D2" s="267"/>
    </row>
    <row r="3" spans="1:4" ht="14.25" customHeight="1">
      <c r="A3" s="102" t="s">
        <v>2</v>
      </c>
      <c r="B3" s="199" t="s">
        <v>117</v>
      </c>
      <c r="C3" s="267"/>
      <c r="D3" s="267"/>
    </row>
    <row r="4" spans="1:4" ht="14.25" customHeight="1">
      <c r="A4" s="102" t="s">
        <v>4</v>
      </c>
      <c r="B4" s="199" t="s">
        <v>118</v>
      </c>
      <c r="C4" s="267"/>
      <c r="D4" s="267"/>
    </row>
    <row r="5" spans="1:4" ht="14.25" customHeight="1">
      <c r="A5" s="102" t="s">
        <v>6</v>
      </c>
      <c r="B5" s="199" t="s">
        <v>134</v>
      </c>
      <c r="C5" s="267"/>
      <c r="D5" s="267"/>
    </row>
    <row r="6" spans="1:4">
      <c r="A6" s="231" t="s">
        <v>9</v>
      </c>
      <c r="B6" s="268"/>
      <c r="C6" s="268"/>
      <c r="D6" s="268"/>
    </row>
    <row r="7" spans="1:4">
      <c r="A7" s="59"/>
      <c r="B7" s="7" t="s">
        <v>11</v>
      </c>
      <c r="C7" s="7" t="s">
        <v>12</v>
      </c>
      <c r="D7" s="7" t="s">
        <v>13</v>
      </c>
    </row>
    <row r="8" spans="1:4" ht="25.5">
      <c r="A8" s="209" t="s">
        <v>144</v>
      </c>
      <c r="B8" s="59" t="s">
        <v>135</v>
      </c>
      <c r="C8" s="59" t="s">
        <v>136</v>
      </c>
      <c r="D8" s="59" t="s">
        <v>137</v>
      </c>
    </row>
    <row r="9" spans="1:4" ht="15.75">
      <c r="A9" s="210"/>
      <c r="B9" s="76" t="s">
        <v>138</v>
      </c>
      <c r="C9" s="76" t="s">
        <v>139</v>
      </c>
      <c r="D9" s="76" t="s">
        <v>140</v>
      </c>
    </row>
    <row r="10" spans="1:4" ht="15.75">
      <c r="A10" s="210"/>
      <c r="B10" s="8" t="s">
        <v>141</v>
      </c>
      <c r="C10" s="8"/>
      <c r="D10" s="8" t="s">
        <v>142</v>
      </c>
    </row>
    <row r="11" spans="1:4" ht="13.5" thickBot="1">
      <c r="A11" s="211"/>
      <c r="B11" s="5"/>
      <c r="C11" s="5"/>
      <c r="D11" s="5" t="s">
        <v>143</v>
      </c>
    </row>
    <row r="12" spans="1:4" ht="14.25" customHeight="1" thickTop="1">
      <c r="A12" s="272" t="s">
        <v>215</v>
      </c>
      <c r="B12" s="273"/>
      <c r="C12" s="273"/>
      <c r="D12" s="274"/>
    </row>
    <row r="13" spans="1:4">
      <c r="A13" s="106" t="s">
        <v>212</v>
      </c>
      <c r="B13" s="181">
        <v>0.6</v>
      </c>
      <c r="C13" s="182">
        <v>0.1</v>
      </c>
      <c r="D13" s="53">
        <f>B13*C13</f>
        <v>0.06</v>
      </c>
    </row>
    <row r="14" spans="1:4">
      <c r="A14" s="53" t="s">
        <v>213</v>
      </c>
      <c r="B14" s="181">
        <v>0.6</v>
      </c>
      <c r="C14" s="181">
        <v>0.5</v>
      </c>
      <c r="D14" s="53">
        <f>B14*C14</f>
        <v>0.3</v>
      </c>
    </row>
    <row r="15" spans="1:4" ht="13.5" customHeight="1">
      <c r="A15" s="53" t="s">
        <v>214</v>
      </c>
      <c r="B15" s="181">
        <v>0.6</v>
      </c>
      <c r="C15" s="181">
        <v>0</v>
      </c>
      <c r="D15" s="53">
        <f>B15*C15</f>
        <v>0</v>
      </c>
    </row>
    <row r="16" spans="1:4">
      <c r="A16" s="269" t="s">
        <v>211</v>
      </c>
      <c r="B16" s="270"/>
      <c r="C16" s="270"/>
      <c r="D16" s="271"/>
    </row>
    <row r="17" spans="1:4" ht="12.75" customHeight="1">
      <c r="A17" s="53" t="s">
        <v>216</v>
      </c>
      <c r="B17" s="181">
        <v>0.6</v>
      </c>
      <c r="C17" s="181">
        <v>0</v>
      </c>
      <c r="D17" s="53">
        <f>B17*C17</f>
        <v>0</v>
      </c>
    </row>
    <row r="18" spans="1:4" ht="23.25" customHeight="1">
      <c r="A18" s="53" t="s">
        <v>217</v>
      </c>
      <c r="B18" s="181">
        <v>0.6</v>
      </c>
      <c r="C18" s="181">
        <v>0.3</v>
      </c>
      <c r="D18" s="53">
        <f>B18*C18</f>
        <v>0.18</v>
      </c>
    </row>
    <row r="19" spans="1:4">
      <c r="A19" s="53" t="s">
        <v>218</v>
      </c>
      <c r="B19" s="181">
        <v>0.6</v>
      </c>
      <c r="C19" s="181">
        <v>0.8</v>
      </c>
      <c r="D19" s="53">
        <f t="shared" ref="D19:D26" si="0">B19*C19</f>
        <v>0.48</v>
      </c>
    </row>
    <row r="20" spans="1:4">
      <c r="A20" s="53" t="s">
        <v>219</v>
      </c>
      <c r="B20" s="181">
        <v>0.6</v>
      </c>
      <c r="C20" s="181">
        <v>0.8</v>
      </c>
      <c r="D20" s="53">
        <f t="shared" si="0"/>
        <v>0.48</v>
      </c>
    </row>
    <row r="21" spans="1:4">
      <c r="A21" s="53" t="s">
        <v>220</v>
      </c>
      <c r="B21" s="181">
        <v>0.6</v>
      </c>
      <c r="C21" s="181">
        <v>0.2</v>
      </c>
      <c r="D21" s="53">
        <f t="shared" si="0"/>
        <v>0.12</v>
      </c>
    </row>
    <row r="22" spans="1:4">
      <c r="A22" s="53" t="s">
        <v>221</v>
      </c>
      <c r="B22" s="181">
        <v>0.6</v>
      </c>
      <c r="C22" s="181">
        <v>0.5</v>
      </c>
      <c r="D22" s="53">
        <f t="shared" si="0"/>
        <v>0.3</v>
      </c>
    </row>
    <row r="23" spans="1:4" ht="28.15" customHeight="1">
      <c r="A23" s="53" t="s">
        <v>245</v>
      </c>
      <c r="B23" s="181">
        <v>0.6</v>
      </c>
      <c r="C23" s="181">
        <v>0.1</v>
      </c>
      <c r="D23" s="53">
        <f t="shared" si="0"/>
        <v>0.06</v>
      </c>
    </row>
    <row r="24" spans="1:4" ht="25.5">
      <c r="A24" s="53" t="s">
        <v>222</v>
      </c>
      <c r="B24" s="181">
        <v>0.6</v>
      </c>
      <c r="C24" s="181">
        <v>0.5</v>
      </c>
      <c r="D24" s="53">
        <f t="shared" si="0"/>
        <v>0.3</v>
      </c>
    </row>
    <row r="25" spans="1:4" ht="29.45" customHeight="1">
      <c r="A25" s="53" t="s">
        <v>223</v>
      </c>
      <c r="B25" s="181">
        <v>0.6</v>
      </c>
      <c r="C25" s="181">
        <v>0.7</v>
      </c>
      <c r="D25" s="53">
        <f t="shared" si="0"/>
        <v>0.42</v>
      </c>
    </row>
    <row r="26" spans="1:4" ht="16.149999999999999" customHeight="1">
      <c r="A26" s="53" t="s">
        <v>224</v>
      </c>
      <c r="B26" s="181">
        <v>0.6</v>
      </c>
      <c r="C26" s="181">
        <v>0.1</v>
      </c>
      <c r="D26" s="53">
        <f t="shared" si="0"/>
        <v>0.06</v>
      </c>
    </row>
  </sheetData>
  <mergeCells count="8">
    <mergeCell ref="A16:D16"/>
    <mergeCell ref="A6:D6"/>
    <mergeCell ref="A8:A11"/>
    <mergeCell ref="B2:D2"/>
    <mergeCell ref="B3:D3"/>
    <mergeCell ref="B4:D4"/>
    <mergeCell ref="B5:D5"/>
    <mergeCell ref="A12:D12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theme="9" tint="-0.249977111117893"/>
  </sheetPr>
  <dimension ref="A1:N564"/>
  <sheetViews>
    <sheetView topLeftCell="A8" zoomScale="85" zoomScaleNormal="85" workbookViewId="0">
      <selection activeCell="M12" sqref="M12"/>
    </sheetView>
  </sheetViews>
  <sheetFormatPr defaultRowHeight="12.75"/>
  <cols>
    <col min="1" max="1" width="14.28515625" style="6" customWidth="1"/>
    <col min="2" max="2" width="14.7109375" style="6" customWidth="1"/>
    <col min="3" max="3" width="13.140625" style="6" customWidth="1"/>
    <col min="4" max="5" width="12" style="6" customWidth="1"/>
    <col min="6" max="6" width="17.28515625" style="6" customWidth="1"/>
    <col min="7" max="7" width="12.140625" style="6" customWidth="1"/>
    <col min="8" max="8" width="13.7109375" style="6" customWidth="1"/>
    <col min="9" max="9" width="22.140625" style="6" customWidth="1"/>
    <col min="10" max="10" width="15.85546875" style="6" customWidth="1"/>
    <col min="11" max="12" width="9.140625" style="6"/>
    <col min="13" max="13" width="12.42578125" style="6" customWidth="1"/>
    <col min="14" max="14" width="17.5703125" style="6" customWidth="1"/>
    <col min="15" max="16384" width="9.140625" style="6"/>
  </cols>
  <sheetData>
    <row r="1" spans="1:14">
      <c r="A1" s="284"/>
      <c r="B1" s="284"/>
      <c r="C1" s="197"/>
      <c r="D1" s="197"/>
      <c r="E1" s="197"/>
      <c r="F1" s="197"/>
      <c r="G1" s="197"/>
      <c r="H1" s="197"/>
      <c r="I1" s="197"/>
    </row>
    <row r="2" spans="1:14">
      <c r="A2" s="279" t="s">
        <v>0</v>
      </c>
      <c r="B2" s="280"/>
      <c r="C2" s="199" t="s">
        <v>1</v>
      </c>
      <c r="D2" s="283"/>
      <c r="E2" s="283"/>
      <c r="F2" s="283"/>
      <c r="G2" s="283"/>
      <c r="H2" s="283"/>
      <c r="I2" s="283"/>
    </row>
    <row r="3" spans="1:14">
      <c r="A3" s="279" t="s">
        <v>2</v>
      </c>
      <c r="B3" s="280"/>
      <c r="C3" s="199" t="s">
        <v>117</v>
      </c>
      <c r="D3" s="283"/>
      <c r="E3" s="283"/>
      <c r="F3" s="283"/>
      <c r="G3" s="283"/>
      <c r="H3" s="283"/>
      <c r="I3" s="283"/>
    </row>
    <row r="4" spans="1:14">
      <c r="A4" s="279" t="s">
        <v>4</v>
      </c>
      <c r="B4" s="280"/>
      <c r="C4" s="199" t="s">
        <v>118</v>
      </c>
      <c r="D4" s="283"/>
      <c r="E4" s="283"/>
      <c r="F4" s="283"/>
      <c r="G4" s="283"/>
      <c r="H4" s="283"/>
      <c r="I4" s="283"/>
    </row>
    <row r="5" spans="1:14" ht="14.25" customHeight="1">
      <c r="A5" s="279" t="s">
        <v>6</v>
      </c>
      <c r="B5" s="280"/>
      <c r="C5" s="199" t="s">
        <v>145</v>
      </c>
      <c r="D5" s="283"/>
      <c r="E5" s="283"/>
      <c r="F5" s="283"/>
      <c r="G5" s="283"/>
      <c r="H5" s="283"/>
      <c r="I5" s="283"/>
    </row>
    <row r="6" spans="1:14">
      <c r="A6" s="231" t="s">
        <v>10</v>
      </c>
      <c r="B6" s="268"/>
      <c r="C6" s="268"/>
      <c r="D6" s="268"/>
      <c r="E6" s="268"/>
      <c r="F6" s="268"/>
      <c r="G6" s="268"/>
      <c r="H6" s="268"/>
      <c r="I6" s="268"/>
      <c r="J6" s="107"/>
    </row>
    <row r="7" spans="1:14" ht="51" customHeight="1">
      <c r="A7" s="59"/>
      <c r="B7" s="59"/>
      <c r="C7" s="7" t="s">
        <v>11</v>
      </c>
      <c r="D7" s="7" t="s">
        <v>12</v>
      </c>
      <c r="E7" s="7" t="s">
        <v>13</v>
      </c>
      <c r="F7" s="7" t="s">
        <v>14</v>
      </c>
      <c r="G7" s="7" t="s">
        <v>15</v>
      </c>
      <c r="H7" s="7" t="s">
        <v>58</v>
      </c>
      <c r="I7" s="7" t="s">
        <v>78</v>
      </c>
      <c r="J7" s="89" t="s">
        <v>79</v>
      </c>
    </row>
    <row r="8" spans="1:14" ht="51">
      <c r="A8" s="209" t="s">
        <v>146</v>
      </c>
      <c r="B8" s="209" t="s">
        <v>147</v>
      </c>
      <c r="C8" s="59" t="s">
        <v>148</v>
      </c>
      <c r="D8" s="59" t="s">
        <v>149</v>
      </c>
      <c r="E8" s="59" t="s">
        <v>150</v>
      </c>
      <c r="F8" s="59" t="s">
        <v>123</v>
      </c>
      <c r="G8" s="59" t="s">
        <v>151</v>
      </c>
      <c r="H8" s="59" t="s">
        <v>152</v>
      </c>
      <c r="I8" s="59" t="s">
        <v>153</v>
      </c>
      <c r="J8" s="59" t="s">
        <v>153</v>
      </c>
      <c r="L8" s="95"/>
      <c r="M8" s="111"/>
      <c r="N8" s="112"/>
    </row>
    <row r="9" spans="1:14" ht="15.75" customHeight="1">
      <c r="A9" s="209"/>
      <c r="B9" s="209"/>
      <c r="C9" s="76" t="s">
        <v>154</v>
      </c>
      <c r="D9" s="76" t="s">
        <v>155</v>
      </c>
      <c r="E9" s="76" t="s">
        <v>156</v>
      </c>
      <c r="F9" s="76" t="s">
        <v>127</v>
      </c>
      <c r="G9" s="76" t="s">
        <v>157</v>
      </c>
      <c r="H9" s="76" t="s">
        <v>158</v>
      </c>
      <c r="I9" s="76" t="s">
        <v>159</v>
      </c>
      <c r="J9" s="76" t="s">
        <v>159</v>
      </c>
      <c r="L9" s="275" t="s">
        <v>247</v>
      </c>
      <c r="M9" s="275" t="s">
        <v>256</v>
      </c>
      <c r="N9" s="275" t="s">
        <v>257</v>
      </c>
    </row>
    <row r="10" spans="1:14" ht="29.25" customHeight="1">
      <c r="A10" s="209"/>
      <c r="B10" s="209"/>
      <c r="C10" s="8" t="s">
        <v>44</v>
      </c>
      <c r="D10" s="8" t="s">
        <v>44</v>
      </c>
      <c r="E10" s="8" t="s">
        <v>142</v>
      </c>
      <c r="F10" s="8" t="s">
        <v>130</v>
      </c>
      <c r="G10" s="8" t="s">
        <v>130</v>
      </c>
      <c r="H10" s="8" t="s">
        <v>160</v>
      </c>
      <c r="I10" s="8" t="s">
        <v>160</v>
      </c>
      <c r="J10" s="8" t="s">
        <v>231</v>
      </c>
      <c r="L10" s="276"/>
      <c r="M10" s="276"/>
      <c r="N10" s="276"/>
    </row>
    <row r="11" spans="1:14" ht="24.75" thickBot="1">
      <c r="A11" s="225"/>
      <c r="B11" s="225"/>
      <c r="C11" s="5"/>
      <c r="D11" s="5"/>
      <c r="E11" s="5" t="s">
        <v>161</v>
      </c>
      <c r="F11" s="5" t="s">
        <v>162</v>
      </c>
      <c r="G11" s="5"/>
      <c r="H11" s="5"/>
      <c r="I11" s="9" t="s">
        <v>163</v>
      </c>
      <c r="J11" s="35"/>
      <c r="L11" s="277"/>
      <c r="M11" s="277"/>
      <c r="N11" s="277"/>
    </row>
    <row r="12" spans="1:14" ht="13.5" thickTop="1">
      <c r="A12" s="281" t="s">
        <v>164</v>
      </c>
      <c r="B12" s="54" t="s">
        <v>225</v>
      </c>
      <c r="C12" s="42">
        <v>0.54</v>
      </c>
      <c r="D12" s="43">
        <v>0</v>
      </c>
      <c r="E12" s="38">
        <f>'4D1_CH4_EF_DomesticWastewater'!$D$14</f>
        <v>0.3</v>
      </c>
      <c r="F12" s="108">
        <f>$M$12</f>
        <v>8178686.3999999994</v>
      </c>
      <c r="G12" s="47"/>
      <c r="H12" s="47"/>
      <c r="I12" s="14">
        <f>((C12*D12*E12)*(F12-G12))-H12</f>
        <v>0</v>
      </c>
      <c r="J12" s="32">
        <f>I12/(10^6)</f>
        <v>0</v>
      </c>
      <c r="L12" s="89">
        <f>'4B_N2O emission'!B12</f>
        <v>2011</v>
      </c>
      <c r="M12" s="108">
        <f>'4D1_TOW_DomesticWastewater'!E12</f>
        <v>8178686.3999999994</v>
      </c>
      <c r="N12" s="130">
        <f>J27</f>
        <v>0.58523408403839994</v>
      </c>
    </row>
    <row r="13" spans="1:14">
      <c r="A13" s="282"/>
      <c r="B13" s="55" t="s">
        <v>226</v>
      </c>
      <c r="C13" s="44">
        <v>0.54</v>
      </c>
      <c r="D13" s="45">
        <v>0.47</v>
      </c>
      <c r="E13" s="37">
        <f>'4D1_CH4_EF_DomesticWastewater'!$D$23</f>
        <v>0.06</v>
      </c>
      <c r="F13" s="108">
        <f t="shared" ref="F13:F26" si="0">$M$12</f>
        <v>8178686.3999999994</v>
      </c>
      <c r="G13" s="48"/>
      <c r="H13" s="48"/>
      <c r="I13" s="15">
        <f t="shared" ref="I13:I26" si="1">((C13*D13*E13)*(F13-G13))-H13</f>
        <v>124545.0364992</v>
      </c>
      <c r="J13" s="34">
        <f t="shared" ref="J13:J26" si="2">I13/(10^6)</f>
        <v>0.1245450364992</v>
      </c>
      <c r="L13" s="89">
        <f>'4B_N2O emission'!B13</f>
        <v>2012</v>
      </c>
      <c r="M13" s="108">
        <f>'4D1_TOW_DomesticWastewater'!E13</f>
        <v>8340571.2000000002</v>
      </c>
      <c r="N13" s="130">
        <f>J60</f>
        <v>0.5968179127872002</v>
      </c>
    </row>
    <row r="14" spans="1:14">
      <c r="A14" s="282"/>
      <c r="B14" s="53" t="s">
        <v>227</v>
      </c>
      <c r="C14" s="44">
        <v>0.54</v>
      </c>
      <c r="D14" s="45">
        <v>0</v>
      </c>
      <c r="E14" s="37">
        <f>'4D1_CH4_EF_DomesticWastewater'!$D$13</f>
        <v>0.06</v>
      </c>
      <c r="F14" s="108">
        <f t="shared" si="0"/>
        <v>8178686.3999999994</v>
      </c>
      <c r="G14" s="48"/>
      <c r="H14" s="48"/>
      <c r="I14" s="15">
        <f t="shared" si="1"/>
        <v>0</v>
      </c>
      <c r="J14" s="34">
        <f t="shared" si="2"/>
        <v>0</v>
      </c>
      <c r="L14" s="89">
        <f>'4B_N2O emission'!B14</f>
        <v>2013</v>
      </c>
      <c r="M14" s="108">
        <f>'4D1_TOW_DomesticWastewater'!E14</f>
        <v>8501901.1999999993</v>
      </c>
      <c r="N14" s="130">
        <f>J88</f>
        <v>0.60836204226719992</v>
      </c>
    </row>
    <row r="15" spans="1:14">
      <c r="A15" s="241"/>
      <c r="B15" s="53" t="s">
        <v>228</v>
      </c>
      <c r="C15" s="44">
        <v>0.54</v>
      </c>
      <c r="D15" s="46">
        <v>0.1</v>
      </c>
      <c r="E15" s="37">
        <f>'4D1_CH4_EF_DomesticWastewater'!$D$14</f>
        <v>0.3</v>
      </c>
      <c r="F15" s="108">
        <f t="shared" si="0"/>
        <v>8178686.3999999994</v>
      </c>
      <c r="G15" s="49"/>
      <c r="H15" s="49"/>
      <c r="I15" s="15">
        <f t="shared" si="1"/>
        <v>132494.71968000001</v>
      </c>
      <c r="J15" s="34">
        <f t="shared" si="2"/>
        <v>0.13249471968000001</v>
      </c>
      <c r="L15" s="89">
        <f>'4B_N2O emission'!B15</f>
        <v>2014</v>
      </c>
      <c r="M15" s="108">
        <f>'4D1_TOW_DomesticWastewater'!E15</f>
        <v>8659201.5999999996</v>
      </c>
      <c r="N15" s="130">
        <f>J116</f>
        <v>0.6196178296896</v>
      </c>
    </row>
    <row r="16" spans="1:14">
      <c r="A16" s="241"/>
      <c r="B16" s="53" t="s">
        <v>229</v>
      </c>
      <c r="C16" s="44">
        <v>0.54</v>
      </c>
      <c r="D16" s="46">
        <v>0.43</v>
      </c>
      <c r="E16" s="37">
        <v>0</v>
      </c>
      <c r="F16" s="108">
        <f t="shared" si="0"/>
        <v>8178686.3999999994</v>
      </c>
      <c r="G16" s="49"/>
      <c r="H16" s="49"/>
      <c r="I16" s="15">
        <f t="shared" si="1"/>
        <v>0</v>
      </c>
      <c r="J16" s="34">
        <f t="shared" si="2"/>
        <v>0</v>
      </c>
      <c r="L16" s="89">
        <f>'4B_N2O emission'!B16</f>
        <v>2015</v>
      </c>
      <c r="M16" s="108">
        <f>'4D1_TOW_DomesticWastewater'!E16</f>
        <v>8812180.4000000004</v>
      </c>
      <c r="N16" s="130">
        <f>J144</f>
        <v>0.63056438070240006</v>
      </c>
    </row>
    <row r="17" spans="1:14">
      <c r="A17" s="241" t="s">
        <v>165</v>
      </c>
      <c r="B17" s="53" t="s">
        <v>225</v>
      </c>
      <c r="C17" s="44">
        <v>0.12</v>
      </c>
      <c r="D17" s="46">
        <v>0.18</v>
      </c>
      <c r="E17" s="37">
        <f>'4D1_CH4_EF_DomesticWastewater'!$D$22</f>
        <v>0.3</v>
      </c>
      <c r="F17" s="108">
        <f t="shared" si="0"/>
        <v>8178686.3999999994</v>
      </c>
      <c r="G17" s="49"/>
      <c r="H17" s="49"/>
      <c r="I17" s="15">
        <f t="shared" si="1"/>
        <v>52997.887871999985</v>
      </c>
      <c r="J17" s="34">
        <f t="shared" si="2"/>
        <v>5.2997887871999987E-2</v>
      </c>
      <c r="L17" s="89">
        <f>'4B_N2O emission'!B17</f>
        <v>2016</v>
      </c>
      <c r="M17" s="108">
        <f>'4D1_TOW_DomesticWastewater'!E17</f>
        <v>8963932.7999999989</v>
      </c>
      <c r="N17" s="130">
        <f>J172</f>
        <v>0.64142317543680005</v>
      </c>
    </row>
    <row r="18" spans="1:14">
      <c r="A18" s="241"/>
      <c r="B18" s="53" t="s">
        <v>226</v>
      </c>
      <c r="C18" s="44">
        <v>0.12</v>
      </c>
      <c r="D18" s="46">
        <v>0.08</v>
      </c>
      <c r="E18" s="37">
        <f>'4D1_CH4_EF_DomesticWastewater'!$D$23</f>
        <v>0.06</v>
      </c>
      <c r="F18" s="108">
        <f t="shared" si="0"/>
        <v>8178686.3999999994</v>
      </c>
      <c r="G18" s="49"/>
      <c r="H18" s="49"/>
      <c r="I18" s="15">
        <f t="shared" si="1"/>
        <v>4710.9233663999985</v>
      </c>
      <c r="J18" s="34">
        <f t="shared" si="2"/>
        <v>4.7109233663999986E-3</v>
      </c>
      <c r="L18" s="89">
        <f>'4B_N2O emission'!B18</f>
        <v>2017</v>
      </c>
      <c r="M18" s="108">
        <f>'4D1_TOW_DomesticWastewater'!E18</f>
        <v>9314639.4000000004</v>
      </c>
      <c r="N18" s="130">
        <f>J200</f>
        <v>0.66651833690640006</v>
      </c>
    </row>
    <row r="19" spans="1:14">
      <c r="A19" s="241"/>
      <c r="B19" s="53" t="s">
        <v>227</v>
      </c>
      <c r="C19" s="44">
        <v>0.12</v>
      </c>
      <c r="D19" s="46">
        <v>0</v>
      </c>
      <c r="E19" s="37">
        <f>'4D1_CH4_EF_DomesticWastewater'!$D$13</f>
        <v>0.06</v>
      </c>
      <c r="F19" s="108">
        <f t="shared" si="0"/>
        <v>8178686.3999999994</v>
      </c>
      <c r="G19" s="49"/>
      <c r="H19" s="49"/>
      <c r="I19" s="15">
        <f t="shared" si="1"/>
        <v>0</v>
      </c>
      <c r="J19" s="34">
        <f t="shared" si="2"/>
        <v>0</v>
      </c>
      <c r="L19" s="89">
        <f>'4B_N2O emission'!B19</f>
        <v>2018</v>
      </c>
      <c r="M19" s="108">
        <f>'4D1_TOW_DomesticWastewater'!E19</f>
        <v>9535084.7999999989</v>
      </c>
      <c r="N19" s="130">
        <f>J228</f>
        <v>0.68229252794880013</v>
      </c>
    </row>
    <row r="20" spans="1:14">
      <c r="A20" s="241"/>
      <c r="B20" s="53" t="s">
        <v>228</v>
      </c>
      <c r="C20" s="44">
        <v>0.12</v>
      </c>
      <c r="D20" s="46">
        <v>0.74</v>
      </c>
      <c r="E20" s="37">
        <f>'4D1_CH4_EF_DomesticWastewater'!$D$13</f>
        <v>0.06</v>
      </c>
      <c r="F20" s="108">
        <f t="shared" si="0"/>
        <v>8178686.3999999994</v>
      </c>
      <c r="G20" s="49"/>
      <c r="H20" s="49"/>
      <c r="I20" s="15">
        <f t="shared" si="1"/>
        <v>43576.041139199995</v>
      </c>
      <c r="J20" s="34">
        <f t="shared" si="2"/>
        <v>4.3576041139199995E-2</v>
      </c>
      <c r="L20" s="89">
        <f>'4B_N2O emission'!B20</f>
        <v>2019</v>
      </c>
      <c r="M20" s="108">
        <f>'4D1_TOW_DomesticWastewater'!E20</f>
        <v>9755530.1999999993</v>
      </c>
      <c r="N20" s="130">
        <f>J256</f>
        <v>0.69806671899119999</v>
      </c>
    </row>
    <row r="21" spans="1:14">
      <c r="A21" s="241"/>
      <c r="B21" s="53" t="s">
        <v>229</v>
      </c>
      <c r="C21" s="44">
        <v>0.12</v>
      </c>
      <c r="D21" s="46">
        <v>0</v>
      </c>
      <c r="E21" s="37">
        <v>0</v>
      </c>
      <c r="F21" s="108">
        <f t="shared" si="0"/>
        <v>8178686.3999999994</v>
      </c>
      <c r="G21" s="49"/>
      <c r="H21" s="49"/>
      <c r="I21" s="15">
        <f t="shared" si="1"/>
        <v>0</v>
      </c>
      <c r="J21" s="34">
        <f t="shared" si="2"/>
        <v>0</v>
      </c>
      <c r="L21" s="89">
        <f>'4B_N2O emission'!B21</f>
        <v>2020</v>
      </c>
      <c r="M21" s="108">
        <f>'4D1_TOW_DomesticWastewater'!E21</f>
        <v>9975975.5999999996</v>
      </c>
      <c r="N21" s="130">
        <f>J284</f>
        <v>0.71384091003359995</v>
      </c>
    </row>
    <row r="22" spans="1:14">
      <c r="A22" s="241" t="s">
        <v>166</v>
      </c>
      <c r="B22" s="53" t="s">
        <v>225</v>
      </c>
      <c r="C22" s="44">
        <v>0.34</v>
      </c>
      <c r="D22" s="46">
        <v>0.14000000000000001</v>
      </c>
      <c r="E22" s="37">
        <f>'4D1_CH4_EF_DomesticWastewater'!$D$22</f>
        <v>0.3</v>
      </c>
      <c r="F22" s="108">
        <f t="shared" si="0"/>
        <v>8178686.3999999994</v>
      </c>
      <c r="G22" s="49"/>
      <c r="H22" s="49"/>
      <c r="I22" s="15">
        <f t="shared" si="1"/>
        <v>116791.64179200001</v>
      </c>
      <c r="J22" s="34">
        <f t="shared" si="2"/>
        <v>0.11679164179200001</v>
      </c>
      <c r="L22" s="89">
        <f>'4B_N2O emission'!B22</f>
        <v>2021</v>
      </c>
      <c r="M22" s="108">
        <f>'4D1_TOW_DomesticWastewater'!E22</f>
        <v>10196421</v>
      </c>
      <c r="N22" s="130">
        <f>J312</f>
        <v>0.72961510107600003</v>
      </c>
    </row>
    <row r="23" spans="1:14">
      <c r="A23" s="241"/>
      <c r="B23" s="53" t="s">
        <v>226</v>
      </c>
      <c r="C23" s="44">
        <v>0.34</v>
      </c>
      <c r="D23" s="46">
        <v>0.1</v>
      </c>
      <c r="E23" s="37">
        <f>'4D1_CH4_EF_DomesticWastewater'!$D$23</f>
        <v>0.06</v>
      </c>
      <c r="F23" s="108">
        <f t="shared" si="0"/>
        <v>8178686.3999999994</v>
      </c>
      <c r="G23" s="49"/>
      <c r="H23" s="49"/>
      <c r="I23" s="15">
        <f t="shared" si="1"/>
        <v>16684.520256</v>
      </c>
      <c r="J23" s="34">
        <f t="shared" si="2"/>
        <v>1.6684520256E-2</v>
      </c>
      <c r="L23" s="89">
        <f>'4B_N2O emission'!B23</f>
        <v>2022</v>
      </c>
      <c r="M23" s="108">
        <f>'4D1_TOW_DomesticWastewater'!E23</f>
        <v>10416866.4</v>
      </c>
      <c r="N23" s="130">
        <f>J340</f>
        <v>0.7453892921184001</v>
      </c>
    </row>
    <row r="24" spans="1:14">
      <c r="A24" s="241"/>
      <c r="B24" s="53" t="s">
        <v>227</v>
      </c>
      <c r="C24" s="44">
        <v>0.34</v>
      </c>
      <c r="D24" s="46">
        <v>0.03</v>
      </c>
      <c r="E24" s="37">
        <f>'4D1_CH4_EF_DomesticWastewater'!$D$13</f>
        <v>0.06</v>
      </c>
      <c r="F24" s="108">
        <f t="shared" si="0"/>
        <v>8178686.3999999994</v>
      </c>
      <c r="G24" s="49"/>
      <c r="H24" s="49"/>
      <c r="I24" s="15">
        <f t="shared" si="1"/>
        <v>5005.3560767999998</v>
      </c>
      <c r="J24" s="34">
        <f t="shared" si="2"/>
        <v>5.0053560767999994E-3</v>
      </c>
      <c r="L24" s="89">
        <f>'4B_N2O emission'!B24</f>
        <v>2023</v>
      </c>
      <c r="M24" s="108">
        <f>'4D1_TOW_DomesticWastewater'!E24</f>
        <v>10637311.799999999</v>
      </c>
      <c r="N24" s="130">
        <f>J368</f>
        <v>0.76116348316079985</v>
      </c>
    </row>
    <row r="25" spans="1:14">
      <c r="A25" s="241"/>
      <c r="B25" s="53" t="s">
        <v>228</v>
      </c>
      <c r="C25" s="44">
        <v>0.34</v>
      </c>
      <c r="D25" s="46">
        <v>0.53</v>
      </c>
      <c r="E25" s="37">
        <f>'4D1_CH4_EF_DomesticWastewater'!$D$13</f>
        <v>0.06</v>
      </c>
      <c r="F25" s="108">
        <f t="shared" si="0"/>
        <v>8178686.3999999994</v>
      </c>
      <c r="G25" s="49"/>
      <c r="H25" s="49"/>
      <c r="I25" s="15">
        <f t="shared" si="1"/>
        <v>88427.957356799991</v>
      </c>
      <c r="J25" s="34">
        <f t="shared" si="2"/>
        <v>8.8427957356799994E-2</v>
      </c>
      <c r="L25" s="89">
        <f>'4B_N2O emission'!B25</f>
        <v>2024</v>
      </c>
      <c r="M25" s="108">
        <f>'4D1_TOW_DomesticWastewater'!E25</f>
        <v>10857757.199999999</v>
      </c>
      <c r="N25" s="130">
        <f>J396</f>
        <v>0.77693767420319981</v>
      </c>
    </row>
    <row r="26" spans="1:14">
      <c r="A26" s="241"/>
      <c r="B26" s="53" t="s">
        <v>229</v>
      </c>
      <c r="C26" s="44">
        <v>0.34</v>
      </c>
      <c r="D26" s="46">
        <v>0.2</v>
      </c>
      <c r="E26" s="37">
        <v>0</v>
      </c>
      <c r="F26" s="108">
        <f t="shared" si="0"/>
        <v>8178686.3999999994</v>
      </c>
      <c r="G26" s="49"/>
      <c r="H26" s="49"/>
      <c r="I26" s="15">
        <f t="shared" si="1"/>
        <v>0</v>
      </c>
      <c r="J26" s="34">
        <f t="shared" si="2"/>
        <v>0</v>
      </c>
      <c r="L26" s="89">
        <f>'4B_N2O emission'!B26</f>
        <v>2025</v>
      </c>
      <c r="M26" s="108">
        <f>'4D1_TOW_DomesticWastewater'!E26</f>
        <v>11078202.6</v>
      </c>
      <c r="N26" s="130">
        <f>J424</f>
        <v>0.7927118652456</v>
      </c>
    </row>
    <row r="27" spans="1:14">
      <c r="A27" s="278" t="s">
        <v>290</v>
      </c>
      <c r="B27" s="278"/>
      <c r="C27" s="278"/>
      <c r="D27" s="278"/>
      <c r="E27" s="278"/>
      <c r="F27" s="278"/>
      <c r="G27" s="278"/>
      <c r="H27" s="278"/>
      <c r="I27" s="109">
        <f>SUM(I12:I26)</f>
        <v>585234.08403839997</v>
      </c>
      <c r="J27" s="110">
        <f>SUM(J12:J26)</f>
        <v>0.58523408403839994</v>
      </c>
      <c r="L27" s="89">
        <f>'4B_N2O emission'!B27</f>
        <v>2026</v>
      </c>
      <c r="M27" s="108">
        <f>'4D1_TOW_DomesticWastewater'!E27</f>
        <v>11298648</v>
      </c>
      <c r="N27" s="130">
        <f>J452</f>
        <v>0.80848605628800008</v>
      </c>
    </row>
    <row r="28" spans="1:14">
      <c r="L28" s="89">
        <f>'4B_N2O emission'!B28</f>
        <v>2027</v>
      </c>
      <c r="M28" s="108">
        <f>'4D1_TOW_DomesticWastewater'!E28</f>
        <v>11519093.4</v>
      </c>
      <c r="N28" s="130">
        <f>J480</f>
        <v>0.82426024733040015</v>
      </c>
    </row>
    <row r="29" spans="1:14">
      <c r="L29" s="89">
        <f>'4B_N2O emission'!B29</f>
        <v>2028</v>
      </c>
      <c r="M29" s="108">
        <f>'4D1_TOW_DomesticWastewater'!E29</f>
        <v>11739538.799999999</v>
      </c>
      <c r="N29" s="130">
        <f>J508</f>
        <v>0.8400344383727999</v>
      </c>
    </row>
    <row r="30" spans="1:14">
      <c r="L30" s="89">
        <f>'4B_N2O emission'!B30</f>
        <v>2029</v>
      </c>
      <c r="M30" s="108">
        <f>'4D1_TOW_DomesticWastewater'!E30</f>
        <v>11959984.199999999</v>
      </c>
      <c r="N30" s="130">
        <f>J536</f>
        <v>0.85580862941519997</v>
      </c>
    </row>
    <row r="31" spans="1:14">
      <c r="L31" s="89">
        <f>'4B_N2O emission'!B31</f>
        <v>2030</v>
      </c>
      <c r="M31" s="108">
        <f>'4D1_TOW_DomesticWastewater'!E31</f>
        <v>12180429.6</v>
      </c>
      <c r="N31" s="130">
        <f>J564</f>
        <v>0.87158282045759994</v>
      </c>
    </row>
    <row r="32" spans="1:14">
      <c r="F32" s="91" t="s">
        <v>248</v>
      </c>
      <c r="L32" s="89">
        <f>'4B_N2O emission'!B32</f>
        <v>2031</v>
      </c>
      <c r="M32" s="108">
        <f>'4D1_TOW_DomesticWastewater'!E32</f>
        <v>0</v>
      </c>
      <c r="N32" s="110"/>
    </row>
    <row r="35" spans="1:10">
      <c r="A35" s="279" t="s">
        <v>0</v>
      </c>
      <c r="B35" s="280"/>
      <c r="C35" s="199" t="s">
        <v>1</v>
      </c>
      <c r="D35" s="283"/>
      <c r="E35" s="283"/>
      <c r="F35" s="283"/>
      <c r="G35" s="283"/>
      <c r="H35" s="283"/>
      <c r="I35" s="283"/>
    </row>
    <row r="36" spans="1:10">
      <c r="A36" s="279" t="s">
        <v>2</v>
      </c>
      <c r="B36" s="280"/>
      <c r="C36" s="199" t="s">
        <v>117</v>
      </c>
      <c r="D36" s="283"/>
      <c r="E36" s="283"/>
      <c r="F36" s="283"/>
      <c r="G36" s="283"/>
      <c r="H36" s="283"/>
      <c r="I36" s="283"/>
    </row>
    <row r="37" spans="1:10">
      <c r="A37" s="279" t="s">
        <v>4</v>
      </c>
      <c r="B37" s="280"/>
      <c r="C37" s="199" t="s">
        <v>118</v>
      </c>
      <c r="D37" s="283"/>
      <c r="E37" s="283"/>
      <c r="F37" s="283"/>
      <c r="G37" s="283"/>
      <c r="H37" s="283"/>
      <c r="I37" s="283"/>
    </row>
    <row r="38" spans="1:10">
      <c r="A38" s="279" t="s">
        <v>6</v>
      </c>
      <c r="B38" s="280"/>
      <c r="C38" s="199" t="s">
        <v>145</v>
      </c>
      <c r="D38" s="283"/>
      <c r="E38" s="283"/>
      <c r="F38" s="283"/>
      <c r="G38" s="283"/>
      <c r="H38" s="283"/>
      <c r="I38" s="283"/>
    </row>
    <row r="39" spans="1:10">
      <c r="A39" s="231" t="s">
        <v>10</v>
      </c>
      <c r="B39" s="268"/>
      <c r="C39" s="268"/>
      <c r="D39" s="268"/>
      <c r="E39" s="268"/>
      <c r="F39" s="268"/>
      <c r="G39" s="268"/>
      <c r="H39" s="268"/>
      <c r="I39" s="268"/>
      <c r="J39" s="107"/>
    </row>
    <row r="40" spans="1:10">
      <c r="A40" s="59"/>
      <c r="B40" s="59"/>
      <c r="C40" s="7" t="s">
        <v>11</v>
      </c>
      <c r="D40" s="7" t="s">
        <v>12</v>
      </c>
      <c r="E40" s="7" t="s">
        <v>13</v>
      </c>
      <c r="F40" s="7" t="s">
        <v>14</v>
      </c>
      <c r="G40" s="7" t="s">
        <v>15</v>
      </c>
      <c r="H40" s="7" t="s">
        <v>58</v>
      </c>
      <c r="I40" s="7" t="s">
        <v>78</v>
      </c>
      <c r="J40" s="89" t="s">
        <v>79</v>
      </c>
    </row>
    <row r="41" spans="1:10" ht="51">
      <c r="A41" s="209" t="s">
        <v>146</v>
      </c>
      <c r="B41" s="209" t="s">
        <v>147</v>
      </c>
      <c r="C41" s="59" t="s">
        <v>148</v>
      </c>
      <c r="D41" s="59" t="s">
        <v>149</v>
      </c>
      <c r="E41" s="59" t="s">
        <v>150</v>
      </c>
      <c r="F41" s="59" t="s">
        <v>123</v>
      </c>
      <c r="G41" s="59" t="s">
        <v>151</v>
      </c>
      <c r="H41" s="59" t="s">
        <v>152</v>
      </c>
      <c r="I41" s="59" t="s">
        <v>153</v>
      </c>
      <c r="J41" s="59" t="s">
        <v>153</v>
      </c>
    </row>
    <row r="42" spans="1:10" ht="15.75">
      <c r="A42" s="209"/>
      <c r="B42" s="209"/>
      <c r="C42" s="76" t="s">
        <v>154</v>
      </c>
      <c r="D42" s="76" t="s">
        <v>155</v>
      </c>
      <c r="E42" s="76" t="s">
        <v>156</v>
      </c>
      <c r="F42" s="76" t="s">
        <v>127</v>
      </c>
      <c r="G42" s="76" t="s">
        <v>157</v>
      </c>
      <c r="H42" s="76" t="s">
        <v>158</v>
      </c>
      <c r="I42" s="76" t="s">
        <v>159</v>
      </c>
      <c r="J42" s="76" t="s">
        <v>159</v>
      </c>
    </row>
    <row r="43" spans="1:10" ht="28.5">
      <c r="A43" s="209"/>
      <c r="B43" s="209"/>
      <c r="C43" s="8" t="s">
        <v>44</v>
      </c>
      <c r="D43" s="8" t="s">
        <v>44</v>
      </c>
      <c r="E43" s="8" t="s">
        <v>142</v>
      </c>
      <c r="F43" s="8" t="s">
        <v>130</v>
      </c>
      <c r="G43" s="8" t="s">
        <v>130</v>
      </c>
      <c r="H43" s="8" t="s">
        <v>160</v>
      </c>
      <c r="I43" s="8" t="s">
        <v>160</v>
      </c>
      <c r="J43" s="8" t="s">
        <v>231</v>
      </c>
    </row>
    <row r="44" spans="1:10" ht="24.75" thickBot="1">
      <c r="A44" s="225"/>
      <c r="B44" s="225"/>
      <c r="C44" s="5"/>
      <c r="D44" s="5"/>
      <c r="E44" s="5" t="s">
        <v>161</v>
      </c>
      <c r="F44" s="5" t="s">
        <v>162</v>
      </c>
      <c r="G44" s="5"/>
      <c r="H44" s="5"/>
      <c r="I44" s="9" t="s">
        <v>163</v>
      </c>
      <c r="J44" s="35"/>
    </row>
    <row r="45" spans="1:10" ht="13.5" thickTop="1">
      <c r="A45" s="281" t="s">
        <v>164</v>
      </c>
      <c r="B45" s="54" t="s">
        <v>225</v>
      </c>
      <c r="C45" s="42">
        <v>0.54</v>
      </c>
      <c r="D45" s="43">
        <v>0</v>
      </c>
      <c r="E45" s="38">
        <f>'4D1_CH4_EF_DomesticWastewater'!$D$14</f>
        <v>0.3</v>
      </c>
      <c r="F45" s="108">
        <f>$M$13</f>
        <v>8340571.2000000002</v>
      </c>
      <c r="G45" s="47"/>
      <c r="H45" s="47"/>
      <c r="I45" s="14">
        <f>((C45*D45*E45)*(F45-G45))-H45</f>
        <v>0</v>
      </c>
      <c r="J45" s="32">
        <f>I45/(10^6)</f>
        <v>0</v>
      </c>
    </row>
    <row r="46" spans="1:10">
      <c r="A46" s="282"/>
      <c r="B46" s="55" t="s">
        <v>226</v>
      </c>
      <c r="C46" s="44">
        <v>0.54</v>
      </c>
      <c r="D46" s="45">
        <v>0.47</v>
      </c>
      <c r="E46" s="37">
        <f>'4D1_CH4_EF_DomesticWastewater'!$D$23</f>
        <v>0.06</v>
      </c>
      <c r="F46" s="108">
        <f t="shared" ref="F46:F59" si="3">$M$13</f>
        <v>8340571.2000000002</v>
      </c>
      <c r="G46" s="48"/>
      <c r="H46" s="48"/>
      <c r="I46" s="15">
        <f t="shared" ref="I46:I59" si="4">((C46*D46*E46)*(F46-G46))-H46</f>
        <v>127010.21823360001</v>
      </c>
      <c r="J46" s="34">
        <f t="shared" ref="J46:J59" si="5">I46/(10^6)</f>
        <v>0.12701021823360001</v>
      </c>
    </row>
    <row r="47" spans="1:10">
      <c r="A47" s="282"/>
      <c r="B47" s="53" t="s">
        <v>227</v>
      </c>
      <c r="C47" s="44">
        <v>0.54</v>
      </c>
      <c r="D47" s="45">
        <v>0</v>
      </c>
      <c r="E47" s="37">
        <f>'4D1_CH4_EF_DomesticWastewater'!$D$13</f>
        <v>0.06</v>
      </c>
      <c r="F47" s="108">
        <f t="shared" si="3"/>
        <v>8340571.2000000002</v>
      </c>
      <c r="G47" s="48"/>
      <c r="H47" s="48"/>
      <c r="I47" s="15">
        <f t="shared" si="4"/>
        <v>0</v>
      </c>
      <c r="J47" s="34">
        <f t="shared" si="5"/>
        <v>0</v>
      </c>
    </row>
    <row r="48" spans="1:10">
      <c r="A48" s="241"/>
      <c r="B48" s="53" t="s">
        <v>228</v>
      </c>
      <c r="C48" s="44">
        <v>0.54</v>
      </c>
      <c r="D48" s="46">
        <v>0.1</v>
      </c>
      <c r="E48" s="37">
        <f>'4D1_CH4_EF_DomesticWastewater'!$D$14</f>
        <v>0.3</v>
      </c>
      <c r="F48" s="108">
        <f t="shared" si="3"/>
        <v>8340571.2000000002</v>
      </c>
      <c r="G48" s="49"/>
      <c r="H48" s="49"/>
      <c r="I48" s="15">
        <f t="shared" si="4"/>
        <v>135117.25344000003</v>
      </c>
      <c r="J48" s="34">
        <f t="shared" si="5"/>
        <v>0.13511725344000003</v>
      </c>
    </row>
    <row r="49" spans="1:10">
      <c r="A49" s="241"/>
      <c r="B49" s="53" t="s">
        <v>229</v>
      </c>
      <c r="C49" s="44">
        <v>0.54</v>
      </c>
      <c r="D49" s="46">
        <v>0.43</v>
      </c>
      <c r="E49" s="37">
        <v>0</v>
      </c>
      <c r="F49" s="108">
        <f t="shared" si="3"/>
        <v>8340571.2000000002</v>
      </c>
      <c r="G49" s="49"/>
      <c r="H49" s="49"/>
      <c r="I49" s="15">
        <f t="shared" si="4"/>
        <v>0</v>
      </c>
      <c r="J49" s="34">
        <f t="shared" si="5"/>
        <v>0</v>
      </c>
    </row>
    <row r="50" spans="1:10">
      <c r="A50" s="241" t="s">
        <v>165</v>
      </c>
      <c r="B50" s="53" t="s">
        <v>225</v>
      </c>
      <c r="C50" s="44">
        <v>0.12</v>
      </c>
      <c r="D50" s="46">
        <v>0.18</v>
      </c>
      <c r="E50" s="37">
        <f>'4D1_CH4_EF_DomesticWastewater'!$D$22</f>
        <v>0.3</v>
      </c>
      <c r="F50" s="108">
        <f t="shared" si="3"/>
        <v>8340571.2000000002</v>
      </c>
      <c r="G50" s="49"/>
      <c r="H50" s="49"/>
      <c r="I50" s="15">
        <f t="shared" si="4"/>
        <v>54046.901375999994</v>
      </c>
      <c r="J50" s="34">
        <f t="shared" si="5"/>
        <v>5.4046901375999996E-2</v>
      </c>
    </row>
    <row r="51" spans="1:10">
      <c r="A51" s="241"/>
      <c r="B51" s="53" t="s">
        <v>226</v>
      </c>
      <c r="C51" s="44">
        <v>0.12</v>
      </c>
      <c r="D51" s="46">
        <v>0.08</v>
      </c>
      <c r="E51" s="37">
        <f>'4D1_CH4_EF_DomesticWastewater'!$D$23</f>
        <v>0.06</v>
      </c>
      <c r="F51" s="108">
        <f t="shared" si="3"/>
        <v>8340571.2000000002</v>
      </c>
      <c r="G51" s="49"/>
      <c r="H51" s="49"/>
      <c r="I51" s="15">
        <f t="shared" si="4"/>
        <v>4804.1690111999997</v>
      </c>
      <c r="J51" s="34">
        <f t="shared" si="5"/>
        <v>4.8041690111999998E-3</v>
      </c>
    </row>
    <row r="52" spans="1:10">
      <c r="A52" s="241"/>
      <c r="B52" s="53" t="s">
        <v>227</v>
      </c>
      <c r="C52" s="44">
        <v>0.12</v>
      </c>
      <c r="D52" s="46">
        <v>0</v>
      </c>
      <c r="E52" s="37">
        <f>'4D1_CH4_EF_DomesticWastewater'!$D$13</f>
        <v>0.06</v>
      </c>
      <c r="F52" s="108">
        <f t="shared" si="3"/>
        <v>8340571.2000000002</v>
      </c>
      <c r="G52" s="49"/>
      <c r="H52" s="49"/>
      <c r="I52" s="15">
        <f t="shared" si="4"/>
        <v>0</v>
      </c>
      <c r="J52" s="34">
        <f t="shared" si="5"/>
        <v>0</v>
      </c>
    </row>
    <row r="53" spans="1:10">
      <c r="A53" s="241"/>
      <c r="B53" s="53" t="s">
        <v>228</v>
      </c>
      <c r="C53" s="44">
        <v>0.12</v>
      </c>
      <c r="D53" s="46">
        <v>0.74</v>
      </c>
      <c r="E53" s="37">
        <f>'4D1_CH4_EF_DomesticWastewater'!$D$13</f>
        <v>0.06</v>
      </c>
      <c r="F53" s="108">
        <f t="shared" si="3"/>
        <v>8340571.2000000002</v>
      </c>
      <c r="G53" s="49"/>
      <c r="H53" s="49"/>
      <c r="I53" s="15">
        <f t="shared" si="4"/>
        <v>44438.563353599995</v>
      </c>
      <c r="J53" s="34">
        <f t="shared" si="5"/>
        <v>4.4438563353599997E-2</v>
      </c>
    </row>
    <row r="54" spans="1:10">
      <c r="A54" s="241"/>
      <c r="B54" s="53" t="s">
        <v>229</v>
      </c>
      <c r="C54" s="44">
        <v>0.12</v>
      </c>
      <c r="D54" s="46">
        <v>0</v>
      </c>
      <c r="E54" s="37">
        <v>0</v>
      </c>
      <c r="F54" s="108">
        <f t="shared" si="3"/>
        <v>8340571.2000000002</v>
      </c>
      <c r="G54" s="49"/>
      <c r="H54" s="49"/>
      <c r="I54" s="15">
        <f t="shared" si="4"/>
        <v>0</v>
      </c>
      <c r="J54" s="34">
        <f t="shared" si="5"/>
        <v>0</v>
      </c>
    </row>
    <row r="55" spans="1:10">
      <c r="A55" s="241" t="s">
        <v>166</v>
      </c>
      <c r="B55" s="53" t="s">
        <v>225</v>
      </c>
      <c r="C55" s="44">
        <v>0.34</v>
      </c>
      <c r="D55" s="46">
        <v>0.14000000000000001</v>
      </c>
      <c r="E55" s="37">
        <f>'4D1_CH4_EF_DomesticWastewater'!$D$22</f>
        <v>0.3</v>
      </c>
      <c r="F55" s="108">
        <f t="shared" si="3"/>
        <v>8340571.2000000002</v>
      </c>
      <c r="G55" s="49"/>
      <c r="H55" s="49"/>
      <c r="I55" s="15">
        <f t="shared" si="4"/>
        <v>119103.35673600003</v>
      </c>
      <c r="J55" s="34">
        <f t="shared" si="5"/>
        <v>0.11910335673600003</v>
      </c>
    </row>
    <row r="56" spans="1:10">
      <c r="A56" s="241"/>
      <c r="B56" s="53" t="s">
        <v>226</v>
      </c>
      <c r="C56" s="44">
        <v>0.34</v>
      </c>
      <c r="D56" s="46">
        <v>0.1</v>
      </c>
      <c r="E56" s="37">
        <f>'4D1_CH4_EF_DomesticWastewater'!$D$23</f>
        <v>0.06</v>
      </c>
      <c r="F56" s="108">
        <f t="shared" si="3"/>
        <v>8340571.2000000002</v>
      </c>
      <c r="G56" s="49"/>
      <c r="H56" s="49"/>
      <c r="I56" s="15">
        <f t="shared" si="4"/>
        <v>17014.765248000003</v>
      </c>
      <c r="J56" s="34">
        <f t="shared" si="5"/>
        <v>1.7014765248000004E-2</v>
      </c>
    </row>
    <row r="57" spans="1:10">
      <c r="A57" s="241"/>
      <c r="B57" s="53" t="s">
        <v>227</v>
      </c>
      <c r="C57" s="44">
        <v>0.34</v>
      </c>
      <c r="D57" s="46">
        <v>0.03</v>
      </c>
      <c r="E57" s="37">
        <f>'4D1_CH4_EF_DomesticWastewater'!$D$13</f>
        <v>0.06</v>
      </c>
      <c r="F57" s="108">
        <f t="shared" si="3"/>
        <v>8340571.2000000002</v>
      </c>
      <c r="G57" s="49"/>
      <c r="H57" s="49"/>
      <c r="I57" s="15">
        <f t="shared" si="4"/>
        <v>5104.4295744000001</v>
      </c>
      <c r="J57" s="34">
        <f t="shared" si="5"/>
        <v>5.1044295744000004E-3</v>
      </c>
    </row>
    <row r="58" spans="1:10">
      <c r="A58" s="241"/>
      <c r="B58" s="53" t="s">
        <v>228</v>
      </c>
      <c r="C58" s="44">
        <v>0.34</v>
      </c>
      <c r="D58" s="46">
        <v>0.53</v>
      </c>
      <c r="E58" s="37">
        <f>'4D1_CH4_EF_DomesticWastewater'!$D$13</f>
        <v>0.06</v>
      </c>
      <c r="F58" s="108">
        <f t="shared" si="3"/>
        <v>8340571.2000000002</v>
      </c>
      <c r="G58" s="49"/>
      <c r="H58" s="49"/>
      <c r="I58" s="15">
        <f t="shared" si="4"/>
        <v>90178.255814400007</v>
      </c>
      <c r="J58" s="34">
        <f t="shared" si="5"/>
        <v>9.0178255814400005E-2</v>
      </c>
    </row>
    <row r="59" spans="1:10">
      <c r="A59" s="241"/>
      <c r="B59" s="53" t="s">
        <v>229</v>
      </c>
      <c r="C59" s="44">
        <v>0.34</v>
      </c>
      <c r="D59" s="46">
        <v>0.2</v>
      </c>
      <c r="E59" s="37">
        <v>0</v>
      </c>
      <c r="F59" s="108">
        <f t="shared" si="3"/>
        <v>8340571.2000000002</v>
      </c>
      <c r="G59" s="49"/>
      <c r="H59" s="49"/>
      <c r="I59" s="15">
        <f t="shared" si="4"/>
        <v>0</v>
      </c>
      <c r="J59" s="34">
        <f t="shared" si="5"/>
        <v>0</v>
      </c>
    </row>
    <row r="60" spans="1:10">
      <c r="A60" s="278" t="s">
        <v>291</v>
      </c>
      <c r="B60" s="278"/>
      <c r="C60" s="278"/>
      <c r="D60" s="278"/>
      <c r="E60" s="278"/>
      <c r="F60" s="278"/>
      <c r="G60" s="278"/>
      <c r="H60" s="278"/>
      <c r="I60" s="109">
        <f>SUM(I45:I59)</f>
        <v>596817.91278720007</v>
      </c>
      <c r="J60" s="110">
        <f>SUM(J45:J59)</f>
        <v>0.5968179127872002</v>
      </c>
    </row>
    <row r="63" spans="1:10">
      <c r="A63" s="279" t="s">
        <v>0</v>
      </c>
      <c r="B63" s="280"/>
      <c r="C63" s="199" t="s">
        <v>1</v>
      </c>
      <c r="D63" s="283"/>
      <c r="E63" s="283"/>
      <c r="F63" s="283"/>
      <c r="G63" s="283"/>
      <c r="H63" s="283"/>
      <c r="I63" s="283"/>
    </row>
    <row r="64" spans="1:10">
      <c r="A64" s="279" t="s">
        <v>2</v>
      </c>
      <c r="B64" s="280"/>
      <c r="C64" s="199" t="s">
        <v>117</v>
      </c>
      <c r="D64" s="283"/>
      <c r="E64" s="283"/>
      <c r="F64" s="283"/>
      <c r="G64" s="283"/>
      <c r="H64" s="283"/>
      <c r="I64" s="283"/>
    </row>
    <row r="65" spans="1:10">
      <c r="A65" s="279" t="s">
        <v>4</v>
      </c>
      <c r="B65" s="280"/>
      <c r="C65" s="199" t="s">
        <v>118</v>
      </c>
      <c r="D65" s="283"/>
      <c r="E65" s="283"/>
      <c r="F65" s="283"/>
      <c r="G65" s="283"/>
      <c r="H65" s="283"/>
      <c r="I65" s="283"/>
    </row>
    <row r="66" spans="1:10">
      <c r="A66" s="279" t="s">
        <v>6</v>
      </c>
      <c r="B66" s="280"/>
      <c r="C66" s="199" t="s">
        <v>145</v>
      </c>
      <c r="D66" s="283"/>
      <c r="E66" s="283"/>
      <c r="F66" s="283"/>
      <c r="G66" s="283"/>
      <c r="H66" s="283"/>
      <c r="I66" s="283"/>
    </row>
    <row r="67" spans="1:10">
      <c r="A67" s="231" t="s">
        <v>10</v>
      </c>
      <c r="B67" s="268"/>
      <c r="C67" s="268"/>
      <c r="D67" s="268"/>
      <c r="E67" s="268"/>
      <c r="F67" s="268"/>
      <c r="G67" s="268"/>
      <c r="H67" s="268"/>
      <c r="I67" s="268"/>
      <c r="J67" s="107"/>
    </row>
    <row r="68" spans="1:10">
      <c r="A68" s="59"/>
      <c r="B68" s="59"/>
      <c r="C68" s="7" t="s">
        <v>11</v>
      </c>
      <c r="D68" s="7" t="s">
        <v>12</v>
      </c>
      <c r="E68" s="7" t="s">
        <v>13</v>
      </c>
      <c r="F68" s="7" t="s">
        <v>14</v>
      </c>
      <c r="G68" s="7" t="s">
        <v>15</v>
      </c>
      <c r="H68" s="7" t="s">
        <v>58</v>
      </c>
      <c r="I68" s="7" t="s">
        <v>78</v>
      </c>
      <c r="J68" s="89" t="s">
        <v>79</v>
      </c>
    </row>
    <row r="69" spans="1:10" ht="51">
      <c r="A69" s="209" t="s">
        <v>146</v>
      </c>
      <c r="B69" s="209" t="s">
        <v>147</v>
      </c>
      <c r="C69" s="59" t="s">
        <v>148</v>
      </c>
      <c r="D69" s="59" t="s">
        <v>149</v>
      </c>
      <c r="E69" s="59" t="s">
        <v>150</v>
      </c>
      <c r="F69" s="59" t="s">
        <v>123</v>
      </c>
      <c r="G69" s="59" t="s">
        <v>151</v>
      </c>
      <c r="H69" s="59" t="s">
        <v>152</v>
      </c>
      <c r="I69" s="59" t="s">
        <v>153</v>
      </c>
      <c r="J69" s="59" t="s">
        <v>153</v>
      </c>
    </row>
    <row r="70" spans="1:10" ht="15.75">
      <c r="A70" s="209"/>
      <c r="B70" s="209"/>
      <c r="C70" s="76" t="s">
        <v>154</v>
      </c>
      <c r="D70" s="76" t="s">
        <v>155</v>
      </c>
      <c r="E70" s="76" t="s">
        <v>156</v>
      </c>
      <c r="F70" s="76" t="s">
        <v>127</v>
      </c>
      <c r="G70" s="76" t="s">
        <v>157</v>
      </c>
      <c r="H70" s="76" t="s">
        <v>158</v>
      </c>
      <c r="I70" s="76" t="s">
        <v>159</v>
      </c>
      <c r="J70" s="76" t="s">
        <v>159</v>
      </c>
    </row>
    <row r="71" spans="1:10" ht="28.5">
      <c r="A71" s="209"/>
      <c r="B71" s="209"/>
      <c r="C71" s="8" t="s">
        <v>44</v>
      </c>
      <c r="D71" s="8" t="s">
        <v>44</v>
      </c>
      <c r="E71" s="8" t="s">
        <v>142</v>
      </c>
      <c r="F71" s="8" t="s">
        <v>130</v>
      </c>
      <c r="G71" s="8" t="s">
        <v>130</v>
      </c>
      <c r="H71" s="8" t="s">
        <v>160</v>
      </c>
      <c r="I71" s="8" t="s">
        <v>160</v>
      </c>
      <c r="J71" s="8" t="s">
        <v>231</v>
      </c>
    </row>
    <row r="72" spans="1:10" ht="24.75" thickBot="1">
      <c r="A72" s="225"/>
      <c r="B72" s="225"/>
      <c r="C72" s="5"/>
      <c r="D72" s="5"/>
      <c r="E72" s="5" t="s">
        <v>161</v>
      </c>
      <c r="F72" s="5" t="s">
        <v>162</v>
      </c>
      <c r="G72" s="5"/>
      <c r="H72" s="5"/>
      <c r="I72" s="9" t="s">
        <v>163</v>
      </c>
      <c r="J72" s="35"/>
    </row>
    <row r="73" spans="1:10" ht="13.5" thickTop="1">
      <c r="A73" s="281" t="s">
        <v>164</v>
      </c>
      <c r="B73" s="54" t="s">
        <v>225</v>
      </c>
      <c r="C73" s="42">
        <v>0.54</v>
      </c>
      <c r="D73" s="43">
        <v>0</v>
      </c>
      <c r="E73" s="38">
        <f>'4D1_CH4_EF_DomesticWastewater'!$D$14</f>
        <v>0.3</v>
      </c>
      <c r="F73" s="108">
        <f>$M$14</f>
        <v>8501901.1999999993</v>
      </c>
      <c r="G73" s="47"/>
      <c r="H73" s="47"/>
      <c r="I73" s="14">
        <f>((C73*D73*E73)*(F73-G73))-H73</f>
        <v>0</v>
      </c>
      <c r="J73" s="32">
        <f>I73/(10^6)</f>
        <v>0</v>
      </c>
    </row>
    <row r="74" spans="1:10">
      <c r="A74" s="282"/>
      <c r="B74" s="55" t="s">
        <v>226</v>
      </c>
      <c r="C74" s="44">
        <v>0.54</v>
      </c>
      <c r="D74" s="45">
        <v>0.47</v>
      </c>
      <c r="E74" s="37">
        <f>'4D1_CH4_EF_DomesticWastewater'!$D$23</f>
        <v>0.06</v>
      </c>
      <c r="F74" s="108">
        <f t="shared" ref="F74:F87" si="6">$M$14</f>
        <v>8501901.1999999993</v>
      </c>
      <c r="G74" s="48"/>
      <c r="H74" s="48"/>
      <c r="I74" s="15">
        <f t="shared" ref="I74:I87" si="7">((C74*D74*E74)*(F74-G74))-H74</f>
        <v>129466.95147359998</v>
      </c>
      <c r="J74" s="34">
        <f t="shared" ref="J74:J87" si="8">I74/(10^6)</f>
        <v>0.12946695147359999</v>
      </c>
    </row>
    <row r="75" spans="1:10">
      <c r="A75" s="282"/>
      <c r="B75" s="53" t="s">
        <v>227</v>
      </c>
      <c r="C75" s="44">
        <v>0.54</v>
      </c>
      <c r="D75" s="45">
        <v>0</v>
      </c>
      <c r="E75" s="37">
        <f>'4D1_CH4_EF_DomesticWastewater'!$D$13</f>
        <v>0.06</v>
      </c>
      <c r="F75" s="108">
        <f t="shared" si="6"/>
        <v>8501901.1999999993</v>
      </c>
      <c r="G75" s="48"/>
      <c r="H75" s="48"/>
      <c r="I75" s="15">
        <f t="shared" si="7"/>
        <v>0</v>
      </c>
      <c r="J75" s="34">
        <f t="shared" si="8"/>
        <v>0</v>
      </c>
    </row>
    <row r="76" spans="1:10">
      <c r="A76" s="241"/>
      <c r="B76" s="53" t="s">
        <v>228</v>
      </c>
      <c r="C76" s="44">
        <v>0.54</v>
      </c>
      <c r="D76" s="46">
        <v>0.1</v>
      </c>
      <c r="E76" s="37">
        <f>'4D1_CH4_EF_DomesticWastewater'!$D$14</f>
        <v>0.3</v>
      </c>
      <c r="F76" s="108">
        <f t="shared" si="6"/>
        <v>8501901.1999999993</v>
      </c>
      <c r="G76" s="49"/>
      <c r="H76" s="49"/>
      <c r="I76" s="15">
        <f t="shared" si="7"/>
        <v>137730.79944</v>
      </c>
      <c r="J76" s="34">
        <f t="shared" si="8"/>
        <v>0.13773079944</v>
      </c>
    </row>
    <row r="77" spans="1:10">
      <c r="A77" s="241"/>
      <c r="B77" s="53" t="s">
        <v>229</v>
      </c>
      <c r="C77" s="44">
        <v>0.54</v>
      </c>
      <c r="D77" s="46">
        <v>0.43</v>
      </c>
      <c r="E77" s="37">
        <v>0</v>
      </c>
      <c r="F77" s="108">
        <f t="shared" si="6"/>
        <v>8501901.1999999993</v>
      </c>
      <c r="G77" s="49"/>
      <c r="H77" s="49"/>
      <c r="I77" s="15">
        <f t="shared" si="7"/>
        <v>0</v>
      </c>
      <c r="J77" s="34">
        <f t="shared" si="8"/>
        <v>0</v>
      </c>
    </row>
    <row r="78" spans="1:10">
      <c r="A78" s="241" t="s">
        <v>165</v>
      </c>
      <c r="B78" s="53" t="s">
        <v>225</v>
      </c>
      <c r="C78" s="44">
        <v>0.12</v>
      </c>
      <c r="D78" s="46">
        <v>0.18</v>
      </c>
      <c r="E78" s="37">
        <f>'4D1_CH4_EF_DomesticWastewater'!$D$22</f>
        <v>0.3</v>
      </c>
      <c r="F78" s="108">
        <f t="shared" si="6"/>
        <v>8501901.1999999993</v>
      </c>
      <c r="G78" s="49"/>
      <c r="H78" s="49"/>
      <c r="I78" s="15">
        <f t="shared" si="7"/>
        <v>55092.319775999982</v>
      </c>
      <c r="J78" s="34">
        <f t="shared" si="8"/>
        <v>5.509231977599998E-2</v>
      </c>
    </row>
    <row r="79" spans="1:10">
      <c r="A79" s="241"/>
      <c r="B79" s="53" t="s">
        <v>226</v>
      </c>
      <c r="C79" s="44">
        <v>0.12</v>
      </c>
      <c r="D79" s="46">
        <v>0.08</v>
      </c>
      <c r="E79" s="37">
        <f>'4D1_CH4_EF_DomesticWastewater'!$D$23</f>
        <v>0.06</v>
      </c>
      <c r="F79" s="108">
        <f t="shared" si="6"/>
        <v>8501901.1999999993</v>
      </c>
      <c r="G79" s="49"/>
      <c r="H79" s="49"/>
      <c r="I79" s="15">
        <f t="shared" si="7"/>
        <v>4897.0950911999989</v>
      </c>
      <c r="J79" s="34">
        <f t="shared" si="8"/>
        <v>4.8970950911999987E-3</v>
      </c>
    </row>
    <row r="80" spans="1:10">
      <c r="A80" s="241"/>
      <c r="B80" s="53" t="s">
        <v>227</v>
      </c>
      <c r="C80" s="44">
        <v>0.12</v>
      </c>
      <c r="D80" s="46">
        <v>0</v>
      </c>
      <c r="E80" s="37">
        <f>'4D1_CH4_EF_DomesticWastewater'!$D$13</f>
        <v>0.06</v>
      </c>
      <c r="F80" s="108">
        <f t="shared" si="6"/>
        <v>8501901.1999999993</v>
      </c>
      <c r="G80" s="49"/>
      <c r="H80" s="49"/>
      <c r="I80" s="15">
        <f t="shared" si="7"/>
        <v>0</v>
      </c>
      <c r="J80" s="34">
        <f t="shared" si="8"/>
        <v>0</v>
      </c>
    </row>
    <row r="81" spans="1:10">
      <c r="A81" s="241"/>
      <c r="B81" s="53" t="s">
        <v>228</v>
      </c>
      <c r="C81" s="44">
        <v>0.12</v>
      </c>
      <c r="D81" s="46">
        <v>0.74</v>
      </c>
      <c r="E81" s="37">
        <f>'4D1_CH4_EF_DomesticWastewater'!$D$13</f>
        <v>0.06</v>
      </c>
      <c r="F81" s="108">
        <f t="shared" si="6"/>
        <v>8501901.1999999993</v>
      </c>
      <c r="G81" s="49"/>
      <c r="H81" s="49"/>
      <c r="I81" s="15">
        <f t="shared" si="7"/>
        <v>45298.129593599988</v>
      </c>
      <c r="J81" s="34">
        <f t="shared" si="8"/>
        <v>4.5298129593599988E-2</v>
      </c>
    </row>
    <row r="82" spans="1:10">
      <c r="A82" s="241"/>
      <c r="B82" s="53" t="s">
        <v>229</v>
      </c>
      <c r="C82" s="44">
        <v>0.12</v>
      </c>
      <c r="D82" s="46">
        <v>0</v>
      </c>
      <c r="E82" s="37">
        <v>0</v>
      </c>
      <c r="F82" s="108">
        <f t="shared" si="6"/>
        <v>8501901.1999999993</v>
      </c>
      <c r="G82" s="49"/>
      <c r="H82" s="49"/>
      <c r="I82" s="15">
        <f t="shared" si="7"/>
        <v>0</v>
      </c>
      <c r="J82" s="34">
        <f t="shared" si="8"/>
        <v>0</v>
      </c>
    </row>
    <row r="83" spans="1:10">
      <c r="A83" s="241" t="s">
        <v>166</v>
      </c>
      <c r="B83" s="53" t="s">
        <v>225</v>
      </c>
      <c r="C83" s="44">
        <v>0.34</v>
      </c>
      <c r="D83" s="46">
        <v>0.14000000000000001</v>
      </c>
      <c r="E83" s="37">
        <f>'4D1_CH4_EF_DomesticWastewater'!$D$22</f>
        <v>0.3</v>
      </c>
      <c r="F83" s="108">
        <f t="shared" si="6"/>
        <v>8501901.1999999993</v>
      </c>
      <c r="G83" s="49"/>
      <c r="H83" s="49"/>
      <c r="I83" s="15">
        <f t="shared" si="7"/>
        <v>121407.14913600001</v>
      </c>
      <c r="J83" s="34">
        <f t="shared" si="8"/>
        <v>0.12140714913600001</v>
      </c>
    </row>
    <row r="84" spans="1:10">
      <c r="A84" s="241"/>
      <c r="B84" s="53" t="s">
        <v>226</v>
      </c>
      <c r="C84" s="44">
        <v>0.34</v>
      </c>
      <c r="D84" s="46">
        <v>0.1</v>
      </c>
      <c r="E84" s="37">
        <f>'4D1_CH4_EF_DomesticWastewater'!$D$23</f>
        <v>0.06</v>
      </c>
      <c r="F84" s="108">
        <f t="shared" si="6"/>
        <v>8501901.1999999993</v>
      </c>
      <c r="G84" s="49"/>
      <c r="H84" s="49"/>
      <c r="I84" s="15">
        <f t="shared" si="7"/>
        <v>17343.878447999999</v>
      </c>
      <c r="J84" s="34">
        <f t="shared" si="8"/>
        <v>1.7343878447999998E-2</v>
      </c>
    </row>
    <row r="85" spans="1:10">
      <c r="A85" s="241"/>
      <c r="B85" s="53" t="s">
        <v>227</v>
      </c>
      <c r="C85" s="44">
        <v>0.34</v>
      </c>
      <c r="D85" s="46">
        <v>0.03</v>
      </c>
      <c r="E85" s="37">
        <f>'4D1_CH4_EF_DomesticWastewater'!$D$13</f>
        <v>0.06</v>
      </c>
      <c r="F85" s="108">
        <f t="shared" si="6"/>
        <v>8501901.1999999993</v>
      </c>
      <c r="G85" s="49"/>
      <c r="H85" s="49"/>
      <c r="I85" s="15">
        <f t="shared" si="7"/>
        <v>5203.1635343999997</v>
      </c>
      <c r="J85" s="34">
        <f t="shared" si="8"/>
        <v>5.2031635343999993E-3</v>
      </c>
    </row>
    <row r="86" spans="1:10">
      <c r="A86" s="241"/>
      <c r="B86" s="53" t="s">
        <v>228</v>
      </c>
      <c r="C86" s="44">
        <v>0.34</v>
      </c>
      <c r="D86" s="46">
        <v>0.53</v>
      </c>
      <c r="E86" s="37">
        <f>'4D1_CH4_EF_DomesticWastewater'!$D$13</f>
        <v>0.06</v>
      </c>
      <c r="F86" s="108">
        <f t="shared" si="6"/>
        <v>8501901.1999999993</v>
      </c>
      <c r="G86" s="49"/>
      <c r="H86" s="49"/>
      <c r="I86" s="15">
        <f t="shared" si="7"/>
        <v>91922.555774399996</v>
      </c>
      <c r="J86" s="34">
        <f t="shared" si="8"/>
        <v>9.1922555774399992E-2</v>
      </c>
    </row>
    <row r="87" spans="1:10">
      <c r="A87" s="241"/>
      <c r="B87" s="53" t="s">
        <v>229</v>
      </c>
      <c r="C87" s="44">
        <v>0.34</v>
      </c>
      <c r="D87" s="46">
        <v>0.2</v>
      </c>
      <c r="E87" s="37">
        <v>0</v>
      </c>
      <c r="F87" s="108">
        <f t="shared" si="6"/>
        <v>8501901.1999999993</v>
      </c>
      <c r="G87" s="49"/>
      <c r="H87" s="49"/>
      <c r="I87" s="15">
        <f t="shared" si="7"/>
        <v>0</v>
      </c>
      <c r="J87" s="34">
        <f t="shared" si="8"/>
        <v>0</v>
      </c>
    </row>
    <row r="88" spans="1:10">
      <c r="A88" s="278" t="s">
        <v>292</v>
      </c>
      <c r="B88" s="278"/>
      <c r="C88" s="278"/>
      <c r="D88" s="278"/>
      <c r="E88" s="278"/>
      <c r="F88" s="278"/>
      <c r="G88" s="278"/>
      <c r="H88" s="278"/>
      <c r="I88" s="109">
        <f>SUM(I73:I87)</f>
        <v>608362.04226719995</v>
      </c>
      <c r="J88" s="110">
        <f>SUM(J73:J87)</f>
        <v>0.60836204226719992</v>
      </c>
    </row>
    <row r="91" spans="1:10">
      <c r="A91" s="279" t="s">
        <v>0</v>
      </c>
      <c r="B91" s="280"/>
      <c r="C91" s="199" t="s">
        <v>1</v>
      </c>
      <c r="D91" s="283"/>
      <c r="E91" s="283"/>
      <c r="F91" s="283"/>
      <c r="G91" s="283"/>
      <c r="H91" s="283"/>
      <c r="I91" s="283"/>
    </row>
    <row r="92" spans="1:10">
      <c r="A92" s="279" t="s">
        <v>2</v>
      </c>
      <c r="B92" s="280"/>
      <c r="C92" s="199" t="s">
        <v>117</v>
      </c>
      <c r="D92" s="283"/>
      <c r="E92" s="283"/>
      <c r="F92" s="283"/>
      <c r="G92" s="283"/>
      <c r="H92" s="283"/>
      <c r="I92" s="283"/>
    </row>
    <row r="93" spans="1:10">
      <c r="A93" s="279" t="s">
        <v>4</v>
      </c>
      <c r="B93" s="280"/>
      <c r="C93" s="199" t="s">
        <v>118</v>
      </c>
      <c r="D93" s="283"/>
      <c r="E93" s="283"/>
      <c r="F93" s="283"/>
      <c r="G93" s="283"/>
      <c r="H93" s="283"/>
      <c r="I93" s="283"/>
    </row>
    <row r="94" spans="1:10">
      <c r="A94" s="279" t="s">
        <v>6</v>
      </c>
      <c r="B94" s="280"/>
      <c r="C94" s="199" t="s">
        <v>145</v>
      </c>
      <c r="D94" s="283"/>
      <c r="E94" s="283"/>
      <c r="F94" s="283"/>
      <c r="G94" s="283"/>
      <c r="H94" s="283"/>
      <c r="I94" s="283"/>
    </row>
    <row r="95" spans="1:10">
      <c r="A95" s="231" t="s">
        <v>10</v>
      </c>
      <c r="B95" s="268"/>
      <c r="C95" s="268"/>
      <c r="D95" s="268"/>
      <c r="E95" s="268"/>
      <c r="F95" s="268"/>
      <c r="G95" s="268"/>
      <c r="H95" s="268"/>
      <c r="I95" s="268"/>
      <c r="J95" s="107"/>
    </row>
    <row r="96" spans="1:10">
      <c r="A96" s="59"/>
      <c r="B96" s="59"/>
      <c r="C96" s="7" t="s">
        <v>11</v>
      </c>
      <c r="D96" s="7" t="s">
        <v>12</v>
      </c>
      <c r="E96" s="7" t="s">
        <v>13</v>
      </c>
      <c r="F96" s="7" t="s">
        <v>14</v>
      </c>
      <c r="G96" s="7" t="s">
        <v>15</v>
      </c>
      <c r="H96" s="7" t="s">
        <v>58</v>
      </c>
      <c r="I96" s="7" t="s">
        <v>78</v>
      </c>
      <c r="J96" s="89" t="s">
        <v>79</v>
      </c>
    </row>
    <row r="97" spans="1:10" ht="51">
      <c r="A97" s="209" t="s">
        <v>146</v>
      </c>
      <c r="B97" s="209" t="s">
        <v>147</v>
      </c>
      <c r="C97" s="59" t="s">
        <v>148</v>
      </c>
      <c r="D97" s="59" t="s">
        <v>149</v>
      </c>
      <c r="E97" s="59" t="s">
        <v>150</v>
      </c>
      <c r="F97" s="59" t="s">
        <v>123</v>
      </c>
      <c r="G97" s="59" t="s">
        <v>151</v>
      </c>
      <c r="H97" s="59" t="s">
        <v>152</v>
      </c>
      <c r="I97" s="59" t="s">
        <v>153</v>
      </c>
      <c r="J97" s="59" t="s">
        <v>153</v>
      </c>
    </row>
    <row r="98" spans="1:10" ht="15.75">
      <c r="A98" s="209"/>
      <c r="B98" s="209"/>
      <c r="C98" s="76" t="s">
        <v>154</v>
      </c>
      <c r="D98" s="76" t="s">
        <v>155</v>
      </c>
      <c r="E98" s="76" t="s">
        <v>156</v>
      </c>
      <c r="F98" s="76" t="s">
        <v>127</v>
      </c>
      <c r="G98" s="76" t="s">
        <v>157</v>
      </c>
      <c r="H98" s="76" t="s">
        <v>158</v>
      </c>
      <c r="I98" s="76" t="s">
        <v>159</v>
      </c>
      <c r="J98" s="76" t="s">
        <v>159</v>
      </c>
    </row>
    <row r="99" spans="1:10" ht="28.5">
      <c r="A99" s="209"/>
      <c r="B99" s="209"/>
      <c r="C99" s="8" t="s">
        <v>44</v>
      </c>
      <c r="D99" s="8" t="s">
        <v>44</v>
      </c>
      <c r="E99" s="8" t="s">
        <v>142</v>
      </c>
      <c r="F99" s="8" t="s">
        <v>130</v>
      </c>
      <c r="G99" s="8" t="s">
        <v>130</v>
      </c>
      <c r="H99" s="8" t="s">
        <v>160</v>
      </c>
      <c r="I99" s="8" t="s">
        <v>160</v>
      </c>
      <c r="J99" s="8" t="s">
        <v>231</v>
      </c>
    </row>
    <row r="100" spans="1:10" ht="24.75" thickBot="1">
      <c r="A100" s="225"/>
      <c r="B100" s="225"/>
      <c r="C100" s="5"/>
      <c r="D100" s="5"/>
      <c r="E100" s="5" t="s">
        <v>161</v>
      </c>
      <c r="F100" s="5" t="s">
        <v>162</v>
      </c>
      <c r="G100" s="5"/>
      <c r="H100" s="5"/>
      <c r="I100" s="9" t="s">
        <v>163</v>
      </c>
      <c r="J100" s="35"/>
    </row>
    <row r="101" spans="1:10" ht="13.5" thickTop="1">
      <c r="A101" s="281" t="s">
        <v>164</v>
      </c>
      <c r="B101" s="54" t="s">
        <v>225</v>
      </c>
      <c r="C101" s="42">
        <v>0.54</v>
      </c>
      <c r="D101" s="43">
        <v>0</v>
      </c>
      <c r="E101" s="38">
        <f>'4D1_CH4_EF_DomesticWastewater'!$D$14</f>
        <v>0.3</v>
      </c>
      <c r="F101" s="108">
        <f>$M$15</f>
        <v>8659201.5999999996</v>
      </c>
      <c r="G101" s="47"/>
      <c r="H101" s="47"/>
      <c r="I101" s="14">
        <f>((C101*D101*E101)*(F101-G101))-H101</f>
        <v>0</v>
      </c>
      <c r="J101" s="32">
        <f>I101/(10^6)</f>
        <v>0</v>
      </c>
    </row>
    <row r="102" spans="1:10">
      <c r="A102" s="282"/>
      <c r="B102" s="55" t="s">
        <v>226</v>
      </c>
      <c r="C102" s="44">
        <v>0.54</v>
      </c>
      <c r="D102" s="45">
        <v>0.47</v>
      </c>
      <c r="E102" s="37">
        <f>'4D1_CH4_EF_DomesticWastewater'!$D$23</f>
        <v>0.06</v>
      </c>
      <c r="F102" s="108">
        <f t="shared" ref="F102:F115" si="9">$M$15</f>
        <v>8659201.5999999996</v>
      </c>
      <c r="G102" s="48"/>
      <c r="H102" s="48"/>
      <c r="I102" s="15">
        <f t="shared" ref="I102:I115" si="10">((C102*D102*E102)*(F102-G102))-H102</f>
        <v>131862.32196480001</v>
      </c>
      <c r="J102" s="34">
        <f t="shared" ref="J102:J115" si="11">I102/(10^6)</f>
        <v>0.13186232196480002</v>
      </c>
    </row>
    <row r="103" spans="1:10">
      <c r="A103" s="282"/>
      <c r="B103" s="53" t="s">
        <v>227</v>
      </c>
      <c r="C103" s="44">
        <v>0.54</v>
      </c>
      <c r="D103" s="45">
        <v>0</v>
      </c>
      <c r="E103" s="37">
        <f>'4D1_CH4_EF_DomesticWastewater'!$D$13</f>
        <v>0.06</v>
      </c>
      <c r="F103" s="108">
        <f t="shared" si="9"/>
        <v>8659201.5999999996</v>
      </c>
      <c r="G103" s="48"/>
      <c r="H103" s="48"/>
      <c r="I103" s="15">
        <f t="shared" si="10"/>
        <v>0</v>
      </c>
      <c r="J103" s="34">
        <f t="shared" si="11"/>
        <v>0</v>
      </c>
    </row>
    <row r="104" spans="1:10">
      <c r="A104" s="241"/>
      <c r="B104" s="53" t="s">
        <v>228</v>
      </c>
      <c r="C104" s="44">
        <v>0.54</v>
      </c>
      <c r="D104" s="46">
        <v>0.1</v>
      </c>
      <c r="E104" s="37">
        <f>'4D1_CH4_EF_DomesticWastewater'!$D$14</f>
        <v>0.3</v>
      </c>
      <c r="F104" s="108">
        <f t="shared" si="9"/>
        <v>8659201.5999999996</v>
      </c>
      <c r="G104" s="49"/>
      <c r="H104" s="49"/>
      <c r="I104" s="15">
        <f t="shared" si="10"/>
        <v>140279.06592000002</v>
      </c>
      <c r="J104" s="34">
        <f t="shared" si="11"/>
        <v>0.14027906592000003</v>
      </c>
    </row>
    <row r="105" spans="1:10">
      <c r="A105" s="241"/>
      <c r="B105" s="53" t="s">
        <v>229</v>
      </c>
      <c r="C105" s="44">
        <v>0.54</v>
      </c>
      <c r="D105" s="46">
        <v>0.43</v>
      </c>
      <c r="E105" s="37">
        <v>0</v>
      </c>
      <c r="F105" s="108">
        <f t="shared" si="9"/>
        <v>8659201.5999999996</v>
      </c>
      <c r="G105" s="49"/>
      <c r="H105" s="49"/>
      <c r="I105" s="15">
        <f t="shared" si="10"/>
        <v>0</v>
      </c>
      <c r="J105" s="34">
        <f t="shared" si="11"/>
        <v>0</v>
      </c>
    </row>
    <row r="106" spans="1:10">
      <c r="A106" s="241" t="s">
        <v>165</v>
      </c>
      <c r="B106" s="53" t="s">
        <v>225</v>
      </c>
      <c r="C106" s="44">
        <v>0.12</v>
      </c>
      <c r="D106" s="46">
        <v>0.18</v>
      </c>
      <c r="E106" s="37">
        <f>'4D1_CH4_EF_DomesticWastewater'!$D$22</f>
        <v>0.3</v>
      </c>
      <c r="F106" s="108">
        <f t="shared" si="9"/>
        <v>8659201.5999999996</v>
      </c>
      <c r="G106" s="49"/>
      <c r="H106" s="49"/>
      <c r="I106" s="15">
        <f t="shared" si="10"/>
        <v>56111.62636799999</v>
      </c>
      <c r="J106" s="34">
        <f t="shared" si="11"/>
        <v>5.6111626367999989E-2</v>
      </c>
    </row>
    <row r="107" spans="1:10">
      <c r="A107" s="241"/>
      <c r="B107" s="53" t="s">
        <v>226</v>
      </c>
      <c r="C107" s="44">
        <v>0.12</v>
      </c>
      <c r="D107" s="46">
        <v>0.08</v>
      </c>
      <c r="E107" s="37">
        <f>'4D1_CH4_EF_DomesticWastewater'!$D$23</f>
        <v>0.06</v>
      </c>
      <c r="F107" s="108">
        <f t="shared" si="9"/>
        <v>8659201.5999999996</v>
      </c>
      <c r="G107" s="49"/>
      <c r="H107" s="49"/>
      <c r="I107" s="15">
        <f t="shared" si="10"/>
        <v>4987.700121599999</v>
      </c>
      <c r="J107" s="34">
        <f t="shared" si="11"/>
        <v>4.9877001215999986E-3</v>
      </c>
    </row>
    <row r="108" spans="1:10">
      <c r="A108" s="241"/>
      <c r="B108" s="53" t="s">
        <v>227</v>
      </c>
      <c r="C108" s="44">
        <v>0.12</v>
      </c>
      <c r="D108" s="46">
        <v>0</v>
      </c>
      <c r="E108" s="37">
        <f>'4D1_CH4_EF_DomesticWastewater'!$D$13</f>
        <v>0.06</v>
      </c>
      <c r="F108" s="108">
        <f t="shared" si="9"/>
        <v>8659201.5999999996</v>
      </c>
      <c r="G108" s="49"/>
      <c r="H108" s="49"/>
      <c r="I108" s="15">
        <f t="shared" si="10"/>
        <v>0</v>
      </c>
      <c r="J108" s="34">
        <f t="shared" si="11"/>
        <v>0</v>
      </c>
    </row>
    <row r="109" spans="1:10">
      <c r="A109" s="241"/>
      <c r="B109" s="53" t="s">
        <v>228</v>
      </c>
      <c r="C109" s="44">
        <v>0.12</v>
      </c>
      <c r="D109" s="46">
        <v>0.74</v>
      </c>
      <c r="E109" s="37">
        <f>'4D1_CH4_EF_DomesticWastewater'!$D$13</f>
        <v>0.06</v>
      </c>
      <c r="F109" s="108">
        <f t="shared" si="9"/>
        <v>8659201.5999999996</v>
      </c>
      <c r="G109" s="49"/>
      <c r="H109" s="49"/>
      <c r="I109" s="15">
        <f t="shared" si="10"/>
        <v>46136.226124799992</v>
      </c>
      <c r="J109" s="34">
        <f t="shared" si="11"/>
        <v>4.6136226124799992E-2</v>
      </c>
    </row>
    <row r="110" spans="1:10">
      <c r="A110" s="241"/>
      <c r="B110" s="53" t="s">
        <v>229</v>
      </c>
      <c r="C110" s="44">
        <v>0.12</v>
      </c>
      <c r="D110" s="46">
        <v>0</v>
      </c>
      <c r="E110" s="37">
        <v>0</v>
      </c>
      <c r="F110" s="108">
        <f t="shared" si="9"/>
        <v>8659201.5999999996</v>
      </c>
      <c r="G110" s="49"/>
      <c r="H110" s="49"/>
      <c r="I110" s="15">
        <f t="shared" si="10"/>
        <v>0</v>
      </c>
      <c r="J110" s="34">
        <f t="shared" si="11"/>
        <v>0</v>
      </c>
    </row>
    <row r="111" spans="1:10">
      <c r="A111" s="241" t="s">
        <v>166</v>
      </c>
      <c r="B111" s="53" t="s">
        <v>225</v>
      </c>
      <c r="C111" s="44">
        <v>0.34</v>
      </c>
      <c r="D111" s="46">
        <v>0.14000000000000001</v>
      </c>
      <c r="E111" s="37">
        <f>'4D1_CH4_EF_DomesticWastewater'!$D$22</f>
        <v>0.3</v>
      </c>
      <c r="F111" s="108">
        <f t="shared" si="9"/>
        <v>8659201.5999999996</v>
      </c>
      <c r="G111" s="49"/>
      <c r="H111" s="49"/>
      <c r="I111" s="15">
        <f t="shared" si="10"/>
        <v>123653.39884800001</v>
      </c>
      <c r="J111" s="34">
        <f t="shared" si="11"/>
        <v>0.12365339884800002</v>
      </c>
    </row>
    <row r="112" spans="1:10">
      <c r="A112" s="241"/>
      <c r="B112" s="53" t="s">
        <v>226</v>
      </c>
      <c r="C112" s="44">
        <v>0.34</v>
      </c>
      <c r="D112" s="46">
        <v>0.1</v>
      </c>
      <c r="E112" s="37">
        <f>'4D1_CH4_EF_DomesticWastewater'!$D$23</f>
        <v>0.06</v>
      </c>
      <c r="F112" s="108">
        <f t="shared" si="9"/>
        <v>8659201.5999999996</v>
      </c>
      <c r="G112" s="49"/>
      <c r="H112" s="49"/>
      <c r="I112" s="15">
        <f t="shared" si="10"/>
        <v>17664.771263999999</v>
      </c>
      <c r="J112" s="34">
        <f t="shared" si="11"/>
        <v>1.7664771263999998E-2</v>
      </c>
    </row>
    <row r="113" spans="1:10">
      <c r="A113" s="241"/>
      <c r="B113" s="53" t="s">
        <v>227</v>
      </c>
      <c r="C113" s="44">
        <v>0.34</v>
      </c>
      <c r="D113" s="46">
        <v>0.03</v>
      </c>
      <c r="E113" s="37">
        <f>'4D1_CH4_EF_DomesticWastewater'!$D$13</f>
        <v>0.06</v>
      </c>
      <c r="F113" s="108">
        <f t="shared" si="9"/>
        <v>8659201.5999999996</v>
      </c>
      <c r="G113" s="49"/>
      <c r="H113" s="49"/>
      <c r="I113" s="15">
        <f t="shared" si="10"/>
        <v>5299.4313792000003</v>
      </c>
      <c r="J113" s="34">
        <f t="shared" si="11"/>
        <v>5.2994313792000007E-3</v>
      </c>
    </row>
    <row r="114" spans="1:10">
      <c r="A114" s="241"/>
      <c r="B114" s="53" t="s">
        <v>228</v>
      </c>
      <c r="C114" s="44">
        <v>0.34</v>
      </c>
      <c r="D114" s="46">
        <v>0.53</v>
      </c>
      <c r="E114" s="37">
        <f>'4D1_CH4_EF_DomesticWastewater'!$D$13</f>
        <v>0.06</v>
      </c>
      <c r="F114" s="108">
        <f t="shared" si="9"/>
        <v>8659201.5999999996</v>
      </c>
      <c r="G114" s="49"/>
      <c r="H114" s="49"/>
      <c r="I114" s="15">
        <f t="shared" si="10"/>
        <v>93623.287699199995</v>
      </c>
      <c r="J114" s="34">
        <f t="shared" si="11"/>
        <v>9.3623287699199989E-2</v>
      </c>
    </row>
    <row r="115" spans="1:10">
      <c r="A115" s="241"/>
      <c r="B115" s="53" t="s">
        <v>229</v>
      </c>
      <c r="C115" s="44">
        <v>0.34</v>
      </c>
      <c r="D115" s="46">
        <v>0.2</v>
      </c>
      <c r="E115" s="37">
        <v>0</v>
      </c>
      <c r="F115" s="108">
        <f t="shared" si="9"/>
        <v>8659201.5999999996</v>
      </c>
      <c r="G115" s="49"/>
      <c r="H115" s="49"/>
      <c r="I115" s="15">
        <f t="shared" si="10"/>
        <v>0</v>
      </c>
      <c r="J115" s="34">
        <f t="shared" si="11"/>
        <v>0</v>
      </c>
    </row>
    <row r="116" spans="1:10">
      <c r="A116" s="278" t="s">
        <v>293</v>
      </c>
      <c r="B116" s="278"/>
      <c r="C116" s="278"/>
      <c r="D116" s="278"/>
      <c r="E116" s="278"/>
      <c r="F116" s="278"/>
      <c r="G116" s="278"/>
      <c r="H116" s="278"/>
      <c r="I116" s="109">
        <f>SUM(I101:I115)</f>
        <v>619617.82968959992</v>
      </c>
      <c r="J116" s="110">
        <f>SUM(J101:J115)</f>
        <v>0.6196178296896</v>
      </c>
    </row>
    <row r="119" spans="1:10">
      <c r="A119" s="279" t="s">
        <v>0</v>
      </c>
      <c r="B119" s="280"/>
      <c r="C119" s="199" t="s">
        <v>1</v>
      </c>
      <c r="D119" s="283"/>
      <c r="E119" s="283"/>
      <c r="F119" s="283"/>
      <c r="G119" s="283"/>
      <c r="H119" s="283"/>
      <c r="I119" s="283"/>
    </row>
    <row r="120" spans="1:10">
      <c r="A120" s="279" t="s">
        <v>2</v>
      </c>
      <c r="B120" s="280"/>
      <c r="C120" s="199" t="s">
        <v>117</v>
      </c>
      <c r="D120" s="283"/>
      <c r="E120" s="283"/>
      <c r="F120" s="283"/>
      <c r="G120" s="283"/>
      <c r="H120" s="283"/>
      <c r="I120" s="283"/>
    </row>
    <row r="121" spans="1:10">
      <c r="A121" s="279" t="s">
        <v>4</v>
      </c>
      <c r="B121" s="280"/>
      <c r="C121" s="199" t="s">
        <v>118</v>
      </c>
      <c r="D121" s="283"/>
      <c r="E121" s="283"/>
      <c r="F121" s="283"/>
      <c r="G121" s="283"/>
      <c r="H121" s="283"/>
      <c r="I121" s="283"/>
    </row>
    <row r="122" spans="1:10">
      <c r="A122" s="279" t="s">
        <v>6</v>
      </c>
      <c r="B122" s="280"/>
      <c r="C122" s="199" t="s">
        <v>145</v>
      </c>
      <c r="D122" s="283"/>
      <c r="E122" s="283"/>
      <c r="F122" s="283"/>
      <c r="G122" s="283"/>
      <c r="H122" s="283"/>
      <c r="I122" s="283"/>
    </row>
    <row r="123" spans="1:10">
      <c r="A123" s="231" t="s">
        <v>10</v>
      </c>
      <c r="B123" s="268"/>
      <c r="C123" s="268"/>
      <c r="D123" s="268"/>
      <c r="E123" s="268"/>
      <c r="F123" s="268"/>
      <c r="G123" s="268"/>
      <c r="H123" s="268"/>
      <c r="I123" s="268"/>
      <c r="J123" s="107"/>
    </row>
    <row r="124" spans="1:10">
      <c r="A124" s="59"/>
      <c r="B124" s="59"/>
      <c r="C124" s="7" t="s">
        <v>11</v>
      </c>
      <c r="D124" s="7" t="s">
        <v>12</v>
      </c>
      <c r="E124" s="7" t="s">
        <v>13</v>
      </c>
      <c r="F124" s="7" t="s">
        <v>14</v>
      </c>
      <c r="G124" s="7" t="s">
        <v>15</v>
      </c>
      <c r="H124" s="7" t="s">
        <v>58</v>
      </c>
      <c r="I124" s="7" t="s">
        <v>78</v>
      </c>
      <c r="J124" s="89" t="s">
        <v>79</v>
      </c>
    </row>
    <row r="125" spans="1:10" ht="51">
      <c r="A125" s="209" t="s">
        <v>146</v>
      </c>
      <c r="B125" s="209" t="s">
        <v>147</v>
      </c>
      <c r="C125" s="59" t="s">
        <v>148</v>
      </c>
      <c r="D125" s="59" t="s">
        <v>149</v>
      </c>
      <c r="E125" s="59" t="s">
        <v>150</v>
      </c>
      <c r="F125" s="59" t="s">
        <v>123</v>
      </c>
      <c r="G125" s="59" t="s">
        <v>151</v>
      </c>
      <c r="H125" s="59" t="s">
        <v>152</v>
      </c>
      <c r="I125" s="59" t="s">
        <v>153</v>
      </c>
      <c r="J125" s="59" t="s">
        <v>153</v>
      </c>
    </row>
    <row r="126" spans="1:10" ht="15.75">
      <c r="A126" s="209"/>
      <c r="B126" s="209"/>
      <c r="C126" s="76" t="s">
        <v>154</v>
      </c>
      <c r="D126" s="76" t="s">
        <v>155</v>
      </c>
      <c r="E126" s="76" t="s">
        <v>156</v>
      </c>
      <c r="F126" s="76" t="s">
        <v>127</v>
      </c>
      <c r="G126" s="76" t="s">
        <v>157</v>
      </c>
      <c r="H126" s="76" t="s">
        <v>158</v>
      </c>
      <c r="I126" s="76" t="s">
        <v>159</v>
      </c>
      <c r="J126" s="76" t="s">
        <v>159</v>
      </c>
    </row>
    <row r="127" spans="1:10" ht="28.5">
      <c r="A127" s="209"/>
      <c r="B127" s="209"/>
      <c r="C127" s="8" t="s">
        <v>44</v>
      </c>
      <c r="D127" s="8" t="s">
        <v>44</v>
      </c>
      <c r="E127" s="8" t="s">
        <v>142</v>
      </c>
      <c r="F127" s="8" t="s">
        <v>130</v>
      </c>
      <c r="G127" s="8" t="s">
        <v>130</v>
      </c>
      <c r="H127" s="8" t="s">
        <v>160</v>
      </c>
      <c r="I127" s="8" t="s">
        <v>160</v>
      </c>
      <c r="J127" s="8" t="s">
        <v>231</v>
      </c>
    </row>
    <row r="128" spans="1:10" ht="24.75" thickBot="1">
      <c r="A128" s="225"/>
      <c r="B128" s="225"/>
      <c r="C128" s="5"/>
      <c r="D128" s="5"/>
      <c r="E128" s="5" t="s">
        <v>161</v>
      </c>
      <c r="F128" s="5" t="s">
        <v>162</v>
      </c>
      <c r="G128" s="5"/>
      <c r="H128" s="5"/>
      <c r="I128" s="9" t="s">
        <v>163</v>
      </c>
      <c r="J128" s="35"/>
    </row>
    <row r="129" spans="1:10" ht="13.5" thickTop="1">
      <c r="A129" s="281" t="s">
        <v>164</v>
      </c>
      <c r="B129" s="54" t="s">
        <v>225</v>
      </c>
      <c r="C129" s="42">
        <v>0.54</v>
      </c>
      <c r="D129" s="43">
        <v>0</v>
      </c>
      <c r="E129" s="38">
        <f>'4D1_CH4_EF_DomesticWastewater'!$D$14</f>
        <v>0.3</v>
      </c>
      <c r="F129" s="108">
        <f>$M$16</f>
        <v>8812180.4000000004</v>
      </c>
      <c r="G129" s="47"/>
      <c r="H129" s="47"/>
      <c r="I129" s="14">
        <f>((C129*D129*E129)*(F129-G129))-H129</f>
        <v>0</v>
      </c>
      <c r="J129" s="32">
        <f>I129/(10^6)</f>
        <v>0</v>
      </c>
    </row>
    <row r="130" spans="1:10">
      <c r="A130" s="282"/>
      <c r="B130" s="55" t="s">
        <v>226</v>
      </c>
      <c r="C130" s="44">
        <v>0.54</v>
      </c>
      <c r="D130" s="45">
        <v>0.47</v>
      </c>
      <c r="E130" s="37">
        <f>'4D1_CH4_EF_DomesticWastewater'!$D$23</f>
        <v>0.06</v>
      </c>
      <c r="F130" s="108">
        <f t="shared" ref="F130:F143" si="12">$M$16</f>
        <v>8812180.4000000004</v>
      </c>
      <c r="G130" s="48"/>
      <c r="H130" s="48"/>
      <c r="I130" s="15">
        <f t="shared" ref="I130:I143" si="13">((C130*D130*E130)*(F130-G130))-H130</f>
        <v>134191.88313120001</v>
      </c>
      <c r="J130" s="34">
        <f t="shared" ref="J130:J143" si="14">I130/(10^6)</f>
        <v>0.13419188313120001</v>
      </c>
    </row>
    <row r="131" spans="1:10">
      <c r="A131" s="282"/>
      <c r="B131" s="53" t="s">
        <v>227</v>
      </c>
      <c r="C131" s="44">
        <v>0.54</v>
      </c>
      <c r="D131" s="45">
        <v>0</v>
      </c>
      <c r="E131" s="37">
        <f>'4D1_CH4_EF_DomesticWastewater'!$D$13</f>
        <v>0.06</v>
      </c>
      <c r="F131" s="108">
        <f t="shared" si="12"/>
        <v>8812180.4000000004</v>
      </c>
      <c r="G131" s="48"/>
      <c r="H131" s="48"/>
      <c r="I131" s="15">
        <f t="shared" si="13"/>
        <v>0</v>
      </c>
      <c r="J131" s="34">
        <f t="shared" si="14"/>
        <v>0</v>
      </c>
    </row>
    <row r="132" spans="1:10">
      <c r="A132" s="241"/>
      <c r="B132" s="53" t="s">
        <v>228</v>
      </c>
      <c r="C132" s="44">
        <v>0.54</v>
      </c>
      <c r="D132" s="46">
        <v>0.1</v>
      </c>
      <c r="E132" s="37">
        <f>'4D1_CH4_EF_DomesticWastewater'!$D$14</f>
        <v>0.3</v>
      </c>
      <c r="F132" s="108">
        <f t="shared" si="12"/>
        <v>8812180.4000000004</v>
      </c>
      <c r="G132" s="49"/>
      <c r="H132" s="49"/>
      <c r="I132" s="15">
        <f t="shared" si="13"/>
        <v>142757.32248000003</v>
      </c>
      <c r="J132" s="34">
        <f t="shared" si="14"/>
        <v>0.14275732248000003</v>
      </c>
    </row>
    <row r="133" spans="1:10">
      <c r="A133" s="241"/>
      <c r="B133" s="53" t="s">
        <v>229</v>
      </c>
      <c r="C133" s="44">
        <v>0.54</v>
      </c>
      <c r="D133" s="46">
        <v>0.43</v>
      </c>
      <c r="E133" s="37">
        <v>0</v>
      </c>
      <c r="F133" s="108">
        <f t="shared" si="12"/>
        <v>8812180.4000000004</v>
      </c>
      <c r="G133" s="49"/>
      <c r="H133" s="49"/>
      <c r="I133" s="15">
        <f t="shared" si="13"/>
        <v>0</v>
      </c>
      <c r="J133" s="34">
        <f t="shared" si="14"/>
        <v>0</v>
      </c>
    </row>
    <row r="134" spans="1:10">
      <c r="A134" s="241" t="s">
        <v>165</v>
      </c>
      <c r="B134" s="53" t="s">
        <v>225</v>
      </c>
      <c r="C134" s="44">
        <v>0.12</v>
      </c>
      <c r="D134" s="46">
        <v>0.18</v>
      </c>
      <c r="E134" s="37">
        <f>'4D1_CH4_EF_DomesticWastewater'!$D$22</f>
        <v>0.3</v>
      </c>
      <c r="F134" s="108">
        <f t="shared" si="12"/>
        <v>8812180.4000000004</v>
      </c>
      <c r="G134" s="49"/>
      <c r="H134" s="49"/>
      <c r="I134" s="15">
        <f t="shared" si="13"/>
        <v>57102.928991999994</v>
      </c>
      <c r="J134" s="34">
        <f t="shared" si="14"/>
        <v>5.7102928991999993E-2</v>
      </c>
    </row>
    <row r="135" spans="1:10">
      <c r="A135" s="241"/>
      <c r="B135" s="53" t="s">
        <v>226</v>
      </c>
      <c r="C135" s="44">
        <v>0.12</v>
      </c>
      <c r="D135" s="46">
        <v>0.08</v>
      </c>
      <c r="E135" s="37">
        <f>'4D1_CH4_EF_DomesticWastewater'!$D$23</f>
        <v>0.06</v>
      </c>
      <c r="F135" s="108">
        <f t="shared" si="12"/>
        <v>8812180.4000000004</v>
      </c>
      <c r="G135" s="49"/>
      <c r="H135" s="49"/>
      <c r="I135" s="15">
        <f t="shared" si="13"/>
        <v>5075.8159103999997</v>
      </c>
      <c r="J135" s="34">
        <f t="shared" si="14"/>
        <v>5.0758159103999993E-3</v>
      </c>
    </row>
    <row r="136" spans="1:10">
      <c r="A136" s="241"/>
      <c r="B136" s="53" t="s">
        <v>227</v>
      </c>
      <c r="C136" s="44">
        <v>0.12</v>
      </c>
      <c r="D136" s="46">
        <v>0</v>
      </c>
      <c r="E136" s="37">
        <f>'4D1_CH4_EF_DomesticWastewater'!$D$13</f>
        <v>0.06</v>
      </c>
      <c r="F136" s="108">
        <f t="shared" si="12"/>
        <v>8812180.4000000004</v>
      </c>
      <c r="G136" s="49"/>
      <c r="H136" s="49"/>
      <c r="I136" s="15">
        <f t="shared" si="13"/>
        <v>0</v>
      </c>
      <c r="J136" s="34">
        <f t="shared" si="14"/>
        <v>0</v>
      </c>
    </row>
    <row r="137" spans="1:10">
      <c r="A137" s="241"/>
      <c r="B137" s="53" t="s">
        <v>228</v>
      </c>
      <c r="C137" s="44">
        <v>0.12</v>
      </c>
      <c r="D137" s="46">
        <v>0.74</v>
      </c>
      <c r="E137" s="37">
        <f>'4D1_CH4_EF_DomesticWastewater'!$D$13</f>
        <v>0.06</v>
      </c>
      <c r="F137" s="108">
        <f t="shared" si="12"/>
        <v>8812180.4000000004</v>
      </c>
      <c r="G137" s="49"/>
      <c r="H137" s="49"/>
      <c r="I137" s="15">
        <f t="shared" si="13"/>
        <v>46951.2971712</v>
      </c>
      <c r="J137" s="34">
        <f t="shared" si="14"/>
        <v>4.6951297171200002E-2</v>
      </c>
    </row>
    <row r="138" spans="1:10">
      <c r="A138" s="241"/>
      <c r="B138" s="53" t="s">
        <v>229</v>
      </c>
      <c r="C138" s="44">
        <v>0.12</v>
      </c>
      <c r="D138" s="46">
        <v>0</v>
      </c>
      <c r="E138" s="37">
        <v>0</v>
      </c>
      <c r="F138" s="108">
        <f t="shared" si="12"/>
        <v>8812180.4000000004</v>
      </c>
      <c r="G138" s="49"/>
      <c r="H138" s="49"/>
      <c r="I138" s="15">
        <f t="shared" si="13"/>
        <v>0</v>
      </c>
      <c r="J138" s="34">
        <f t="shared" si="14"/>
        <v>0</v>
      </c>
    </row>
    <row r="139" spans="1:10">
      <c r="A139" s="241" t="s">
        <v>166</v>
      </c>
      <c r="B139" s="53" t="s">
        <v>225</v>
      </c>
      <c r="C139" s="44">
        <v>0.34</v>
      </c>
      <c r="D139" s="46">
        <v>0.14000000000000001</v>
      </c>
      <c r="E139" s="37">
        <f>'4D1_CH4_EF_DomesticWastewater'!$D$22</f>
        <v>0.3</v>
      </c>
      <c r="F139" s="108">
        <f t="shared" si="12"/>
        <v>8812180.4000000004</v>
      </c>
      <c r="G139" s="49"/>
      <c r="H139" s="49"/>
      <c r="I139" s="15">
        <f t="shared" si="13"/>
        <v>125837.93611200002</v>
      </c>
      <c r="J139" s="34">
        <f t="shared" si="14"/>
        <v>0.12583793611200003</v>
      </c>
    </row>
    <row r="140" spans="1:10">
      <c r="A140" s="241"/>
      <c r="B140" s="53" t="s">
        <v>226</v>
      </c>
      <c r="C140" s="44">
        <v>0.34</v>
      </c>
      <c r="D140" s="46">
        <v>0.1</v>
      </c>
      <c r="E140" s="37">
        <f>'4D1_CH4_EF_DomesticWastewater'!$D$23</f>
        <v>0.06</v>
      </c>
      <c r="F140" s="108">
        <f t="shared" si="12"/>
        <v>8812180.4000000004</v>
      </c>
      <c r="G140" s="49"/>
      <c r="H140" s="49"/>
      <c r="I140" s="15">
        <f t="shared" si="13"/>
        <v>17976.848016000004</v>
      </c>
      <c r="J140" s="34">
        <f t="shared" si="14"/>
        <v>1.7976848016000004E-2</v>
      </c>
    </row>
    <row r="141" spans="1:10">
      <c r="A141" s="241"/>
      <c r="B141" s="53" t="s">
        <v>227</v>
      </c>
      <c r="C141" s="44">
        <v>0.34</v>
      </c>
      <c r="D141" s="46">
        <v>0.03</v>
      </c>
      <c r="E141" s="37">
        <f>'4D1_CH4_EF_DomesticWastewater'!$D$13</f>
        <v>0.06</v>
      </c>
      <c r="F141" s="108">
        <f t="shared" si="12"/>
        <v>8812180.4000000004</v>
      </c>
      <c r="G141" s="49"/>
      <c r="H141" s="49"/>
      <c r="I141" s="15">
        <f t="shared" si="13"/>
        <v>5393.0544048000002</v>
      </c>
      <c r="J141" s="34">
        <f t="shared" si="14"/>
        <v>5.3930544048000004E-3</v>
      </c>
    </row>
    <row r="142" spans="1:10">
      <c r="A142" s="241"/>
      <c r="B142" s="53" t="s">
        <v>228</v>
      </c>
      <c r="C142" s="44">
        <v>0.34</v>
      </c>
      <c r="D142" s="46">
        <v>0.53</v>
      </c>
      <c r="E142" s="37">
        <f>'4D1_CH4_EF_DomesticWastewater'!$D$13</f>
        <v>0.06</v>
      </c>
      <c r="F142" s="108">
        <f t="shared" si="12"/>
        <v>8812180.4000000004</v>
      </c>
      <c r="G142" s="49"/>
      <c r="H142" s="49"/>
      <c r="I142" s="15">
        <f t="shared" si="13"/>
        <v>95277.294484800004</v>
      </c>
      <c r="J142" s="34">
        <f t="shared" si="14"/>
        <v>9.5277294484800004E-2</v>
      </c>
    </row>
    <row r="143" spans="1:10">
      <c r="A143" s="241"/>
      <c r="B143" s="53" t="s">
        <v>229</v>
      </c>
      <c r="C143" s="44">
        <v>0.34</v>
      </c>
      <c r="D143" s="46">
        <v>0.2</v>
      </c>
      <c r="E143" s="37">
        <v>0</v>
      </c>
      <c r="F143" s="108">
        <f t="shared" si="12"/>
        <v>8812180.4000000004</v>
      </c>
      <c r="G143" s="49"/>
      <c r="H143" s="49"/>
      <c r="I143" s="15">
        <f t="shared" si="13"/>
        <v>0</v>
      </c>
      <c r="J143" s="34">
        <f t="shared" si="14"/>
        <v>0</v>
      </c>
    </row>
    <row r="144" spans="1:10">
      <c r="A144" s="278" t="s">
        <v>294</v>
      </c>
      <c r="B144" s="278"/>
      <c r="C144" s="278"/>
      <c r="D144" s="278"/>
      <c r="E144" s="278"/>
      <c r="F144" s="278"/>
      <c r="G144" s="278"/>
      <c r="H144" s="278"/>
      <c r="I144" s="109">
        <f>SUM(I129:I143)</f>
        <v>630564.3807024</v>
      </c>
      <c r="J144" s="110">
        <f>SUM(J129:J143)</f>
        <v>0.63056438070240006</v>
      </c>
    </row>
    <row r="147" spans="1:10">
      <c r="A147" s="279" t="s">
        <v>0</v>
      </c>
      <c r="B147" s="280"/>
      <c r="C147" s="199" t="s">
        <v>1</v>
      </c>
      <c r="D147" s="283"/>
      <c r="E147" s="283"/>
      <c r="F147" s="283"/>
      <c r="G147" s="283"/>
      <c r="H147" s="283"/>
      <c r="I147" s="283"/>
    </row>
    <row r="148" spans="1:10">
      <c r="A148" s="279" t="s">
        <v>2</v>
      </c>
      <c r="B148" s="280"/>
      <c r="C148" s="199" t="s">
        <v>117</v>
      </c>
      <c r="D148" s="283"/>
      <c r="E148" s="283"/>
      <c r="F148" s="283"/>
      <c r="G148" s="283"/>
      <c r="H148" s="283"/>
      <c r="I148" s="283"/>
    </row>
    <row r="149" spans="1:10">
      <c r="A149" s="279" t="s">
        <v>4</v>
      </c>
      <c r="B149" s="280"/>
      <c r="C149" s="199" t="s">
        <v>118</v>
      </c>
      <c r="D149" s="283"/>
      <c r="E149" s="283"/>
      <c r="F149" s="283"/>
      <c r="G149" s="283"/>
      <c r="H149" s="283"/>
      <c r="I149" s="283"/>
    </row>
    <row r="150" spans="1:10">
      <c r="A150" s="279" t="s">
        <v>6</v>
      </c>
      <c r="B150" s="280"/>
      <c r="C150" s="199" t="s">
        <v>145</v>
      </c>
      <c r="D150" s="283"/>
      <c r="E150" s="283"/>
      <c r="F150" s="283"/>
      <c r="G150" s="283"/>
      <c r="H150" s="283"/>
      <c r="I150" s="283"/>
    </row>
    <row r="151" spans="1:10">
      <c r="A151" s="231" t="s">
        <v>10</v>
      </c>
      <c r="B151" s="268"/>
      <c r="C151" s="268"/>
      <c r="D151" s="268"/>
      <c r="E151" s="268"/>
      <c r="F151" s="268"/>
      <c r="G151" s="268"/>
      <c r="H151" s="268"/>
      <c r="I151" s="268"/>
      <c r="J151" s="107"/>
    </row>
    <row r="152" spans="1:10">
      <c r="A152" s="59"/>
      <c r="B152" s="59"/>
      <c r="C152" s="7" t="s">
        <v>11</v>
      </c>
      <c r="D152" s="7" t="s">
        <v>12</v>
      </c>
      <c r="E152" s="7" t="s">
        <v>13</v>
      </c>
      <c r="F152" s="7" t="s">
        <v>14</v>
      </c>
      <c r="G152" s="7" t="s">
        <v>15</v>
      </c>
      <c r="H152" s="7" t="s">
        <v>58</v>
      </c>
      <c r="I152" s="7" t="s">
        <v>78</v>
      </c>
      <c r="J152" s="89" t="s">
        <v>79</v>
      </c>
    </row>
    <row r="153" spans="1:10" ht="51">
      <c r="A153" s="209" t="s">
        <v>146</v>
      </c>
      <c r="B153" s="209" t="s">
        <v>147</v>
      </c>
      <c r="C153" s="59" t="s">
        <v>148</v>
      </c>
      <c r="D153" s="59" t="s">
        <v>149</v>
      </c>
      <c r="E153" s="59" t="s">
        <v>150</v>
      </c>
      <c r="F153" s="59" t="s">
        <v>123</v>
      </c>
      <c r="G153" s="59" t="s">
        <v>151</v>
      </c>
      <c r="H153" s="59" t="s">
        <v>152</v>
      </c>
      <c r="I153" s="59" t="s">
        <v>153</v>
      </c>
      <c r="J153" s="59" t="s">
        <v>153</v>
      </c>
    </row>
    <row r="154" spans="1:10" ht="15.75">
      <c r="A154" s="209"/>
      <c r="B154" s="209"/>
      <c r="C154" s="76" t="s">
        <v>154</v>
      </c>
      <c r="D154" s="76" t="s">
        <v>155</v>
      </c>
      <c r="E154" s="76" t="s">
        <v>156</v>
      </c>
      <c r="F154" s="76" t="s">
        <v>127</v>
      </c>
      <c r="G154" s="76" t="s">
        <v>157</v>
      </c>
      <c r="H154" s="76" t="s">
        <v>158</v>
      </c>
      <c r="I154" s="76" t="s">
        <v>159</v>
      </c>
      <c r="J154" s="76" t="s">
        <v>159</v>
      </c>
    </row>
    <row r="155" spans="1:10" ht="28.5">
      <c r="A155" s="209"/>
      <c r="B155" s="209"/>
      <c r="C155" s="8" t="s">
        <v>44</v>
      </c>
      <c r="D155" s="8" t="s">
        <v>44</v>
      </c>
      <c r="E155" s="8" t="s">
        <v>142</v>
      </c>
      <c r="F155" s="8" t="s">
        <v>130</v>
      </c>
      <c r="G155" s="8" t="s">
        <v>130</v>
      </c>
      <c r="H155" s="8" t="s">
        <v>160</v>
      </c>
      <c r="I155" s="8" t="s">
        <v>160</v>
      </c>
      <c r="J155" s="8" t="s">
        <v>231</v>
      </c>
    </row>
    <row r="156" spans="1:10" ht="24.75" thickBot="1">
      <c r="A156" s="225"/>
      <c r="B156" s="225"/>
      <c r="C156" s="5"/>
      <c r="D156" s="5"/>
      <c r="E156" s="5" t="s">
        <v>161</v>
      </c>
      <c r="F156" s="5" t="s">
        <v>162</v>
      </c>
      <c r="G156" s="5"/>
      <c r="H156" s="5"/>
      <c r="I156" s="9" t="s">
        <v>163</v>
      </c>
      <c r="J156" s="35"/>
    </row>
    <row r="157" spans="1:10" ht="13.5" thickTop="1">
      <c r="A157" s="281" t="s">
        <v>164</v>
      </c>
      <c r="B157" s="54" t="s">
        <v>225</v>
      </c>
      <c r="C157" s="42">
        <v>0.54</v>
      </c>
      <c r="D157" s="43">
        <v>0</v>
      </c>
      <c r="E157" s="38">
        <f>'4D1_CH4_EF_DomesticWastewater'!$D$14</f>
        <v>0.3</v>
      </c>
      <c r="F157" s="108">
        <f>$M$17</f>
        <v>8963932.7999999989</v>
      </c>
      <c r="G157" s="47"/>
      <c r="H157" s="47"/>
      <c r="I157" s="14">
        <f>((C157*D157*E157)*(F157-G157))-H157</f>
        <v>0</v>
      </c>
      <c r="J157" s="32">
        <f>I157/(10^6)</f>
        <v>0</v>
      </c>
    </row>
    <row r="158" spans="1:10">
      <c r="A158" s="282"/>
      <c r="B158" s="55" t="s">
        <v>226</v>
      </c>
      <c r="C158" s="44">
        <v>0.54</v>
      </c>
      <c r="D158" s="45">
        <v>0.47</v>
      </c>
      <c r="E158" s="37">
        <f>'4D1_CH4_EF_DomesticWastewater'!$D$23</f>
        <v>0.06</v>
      </c>
      <c r="F158" s="108">
        <f t="shared" ref="F158:F171" si="15">$M$17</f>
        <v>8963932.7999999989</v>
      </c>
      <c r="G158" s="48"/>
      <c r="H158" s="48"/>
      <c r="I158" s="15">
        <f t="shared" ref="I158:I171" si="16">((C158*D158*E158)*(F158-G158))-H158</f>
        <v>136502.7686784</v>
      </c>
      <c r="J158" s="34">
        <f t="shared" ref="J158:J171" si="17">I158/(10^6)</f>
        <v>0.1365027686784</v>
      </c>
    </row>
    <row r="159" spans="1:10">
      <c r="A159" s="282"/>
      <c r="B159" s="53" t="s">
        <v>227</v>
      </c>
      <c r="C159" s="44">
        <v>0.54</v>
      </c>
      <c r="D159" s="45">
        <v>0</v>
      </c>
      <c r="E159" s="37">
        <f>'4D1_CH4_EF_DomesticWastewater'!$D$13</f>
        <v>0.06</v>
      </c>
      <c r="F159" s="108">
        <f t="shared" si="15"/>
        <v>8963932.7999999989</v>
      </c>
      <c r="G159" s="48"/>
      <c r="H159" s="48"/>
      <c r="I159" s="15">
        <f t="shared" si="16"/>
        <v>0</v>
      </c>
      <c r="J159" s="34">
        <f t="shared" si="17"/>
        <v>0</v>
      </c>
    </row>
    <row r="160" spans="1:10">
      <c r="A160" s="241"/>
      <c r="B160" s="53" t="s">
        <v>228</v>
      </c>
      <c r="C160" s="44">
        <v>0.54</v>
      </c>
      <c r="D160" s="46">
        <v>0.1</v>
      </c>
      <c r="E160" s="37">
        <f>'4D1_CH4_EF_DomesticWastewater'!$D$14</f>
        <v>0.3</v>
      </c>
      <c r="F160" s="108">
        <f t="shared" si="15"/>
        <v>8963932.7999999989</v>
      </c>
      <c r="G160" s="49"/>
      <c r="H160" s="49"/>
      <c r="I160" s="15">
        <f t="shared" si="16"/>
        <v>145215.71136000002</v>
      </c>
      <c r="J160" s="34">
        <f t="shared" si="17"/>
        <v>0.14521571136000003</v>
      </c>
    </row>
    <row r="161" spans="1:10">
      <c r="A161" s="241"/>
      <c r="B161" s="53" t="s">
        <v>229</v>
      </c>
      <c r="C161" s="44">
        <v>0.54</v>
      </c>
      <c r="D161" s="46">
        <v>0.43</v>
      </c>
      <c r="E161" s="37">
        <v>0</v>
      </c>
      <c r="F161" s="108">
        <f t="shared" si="15"/>
        <v>8963932.7999999989</v>
      </c>
      <c r="G161" s="49"/>
      <c r="H161" s="49"/>
      <c r="I161" s="15">
        <f t="shared" si="16"/>
        <v>0</v>
      </c>
      <c r="J161" s="34">
        <f t="shared" si="17"/>
        <v>0</v>
      </c>
    </row>
    <row r="162" spans="1:10">
      <c r="A162" s="241" t="s">
        <v>165</v>
      </c>
      <c r="B162" s="53" t="s">
        <v>225</v>
      </c>
      <c r="C162" s="44">
        <v>0.12</v>
      </c>
      <c r="D162" s="46">
        <v>0.18</v>
      </c>
      <c r="E162" s="37">
        <f>'4D1_CH4_EF_DomesticWastewater'!$D$22</f>
        <v>0.3</v>
      </c>
      <c r="F162" s="108">
        <f t="shared" si="15"/>
        <v>8963932.7999999989</v>
      </c>
      <c r="G162" s="49"/>
      <c r="H162" s="49"/>
      <c r="I162" s="15">
        <f t="shared" si="16"/>
        <v>58086.28454399998</v>
      </c>
      <c r="J162" s="34">
        <f t="shared" si="17"/>
        <v>5.8086284543999979E-2</v>
      </c>
    </row>
    <row r="163" spans="1:10">
      <c r="A163" s="241"/>
      <c r="B163" s="53" t="s">
        <v>226</v>
      </c>
      <c r="C163" s="44">
        <v>0.12</v>
      </c>
      <c r="D163" s="46">
        <v>0.08</v>
      </c>
      <c r="E163" s="37">
        <f>'4D1_CH4_EF_DomesticWastewater'!$D$23</f>
        <v>0.06</v>
      </c>
      <c r="F163" s="108">
        <f t="shared" si="15"/>
        <v>8963932.7999999989</v>
      </c>
      <c r="G163" s="49"/>
      <c r="H163" s="49"/>
      <c r="I163" s="15">
        <f t="shared" si="16"/>
        <v>5163.2252927999989</v>
      </c>
      <c r="J163" s="34">
        <f t="shared" si="17"/>
        <v>5.1632252927999991E-3</v>
      </c>
    </row>
    <row r="164" spans="1:10">
      <c r="A164" s="241"/>
      <c r="B164" s="53" t="s">
        <v>227</v>
      </c>
      <c r="C164" s="44">
        <v>0.12</v>
      </c>
      <c r="D164" s="46">
        <v>0</v>
      </c>
      <c r="E164" s="37">
        <f>'4D1_CH4_EF_DomesticWastewater'!$D$13</f>
        <v>0.06</v>
      </c>
      <c r="F164" s="108">
        <f t="shared" si="15"/>
        <v>8963932.7999999989</v>
      </c>
      <c r="G164" s="49"/>
      <c r="H164" s="49"/>
      <c r="I164" s="15">
        <f t="shared" si="16"/>
        <v>0</v>
      </c>
      <c r="J164" s="34">
        <f t="shared" si="17"/>
        <v>0</v>
      </c>
    </row>
    <row r="165" spans="1:10">
      <c r="A165" s="241"/>
      <c r="B165" s="53" t="s">
        <v>228</v>
      </c>
      <c r="C165" s="44">
        <v>0.12</v>
      </c>
      <c r="D165" s="46">
        <v>0.74</v>
      </c>
      <c r="E165" s="37">
        <f>'4D1_CH4_EF_DomesticWastewater'!$D$13</f>
        <v>0.06</v>
      </c>
      <c r="F165" s="108">
        <f t="shared" si="15"/>
        <v>8963932.7999999989</v>
      </c>
      <c r="G165" s="49"/>
      <c r="H165" s="49"/>
      <c r="I165" s="15">
        <f t="shared" si="16"/>
        <v>47759.833958399991</v>
      </c>
      <c r="J165" s="34">
        <f t="shared" si="17"/>
        <v>4.7759833958399993E-2</v>
      </c>
    </row>
    <row r="166" spans="1:10">
      <c r="A166" s="241"/>
      <c r="B166" s="53" t="s">
        <v>229</v>
      </c>
      <c r="C166" s="44">
        <v>0.12</v>
      </c>
      <c r="D166" s="46">
        <v>0</v>
      </c>
      <c r="E166" s="37">
        <v>0</v>
      </c>
      <c r="F166" s="108">
        <f t="shared" si="15"/>
        <v>8963932.7999999989</v>
      </c>
      <c r="G166" s="49"/>
      <c r="H166" s="49"/>
      <c r="I166" s="15">
        <f t="shared" si="16"/>
        <v>0</v>
      </c>
      <c r="J166" s="34">
        <f t="shared" si="17"/>
        <v>0</v>
      </c>
    </row>
    <row r="167" spans="1:10">
      <c r="A167" s="241" t="s">
        <v>166</v>
      </c>
      <c r="B167" s="53" t="s">
        <v>225</v>
      </c>
      <c r="C167" s="44">
        <v>0.34</v>
      </c>
      <c r="D167" s="46">
        <v>0.14000000000000001</v>
      </c>
      <c r="E167" s="37">
        <f>'4D1_CH4_EF_DomesticWastewater'!$D$22</f>
        <v>0.3</v>
      </c>
      <c r="F167" s="108">
        <f t="shared" si="15"/>
        <v>8963932.7999999989</v>
      </c>
      <c r="G167" s="49"/>
      <c r="H167" s="49"/>
      <c r="I167" s="15">
        <f t="shared" si="16"/>
        <v>128004.96038400001</v>
      </c>
      <c r="J167" s="34">
        <f t="shared" si="17"/>
        <v>0.128004960384</v>
      </c>
    </row>
    <row r="168" spans="1:10">
      <c r="A168" s="241"/>
      <c r="B168" s="53" t="s">
        <v>226</v>
      </c>
      <c r="C168" s="44">
        <v>0.34</v>
      </c>
      <c r="D168" s="46">
        <v>0.1</v>
      </c>
      <c r="E168" s="37">
        <f>'4D1_CH4_EF_DomesticWastewater'!$D$23</f>
        <v>0.06</v>
      </c>
      <c r="F168" s="108">
        <f t="shared" si="15"/>
        <v>8963932.7999999989</v>
      </c>
      <c r="G168" s="49"/>
      <c r="H168" s="49"/>
      <c r="I168" s="15">
        <f t="shared" si="16"/>
        <v>18286.422911999998</v>
      </c>
      <c r="J168" s="34">
        <f t="shared" si="17"/>
        <v>1.8286422911999996E-2</v>
      </c>
    </row>
    <row r="169" spans="1:10">
      <c r="A169" s="241"/>
      <c r="B169" s="53" t="s">
        <v>227</v>
      </c>
      <c r="C169" s="44">
        <v>0.34</v>
      </c>
      <c r="D169" s="46">
        <v>0.03</v>
      </c>
      <c r="E169" s="37">
        <f>'4D1_CH4_EF_DomesticWastewater'!$D$13</f>
        <v>0.06</v>
      </c>
      <c r="F169" s="108">
        <f t="shared" si="15"/>
        <v>8963932.7999999989</v>
      </c>
      <c r="G169" s="49"/>
      <c r="H169" s="49"/>
      <c r="I169" s="15">
        <f t="shared" si="16"/>
        <v>5485.9268735999995</v>
      </c>
      <c r="J169" s="34">
        <f t="shared" si="17"/>
        <v>5.4859268735999991E-3</v>
      </c>
    </row>
    <row r="170" spans="1:10">
      <c r="A170" s="241"/>
      <c r="B170" s="53" t="s">
        <v>228</v>
      </c>
      <c r="C170" s="44">
        <v>0.34</v>
      </c>
      <c r="D170" s="46">
        <v>0.53</v>
      </c>
      <c r="E170" s="37">
        <f>'4D1_CH4_EF_DomesticWastewater'!$D$13</f>
        <v>0.06</v>
      </c>
      <c r="F170" s="108">
        <f t="shared" si="15"/>
        <v>8963932.7999999989</v>
      </c>
      <c r="G170" s="49"/>
      <c r="H170" s="49"/>
      <c r="I170" s="15">
        <f t="shared" si="16"/>
        <v>96918.041433599996</v>
      </c>
      <c r="J170" s="34">
        <f t="shared" si="17"/>
        <v>9.69180414336E-2</v>
      </c>
    </row>
    <row r="171" spans="1:10">
      <c r="A171" s="241"/>
      <c r="B171" s="53" t="s">
        <v>229</v>
      </c>
      <c r="C171" s="44">
        <v>0.34</v>
      </c>
      <c r="D171" s="46">
        <v>0.2</v>
      </c>
      <c r="E171" s="37">
        <v>0</v>
      </c>
      <c r="F171" s="108">
        <f t="shared" si="15"/>
        <v>8963932.7999999989</v>
      </c>
      <c r="G171" s="49"/>
      <c r="H171" s="49"/>
      <c r="I171" s="15">
        <f t="shared" si="16"/>
        <v>0</v>
      </c>
      <c r="J171" s="34">
        <f t="shared" si="17"/>
        <v>0</v>
      </c>
    </row>
    <row r="172" spans="1:10">
      <c r="A172" s="278" t="s">
        <v>295</v>
      </c>
      <c r="B172" s="278"/>
      <c r="C172" s="278"/>
      <c r="D172" s="278"/>
      <c r="E172" s="278"/>
      <c r="F172" s="278"/>
      <c r="G172" s="278"/>
      <c r="H172" s="278"/>
      <c r="I172" s="109">
        <f>SUM(I157:I171)</f>
        <v>641423.1754368</v>
      </c>
      <c r="J172" s="110">
        <f>SUM(J157:J171)</f>
        <v>0.64142317543680005</v>
      </c>
    </row>
    <row r="175" spans="1:10">
      <c r="A175" s="279" t="s">
        <v>0</v>
      </c>
      <c r="B175" s="280"/>
      <c r="C175" s="199" t="s">
        <v>1</v>
      </c>
      <c r="D175" s="283"/>
      <c r="E175" s="283"/>
      <c r="F175" s="283"/>
      <c r="G175" s="283"/>
      <c r="H175" s="283"/>
      <c r="I175" s="283"/>
    </row>
    <row r="176" spans="1:10">
      <c r="A176" s="279" t="s">
        <v>2</v>
      </c>
      <c r="B176" s="280"/>
      <c r="C176" s="199" t="s">
        <v>117</v>
      </c>
      <c r="D176" s="283"/>
      <c r="E176" s="283"/>
      <c r="F176" s="283"/>
      <c r="G176" s="283"/>
      <c r="H176" s="283"/>
      <c r="I176" s="283"/>
    </row>
    <row r="177" spans="1:10">
      <c r="A177" s="279" t="s">
        <v>4</v>
      </c>
      <c r="B177" s="280"/>
      <c r="C177" s="199" t="s">
        <v>118</v>
      </c>
      <c r="D177" s="283"/>
      <c r="E177" s="283"/>
      <c r="F177" s="283"/>
      <c r="G177" s="283"/>
      <c r="H177" s="283"/>
      <c r="I177" s="283"/>
    </row>
    <row r="178" spans="1:10">
      <c r="A178" s="279" t="s">
        <v>6</v>
      </c>
      <c r="B178" s="280"/>
      <c r="C178" s="199" t="s">
        <v>145</v>
      </c>
      <c r="D178" s="283"/>
      <c r="E178" s="283"/>
      <c r="F178" s="283"/>
      <c r="G178" s="283"/>
      <c r="H178" s="283"/>
      <c r="I178" s="283"/>
    </row>
    <row r="179" spans="1:10">
      <c r="A179" s="231" t="s">
        <v>10</v>
      </c>
      <c r="B179" s="268"/>
      <c r="C179" s="268"/>
      <c r="D179" s="268"/>
      <c r="E179" s="268"/>
      <c r="F179" s="268"/>
      <c r="G179" s="268"/>
      <c r="H179" s="268"/>
      <c r="I179" s="268"/>
      <c r="J179" s="107"/>
    </row>
    <row r="180" spans="1:10">
      <c r="A180" s="59"/>
      <c r="B180" s="59"/>
      <c r="C180" s="7" t="s">
        <v>11</v>
      </c>
      <c r="D180" s="7" t="s">
        <v>12</v>
      </c>
      <c r="E180" s="7" t="s">
        <v>13</v>
      </c>
      <c r="F180" s="7" t="s">
        <v>14</v>
      </c>
      <c r="G180" s="7" t="s">
        <v>15</v>
      </c>
      <c r="H180" s="7" t="s">
        <v>58</v>
      </c>
      <c r="I180" s="7" t="s">
        <v>78</v>
      </c>
      <c r="J180" s="89" t="s">
        <v>79</v>
      </c>
    </row>
    <row r="181" spans="1:10" ht="51">
      <c r="A181" s="209" t="s">
        <v>146</v>
      </c>
      <c r="B181" s="209" t="s">
        <v>147</v>
      </c>
      <c r="C181" s="59" t="s">
        <v>148</v>
      </c>
      <c r="D181" s="59" t="s">
        <v>149</v>
      </c>
      <c r="E181" s="59" t="s">
        <v>150</v>
      </c>
      <c r="F181" s="59" t="s">
        <v>123</v>
      </c>
      <c r="G181" s="59" t="s">
        <v>151</v>
      </c>
      <c r="H181" s="59" t="s">
        <v>152</v>
      </c>
      <c r="I181" s="59" t="s">
        <v>153</v>
      </c>
      <c r="J181" s="59" t="s">
        <v>153</v>
      </c>
    </row>
    <row r="182" spans="1:10" ht="15.75">
      <c r="A182" s="209"/>
      <c r="B182" s="209"/>
      <c r="C182" s="76" t="s">
        <v>154</v>
      </c>
      <c r="D182" s="76" t="s">
        <v>155</v>
      </c>
      <c r="E182" s="76" t="s">
        <v>156</v>
      </c>
      <c r="F182" s="76" t="s">
        <v>127</v>
      </c>
      <c r="G182" s="76" t="s">
        <v>157</v>
      </c>
      <c r="H182" s="76" t="s">
        <v>158</v>
      </c>
      <c r="I182" s="76" t="s">
        <v>159</v>
      </c>
      <c r="J182" s="76" t="s">
        <v>159</v>
      </c>
    </row>
    <row r="183" spans="1:10" ht="28.5">
      <c r="A183" s="209"/>
      <c r="B183" s="209"/>
      <c r="C183" s="8" t="s">
        <v>44</v>
      </c>
      <c r="D183" s="8" t="s">
        <v>44</v>
      </c>
      <c r="E183" s="8" t="s">
        <v>142</v>
      </c>
      <c r="F183" s="8" t="s">
        <v>130</v>
      </c>
      <c r="G183" s="8" t="s">
        <v>130</v>
      </c>
      <c r="H183" s="8" t="s">
        <v>160</v>
      </c>
      <c r="I183" s="8" t="s">
        <v>160</v>
      </c>
      <c r="J183" s="8" t="s">
        <v>231</v>
      </c>
    </row>
    <row r="184" spans="1:10" ht="24.75" thickBot="1">
      <c r="A184" s="225"/>
      <c r="B184" s="225"/>
      <c r="C184" s="5"/>
      <c r="D184" s="5"/>
      <c r="E184" s="5" t="s">
        <v>161</v>
      </c>
      <c r="F184" s="5" t="s">
        <v>162</v>
      </c>
      <c r="G184" s="5"/>
      <c r="H184" s="5"/>
      <c r="I184" s="9" t="s">
        <v>163</v>
      </c>
      <c r="J184" s="35"/>
    </row>
    <row r="185" spans="1:10" ht="13.5" thickTop="1">
      <c r="A185" s="281" t="s">
        <v>164</v>
      </c>
      <c r="B185" s="54" t="s">
        <v>225</v>
      </c>
      <c r="C185" s="42">
        <v>0.54</v>
      </c>
      <c r="D185" s="43">
        <v>0</v>
      </c>
      <c r="E185" s="38">
        <f>'4D1_CH4_EF_DomesticWastewater'!$D$14</f>
        <v>0.3</v>
      </c>
      <c r="F185" s="108">
        <f>$M$18</f>
        <v>9314639.4000000004</v>
      </c>
      <c r="G185" s="47"/>
      <c r="H185" s="47"/>
      <c r="I185" s="14">
        <f>((C185*D185*E185)*(F185-G185))-H185</f>
        <v>0</v>
      </c>
      <c r="J185" s="32">
        <f>I185/(10^6)</f>
        <v>0</v>
      </c>
    </row>
    <row r="186" spans="1:10">
      <c r="A186" s="282"/>
      <c r="B186" s="55" t="s">
        <v>226</v>
      </c>
      <c r="C186" s="44">
        <v>0.54</v>
      </c>
      <c r="D186" s="45">
        <v>0.47</v>
      </c>
      <c r="E186" s="37">
        <f>'4D1_CH4_EF_DomesticWastewater'!$D$23</f>
        <v>0.06</v>
      </c>
      <c r="F186" s="108">
        <f t="shared" ref="F186:F199" si="18">$M$18</f>
        <v>9314639.4000000004</v>
      </c>
      <c r="G186" s="48"/>
      <c r="H186" s="48"/>
      <c r="I186" s="15">
        <f t="shared" ref="I186:I199" si="19">((C186*D186*E186)*(F186-G186))-H186</f>
        <v>141843.32878320001</v>
      </c>
      <c r="J186" s="34">
        <f t="shared" ref="J186:J199" si="20">I186/(10^6)</f>
        <v>0.1418433287832</v>
      </c>
    </row>
    <row r="187" spans="1:10">
      <c r="A187" s="282"/>
      <c r="B187" s="53" t="s">
        <v>227</v>
      </c>
      <c r="C187" s="44">
        <v>0.54</v>
      </c>
      <c r="D187" s="45">
        <v>0</v>
      </c>
      <c r="E187" s="37">
        <f>'4D1_CH4_EF_DomesticWastewater'!$D$13</f>
        <v>0.06</v>
      </c>
      <c r="F187" s="108">
        <f t="shared" si="18"/>
        <v>9314639.4000000004</v>
      </c>
      <c r="G187" s="48"/>
      <c r="H187" s="48"/>
      <c r="I187" s="15">
        <f t="shared" si="19"/>
        <v>0</v>
      </c>
      <c r="J187" s="34">
        <f t="shared" si="20"/>
        <v>0</v>
      </c>
    </row>
    <row r="188" spans="1:10">
      <c r="A188" s="241"/>
      <c r="B188" s="53" t="s">
        <v>228</v>
      </c>
      <c r="C188" s="44">
        <v>0.54</v>
      </c>
      <c r="D188" s="46">
        <v>0.1</v>
      </c>
      <c r="E188" s="37">
        <f>'4D1_CH4_EF_DomesticWastewater'!$D$14</f>
        <v>0.3</v>
      </c>
      <c r="F188" s="108">
        <f t="shared" si="18"/>
        <v>9314639.4000000004</v>
      </c>
      <c r="G188" s="49"/>
      <c r="H188" s="49"/>
      <c r="I188" s="15">
        <f t="shared" si="19"/>
        <v>150897.15828000003</v>
      </c>
      <c r="J188" s="34">
        <f t="shared" si="20"/>
        <v>0.15089715828000003</v>
      </c>
    </row>
    <row r="189" spans="1:10">
      <c r="A189" s="241"/>
      <c r="B189" s="53" t="s">
        <v>229</v>
      </c>
      <c r="C189" s="44">
        <v>0.54</v>
      </c>
      <c r="D189" s="46">
        <v>0.43</v>
      </c>
      <c r="E189" s="37">
        <v>0</v>
      </c>
      <c r="F189" s="108">
        <f t="shared" si="18"/>
        <v>9314639.4000000004</v>
      </c>
      <c r="G189" s="49"/>
      <c r="H189" s="49"/>
      <c r="I189" s="15">
        <f t="shared" si="19"/>
        <v>0</v>
      </c>
      <c r="J189" s="34">
        <f t="shared" si="20"/>
        <v>0</v>
      </c>
    </row>
    <row r="190" spans="1:10">
      <c r="A190" s="241" t="s">
        <v>165</v>
      </c>
      <c r="B190" s="53" t="s">
        <v>225</v>
      </c>
      <c r="C190" s="44">
        <v>0.12</v>
      </c>
      <c r="D190" s="46">
        <v>0.18</v>
      </c>
      <c r="E190" s="37">
        <f>'4D1_CH4_EF_DomesticWastewater'!$D$22</f>
        <v>0.3</v>
      </c>
      <c r="F190" s="108">
        <f t="shared" si="18"/>
        <v>9314639.4000000004</v>
      </c>
      <c r="G190" s="49"/>
      <c r="H190" s="49"/>
      <c r="I190" s="15">
        <f t="shared" si="19"/>
        <v>60358.863311999994</v>
      </c>
      <c r="J190" s="34">
        <f t="shared" si="20"/>
        <v>6.0358863311999994E-2</v>
      </c>
    </row>
    <row r="191" spans="1:10">
      <c r="A191" s="241"/>
      <c r="B191" s="53" t="s">
        <v>226</v>
      </c>
      <c r="C191" s="44">
        <v>0.12</v>
      </c>
      <c r="D191" s="46">
        <v>0.08</v>
      </c>
      <c r="E191" s="37">
        <f>'4D1_CH4_EF_DomesticWastewater'!$D$23</f>
        <v>0.06</v>
      </c>
      <c r="F191" s="108">
        <f t="shared" si="18"/>
        <v>9314639.4000000004</v>
      </c>
      <c r="G191" s="49"/>
      <c r="H191" s="49"/>
      <c r="I191" s="15">
        <f t="shared" si="19"/>
        <v>5365.2322943999998</v>
      </c>
      <c r="J191" s="34">
        <f t="shared" si="20"/>
        <v>5.3652322944000002E-3</v>
      </c>
    </row>
    <row r="192" spans="1:10">
      <c r="A192" s="241"/>
      <c r="B192" s="53" t="s">
        <v>227</v>
      </c>
      <c r="C192" s="44">
        <v>0.12</v>
      </c>
      <c r="D192" s="46">
        <v>0</v>
      </c>
      <c r="E192" s="37">
        <f>'4D1_CH4_EF_DomesticWastewater'!$D$13</f>
        <v>0.06</v>
      </c>
      <c r="F192" s="108">
        <f t="shared" si="18"/>
        <v>9314639.4000000004</v>
      </c>
      <c r="G192" s="49"/>
      <c r="H192" s="49"/>
      <c r="I192" s="15">
        <f t="shared" si="19"/>
        <v>0</v>
      </c>
      <c r="J192" s="34">
        <f t="shared" si="20"/>
        <v>0</v>
      </c>
    </row>
    <row r="193" spans="1:10">
      <c r="A193" s="241"/>
      <c r="B193" s="53" t="s">
        <v>228</v>
      </c>
      <c r="C193" s="44">
        <v>0.12</v>
      </c>
      <c r="D193" s="46">
        <v>0.74</v>
      </c>
      <c r="E193" s="37">
        <f>'4D1_CH4_EF_DomesticWastewater'!$D$13</f>
        <v>0.06</v>
      </c>
      <c r="F193" s="108">
        <f t="shared" si="18"/>
        <v>9314639.4000000004</v>
      </c>
      <c r="G193" s="49"/>
      <c r="H193" s="49"/>
      <c r="I193" s="15">
        <f t="shared" si="19"/>
        <v>49628.3987232</v>
      </c>
      <c r="J193" s="34">
        <f t="shared" si="20"/>
        <v>4.9628398723199997E-2</v>
      </c>
    </row>
    <row r="194" spans="1:10">
      <c r="A194" s="241"/>
      <c r="B194" s="53" t="s">
        <v>229</v>
      </c>
      <c r="C194" s="44">
        <v>0.12</v>
      </c>
      <c r="D194" s="46">
        <v>0</v>
      </c>
      <c r="E194" s="37">
        <v>0</v>
      </c>
      <c r="F194" s="108">
        <f t="shared" si="18"/>
        <v>9314639.4000000004</v>
      </c>
      <c r="G194" s="49"/>
      <c r="H194" s="49"/>
      <c r="I194" s="15">
        <f t="shared" si="19"/>
        <v>0</v>
      </c>
      <c r="J194" s="34">
        <f t="shared" si="20"/>
        <v>0</v>
      </c>
    </row>
    <row r="195" spans="1:10">
      <c r="A195" s="241" t="s">
        <v>166</v>
      </c>
      <c r="B195" s="53" t="s">
        <v>225</v>
      </c>
      <c r="C195" s="44">
        <v>0.34</v>
      </c>
      <c r="D195" s="46">
        <v>0.14000000000000001</v>
      </c>
      <c r="E195" s="37">
        <f>'4D1_CH4_EF_DomesticWastewater'!$D$22</f>
        <v>0.3</v>
      </c>
      <c r="F195" s="108">
        <f t="shared" si="18"/>
        <v>9314639.4000000004</v>
      </c>
      <c r="G195" s="49"/>
      <c r="H195" s="49"/>
      <c r="I195" s="15">
        <f t="shared" si="19"/>
        <v>133013.05063200003</v>
      </c>
      <c r="J195" s="34">
        <f t="shared" si="20"/>
        <v>0.13301305063200003</v>
      </c>
    </row>
    <row r="196" spans="1:10">
      <c r="A196" s="241"/>
      <c r="B196" s="53" t="s">
        <v>226</v>
      </c>
      <c r="C196" s="44">
        <v>0.34</v>
      </c>
      <c r="D196" s="46">
        <v>0.1</v>
      </c>
      <c r="E196" s="37">
        <f>'4D1_CH4_EF_DomesticWastewater'!$D$23</f>
        <v>0.06</v>
      </c>
      <c r="F196" s="108">
        <f t="shared" si="18"/>
        <v>9314639.4000000004</v>
      </c>
      <c r="G196" s="49"/>
      <c r="H196" s="49"/>
      <c r="I196" s="15">
        <f t="shared" si="19"/>
        <v>19001.864376000001</v>
      </c>
      <c r="J196" s="34">
        <f t="shared" si="20"/>
        <v>1.9001864376000002E-2</v>
      </c>
    </row>
    <row r="197" spans="1:10">
      <c r="A197" s="241"/>
      <c r="B197" s="53" t="s">
        <v>227</v>
      </c>
      <c r="C197" s="44">
        <v>0.34</v>
      </c>
      <c r="D197" s="46">
        <v>0.03</v>
      </c>
      <c r="E197" s="37">
        <f>'4D1_CH4_EF_DomesticWastewater'!$D$13</f>
        <v>0.06</v>
      </c>
      <c r="F197" s="108">
        <f t="shared" si="18"/>
        <v>9314639.4000000004</v>
      </c>
      <c r="G197" s="49"/>
      <c r="H197" s="49"/>
      <c r="I197" s="15">
        <f t="shared" si="19"/>
        <v>5700.5593128</v>
      </c>
      <c r="J197" s="34">
        <f t="shared" si="20"/>
        <v>5.7005593128000003E-3</v>
      </c>
    </row>
    <row r="198" spans="1:10">
      <c r="A198" s="241"/>
      <c r="B198" s="53" t="s">
        <v>228</v>
      </c>
      <c r="C198" s="44">
        <v>0.34</v>
      </c>
      <c r="D198" s="46">
        <v>0.53</v>
      </c>
      <c r="E198" s="37">
        <f>'4D1_CH4_EF_DomesticWastewater'!$D$13</f>
        <v>0.06</v>
      </c>
      <c r="F198" s="108">
        <f t="shared" si="18"/>
        <v>9314639.4000000004</v>
      </c>
      <c r="G198" s="49"/>
      <c r="H198" s="49"/>
      <c r="I198" s="15">
        <f t="shared" si="19"/>
        <v>100709.88119280001</v>
      </c>
      <c r="J198" s="34">
        <f t="shared" si="20"/>
        <v>0.10070988119280001</v>
      </c>
    </row>
    <row r="199" spans="1:10">
      <c r="A199" s="241"/>
      <c r="B199" s="53" t="s">
        <v>229</v>
      </c>
      <c r="C199" s="44">
        <v>0.34</v>
      </c>
      <c r="D199" s="46">
        <v>0.2</v>
      </c>
      <c r="E199" s="37">
        <v>0</v>
      </c>
      <c r="F199" s="108">
        <f t="shared" si="18"/>
        <v>9314639.4000000004</v>
      </c>
      <c r="G199" s="49"/>
      <c r="H199" s="49"/>
      <c r="I199" s="15">
        <f t="shared" si="19"/>
        <v>0</v>
      </c>
      <c r="J199" s="34">
        <f t="shared" si="20"/>
        <v>0</v>
      </c>
    </row>
    <row r="200" spans="1:10">
      <c r="A200" s="278" t="s">
        <v>296</v>
      </c>
      <c r="B200" s="278"/>
      <c r="C200" s="278"/>
      <c r="D200" s="278"/>
      <c r="E200" s="278"/>
      <c r="F200" s="278"/>
      <c r="G200" s="278"/>
      <c r="H200" s="278"/>
      <c r="I200" s="109">
        <f>SUM(I185:I199)</f>
        <v>666518.33690640004</v>
      </c>
      <c r="J200" s="110">
        <f>SUM(J185:J199)</f>
        <v>0.66651833690640006</v>
      </c>
    </row>
    <row r="203" spans="1:10">
      <c r="A203" s="279" t="s">
        <v>0</v>
      </c>
      <c r="B203" s="280"/>
      <c r="C203" s="199" t="s">
        <v>1</v>
      </c>
      <c r="D203" s="283"/>
      <c r="E203" s="283"/>
      <c r="F203" s="283"/>
      <c r="G203" s="283"/>
      <c r="H203" s="283"/>
      <c r="I203" s="283"/>
    </row>
    <row r="204" spans="1:10">
      <c r="A204" s="279" t="s">
        <v>2</v>
      </c>
      <c r="B204" s="280"/>
      <c r="C204" s="199" t="s">
        <v>117</v>
      </c>
      <c r="D204" s="283"/>
      <c r="E204" s="283"/>
      <c r="F204" s="283"/>
      <c r="G204" s="283"/>
      <c r="H204" s="283"/>
      <c r="I204" s="283"/>
    </row>
    <row r="205" spans="1:10">
      <c r="A205" s="279" t="s">
        <v>4</v>
      </c>
      <c r="B205" s="280"/>
      <c r="C205" s="199" t="s">
        <v>118</v>
      </c>
      <c r="D205" s="283"/>
      <c r="E205" s="283"/>
      <c r="F205" s="283"/>
      <c r="G205" s="283"/>
      <c r="H205" s="283"/>
      <c r="I205" s="283"/>
    </row>
    <row r="206" spans="1:10">
      <c r="A206" s="279" t="s">
        <v>6</v>
      </c>
      <c r="B206" s="280"/>
      <c r="C206" s="199" t="s">
        <v>145</v>
      </c>
      <c r="D206" s="283"/>
      <c r="E206" s="283"/>
      <c r="F206" s="283"/>
      <c r="G206" s="283"/>
      <c r="H206" s="283"/>
      <c r="I206" s="283"/>
    </row>
    <row r="207" spans="1:10">
      <c r="A207" s="231" t="s">
        <v>10</v>
      </c>
      <c r="B207" s="268"/>
      <c r="C207" s="268"/>
      <c r="D207" s="268"/>
      <c r="E207" s="268"/>
      <c r="F207" s="268"/>
      <c r="G207" s="268"/>
      <c r="H207" s="268"/>
      <c r="I207" s="268"/>
      <c r="J207" s="107"/>
    </row>
    <row r="208" spans="1:10">
      <c r="A208" s="59"/>
      <c r="B208" s="59"/>
      <c r="C208" s="7" t="s">
        <v>11</v>
      </c>
      <c r="D208" s="7" t="s">
        <v>12</v>
      </c>
      <c r="E208" s="7" t="s">
        <v>13</v>
      </c>
      <c r="F208" s="7" t="s">
        <v>14</v>
      </c>
      <c r="G208" s="7" t="s">
        <v>15</v>
      </c>
      <c r="H208" s="7" t="s">
        <v>58</v>
      </c>
      <c r="I208" s="7" t="s">
        <v>78</v>
      </c>
      <c r="J208" s="89" t="s">
        <v>79</v>
      </c>
    </row>
    <row r="209" spans="1:10" ht="51">
      <c r="A209" s="209" t="s">
        <v>146</v>
      </c>
      <c r="B209" s="209" t="s">
        <v>147</v>
      </c>
      <c r="C209" s="59" t="s">
        <v>148</v>
      </c>
      <c r="D209" s="59" t="s">
        <v>149</v>
      </c>
      <c r="E209" s="59" t="s">
        <v>150</v>
      </c>
      <c r="F209" s="59" t="s">
        <v>123</v>
      </c>
      <c r="G209" s="59" t="s">
        <v>151</v>
      </c>
      <c r="H209" s="59" t="s">
        <v>152</v>
      </c>
      <c r="I209" s="59" t="s">
        <v>153</v>
      </c>
      <c r="J209" s="59" t="s">
        <v>153</v>
      </c>
    </row>
    <row r="210" spans="1:10" ht="15.75">
      <c r="A210" s="209"/>
      <c r="B210" s="209"/>
      <c r="C210" s="76" t="s">
        <v>154</v>
      </c>
      <c r="D210" s="76" t="s">
        <v>155</v>
      </c>
      <c r="E210" s="76" t="s">
        <v>156</v>
      </c>
      <c r="F210" s="76" t="s">
        <v>127</v>
      </c>
      <c r="G210" s="76" t="s">
        <v>157</v>
      </c>
      <c r="H210" s="76" t="s">
        <v>158</v>
      </c>
      <c r="I210" s="76" t="s">
        <v>159</v>
      </c>
      <c r="J210" s="76" t="s">
        <v>159</v>
      </c>
    </row>
    <row r="211" spans="1:10" ht="28.5">
      <c r="A211" s="209"/>
      <c r="B211" s="209"/>
      <c r="C211" s="8" t="s">
        <v>44</v>
      </c>
      <c r="D211" s="8" t="s">
        <v>44</v>
      </c>
      <c r="E211" s="8" t="s">
        <v>142</v>
      </c>
      <c r="F211" s="8" t="s">
        <v>130</v>
      </c>
      <c r="G211" s="8" t="s">
        <v>130</v>
      </c>
      <c r="H211" s="8" t="s">
        <v>160</v>
      </c>
      <c r="I211" s="8" t="s">
        <v>160</v>
      </c>
      <c r="J211" s="8" t="s">
        <v>231</v>
      </c>
    </row>
    <row r="212" spans="1:10" ht="24.75" thickBot="1">
      <c r="A212" s="225"/>
      <c r="B212" s="225"/>
      <c r="C212" s="5"/>
      <c r="D212" s="5"/>
      <c r="E212" s="5" t="s">
        <v>161</v>
      </c>
      <c r="F212" s="5" t="s">
        <v>162</v>
      </c>
      <c r="G212" s="5"/>
      <c r="H212" s="5"/>
      <c r="I212" s="9" t="s">
        <v>163</v>
      </c>
      <c r="J212" s="35"/>
    </row>
    <row r="213" spans="1:10" ht="13.5" thickTop="1">
      <c r="A213" s="281" t="s">
        <v>164</v>
      </c>
      <c r="B213" s="54" t="s">
        <v>225</v>
      </c>
      <c r="C213" s="42">
        <v>0.54</v>
      </c>
      <c r="D213" s="43">
        <v>0</v>
      </c>
      <c r="E213" s="38">
        <f>'4D1_CH4_EF_DomesticWastewater'!$D$14</f>
        <v>0.3</v>
      </c>
      <c r="F213" s="108">
        <f>$M$19</f>
        <v>9535084.7999999989</v>
      </c>
      <c r="G213" s="47"/>
      <c r="H213" s="47"/>
      <c r="I213" s="14">
        <f>((C213*D213*E213)*(F213-G213))-H213</f>
        <v>0</v>
      </c>
      <c r="J213" s="32">
        <f>I213/(10^6)</f>
        <v>0</v>
      </c>
    </row>
    <row r="214" spans="1:10">
      <c r="A214" s="282"/>
      <c r="B214" s="55" t="s">
        <v>226</v>
      </c>
      <c r="C214" s="44">
        <v>0.54</v>
      </c>
      <c r="D214" s="45">
        <v>0.47</v>
      </c>
      <c r="E214" s="37">
        <f>'4D1_CH4_EF_DomesticWastewater'!$D$23</f>
        <v>0.06</v>
      </c>
      <c r="F214" s="108">
        <f t="shared" ref="F214:F227" si="21">$M$19</f>
        <v>9535084.7999999989</v>
      </c>
      <c r="G214" s="48"/>
      <c r="H214" s="48"/>
      <c r="I214" s="15">
        <f t="shared" ref="I214:I227" si="22">((C214*D214*E214)*(F214-G214))-H214</f>
        <v>145200.27133439999</v>
      </c>
      <c r="J214" s="34">
        <f t="shared" ref="J214:J227" si="23">I214/(10^6)</f>
        <v>0.1452002713344</v>
      </c>
    </row>
    <row r="215" spans="1:10">
      <c r="A215" s="282"/>
      <c r="B215" s="53" t="s">
        <v>227</v>
      </c>
      <c r="C215" s="44">
        <v>0.54</v>
      </c>
      <c r="D215" s="45">
        <v>0</v>
      </c>
      <c r="E215" s="37">
        <f>'4D1_CH4_EF_DomesticWastewater'!$D$13</f>
        <v>0.06</v>
      </c>
      <c r="F215" s="108">
        <f t="shared" si="21"/>
        <v>9535084.7999999989</v>
      </c>
      <c r="G215" s="48"/>
      <c r="H215" s="48"/>
      <c r="I215" s="15">
        <f t="shared" si="22"/>
        <v>0</v>
      </c>
      <c r="J215" s="34">
        <f t="shared" si="23"/>
        <v>0</v>
      </c>
    </row>
    <row r="216" spans="1:10">
      <c r="A216" s="241"/>
      <c r="B216" s="53" t="s">
        <v>228</v>
      </c>
      <c r="C216" s="44">
        <v>0.54</v>
      </c>
      <c r="D216" s="46">
        <v>0.1</v>
      </c>
      <c r="E216" s="37">
        <f>'4D1_CH4_EF_DomesticWastewater'!$D$14</f>
        <v>0.3</v>
      </c>
      <c r="F216" s="108">
        <f t="shared" si="21"/>
        <v>9535084.7999999989</v>
      </c>
      <c r="G216" s="49"/>
      <c r="H216" s="49"/>
      <c r="I216" s="15">
        <f t="shared" si="22"/>
        <v>154468.37376000002</v>
      </c>
      <c r="J216" s="34">
        <f t="shared" si="23"/>
        <v>0.15446837376000003</v>
      </c>
    </row>
    <row r="217" spans="1:10">
      <c r="A217" s="241"/>
      <c r="B217" s="53" t="s">
        <v>229</v>
      </c>
      <c r="C217" s="44">
        <v>0.54</v>
      </c>
      <c r="D217" s="46">
        <v>0.43</v>
      </c>
      <c r="E217" s="37">
        <v>0</v>
      </c>
      <c r="F217" s="108">
        <f t="shared" si="21"/>
        <v>9535084.7999999989</v>
      </c>
      <c r="G217" s="49"/>
      <c r="H217" s="49"/>
      <c r="I217" s="15">
        <f t="shared" si="22"/>
        <v>0</v>
      </c>
      <c r="J217" s="34">
        <f t="shared" si="23"/>
        <v>0</v>
      </c>
    </row>
    <row r="218" spans="1:10">
      <c r="A218" s="241" t="s">
        <v>165</v>
      </c>
      <c r="B218" s="53" t="s">
        <v>225</v>
      </c>
      <c r="C218" s="44">
        <v>0.12</v>
      </c>
      <c r="D218" s="46">
        <v>0.18</v>
      </c>
      <c r="E218" s="37">
        <f>'4D1_CH4_EF_DomesticWastewater'!$D$22</f>
        <v>0.3</v>
      </c>
      <c r="F218" s="108">
        <f t="shared" si="21"/>
        <v>9535084.7999999989</v>
      </c>
      <c r="G218" s="49"/>
      <c r="H218" s="49"/>
      <c r="I218" s="15">
        <f t="shared" si="22"/>
        <v>61787.349503999983</v>
      </c>
      <c r="J218" s="34">
        <f t="shared" si="23"/>
        <v>6.1787349503999986E-2</v>
      </c>
    </row>
    <row r="219" spans="1:10">
      <c r="A219" s="241"/>
      <c r="B219" s="53" t="s">
        <v>226</v>
      </c>
      <c r="C219" s="44">
        <v>0.12</v>
      </c>
      <c r="D219" s="46">
        <v>0.08</v>
      </c>
      <c r="E219" s="37">
        <f>'4D1_CH4_EF_DomesticWastewater'!$D$23</f>
        <v>0.06</v>
      </c>
      <c r="F219" s="108">
        <f t="shared" si="21"/>
        <v>9535084.7999999989</v>
      </c>
      <c r="G219" s="49"/>
      <c r="H219" s="49"/>
      <c r="I219" s="15">
        <f t="shared" si="22"/>
        <v>5492.2088447999986</v>
      </c>
      <c r="J219" s="34">
        <f t="shared" si="23"/>
        <v>5.4922088447999983E-3</v>
      </c>
    </row>
    <row r="220" spans="1:10">
      <c r="A220" s="241"/>
      <c r="B220" s="53" t="s">
        <v>227</v>
      </c>
      <c r="C220" s="44">
        <v>0.12</v>
      </c>
      <c r="D220" s="46">
        <v>0</v>
      </c>
      <c r="E220" s="37">
        <f>'4D1_CH4_EF_DomesticWastewater'!$D$13</f>
        <v>0.06</v>
      </c>
      <c r="F220" s="108">
        <f t="shared" si="21"/>
        <v>9535084.7999999989</v>
      </c>
      <c r="G220" s="49"/>
      <c r="H220" s="49"/>
      <c r="I220" s="15">
        <f t="shared" si="22"/>
        <v>0</v>
      </c>
      <c r="J220" s="34">
        <f t="shared" si="23"/>
        <v>0</v>
      </c>
    </row>
    <row r="221" spans="1:10">
      <c r="A221" s="241"/>
      <c r="B221" s="53" t="s">
        <v>228</v>
      </c>
      <c r="C221" s="44">
        <v>0.12</v>
      </c>
      <c r="D221" s="46">
        <v>0.74</v>
      </c>
      <c r="E221" s="37">
        <f>'4D1_CH4_EF_DomesticWastewater'!$D$13</f>
        <v>0.06</v>
      </c>
      <c r="F221" s="108">
        <f t="shared" si="21"/>
        <v>9535084.7999999989</v>
      </c>
      <c r="G221" s="49"/>
      <c r="H221" s="49"/>
      <c r="I221" s="15">
        <f t="shared" si="22"/>
        <v>50802.931814399992</v>
      </c>
      <c r="J221" s="34">
        <f t="shared" si="23"/>
        <v>5.0802931814399994E-2</v>
      </c>
    </row>
    <row r="222" spans="1:10">
      <c r="A222" s="241"/>
      <c r="B222" s="53" t="s">
        <v>229</v>
      </c>
      <c r="C222" s="44">
        <v>0.12</v>
      </c>
      <c r="D222" s="46">
        <v>0</v>
      </c>
      <c r="E222" s="37">
        <v>0</v>
      </c>
      <c r="F222" s="108">
        <f t="shared" si="21"/>
        <v>9535084.7999999989</v>
      </c>
      <c r="G222" s="49"/>
      <c r="H222" s="49"/>
      <c r="I222" s="15">
        <f t="shared" si="22"/>
        <v>0</v>
      </c>
      <c r="J222" s="34">
        <f t="shared" si="23"/>
        <v>0</v>
      </c>
    </row>
    <row r="223" spans="1:10">
      <c r="A223" s="241" t="s">
        <v>166</v>
      </c>
      <c r="B223" s="53" t="s">
        <v>225</v>
      </c>
      <c r="C223" s="44">
        <v>0.34</v>
      </c>
      <c r="D223" s="46">
        <v>0.14000000000000001</v>
      </c>
      <c r="E223" s="37">
        <f>'4D1_CH4_EF_DomesticWastewater'!$D$22</f>
        <v>0.3</v>
      </c>
      <c r="F223" s="108">
        <f t="shared" si="21"/>
        <v>9535084.7999999989</v>
      </c>
      <c r="G223" s="49"/>
      <c r="H223" s="49"/>
      <c r="I223" s="15">
        <f t="shared" si="22"/>
        <v>136161.01094400001</v>
      </c>
      <c r="J223" s="34">
        <f t="shared" si="23"/>
        <v>0.13616101094400002</v>
      </c>
    </row>
    <row r="224" spans="1:10">
      <c r="A224" s="241"/>
      <c r="B224" s="53" t="s">
        <v>226</v>
      </c>
      <c r="C224" s="44">
        <v>0.34</v>
      </c>
      <c r="D224" s="46">
        <v>0.1</v>
      </c>
      <c r="E224" s="37">
        <f>'4D1_CH4_EF_DomesticWastewater'!$D$23</f>
        <v>0.06</v>
      </c>
      <c r="F224" s="108">
        <f t="shared" si="21"/>
        <v>9535084.7999999989</v>
      </c>
      <c r="G224" s="49"/>
      <c r="H224" s="49"/>
      <c r="I224" s="15">
        <f t="shared" si="22"/>
        <v>19451.572991999998</v>
      </c>
      <c r="J224" s="34">
        <f t="shared" si="23"/>
        <v>1.9451572991999996E-2</v>
      </c>
    </row>
    <row r="225" spans="1:10">
      <c r="A225" s="241"/>
      <c r="B225" s="53" t="s">
        <v>227</v>
      </c>
      <c r="C225" s="44">
        <v>0.34</v>
      </c>
      <c r="D225" s="46">
        <v>0.03</v>
      </c>
      <c r="E225" s="37">
        <f>'4D1_CH4_EF_DomesticWastewater'!$D$13</f>
        <v>0.06</v>
      </c>
      <c r="F225" s="108">
        <f t="shared" si="21"/>
        <v>9535084.7999999989</v>
      </c>
      <c r="G225" s="49"/>
      <c r="H225" s="49"/>
      <c r="I225" s="15">
        <f t="shared" si="22"/>
        <v>5835.4718975999995</v>
      </c>
      <c r="J225" s="34">
        <f t="shared" si="23"/>
        <v>5.8354718975999996E-3</v>
      </c>
    </row>
    <row r="226" spans="1:10">
      <c r="A226" s="241"/>
      <c r="B226" s="53" t="s">
        <v>228</v>
      </c>
      <c r="C226" s="44">
        <v>0.34</v>
      </c>
      <c r="D226" s="46">
        <v>0.53</v>
      </c>
      <c r="E226" s="37">
        <f>'4D1_CH4_EF_DomesticWastewater'!$D$13</f>
        <v>0.06</v>
      </c>
      <c r="F226" s="108">
        <f t="shared" si="21"/>
        <v>9535084.7999999989</v>
      </c>
      <c r="G226" s="49"/>
      <c r="H226" s="49"/>
      <c r="I226" s="15">
        <f t="shared" si="22"/>
        <v>103093.33685759999</v>
      </c>
      <c r="J226" s="34">
        <f t="shared" si="23"/>
        <v>0.1030933368576</v>
      </c>
    </row>
    <row r="227" spans="1:10">
      <c r="A227" s="241"/>
      <c r="B227" s="53" t="s">
        <v>229</v>
      </c>
      <c r="C227" s="44">
        <v>0.34</v>
      </c>
      <c r="D227" s="46">
        <v>0.2</v>
      </c>
      <c r="E227" s="37">
        <v>0</v>
      </c>
      <c r="F227" s="108">
        <f t="shared" si="21"/>
        <v>9535084.7999999989</v>
      </c>
      <c r="G227" s="49"/>
      <c r="H227" s="49"/>
      <c r="I227" s="15">
        <f t="shared" si="22"/>
        <v>0</v>
      </c>
      <c r="J227" s="34">
        <f t="shared" si="23"/>
        <v>0</v>
      </c>
    </row>
    <row r="228" spans="1:10">
      <c r="A228" s="278" t="s">
        <v>297</v>
      </c>
      <c r="B228" s="278"/>
      <c r="C228" s="278"/>
      <c r="D228" s="278"/>
      <c r="E228" s="278"/>
      <c r="F228" s="278"/>
      <c r="G228" s="278"/>
      <c r="H228" s="278"/>
      <c r="I228" s="109">
        <f>SUM(I213:I227)</f>
        <v>682292.52794880013</v>
      </c>
      <c r="J228" s="110">
        <f>SUM(J213:J227)</f>
        <v>0.68229252794880013</v>
      </c>
    </row>
    <row r="231" spans="1:10">
      <c r="A231" s="279" t="s">
        <v>0</v>
      </c>
      <c r="B231" s="280"/>
      <c r="C231" s="199" t="s">
        <v>1</v>
      </c>
      <c r="D231" s="283"/>
      <c r="E231" s="283"/>
      <c r="F231" s="283"/>
      <c r="G231" s="283"/>
      <c r="H231" s="283"/>
      <c r="I231" s="283"/>
    </row>
    <row r="232" spans="1:10">
      <c r="A232" s="279" t="s">
        <v>2</v>
      </c>
      <c r="B232" s="280"/>
      <c r="C232" s="199" t="s">
        <v>117</v>
      </c>
      <c r="D232" s="283"/>
      <c r="E232" s="283"/>
      <c r="F232" s="283"/>
      <c r="G232" s="283"/>
      <c r="H232" s="283"/>
      <c r="I232" s="283"/>
    </row>
    <row r="233" spans="1:10">
      <c r="A233" s="279" t="s">
        <v>4</v>
      </c>
      <c r="B233" s="280"/>
      <c r="C233" s="199" t="s">
        <v>118</v>
      </c>
      <c r="D233" s="283"/>
      <c r="E233" s="283"/>
      <c r="F233" s="283"/>
      <c r="G233" s="283"/>
      <c r="H233" s="283"/>
      <c r="I233" s="283"/>
    </row>
    <row r="234" spans="1:10">
      <c r="A234" s="279" t="s">
        <v>6</v>
      </c>
      <c r="B234" s="280"/>
      <c r="C234" s="199" t="s">
        <v>145</v>
      </c>
      <c r="D234" s="283"/>
      <c r="E234" s="283"/>
      <c r="F234" s="283"/>
      <c r="G234" s="283"/>
      <c r="H234" s="283"/>
      <c r="I234" s="283"/>
    </row>
    <row r="235" spans="1:10">
      <c r="A235" s="231" t="s">
        <v>10</v>
      </c>
      <c r="B235" s="268"/>
      <c r="C235" s="268"/>
      <c r="D235" s="268"/>
      <c r="E235" s="268"/>
      <c r="F235" s="268"/>
      <c r="G235" s="268"/>
      <c r="H235" s="268"/>
      <c r="I235" s="268"/>
      <c r="J235" s="107"/>
    </row>
    <row r="236" spans="1:10">
      <c r="A236" s="59"/>
      <c r="B236" s="59"/>
      <c r="C236" s="7" t="s">
        <v>11</v>
      </c>
      <c r="D236" s="7" t="s">
        <v>12</v>
      </c>
      <c r="E236" s="7" t="s">
        <v>13</v>
      </c>
      <c r="F236" s="7" t="s">
        <v>14</v>
      </c>
      <c r="G236" s="7" t="s">
        <v>15</v>
      </c>
      <c r="H236" s="7" t="s">
        <v>58</v>
      </c>
      <c r="I236" s="7" t="s">
        <v>78</v>
      </c>
      <c r="J236" s="89" t="s">
        <v>79</v>
      </c>
    </row>
    <row r="237" spans="1:10" ht="51">
      <c r="A237" s="209" t="s">
        <v>146</v>
      </c>
      <c r="B237" s="209" t="s">
        <v>147</v>
      </c>
      <c r="C237" s="59" t="s">
        <v>148</v>
      </c>
      <c r="D237" s="59" t="s">
        <v>149</v>
      </c>
      <c r="E237" s="59" t="s">
        <v>150</v>
      </c>
      <c r="F237" s="59" t="s">
        <v>123</v>
      </c>
      <c r="G237" s="59" t="s">
        <v>151</v>
      </c>
      <c r="H237" s="59" t="s">
        <v>152</v>
      </c>
      <c r="I237" s="59" t="s">
        <v>153</v>
      </c>
      <c r="J237" s="59" t="s">
        <v>153</v>
      </c>
    </row>
    <row r="238" spans="1:10" ht="15.75">
      <c r="A238" s="209"/>
      <c r="B238" s="209"/>
      <c r="C238" s="76" t="s">
        <v>154</v>
      </c>
      <c r="D238" s="76" t="s">
        <v>155</v>
      </c>
      <c r="E238" s="76" t="s">
        <v>156</v>
      </c>
      <c r="F238" s="76" t="s">
        <v>127</v>
      </c>
      <c r="G238" s="76" t="s">
        <v>157</v>
      </c>
      <c r="H238" s="76" t="s">
        <v>158</v>
      </c>
      <c r="I238" s="76" t="s">
        <v>159</v>
      </c>
      <c r="J238" s="76" t="s">
        <v>159</v>
      </c>
    </row>
    <row r="239" spans="1:10" ht="28.5">
      <c r="A239" s="209"/>
      <c r="B239" s="209"/>
      <c r="C239" s="8" t="s">
        <v>44</v>
      </c>
      <c r="D239" s="8" t="s">
        <v>44</v>
      </c>
      <c r="E239" s="8" t="s">
        <v>142</v>
      </c>
      <c r="F239" s="8" t="s">
        <v>130</v>
      </c>
      <c r="G239" s="8" t="s">
        <v>130</v>
      </c>
      <c r="H239" s="8" t="s">
        <v>160</v>
      </c>
      <c r="I239" s="8" t="s">
        <v>160</v>
      </c>
      <c r="J239" s="8" t="s">
        <v>231</v>
      </c>
    </row>
    <row r="240" spans="1:10" ht="24.75" thickBot="1">
      <c r="A240" s="225"/>
      <c r="B240" s="225"/>
      <c r="C240" s="5"/>
      <c r="D240" s="5"/>
      <c r="E240" s="5" t="s">
        <v>161</v>
      </c>
      <c r="F240" s="5" t="s">
        <v>162</v>
      </c>
      <c r="G240" s="5"/>
      <c r="H240" s="5"/>
      <c r="I240" s="9" t="s">
        <v>163</v>
      </c>
      <c r="J240" s="35"/>
    </row>
    <row r="241" spans="1:10" ht="13.5" thickTop="1">
      <c r="A241" s="281" t="s">
        <v>164</v>
      </c>
      <c r="B241" s="54" t="s">
        <v>225</v>
      </c>
      <c r="C241" s="42">
        <v>0.54</v>
      </c>
      <c r="D241" s="43">
        <v>0</v>
      </c>
      <c r="E241" s="38">
        <f>'4D1_CH4_EF_DomesticWastewater'!$D$14</f>
        <v>0.3</v>
      </c>
      <c r="F241" s="108">
        <f>$M$20</f>
        <v>9755530.1999999993</v>
      </c>
      <c r="G241" s="47"/>
      <c r="H241" s="47"/>
      <c r="I241" s="14">
        <f>((C241*D241*E241)*(F241-G241))-H241</f>
        <v>0</v>
      </c>
      <c r="J241" s="32">
        <f>I241/(10^6)</f>
        <v>0</v>
      </c>
    </row>
    <row r="242" spans="1:10">
      <c r="A242" s="282"/>
      <c r="B242" s="55" t="s">
        <v>226</v>
      </c>
      <c r="C242" s="44">
        <v>0.54</v>
      </c>
      <c r="D242" s="45">
        <v>0.47</v>
      </c>
      <c r="E242" s="37">
        <f>'4D1_CH4_EF_DomesticWastewater'!$D$23</f>
        <v>0.06</v>
      </c>
      <c r="F242" s="108">
        <f t="shared" ref="F242:F255" si="24">$M$20</f>
        <v>9755530.1999999993</v>
      </c>
      <c r="G242" s="48"/>
      <c r="H242" s="48"/>
      <c r="I242" s="15">
        <f t="shared" ref="I242:I255" si="25">((C242*D242*E242)*(F242-G242))-H242</f>
        <v>148557.21388559998</v>
      </c>
      <c r="J242" s="34">
        <f t="shared" ref="J242:J255" si="26">I242/(10^6)</f>
        <v>0.14855721388559998</v>
      </c>
    </row>
    <row r="243" spans="1:10">
      <c r="A243" s="282"/>
      <c r="B243" s="53" t="s">
        <v>227</v>
      </c>
      <c r="C243" s="44">
        <v>0.54</v>
      </c>
      <c r="D243" s="45">
        <v>0</v>
      </c>
      <c r="E243" s="37">
        <f>'4D1_CH4_EF_DomesticWastewater'!$D$13</f>
        <v>0.06</v>
      </c>
      <c r="F243" s="108">
        <f t="shared" si="24"/>
        <v>9755530.1999999993</v>
      </c>
      <c r="G243" s="48"/>
      <c r="H243" s="48"/>
      <c r="I243" s="15">
        <f t="shared" si="25"/>
        <v>0</v>
      </c>
      <c r="J243" s="34">
        <f t="shared" si="26"/>
        <v>0</v>
      </c>
    </row>
    <row r="244" spans="1:10">
      <c r="A244" s="241"/>
      <c r="B244" s="53" t="s">
        <v>228</v>
      </c>
      <c r="C244" s="44">
        <v>0.54</v>
      </c>
      <c r="D244" s="46">
        <v>0.1</v>
      </c>
      <c r="E244" s="37">
        <f>'4D1_CH4_EF_DomesticWastewater'!$D$14</f>
        <v>0.3</v>
      </c>
      <c r="F244" s="108">
        <f t="shared" si="24"/>
        <v>9755530.1999999993</v>
      </c>
      <c r="G244" s="49"/>
      <c r="H244" s="49"/>
      <c r="I244" s="15">
        <f t="shared" si="25"/>
        <v>158039.58924</v>
      </c>
      <c r="J244" s="34">
        <f t="shared" si="26"/>
        <v>0.15803958924</v>
      </c>
    </row>
    <row r="245" spans="1:10">
      <c r="A245" s="241"/>
      <c r="B245" s="53" t="s">
        <v>229</v>
      </c>
      <c r="C245" s="44">
        <v>0.54</v>
      </c>
      <c r="D245" s="46">
        <v>0.43</v>
      </c>
      <c r="E245" s="37">
        <v>0</v>
      </c>
      <c r="F245" s="108">
        <f t="shared" si="24"/>
        <v>9755530.1999999993</v>
      </c>
      <c r="G245" s="49"/>
      <c r="H245" s="49"/>
      <c r="I245" s="15">
        <f t="shared" si="25"/>
        <v>0</v>
      </c>
      <c r="J245" s="34">
        <f t="shared" si="26"/>
        <v>0</v>
      </c>
    </row>
    <row r="246" spans="1:10">
      <c r="A246" s="241" t="s">
        <v>165</v>
      </c>
      <c r="B246" s="53" t="s">
        <v>225</v>
      </c>
      <c r="C246" s="44">
        <v>0.12</v>
      </c>
      <c r="D246" s="46">
        <v>0.18</v>
      </c>
      <c r="E246" s="37">
        <f>'4D1_CH4_EF_DomesticWastewater'!$D$22</f>
        <v>0.3</v>
      </c>
      <c r="F246" s="108">
        <f t="shared" si="24"/>
        <v>9755530.1999999993</v>
      </c>
      <c r="G246" s="49"/>
      <c r="H246" s="49"/>
      <c r="I246" s="15">
        <f t="shared" si="25"/>
        <v>63215.83569599998</v>
      </c>
      <c r="J246" s="34">
        <f t="shared" si="26"/>
        <v>6.3215835695999978E-2</v>
      </c>
    </row>
    <row r="247" spans="1:10">
      <c r="A247" s="241"/>
      <c r="B247" s="53" t="s">
        <v>226</v>
      </c>
      <c r="C247" s="44">
        <v>0.12</v>
      </c>
      <c r="D247" s="46">
        <v>0.08</v>
      </c>
      <c r="E247" s="37">
        <f>'4D1_CH4_EF_DomesticWastewater'!$D$23</f>
        <v>0.06</v>
      </c>
      <c r="F247" s="108">
        <f t="shared" si="24"/>
        <v>9755530.1999999993</v>
      </c>
      <c r="G247" s="49"/>
      <c r="H247" s="49"/>
      <c r="I247" s="15">
        <f t="shared" si="25"/>
        <v>5619.1853951999983</v>
      </c>
      <c r="J247" s="34">
        <f t="shared" si="26"/>
        <v>5.6191853951999982E-3</v>
      </c>
    </row>
    <row r="248" spans="1:10">
      <c r="A248" s="241"/>
      <c r="B248" s="53" t="s">
        <v>227</v>
      </c>
      <c r="C248" s="44">
        <v>0.12</v>
      </c>
      <c r="D248" s="46">
        <v>0</v>
      </c>
      <c r="E248" s="37">
        <f>'4D1_CH4_EF_DomesticWastewater'!$D$13</f>
        <v>0.06</v>
      </c>
      <c r="F248" s="108">
        <f t="shared" si="24"/>
        <v>9755530.1999999993</v>
      </c>
      <c r="G248" s="49"/>
      <c r="H248" s="49"/>
      <c r="I248" s="15">
        <f t="shared" si="25"/>
        <v>0</v>
      </c>
      <c r="J248" s="34">
        <f t="shared" si="26"/>
        <v>0</v>
      </c>
    </row>
    <row r="249" spans="1:10">
      <c r="A249" s="241"/>
      <c r="B249" s="53" t="s">
        <v>228</v>
      </c>
      <c r="C249" s="44">
        <v>0.12</v>
      </c>
      <c r="D249" s="46">
        <v>0.74</v>
      </c>
      <c r="E249" s="37">
        <f>'4D1_CH4_EF_DomesticWastewater'!$D$13</f>
        <v>0.06</v>
      </c>
      <c r="F249" s="108">
        <f t="shared" si="24"/>
        <v>9755530.1999999993</v>
      </c>
      <c r="G249" s="49"/>
      <c r="H249" s="49"/>
      <c r="I249" s="15">
        <f t="shared" si="25"/>
        <v>51977.464905599991</v>
      </c>
      <c r="J249" s="34">
        <f t="shared" si="26"/>
        <v>5.1977464905599992E-2</v>
      </c>
    </row>
    <row r="250" spans="1:10">
      <c r="A250" s="241"/>
      <c r="B250" s="53" t="s">
        <v>229</v>
      </c>
      <c r="C250" s="44">
        <v>0.12</v>
      </c>
      <c r="D250" s="46">
        <v>0</v>
      </c>
      <c r="E250" s="37">
        <v>0</v>
      </c>
      <c r="F250" s="108">
        <f t="shared" si="24"/>
        <v>9755530.1999999993</v>
      </c>
      <c r="G250" s="49"/>
      <c r="H250" s="49"/>
      <c r="I250" s="15">
        <f t="shared" si="25"/>
        <v>0</v>
      </c>
      <c r="J250" s="34">
        <f t="shared" si="26"/>
        <v>0</v>
      </c>
    </row>
    <row r="251" spans="1:10">
      <c r="A251" s="241" t="s">
        <v>166</v>
      </c>
      <c r="B251" s="53" t="s">
        <v>225</v>
      </c>
      <c r="C251" s="44">
        <v>0.34</v>
      </c>
      <c r="D251" s="46">
        <v>0.14000000000000001</v>
      </c>
      <c r="E251" s="37">
        <f>'4D1_CH4_EF_DomesticWastewater'!$D$22</f>
        <v>0.3</v>
      </c>
      <c r="F251" s="108">
        <f t="shared" si="24"/>
        <v>9755530.1999999993</v>
      </c>
      <c r="G251" s="49"/>
      <c r="H251" s="49"/>
      <c r="I251" s="15">
        <f t="shared" si="25"/>
        <v>139308.97125600002</v>
      </c>
      <c r="J251" s="34">
        <f t="shared" si="26"/>
        <v>0.13930897125600003</v>
      </c>
    </row>
    <row r="252" spans="1:10">
      <c r="A252" s="241"/>
      <c r="B252" s="53" t="s">
        <v>226</v>
      </c>
      <c r="C252" s="44">
        <v>0.34</v>
      </c>
      <c r="D252" s="46">
        <v>0.1</v>
      </c>
      <c r="E252" s="37">
        <f>'4D1_CH4_EF_DomesticWastewater'!$D$23</f>
        <v>0.06</v>
      </c>
      <c r="F252" s="108">
        <f t="shared" si="24"/>
        <v>9755530.1999999993</v>
      </c>
      <c r="G252" s="49"/>
      <c r="H252" s="49"/>
      <c r="I252" s="15">
        <f t="shared" si="25"/>
        <v>19901.281608000001</v>
      </c>
      <c r="J252" s="34">
        <f t="shared" si="26"/>
        <v>1.9901281608000001E-2</v>
      </c>
    </row>
    <row r="253" spans="1:10">
      <c r="A253" s="241"/>
      <c r="B253" s="53" t="s">
        <v>227</v>
      </c>
      <c r="C253" s="44">
        <v>0.34</v>
      </c>
      <c r="D253" s="46">
        <v>0.03</v>
      </c>
      <c r="E253" s="37">
        <f>'4D1_CH4_EF_DomesticWastewater'!$D$13</f>
        <v>0.06</v>
      </c>
      <c r="F253" s="108">
        <f t="shared" si="24"/>
        <v>9755530.1999999993</v>
      </c>
      <c r="G253" s="49"/>
      <c r="H253" s="49"/>
      <c r="I253" s="15">
        <f t="shared" si="25"/>
        <v>5970.3844823999998</v>
      </c>
      <c r="J253" s="34">
        <f t="shared" si="26"/>
        <v>5.9703844823999997E-3</v>
      </c>
    </row>
    <row r="254" spans="1:10">
      <c r="A254" s="241"/>
      <c r="B254" s="53" t="s">
        <v>228</v>
      </c>
      <c r="C254" s="44">
        <v>0.34</v>
      </c>
      <c r="D254" s="46">
        <v>0.53</v>
      </c>
      <c r="E254" s="37">
        <f>'4D1_CH4_EF_DomesticWastewater'!$D$13</f>
        <v>0.06</v>
      </c>
      <c r="F254" s="108">
        <f t="shared" si="24"/>
        <v>9755530.1999999993</v>
      </c>
      <c r="G254" s="49"/>
      <c r="H254" s="49"/>
      <c r="I254" s="15">
        <f t="shared" si="25"/>
        <v>105476.79252239999</v>
      </c>
      <c r="J254" s="34">
        <f t="shared" si="26"/>
        <v>0.1054767925224</v>
      </c>
    </row>
    <row r="255" spans="1:10">
      <c r="A255" s="241"/>
      <c r="B255" s="53" t="s">
        <v>229</v>
      </c>
      <c r="C255" s="44">
        <v>0.34</v>
      </c>
      <c r="D255" s="46">
        <v>0.2</v>
      </c>
      <c r="E255" s="37">
        <v>0</v>
      </c>
      <c r="F255" s="108">
        <f t="shared" si="24"/>
        <v>9755530.1999999993</v>
      </c>
      <c r="G255" s="49"/>
      <c r="H255" s="49"/>
      <c r="I255" s="15">
        <f t="shared" si="25"/>
        <v>0</v>
      </c>
      <c r="J255" s="34">
        <f t="shared" si="26"/>
        <v>0</v>
      </c>
    </row>
    <row r="256" spans="1:10">
      <c r="A256" s="278" t="s">
        <v>298</v>
      </c>
      <c r="B256" s="278"/>
      <c r="C256" s="278"/>
      <c r="D256" s="278"/>
      <c r="E256" s="278"/>
      <c r="F256" s="278"/>
      <c r="G256" s="278"/>
      <c r="H256" s="278"/>
      <c r="I256" s="109">
        <f>SUM(I241:I255)</f>
        <v>698066.71899120009</v>
      </c>
      <c r="J256" s="110">
        <f>SUM(J241:J255)</f>
        <v>0.69806671899119999</v>
      </c>
    </row>
    <row r="259" spans="1:10">
      <c r="A259" s="279" t="s">
        <v>0</v>
      </c>
      <c r="B259" s="280"/>
      <c r="C259" s="199" t="s">
        <v>1</v>
      </c>
      <c r="D259" s="283"/>
      <c r="E259" s="283"/>
      <c r="F259" s="283"/>
      <c r="G259" s="283"/>
      <c r="H259" s="283"/>
      <c r="I259" s="283"/>
    </row>
    <row r="260" spans="1:10">
      <c r="A260" s="279" t="s">
        <v>2</v>
      </c>
      <c r="B260" s="280"/>
      <c r="C260" s="199" t="s">
        <v>117</v>
      </c>
      <c r="D260" s="283"/>
      <c r="E260" s="283"/>
      <c r="F260" s="283"/>
      <c r="G260" s="283"/>
      <c r="H260" s="283"/>
      <c r="I260" s="283"/>
    </row>
    <row r="261" spans="1:10">
      <c r="A261" s="279" t="s">
        <v>4</v>
      </c>
      <c r="B261" s="280"/>
      <c r="C261" s="199" t="s">
        <v>118</v>
      </c>
      <c r="D261" s="283"/>
      <c r="E261" s="283"/>
      <c r="F261" s="283"/>
      <c r="G261" s="283"/>
      <c r="H261" s="283"/>
      <c r="I261" s="283"/>
    </row>
    <row r="262" spans="1:10">
      <c r="A262" s="279" t="s">
        <v>6</v>
      </c>
      <c r="B262" s="280"/>
      <c r="C262" s="199" t="s">
        <v>145</v>
      </c>
      <c r="D262" s="283"/>
      <c r="E262" s="283"/>
      <c r="F262" s="283"/>
      <c r="G262" s="283"/>
      <c r="H262" s="283"/>
      <c r="I262" s="283"/>
    </row>
    <row r="263" spans="1:10">
      <c r="A263" s="231" t="s">
        <v>10</v>
      </c>
      <c r="B263" s="268"/>
      <c r="C263" s="268"/>
      <c r="D263" s="268"/>
      <c r="E263" s="268"/>
      <c r="F263" s="268"/>
      <c r="G263" s="268"/>
      <c r="H263" s="268"/>
      <c r="I263" s="268"/>
      <c r="J263" s="107"/>
    </row>
    <row r="264" spans="1:10">
      <c r="A264" s="59"/>
      <c r="B264" s="59"/>
      <c r="C264" s="7" t="s">
        <v>11</v>
      </c>
      <c r="D264" s="7" t="s">
        <v>12</v>
      </c>
      <c r="E264" s="7" t="s">
        <v>13</v>
      </c>
      <c r="F264" s="7" t="s">
        <v>14</v>
      </c>
      <c r="G264" s="7" t="s">
        <v>15</v>
      </c>
      <c r="H264" s="7" t="s">
        <v>58</v>
      </c>
      <c r="I264" s="7" t="s">
        <v>78</v>
      </c>
      <c r="J264" s="89" t="s">
        <v>79</v>
      </c>
    </row>
    <row r="265" spans="1:10" ht="51">
      <c r="A265" s="209" t="s">
        <v>146</v>
      </c>
      <c r="B265" s="209" t="s">
        <v>147</v>
      </c>
      <c r="C265" s="59" t="s">
        <v>148</v>
      </c>
      <c r="D265" s="59" t="s">
        <v>149</v>
      </c>
      <c r="E265" s="59" t="s">
        <v>150</v>
      </c>
      <c r="F265" s="59" t="s">
        <v>123</v>
      </c>
      <c r="G265" s="59" t="s">
        <v>151</v>
      </c>
      <c r="H265" s="59" t="s">
        <v>152</v>
      </c>
      <c r="I265" s="59" t="s">
        <v>153</v>
      </c>
      <c r="J265" s="59" t="s">
        <v>153</v>
      </c>
    </row>
    <row r="266" spans="1:10" ht="15.75">
      <c r="A266" s="209"/>
      <c r="B266" s="209"/>
      <c r="C266" s="76" t="s">
        <v>154</v>
      </c>
      <c r="D266" s="76" t="s">
        <v>155</v>
      </c>
      <c r="E266" s="76" t="s">
        <v>156</v>
      </c>
      <c r="F266" s="76" t="s">
        <v>127</v>
      </c>
      <c r="G266" s="76" t="s">
        <v>157</v>
      </c>
      <c r="H266" s="76" t="s">
        <v>158</v>
      </c>
      <c r="I266" s="76" t="s">
        <v>159</v>
      </c>
      <c r="J266" s="76" t="s">
        <v>159</v>
      </c>
    </row>
    <row r="267" spans="1:10" ht="28.5">
      <c r="A267" s="209"/>
      <c r="B267" s="209"/>
      <c r="C267" s="8" t="s">
        <v>44</v>
      </c>
      <c r="D267" s="8" t="s">
        <v>44</v>
      </c>
      <c r="E267" s="8" t="s">
        <v>142</v>
      </c>
      <c r="F267" s="8" t="s">
        <v>130</v>
      </c>
      <c r="G267" s="8" t="s">
        <v>130</v>
      </c>
      <c r="H267" s="8" t="s">
        <v>160</v>
      </c>
      <c r="I267" s="8" t="s">
        <v>160</v>
      </c>
      <c r="J267" s="8" t="s">
        <v>231</v>
      </c>
    </row>
    <row r="268" spans="1:10" ht="24.75" thickBot="1">
      <c r="A268" s="225"/>
      <c r="B268" s="225"/>
      <c r="C268" s="5"/>
      <c r="D268" s="5"/>
      <c r="E268" s="5" t="s">
        <v>161</v>
      </c>
      <c r="F268" s="5" t="s">
        <v>162</v>
      </c>
      <c r="G268" s="5"/>
      <c r="H268" s="5"/>
      <c r="I268" s="9" t="s">
        <v>163</v>
      </c>
      <c r="J268" s="35"/>
    </row>
    <row r="269" spans="1:10" ht="13.5" thickTop="1">
      <c r="A269" s="281" t="s">
        <v>164</v>
      </c>
      <c r="B269" s="54" t="s">
        <v>225</v>
      </c>
      <c r="C269" s="42">
        <v>0.54</v>
      </c>
      <c r="D269" s="43">
        <v>0</v>
      </c>
      <c r="E269" s="38">
        <f>'4D1_CH4_EF_DomesticWastewater'!$D$14</f>
        <v>0.3</v>
      </c>
      <c r="F269" s="108">
        <f>$M$21</f>
        <v>9975975.5999999996</v>
      </c>
      <c r="G269" s="47"/>
      <c r="H269" s="47"/>
      <c r="I269" s="14">
        <f>((C269*D269*E269)*(F269-G269))-H269</f>
        <v>0</v>
      </c>
      <c r="J269" s="32">
        <f>I269/(10^6)</f>
        <v>0</v>
      </c>
    </row>
    <row r="270" spans="1:10">
      <c r="A270" s="282"/>
      <c r="B270" s="55" t="s">
        <v>226</v>
      </c>
      <c r="C270" s="44">
        <v>0.54</v>
      </c>
      <c r="D270" s="45">
        <v>0.47</v>
      </c>
      <c r="E270" s="37">
        <f>'4D1_CH4_EF_DomesticWastewater'!$D$23</f>
        <v>0.06</v>
      </c>
      <c r="F270" s="108">
        <f t="shared" ref="F270:F283" si="27">$M$21</f>
        <v>9975975.5999999996</v>
      </c>
      <c r="G270" s="48"/>
      <c r="H270" s="48"/>
      <c r="I270" s="15">
        <f t="shared" ref="I270:I283" si="28">((C270*D270*E270)*(F270-G270))-H270</f>
        <v>151914.1564368</v>
      </c>
      <c r="J270" s="34">
        <f t="shared" ref="J270:J283" si="29">I270/(10^6)</f>
        <v>0.15191415643680001</v>
      </c>
    </row>
    <row r="271" spans="1:10">
      <c r="A271" s="282"/>
      <c r="B271" s="53" t="s">
        <v>227</v>
      </c>
      <c r="C271" s="44">
        <v>0.54</v>
      </c>
      <c r="D271" s="45">
        <v>0</v>
      </c>
      <c r="E271" s="37">
        <f>'4D1_CH4_EF_DomesticWastewater'!$D$13</f>
        <v>0.06</v>
      </c>
      <c r="F271" s="108">
        <f t="shared" si="27"/>
        <v>9975975.5999999996</v>
      </c>
      <c r="G271" s="48"/>
      <c r="H271" s="48"/>
      <c r="I271" s="15">
        <f t="shared" si="28"/>
        <v>0</v>
      </c>
      <c r="J271" s="34">
        <f t="shared" si="29"/>
        <v>0</v>
      </c>
    </row>
    <row r="272" spans="1:10">
      <c r="A272" s="241"/>
      <c r="B272" s="53" t="s">
        <v>228</v>
      </c>
      <c r="C272" s="44">
        <v>0.54</v>
      </c>
      <c r="D272" s="46">
        <v>0.1</v>
      </c>
      <c r="E272" s="37">
        <f>'4D1_CH4_EF_DomesticWastewater'!$D$14</f>
        <v>0.3</v>
      </c>
      <c r="F272" s="108">
        <f t="shared" si="27"/>
        <v>9975975.5999999996</v>
      </c>
      <c r="G272" s="49"/>
      <c r="H272" s="49"/>
      <c r="I272" s="15">
        <f t="shared" si="28"/>
        <v>161610.80472000001</v>
      </c>
      <c r="J272" s="34">
        <f t="shared" si="29"/>
        <v>0.16161080472</v>
      </c>
    </row>
    <row r="273" spans="1:10">
      <c r="A273" s="241"/>
      <c r="B273" s="53" t="s">
        <v>229</v>
      </c>
      <c r="C273" s="44">
        <v>0.54</v>
      </c>
      <c r="D273" s="46">
        <v>0.43</v>
      </c>
      <c r="E273" s="37">
        <v>0</v>
      </c>
      <c r="F273" s="108">
        <f t="shared" si="27"/>
        <v>9975975.5999999996</v>
      </c>
      <c r="G273" s="49"/>
      <c r="H273" s="49"/>
      <c r="I273" s="15">
        <f t="shared" si="28"/>
        <v>0</v>
      </c>
      <c r="J273" s="34">
        <f t="shared" si="29"/>
        <v>0</v>
      </c>
    </row>
    <row r="274" spans="1:10">
      <c r="A274" s="241" t="s">
        <v>165</v>
      </c>
      <c r="B274" s="53" t="s">
        <v>225</v>
      </c>
      <c r="C274" s="44">
        <v>0.12</v>
      </c>
      <c r="D274" s="46">
        <v>0.18</v>
      </c>
      <c r="E274" s="37">
        <f>'4D1_CH4_EF_DomesticWastewater'!$D$22</f>
        <v>0.3</v>
      </c>
      <c r="F274" s="108">
        <f t="shared" si="27"/>
        <v>9975975.5999999996</v>
      </c>
      <c r="G274" s="49"/>
      <c r="H274" s="49"/>
      <c r="I274" s="15">
        <f t="shared" si="28"/>
        <v>64644.321887999984</v>
      </c>
      <c r="J274" s="34">
        <f t="shared" si="29"/>
        <v>6.4644321887999984E-2</v>
      </c>
    </row>
    <row r="275" spans="1:10">
      <c r="A275" s="241"/>
      <c r="B275" s="53" t="s">
        <v>226</v>
      </c>
      <c r="C275" s="44">
        <v>0.12</v>
      </c>
      <c r="D275" s="46">
        <v>0.08</v>
      </c>
      <c r="E275" s="37">
        <f>'4D1_CH4_EF_DomesticWastewater'!$D$23</f>
        <v>0.06</v>
      </c>
      <c r="F275" s="108">
        <f t="shared" si="27"/>
        <v>9975975.5999999996</v>
      </c>
      <c r="G275" s="49"/>
      <c r="H275" s="49"/>
      <c r="I275" s="15">
        <f t="shared" si="28"/>
        <v>5746.1619455999989</v>
      </c>
      <c r="J275" s="34">
        <f t="shared" si="29"/>
        <v>5.746161945599999E-3</v>
      </c>
    </row>
    <row r="276" spans="1:10">
      <c r="A276" s="241"/>
      <c r="B276" s="53" t="s">
        <v>227</v>
      </c>
      <c r="C276" s="44">
        <v>0.12</v>
      </c>
      <c r="D276" s="46">
        <v>0</v>
      </c>
      <c r="E276" s="37">
        <f>'4D1_CH4_EF_DomesticWastewater'!$D$13</f>
        <v>0.06</v>
      </c>
      <c r="F276" s="108">
        <f t="shared" si="27"/>
        <v>9975975.5999999996</v>
      </c>
      <c r="G276" s="49"/>
      <c r="H276" s="49"/>
      <c r="I276" s="15">
        <f t="shared" si="28"/>
        <v>0</v>
      </c>
      <c r="J276" s="34">
        <f t="shared" si="29"/>
        <v>0</v>
      </c>
    </row>
    <row r="277" spans="1:10">
      <c r="A277" s="241"/>
      <c r="B277" s="53" t="s">
        <v>228</v>
      </c>
      <c r="C277" s="44">
        <v>0.12</v>
      </c>
      <c r="D277" s="46">
        <v>0.74</v>
      </c>
      <c r="E277" s="37">
        <f>'4D1_CH4_EF_DomesticWastewater'!$D$13</f>
        <v>0.06</v>
      </c>
      <c r="F277" s="108">
        <f t="shared" si="27"/>
        <v>9975975.5999999996</v>
      </c>
      <c r="G277" s="49"/>
      <c r="H277" s="49"/>
      <c r="I277" s="15">
        <f t="shared" si="28"/>
        <v>53151.99799679999</v>
      </c>
      <c r="J277" s="34">
        <f t="shared" si="29"/>
        <v>5.3151997996799989E-2</v>
      </c>
    </row>
    <row r="278" spans="1:10">
      <c r="A278" s="241"/>
      <c r="B278" s="53" t="s">
        <v>229</v>
      </c>
      <c r="C278" s="44">
        <v>0.12</v>
      </c>
      <c r="D278" s="46">
        <v>0</v>
      </c>
      <c r="E278" s="37">
        <v>0</v>
      </c>
      <c r="F278" s="108">
        <f t="shared" si="27"/>
        <v>9975975.5999999996</v>
      </c>
      <c r="G278" s="49"/>
      <c r="H278" s="49"/>
      <c r="I278" s="15">
        <f t="shared" si="28"/>
        <v>0</v>
      </c>
      <c r="J278" s="34">
        <f t="shared" si="29"/>
        <v>0</v>
      </c>
    </row>
    <row r="279" spans="1:10">
      <c r="A279" s="241" t="s">
        <v>166</v>
      </c>
      <c r="B279" s="53" t="s">
        <v>225</v>
      </c>
      <c r="C279" s="44">
        <v>0.34</v>
      </c>
      <c r="D279" s="46">
        <v>0.14000000000000001</v>
      </c>
      <c r="E279" s="37">
        <f>'4D1_CH4_EF_DomesticWastewater'!$D$22</f>
        <v>0.3</v>
      </c>
      <c r="F279" s="108">
        <f t="shared" si="27"/>
        <v>9975975.5999999996</v>
      </c>
      <c r="G279" s="49"/>
      <c r="H279" s="49"/>
      <c r="I279" s="15">
        <f t="shared" si="28"/>
        <v>142456.93156800003</v>
      </c>
      <c r="J279" s="34">
        <f t="shared" si="29"/>
        <v>0.14245693156800002</v>
      </c>
    </row>
    <row r="280" spans="1:10">
      <c r="A280" s="241"/>
      <c r="B280" s="53" t="s">
        <v>226</v>
      </c>
      <c r="C280" s="44">
        <v>0.34</v>
      </c>
      <c r="D280" s="46">
        <v>0.1</v>
      </c>
      <c r="E280" s="37">
        <f>'4D1_CH4_EF_DomesticWastewater'!$D$23</f>
        <v>0.06</v>
      </c>
      <c r="F280" s="108">
        <f t="shared" si="27"/>
        <v>9975975.5999999996</v>
      </c>
      <c r="G280" s="49"/>
      <c r="H280" s="49"/>
      <c r="I280" s="15">
        <f t="shared" si="28"/>
        <v>20350.990224000001</v>
      </c>
      <c r="J280" s="34">
        <f t="shared" si="29"/>
        <v>2.0350990224000002E-2</v>
      </c>
    </row>
    <row r="281" spans="1:10">
      <c r="A281" s="241"/>
      <c r="B281" s="53" t="s">
        <v>227</v>
      </c>
      <c r="C281" s="44">
        <v>0.34</v>
      </c>
      <c r="D281" s="46">
        <v>0.03</v>
      </c>
      <c r="E281" s="37">
        <f>'4D1_CH4_EF_DomesticWastewater'!$D$13</f>
        <v>0.06</v>
      </c>
      <c r="F281" s="108">
        <f t="shared" si="27"/>
        <v>9975975.5999999996</v>
      </c>
      <c r="G281" s="49"/>
      <c r="H281" s="49"/>
      <c r="I281" s="15">
        <f t="shared" si="28"/>
        <v>6105.2970672000001</v>
      </c>
      <c r="J281" s="34">
        <f t="shared" si="29"/>
        <v>6.1052970671999999E-3</v>
      </c>
    </row>
    <row r="282" spans="1:10">
      <c r="A282" s="241"/>
      <c r="B282" s="53" t="s">
        <v>228</v>
      </c>
      <c r="C282" s="44">
        <v>0.34</v>
      </c>
      <c r="D282" s="46">
        <v>0.53</v>
      </c>
      <c r="E282" s="37">
        <f>'4D1_CH4_EF_DomesticWastewater'!$D$13</f>
        <v>0.06</v>
      </c>
      <c r="F282" s="108">
        <f t="shared" si="27"/>
        <v>9975975.5999999996</v>
      </c>
      <c r="G282" s="49"/>
      <c r="H282" s="49"/>
      <c r="I282" s="15">
        <f t="shared" si="28"/>
        <v>107860.24818720001</v>
      </c>
      <c r="J282" s="34">
        <f t="shared" si="29"/>
        <v>0.10786024818720001</v>
      </c>
    </row>
    <row r="283" spans="1:10">
      <c r="A283" s="241"/>
      <c r="B283" s="53" t="s">
        <v>229</v>
      </c>
      <c r="C283" s="44">
        <v>0.34</v>
      </c>
      <c r="D283" s="46">
        <v>0.2</v>
      </c>
      <c r="E283" s="37">
        <v>0</v>
      </c>
      <c r="F283" s="108">
        <f t="shared" si="27"/>
        <v>9975975.5999999996</v>
      </c>
      <c r="G283" s="49"/>
      <c r="H283" s="49"/>
      <c r="I283" s="15">
        <f t="shared" si="28"/>
        <v>0</v>
      </c>
      <c r="J283" s="34">
        <f t="shared" si="29"/>
        <v>0</v>
      </c>
    </row>
    <row r="284" spans="1:10">
      <c r="A284" s="278" t="s">
        <v>299</v>
      </c>
      <c r="B284" s="278"/>
      <c r="C284" s="278"/>
      <c r="D284" s="278"/>
      <c r="E284" s="278"/>
      <c r="F284" s="278"/>
      <c r="G284" s="278"/>
      <c r="H284" s="278"/>
      <c r="I284" s="109">
        <f>SUM(I269:I283)</f>
        <v>713840.91003360006</v>
      </c>
      <c r="J284" s="110">
        <f>SUM(J269:J283)</f>
        <v>0.71384091003359995</v>
      </c>
    </row>
    <row r="287" spans="1:10">
      <c r="A287" s="279" t="s">
        <v>0</v>
      </c>
      <c r="B287" s="280"/>
      <c r="C287" s="199" t="s">
        <v>1</v>
      </c>
      <c r="D287" s="283"/>
      <c r="E287" s="283"/>
      <c r="F287" s="283"/>
      <c r="G287" s="283"/>
      <c r="H287" s="283"/>
      <c r="I287" s="283"/>
    </row>
    <row r="288" spans="1:10">
      <c r="A288" s="279" t="s">
        <v>2</v>
      </c>
      <c r="B288" s="280"/>
      <c r="C288" s="199" t="s">
        <v>117</v>
      </c>
      <c r="D288" s="283"/>
      <c r="E288" s="283"/>
      <c r="F288" s="283"/>
      <c r="G288" s="283"/>
      <c r="H288" s="283"/>
      <c r="I288" s="283"/>
    </row>
    <row r="289" spans="1:10">
      <c r="A289" s="279" t="s">
        <v>4</v>
      </c>
      <c r="B289" s="280"/>
      <c r="C289" s="199" t="s">
        <v>118</v>
      </c>
      <c r="D289" s="283"/>
      <c r="E289" s="283"/>
      <c r="F289" s="283"/>
      <c r="G289" s="283"/>
      <c r="H289" s="283"/>
      <c r="I289" s="283"/>
    </row>
    <row r="290" spans="1:10">
      <c r="A290" s="279" t="s">
        <v>6</v>
      </c>
      <c r="B290" s="280"/>
      <c r="C290" s="199" t="s">
        <v>145</v>
      </c>
      <c r="D290" s="283"/>
      <c r="E290" s="283"/>
      <c r="F290" s="283"/>
      <c r="G290" s="283"/>
      <c r="H290" s="283"/>
      <c r="I290" s="283"/>
    </row>
    <row r="291" spans="1:10">
      <c r="A291" s="231" t="s">
        <v>10</v>
      </c>
      <c r="B291" s="268"/>
      <c r="C291" s="268"/>
      <c r="D291" s="268"/>
      <c r="E291" s="268"/>
      <c r="F291" s="268"/>
      <c r="G291" s="268"/>
      <c r="H291" s="268"/>
      <c r="I291" s="268"/>
      <c r="J291" s="107"/>
    </row>
    <row r="292" spans="1:10">
      <c r="A292" s="59"/>
      <c r="B292" s="59"/>
      <c r="C292" s="7" t="s">
        <v>11</v>
      </c>
      <c r="D292" s="7" t="s">
        <v>12</v>
      </c>
      <c r="E292" s="7" t="s">
        <v>13</v>
      </c>
      <c r="F292" s="7" t="s">
        <v>14</v>
      </c>
      <c r="G292" s="7" t="s">
        <v>15</v>
      </c>
      <c r="H292" s="7" t="s">
        <v>58</v>
      </c>
      <c r="I292" s="7" t="s">
        <v>78</v>
      </c>
      <c r="J292" s="89" t="s">
        <v>79</v>
      </c>
    </row>
    <row r="293" spans="1:10" ht="51">
      <c r="A293" s="209" t="s">
        <v>146</v>
      </c>
      <c r="B293" s="209" t="s">
        <v>147</v>
      </c>
      <c r="C293" s="59" t="s">
        <v>148</v>
      </c>
      <c r="D293" s="59" t="s">
        <v>149</v>
      </c>
      <c r="E293" s="59" t="s">
        <v>150</v>
      </c>
      <c r="F293" s="59" t="s">
        <v>123</v>
      </c>
      <c r="G293" s="59" t="s">
        <v>151</v>
      </c>
      <c r="H293" s="59" t="s">
        <v>152</v>
      </c>
      <c r="I293" s="59" t="s">
        <v>153</v>
      </c>
      <c r="J293" s="59" t="s">
        <v>153</v>
      </c>
    </row>
    <row r="294" spans="1:10" ht="15.75">
      <c r="A294" s="209"/>
      <c r="B294" s="209"/>
      <c r="C294" s="76" t="s">
        <v>154</v>
      </c>
      <c r="D294" s="76" t="s">
        <v>155</v>
      </c>
      <c r="E294" s="76" t="s">
        <v>156</v>
      </c>
      <c r="F294" s="76" t="s">
        <v>127</v>
      </c>
      <c r="G294" s="76" t="s">
        <v>157</v>
      </c>
      <c r="H294" s="76" t="s">
        <v>158</v>
      </c>
      <c r="I294" s="76" t="s">
        <v>159</v>
      </c>
      <c r="J294" s="76" t="s">
        <v>159</v>
      </c>
    </row>
    <row r="295" spans="1:10" ht="28.5">
      <c r="A295" s="209"/>
      <c r="B295" s="209"/>
      <c r="C295" s="8" t="s">
        <v>44</v>
      </c>
      <c r="D295" s="8" t="s">
        <v>44</v>
      </c>
      <c r="E295" s="8" t="s">
        <v>142</v>
      </c>
      <c r="F295" s="8" t="s">
        <v>130</v>
      </c>
      <c r="G295" s="8" t="s">
        <v>130</v>
      </c>
      <c r="H295" s="8" t="s">
        <v>160</v>
      </c>
      <c r="I295" s="8" t="s">
        <v>160</v>
      </c>
      <c r="J295" s="8" t="s">
        <v>231</v>
      </c>
    </row>
    <row r="296" spans="1:10" ht="24.75" thickBot="1">
      <c r="A296" s="225"/>
      <c r="B296" s="225"/>
      <c r="C296" s="5"/>
      <c r="D296" s="5"/>
      <c r="E296" s="5" t="s">
        <v>161</v>
      </c>
      <c r="F296" s="5" t="s">
        <v>162</v>
      </c>
      <c r="G296" s="5"/>
      <c r="H296" s="5"/>
      <c r="I296" s="9" t="s">
        <v>163</v>
      </c>
      <c r="J296" s="35"/>
    </row>
    <row r="297" spans="1:10" ht="13.5" thickTop="1">
      <c r="A297" s="281" t="s">
        <v>164</v>
      </c>
      <c r="B297" s="54" t="s">
        <v>225</v>
      </c>
      <c r="C297" s="42">
        <v>0.54</v>
      </c>
      <c r="D297" s="43">
        <v>0</v>
      </c>
      <c r="E297" s="38">
        <f>'4D1_CH4_EF_DomesticWastewater'!$D$14</f>
        <v>0.3</v>
      </c>
      <c r="F297" s="108">
        <f>$M$22</f>
        <v>10196421</v>
      </c>
      <c r="G297" s="47"/>
      <c r="H297" s="47"/>
      <c r="I297" s="14">
        <f>((C297*D297*E297)*(F297-G297))-H297</f>
        <v>0</v>
      </c>
      <c r="J297" s="32">
        <f>I297/(10^6)</f>
        <v>0</v>
      </c>
    </row>
    <row r="298" spans="1:10">
      <c r="A298" s="282"/>
      <c r="B298" s="55" t="s">
        <v>226</v>
      </c>
      <c r="C298" s="44">
        <v>0.54</v>
      </c>
      <c r="D298" s="45">
        <v>0.47</v>
      </c>
      <c r="E298" s="37">
        <f>'4D1_CH4_EF_DomesticWastewater'!$D$23</f>
        <v>0.06</v>
      </c>
      <c r="F298" s="108">
        <f t="shared" ref="F298:F311" si="30">$M$22</f>
        <v>10196421</v>
      </c>
      <c r="G298" s="48"/>
      <c r="H298" s="48"/>
      <c r="I298" s="15">
        <f t="shared" ref="I298:I311" si="31">((C298*D298*E298)*(F298-G298))-H298</f>
        <v>155271.09898800001</v>
      </c>
      <c r="J298" s="34">
        <f t="shared" ref="J298:J311" si="32">I298/(10^6)</f>
        <v>0.15527109898800001</v>
      </c>
    </row>
    <row r="299" spans="1:10">
      <c r="A299" s="282"/>
      <c r="B299" s="53" t="s">
        <v>227</v>
      </c>
      <c r="C299" s="44">
        <v>0.54</v>
      </c>
      <c r="D299" s="45">
        <v>0</v>
      </c>
      <c r="E299" s="37">
        <f>'4D1_CH4_EF_DomesticWastewater'!$D$13</f>
        <v>0.06</v>
      </c>
      <c r="F299" s="108">
        <f t="shared" si="30"/>
        <v>10196421</v>
      </c>
      <c r="G299" s="48"/>
      <c r="H299" s="48"/>
      <c r="I299" s="15">
        <f t="shared" si="31"/>
        <v>0</v>
      </c>
      <c r="J299" s="34">
        <f t="shared" si="32"/>
        <v>0</v>
      </c>
    </row>
    <row r="300" spans="1:10">
      <c r="A300" s="241"/>
      <c r="B300" s="53" t="s">
        <v>228</v>
      </c>
      <c r="C300" s="44">
        <v>0.54</v>
      </c>
      <c r="D300" s="46">
        <v>0.1</v>
      </c>
      <c r="E300" s="37">
        <f>'4D1_CH4_EF_DomesticWastewater'!$D$14</f>
        <v>0.3</v>
      </c>
      <c r="F300" s="108">
        <f t="shared" si="30"/>
        <v>10196421</v>
      </c>
      <c r="G300" s="49"/>
      <c r="H300" s="49"/>
      <c r="I300" s="15">
        <f t="shared" si="31"/>
        <v>165182.02020000003</v>
      </c>
      <c r="J300" s="34">
        <f t="shared" si="32"/>
        <v>0.16518202020000003</v>
      </c>
    </row>
    <row r="301" spans="1:10">
      <c r="A301" s="241"/>
      <c r="B301" s="53" t="s">
        <v>229</v>
      </c>
      <c r="C301" s="44">
        <v>0.54</v>
      </c>
      <c r="D301" s="46">
        <v>0.43</v>
      </c>
      <c r="E301" s="37">
        <v>0</v>
      </c>
      <c r="F301" s="108">
        <f t="shared" si="30"/>
        <v>10196421</v>
      </c>
      <c r="G301" s="49"/>
      <c r="H301" s="49"/>
      <c r="I301" s="15">
        <f t="shared" si="31"/>
        <v>0</v>
      </c>
      <c r="J301" s="34">
        <f t="shared" si="32"/>
        <v>0</v>
      </c>
    </row>
    <row r="302" spans="1:10">
      <c r="A302" s="241" t="s">
        <v>165</v>
      </c>
      <c r="B302" s="53" t="s">
        <v>225</v>
      </c>
      <c r="C302" s="44">
        <v>0.12</v>
      </c>
      <c r="D302" s="46">
        <v>0.18</v>
      </c>
      <c r="E302" s="37">
        <f>'4D1_CH4_EF_DomesticWastewater'!$D$22</f>
        <v>0.3</v>
      </c>
      <c r="F302" s="108">
        <f t="shared" si="30"/>
        <v>10196421</v>
      </c>
      <c r="G302" s="49"/>
      <c r="H302" s="49"/>
      <c r="I302" s="15">
        <f t="shared" si="31"/>
        <v>66072.808079999988</v>
      </c>
      <c r="J302" s="34">
        <f t="shared" si="32"/>
        <v>6.607280807999999E-2</v>
      </c>
    </row>
    <row r="303" spans="1:10">
      <c r="A303" s="241"/>
      <c r="B303" s="53" t="s">
        <v>226</v>
      </c>
      <c r="C303" s="44">
        <v>0.12</v>
      </c>
      <c r="D303" s="46">
        <v>0.08</v>
      </c>
      <c r="E303" s="37">
        <f>'4D1_CH4_EF_DomesticWastewater'!$D$23</f>
        <v>0.06</v>
      </c>
      <c r="F303" s="108">
        <f t="shared" si="30"/>
        <v>10196421</v>
      </c>
      <c r="G303" s="49"/>
      <c r="H303" s="49"/>
      <c r="I303" s="15">
        <f t="shared" si="31"/>
        <v>5873.1384959999987</v>
      </c>
      <c r="J303" s="34">
        <f t="shared" si="32"/>
        <v>5.8731384959999989E-3</v>
      </c>
    </row>
    <row r="304" spans="1:10">
      <c r="A304" s="241"/>
      <c r="B304" s="53" t="s">
        <v>227</v>
      </c>
      <c r="C304" s="44">
        <v>0.12</v>
      </c>
      <c r="D304" s="46">
        <v>0</v>
      </c>
      <c r="E304" s="37">
        <f>'4D1_CH4_EF_DomesticWastewater'!$D$13</f>
        <v>0.06</v>
      </c>
      <c r="F304" s="108">
        <f t="shared" si="30"/>
        <v>10196421</v>
      </c>
      <c r="G304" s="49"/>
      <c r="H304" s="49"/>
      <c r="I304" s="15">
        <f t="shared" si="31"/>
        <v>0</v>
      </c>
      <c r="J304" s="34">
        <f t="shared" si="32"/>
        <v>0</v>
      </c>
    </row>
    <row r="305" spans="1:10">
      <c r="A305" s="241"/>
      <c r="B305" s="53" t="s">
        <v>228</v>
      </c>
      <c r="C305" s="44">
        <v>0.12</v>
      </c>
      <c r="D305" s="46">
        <v>0.74</v>
      </c>
      <c r="E305" s="37">
        <f>'4D1_CH4_EF_DomesticWastewater'!$D$13</f>
        <v>0.06</v>
      </c>
      <c r="F305" s="108">
        <f t="shared" si="30"/>
        <v>10196421</v>
      </c>
      <c r="G305" s="49"/>
      <c r="H305" s="49"/>
      <c r="I305" s="15">
        <f t="shared" si="31"/>
        <v>54326.531087999996</v>
      </c>
      <c r="J305" s="34">
        <f t="shared" si="32"/>
        <v>5.4326531087999994E-2</v>
      </c>
    </row>
    <row r="306" spans="1:10">
      <c r="A306" s="241"/>
      <c r="B306" s="53" t="s">
        <v>229</v>
      </c>
      <c r="C306" s="44">
        <v>0.12</v>
      </c>
      <c r="D306" s="46">
        <v>0</v>
      </c>
      <c r="E306" s="37">
        <v>0</v>
      </c>
      <c r="F306" s="108">
        <f t="shared" si="30"/>
        <v>10196421</v>
      </c>
      <c r="G306" s="49"/>
      <c r="H306" s="49"/>
      <c r="I306" s="15">
        <f t="shared" si="31"/>
        <v>0</v>
      </c>
      <c r="J306" s="34">
        <f t="shared" si="32"/>
        <v>0</v>
      </c>
    </row>
    <row r="307" spans="1:10">
      <c r="A307" s="241" t="s">
        <v>166</v>
      </c>
      <c r="B307" s="53" t="s">
        <v>225</v>
      </c>
      <c r="C307" s="44">
        <v>0.34</v>
      </c>
      <c r="D307" s="46">
        <v>0.14000000000000001</v>
      </c>
      <c r="E307" s="37">
        <f>'4D1_CH4_EF_DomesticWastewater'!$D$22</f>
        <v>0.3</v>
      </c>
      <c r="F307" s="108">
        <f t="shared" si="30"/>
        <v>10196421</v>
      </c>
      <c r="G307" s="49"/>
      <c r="H307" s="49"/>
      <c r="I307" s="15">
        <f t="shared" si="31"/>
        <v>145604.89188000004</v>
      </c>
      <c r="J307" s="34">
        <f t="shared" si="32"/>
        <v>0.14560489188000003</v>
      </c>
    </row>
    <row r="308" spans="1:10">
      <c r="A308" s="241"/>
      <c r="B308" s="53" t="s">
        <v>226</v>
      </c>
      <c r="C308" s="44">
        <v>0.34</v>
      </c>
      <c r="D308" s="46">
        <v>0.1</v>
      </c>
      <c r="E308" s="37">
        <f>'4D1_CH4_EF_DomesticWastewater'!$D$23</f>
        <v>0.06</v>
      </c>
      <c r="F308" s="108">
        <f t="shared" si="30"/>
        <v>10196421</v>
      </c>
      <c r="G308" s="49"/>
      <c r="H308" s="49"/>
      <c r="I308" s="15">
        <f t="shared" si="31"/>
        <v>20800.698840000001</v>
      </c>
      <c r="J308" s="34">
        <f t="shared" si="32"/>
        <v>2.080069884E-2</v>
      </c>
    </row>
    <row r="309" spans="1:10">
      <c r="A309" s="241"/>
      <c r="B309" s="53" t="s">
        <v>227</v>
      </c>
      <c r="C309" s="44">
        <v>0.34</v>
      </c>
      <c r="D309" s="46">
        <v>0.03</v>
      </c>
      <c r="E309" s="37">
        <f>'4D1_CH4_EF_DomesticWastewater'!$D$13</f>
        <v>0.06</v>
      </c>
      <c r="F309" s="108">
        <f t="shared" si="30"/>
        <v>10196421</v>
      </c>
      <c r="G309" s="49"/>
      <c r="H309" s="49"/>
      <c r="I309" s="15">
        <f t="shared" si="31"/>
        <v>6240.2096520000005</v>
      </c>
      <c r="J309" s="34">
        <f t="shared" si="32"/>
        <v>6.240209652E-3</v>
      </c>
    </row>
    <row r="310" spans="1:10">
      <c r="A310" s="241"/>
      <c r="B310" s="53" t="s">
        <v>228</v>
      </c>
      <c r="C310" s="44">
        <v>0.34</v>
      </c>
      <c r="D310" s="46">
        <v>0.53</v>
      </c>
      <c r="E310" s="37">
        <f>'4D1_CH4_EF_DomesticWastewater'!$D$13</f>
        <v>0.06</v>
      </c>
      <c r="F310" s="108">
        <f t="shared" si="30"/>
        <v>10196421</v>
      </c>
      <c r="G310" s="49"/>
      <c r="H310" s="49"/>
      <c r="I310" s="15">
        <f t="shared" si="31"/>
        <v>110243.70385200001</v>
      </c>
      <c r="J310" s="34">
        <f t="shared" si="32"/>
        <v>0.11024370385200001</v>
      </c>
    </row>
    <row r="311" spans="1:10">
      <c r="A311" s="241"/>
      <c r="B311" s="53" t="s">
        <v>229</v>
      </c>
      <c r="C311" s="44">
        <v>0.34</v>
      </c>
      <c r="D311" s="46">
        <v>0.2</v>
      </c>
      <c r="E311" s="37">
        <v>0</v>
      </c>
      <c r="F311" s="108">
        <f t="shared" si="30"/>
        <v>10196421</v>
      </c>
      <c r="G311" s="49"/>
      <c r="H311" s="49"/>
      <c r="I311" s="15">
        <f t="shared" si="31"/>
        <v>0</v>
      </c>
      <c r="J311" s="34">
        <f t="shared" si="32"/>
        <v>0</v>
      </c>
    </row>
    <row r="312" spans="1:10">
      <c r="A312" s="278" t="s">
        <v>300</v>
      </c>
      <c r="B312" s="278"/>
      <c r="C312" s="278"/>
      <c r="D312" s="278"/>
      <c r="E312" s="278"/>
      <c r="F312" s="278"/>
      <c r="G312" s="278"/>
      <c r="H312" s="278"/>
      <c r="I312" s="109">
        <f>SUM(I297:I311)</f>
        <v>729615.1010759999</v>
      </c>
      <c r="J312" s="110">
        <f>SUM(J297:J311)</f>
        <v>0.72961510107600003</v>
      </c>
    </row>
    <row r="315" spans="1:10">
      <c r="A315" s="279" t="s">
        <v>0</v>
      </c>
      <c r="B315" s="280"/>
      <c r="C315" s="199" t="s">
        <v>1</v>
      </c>
      <c r="D315" s="283"/>
      <c r="E315" s="283"/>
      <c r="F315" s="283"/>
      <c r="G315" s="283"/>
      <c r="H315" s="283"/>
      <c r="I315" s="283"/>
    </row>
    <row r="316" spans="1:10">
      <c r="A316" s="279" t="s">
        <v>2</v>
      </c>
      <c r="B316" s="280"/>
      <c r="C316" s="199" t="s">
        <v>117</v>
      </c>
      <c r="D316" s="283"/>
      <c r="E316" s="283"/>
      <c r="F316" s="283"/>
      <c r="G316" s="283"/>
      <c r="H316" s="283"/>
      <c r="I316" s="283"/>
    </row>
    <row r="317" spans="1:10">
      <c r="A317" s="279" t="s">
        <v>4</v>
      </c>
      <c r="B317" s="280"/>
      <c r="C317" s="199" t="s">
        <v>118</v>
      </c>
      <c r="D317" s="283"/>
      <c r="E317" s="283"/>
      <c r="F317" s="283"/>
      <c r="G317" s="283"/>
      <c r="H317" s="283"/>
      <c r="I317" s="283"/>
    </row>
    <row r="318" spans="1:10">
      <c r="A318" s="279" t="s">
        <v>6</v>
      </c>
      <c r="B318" s="280"/>
      <c r="C318" s="199" t="s">
        <v>145</v>
      </c>
      <c r="D318" s="283"/>
      <c r="E318" s="283"/>
      <c r="F318" s="283"/>
      <c r="G318" s="283"/>
      <c r="H318" s="283"/>
      <c r="I318" s="283"/>
    </row>
    <row r="319" spans="1:10">
      <c r="A319" s="231" t="s">
        <v>10</v>
      </c>
      <c r="B319" s="268"/>
      <c r="C319" s="268"/>
      <c r="D319" s="268"/>
      <c r="E319" s="268"/>
      <c r="F319" s="268"/>
      <c r="G319" s="268"/>
      <c r="H319" s="268"/>
      <c r="I319" s="268"/>
      <c r="J319" s="107"/>
    </row>
    <row r="320" spans="1:10">
      <c r="A320" s="140"/>
      <c r="B320" s="140"/>
      <c r="C320" s="7" t="s">
        <v>11</v>
      </c>
      <c r="D320" s="7" t="s">
        <v>12</v>
      </c>
      <c r="E320" s="7" t="s">
        <v>13</v>
      </c>
      <c r="F320" s="7" t="s">
        <v>14</v>
      </c>
      <c r="G320" s="7" t="s">
        <v>15</v>
      </c>
      <c r="H320" s="7" t="s">
        <v>58</v>
      </c>
      <c r="I320" s="7" t="s">
        <v>78</v>
      </c>
      <c r="J320" s="89" t="s">
        <v>79</v>
      </c>
    </row>
    <row r="321" spans="1:10" ht="51">
      <c r="A321" s="209" t="s">
        <v>146</v>
      </c>
      <c r="B321" s="209" t="s">
        <v>147</v>
      </c>
      <c r="C321" s="140" t="s">
        <v>148</v>
      </c>
      <c r="D321" s="140" t="s">
        <v>149</v>
      </c>
      <c r="E321" s="140" t="s">
        <v>150</v>
      </c>
      <c r="F321" s="140" t="s">
        <v>123</v>
      </c>
      <c r="G321" s="140" t="s">
        <v>151</v>
      </c>
      <c r="H321" s="140" t="s">
        <v>152</v>
      </c>
      <c r="I321" s="140" t="s">
        <v>153</v>
      </c>
      <c r="J321" s="140" t="s">
        <v>153</v>
      </c>
    </row>
    <row r="322" spans="1:10" ht="15.75">
      <c r="A322" s="209"/>
      <c r="B322" s="209"/>
      <c r="C322" s="137" t="s">
        <v>154</v>
      </c>
      <c r="D322" s="137" t="s">
        <v>155</v>
      </c>
      <c r="E322" s="137" t="s">
        <v>156</v>
      </c>
      <c r="F322" s="137" t="s">
        <v>127</v>
      </c>
      <c r="G322" s="137" t="s">
        <v>157</v>
      </c>
      <c r="H322" s="137" t="s">
        <v>158</v>
      </c>
      <c r="I322" s="137" t="s">
        <v>159</v>
      </c>
      <c r="J322" s="137" t="s">
        <v>159</v>
      </c>
    </row>
    <row r="323" spans="1:10" ht="28.5">
      <c r="A323" s="209"/>
      <c r="B323" s="209"/>
      <c r="C323" s="8" t="s">
        <v>44</v>
      </c>
      <c r="D323" s="8" t="s">
        <v>44</v>
      </c>
      <c r="E323" s="8" t="s">
        <v>142</v>
      </c>
      <c r="F323" s="8" t="s">
        <v>130</v>
      </c>
      <c r="G323" s="8" t="s">
        <v>130</v>
      </c>
      <c r="H323" s="8" t="s">
        <v>160</v>
      </c>
      <c r="I323" s="8" t="s">
        <v>160</v>
      </c>
      <c r="J323" s="8" t="s">
        <v>231</v>
      </c>
    </row>
    <row r="324" spans="1:10" ht="24.75" thickBot="1">
      <c r="A324" s="225"/>
      <c r="B324" s="225"/>
      <c r="C324" s="5"/>
      <c r="D324" s="5"/>
      <c r="E324" s="5" t="s">
        <v>161</v>
      </c>
      <c r="F324" s="5" t="s">
        <v>162</v>
      </c>
      <c r="G324" s="5"/>
      <c r="H324" s="5"/>
      <c r="I324" s="9" t="s">
        <v>163</v>
      </c>
      <c r="J324" s="35"/>
    </row>
    <row r="325" spans="1:10" ht="13.5" thickTop="1">
      <c r="A325" s="281" t="s">
        <v>164</v>
      </c>
      <c r="B325" s="141" t="s">
        <v>225</v>
      </c>
      <c r="C325" s="42">
        <v>0.54</v>
      </c>
      <c r="D325" s="43">
        <v>0</v>
      </c>
      <c r="E325" s="38">
        <f>'4D1_CH4_EF_DomesticWastewater'!$D$14</f>
        <v>0.3</v>
      </c>
      <c r="F325" s="108">
        <f>$M$23</f>
        <v>10416866.4</v>
      </c>
      <c r="G325" s="47"/>
      <c r="H325" s="47"/>
      <c r="I325" s="14">
        <f>((C325*D325*E325)*(F325-G325))-H325</f>
        <v>0</v>
      </c>
      <c r="J325" s="138">
        <f>I325/(10^6)</f>
        <v>0</v>
      </c>
    </row>
    <row r="326" spans="1:10">
      <c r="A326" s="282"/>
      <c r="B326" s="142" t="s">
        <v>226</v>
      </c>
      <c r="C326" s="44">
        <v>0.54</v>
      </c>
      <c r="D326" s="45">
        <v>0.47</v>
      </c>
      <c r="E326" s="37">
        <f>'4D1_CH4_EF_DomesticWastewater'!$D$23</f>
        <v>0.06</v>
      </c>
      <c r="F326" s="108">
        <f t="shared" ref="F326:F339" si="33">$M$23</f>
        <v>10416866.4</v>
      </c>
      <c r="G326" s="48"/>
      <c r="H326" s="48"/>
      <c r="I326" s="15">
        <f t="shared" ref="I326:I339" si="34">((C326*D326*E326)*(F326-G326))-H326</f>
        <v>158628.0415392</v>
      </c>
      <c r="J326" s="34">
        <f t="shared" ref="J326:J339" si="35">I326/(10^6)</f>
        <v>0.15862804153919999</v>
      </c>
    </row>
    <row r="327" spans="1:10">
      <c r="A327" s="282"/>
      <c r="B327" s="139" t="s">
        <v>227</v>
      </c>
      <c r="C327" s="44">
        <v>0.54</v>
      </c>
      <c r="D327" s="45">
        <v>0</v>
      </c>
      <c r="E327" s="37">
        <f>'4D1_CH4_EF_DomesticWastewater'!$D$13</f>
        <v>0.06</v>
      </c>
      <c r="F327" s="108">
        <f t="shared" si="33"/>
        <v>10416866.4</v>
      </c>
      <c r="G327" s="48"/>
      <c r="H327" s="48"/>
      <c r="I327" s="15">
        <f t="shared" si="34"/>
        <v>0</v>
      </c>
      <c r="J327" s="34">
        <f t="shared" si="35"/>
        <v>0</v>
      </c>
    </row>
    <row r="328" spans="1:10">
      <c r="A328" s="241"/>
      <c r="B328" s="139" t="s">
        <v>228</v>
      </c>
      <c r="C328" s="44">
        <v>0.54</v>
      </c>
      <c r="D328" s="46">
        <v>0.1</v>
      </c>
      <c r="E328" s="37">
        <f>'4D1_CH4_EF_DomesticWastewater'!$D$14</f>
        <v>0.3</v>
      </c>
      <c r="F328" s="108">
        <f t="shared" si="33"/>
        <v>10416866.4</v>
      </c>
      <c r="G328" s="49"/>
      <c r="H328" s="49"/>
      <c r="I328" s="15">
        <f t="shared" si="34"/>
        <v>168753.23568000004</v>
      </c>
      <c r="J328" s="34">
        <f t="shared" si="35"/>
        <v>0.16875323568000003</v>
      </c>
    </row>
    <row r="329" spans="1:10">
      <c r="A329" s="241"/>
      <c r="B329" s="139" t="s">
        <v>229</v>
      </c>
      <c r="C329" s="44">
        <v>0.54</v>
      </c>
      <c r="D329" s="46">
        <v>0.43</v>
      </c>
      <c r="E329" s="37">
        <v>0</v>
      </c>
      <c r="F329" s="108">
        <f t="shared" si="33"/>
        <v>10416866.4</v>
      </c>
      <c r="G329" s="49"/>
      <c r="H329" s="49"/>
      <c r="I329" s="15">
        <f t="shared" si="34"/>
        <v>0</v>
      </c>
      <c r="J329" s="34">
        <f t="shared" si="35"/>
        <v>0</v>
      </c>
    </row>
    <row r="330" spans="1:10">
      <c r="A330" s="241" t="s">
        <v>165</v>
      </c>
      <c r="B330" s="139" t="s">
        <v>225</v>
      </c>
      <c r="C330" s="44">
        <v>0.12</v>
      </c>
      <c r="D330" s="46">
        <v>0.18</v>
      </c>
      <c r="E330" s="37">
        <f>'4D1_CH4_EF_DomesticWastewater'!$D$22</f>
        <v>0.3</v>
      </c>
      <c r="F330" s="108">
        <f t="shared" si="33"/>
        <v>10416866.4</v>
      </c>
      <c r="G330" s="49"/>
      <c r="H330" s="49"/>
      <c r="I330" s="15">
        <f t="shared" si="34"/>
        <v>67501.294271999985</v>
      </c>
      <c r="J330" s="34">
        <f t="shared" si="35"/>
        <v>6.7501294271999981E-2</v>
      </c>
    </row>
    <row r="331" spans="1:10">
      <c r="A331" s="241"/>
      <c r="B331" s="139" t="s">
        <v>226</v>
      </c>
      <c r="C331" s="44">
        <v>0.12</v>
      </c>
      <c r="D331" s="46">
        <v>0.08</v>
      </c>
      <c r="E331" s="37">
        <f>'4D1_CH4_EF_DomesticWastewater'!$D$23</f>
        <v>0.06</v>
      </c>
      <c r="F331" s="108">
        <f t="shared" si="33"/>
        <v>10416866.4</v>
      </c>
      <c r="G331" s="49"/>
      <c r="H331" s="49"/>
      <c r="I331" s="15">
        <f t="shared" si="34"/>
        <v>6000.1150463999993</v>
      </c>
      <c r="J331" s="34">
        <f t="shared" si="35"/>
        <v>6.0001150463999996E-3</v>
      </c>
    </row>
    <row r="332" spans="1:10">
      <c r="A332" s="241"/>
      <c r="B332" s="139" t="s">
        <v>227</v>
      </c>
      <c r="C332" s="44">
        <v>0.12</v>
      </c>
      <c r="D332" s="46">
        <v>0</v>
      </c>
      <c r="E332" s="37">
        <f>'4D1_CH4_EF_DomesticWastewater'!$D$13</f>
        <v>0.06</v>
      </c>
      <c r="F332" s="108">
        <f t="shared" si="33"/>
        <v>10416866.4</v>
      </c>
      <c r="G332" s="49"/>
      <c r="H332" s="49"/>
      <c r="I332" s="15">
        <f t="shared" si="34"/>
        <v>0</v>
      </c>
      <c r="J332" s="34">
        <f t="shared" si="35"/>
        <v>0</v>
      </c>
    </row>
    <row r="333" spans="1:10">
      <c r="A333" s="241"/>
      <c r="B333" s="139" t="s">
        <v>228</v>
      </c>
      <c r="C333" s="44">
        <v>0.12</v>
      </c>
      <c r="D333" s="46">
        <v>0.74</v>
      </c>
      <c r="E333" s="37">
        <f>'4D1_CH4_EF_DomesticWastewater'!$D$13</f>
        <v>0.06</v>
      </c>
      <c r="F333" s="108">
        <f t="shared" si="33"/>
        <v>10416866.4</v>
      </c>
      <c r="G333" s="49"/>
      <c r="H333" s="49"/>
      <c r="I333" s="15">
        <f t="shared" si="34"/>
        <v>55501.064179199995</v>
      </c>
      <c r="J333" s="34">
        <f t="shared" si="35"/>
        <v>5.5501064179199998E-2</v>
      </c>
    </row>
    <row r="334" spans="1:10">
      <c r="A334" s="241"/>
      <c r="B334" s="139" t="s">
        <v>229</v>
      </c>
      <c r="C334" s="44">
        <v>0.12</v>
      </c>
      <c r="D334" s="46">
        <v>0</v>
      </c>
      <c r="E334" s="37">
        <v>0</v>
      </c>
      <c r="F334" s="108">
        <f t="shared" si="33"/>
        <v>10416866.4</v>
      </c>
      <c r="G334" s="49"/>
      <c r="H334" s="49"/>
      <c r="I334" s="15">
        <f t="shared" si="34"/>
        <v>0</v>
      </c>
      <c r="J334" s="34">
        <f t="shared" si="35"/>
        <v>0</v>
      </c>
    </row>
    <row r="335" spans="1:10">
      <c r="A335" s="241" t="s">
        <v>166</v>
      </c>
      <c r="B335" s="139" t="s">
        <v>225</v>
      </c>
      <c r="C335" s="44">
        <v>0.34</v>
      </c>
      <c r="D335" s="46">
        <v>0.14000000000000001</v>
      </c>
      <c r="E335" s="37">
        <f>'4D1_CH4_EF_DomesticWastewater'!$D$22</f>
        <v>0.3</v>
      </c>
      <c r="F335" s="108">
        <f t="shared" si="33"/>
        <v>10416866.4</v>
      </c>
      <c r="G335" s="49"/>
      <c r="H335" s="49"/>
      <c r="I335" s="15">
        <f t="shared" si="34"/>
        <v>148752.85219200002</v>
      </c>
      <c r="J335" s="34">
        <f t="shared" si="35"/>
        <v>0.14875285219200002</v>
      </c>
    </row>
    <row r="336" spans="1:10">
      <c r="A336" s="241"/>
      <c r="B336" s="139" t="s">
        <v>226</v>
      </c>
      <c r="C336" s="44">
        <v>0.34</v>
      </c>
      <c r="D336" s="46">
        <v>0.1</v>
      </c>
      <c r="E336" s="37">
        <f>'4D1_CH4_EF_DomesticWastewater'!$D$23</f>
        <v>0.06</v>
      </c>
      <c r="F336" s="108">
        <f t="shared" si="33"/>
        <v>10416866.4</v>
      </c>
      <c r="G336" s="49"/>
      <c r="H336" s="49"/>
      <c r="I336" s="15">
        <f t="shared" si="34"/>
        <v>21250.407456000001</v>
      </c>
      <c r="J336" s="34">
        <f t="shared" si="35"/>
        <v>2.1250407456000001E-2</v>
      </c>
    </row>
    <row r="337" spans="1:10">
      <c r="A337" s="241"/>
      <c r="B337" s="139" t="s">
        <v>227</v>
      </c>
      <c r="C337" s="44">
        <v>0.34</v>
      </c>
      <c r="D337" s="46">
        <v>0.03</v>
      </c>
      <c r="E337" s="37">
        <f>'4D1_CH4_EF_DomesticWastewater'!$D$13</f>
        <v>0.06</v>
      </c>
      <c r="F337" s="108">
        <f t="shared" si="33"/>
        <v>10416866.4</v>
      </c>
      <c r="G337" s="49"/>
      <c r="H337" s="49"/>
      <c r="I337" s="15">
        <f t="shared" si="34"/>
        <v>6375.1222368000008</v>
      </c>
      <c r="J337" s="34">
        <f t="shared" si="35"/>
        <v>6.375122236800001E-3</v>
      </c>
    </row>
    <row r="338" spans="1:10">
      <c r="A338" s="241"/>
      <c r="B338" s="139" t="s">
        <v>228</v>
      </c>
      <c r="C338" s="44">
        <v>0.34</v>
      </c>
      <c r="D338" s="46">
        <v>0.53</v>
      </c>
      <c r="E338" s="37">
        <f>'4D1_CH4_EF_DomesticWastewater'!$D$13</f>
        <v>0.06</v>
      </c>
      <c r="F338" s="108">
        <f t="shared" si="33"/>
        <v>10416866.4</v>
      </c>
      <c r="G338" s="49"/>
      <c r="H338" s="49"/>
      <c r="I338" s="15">
        <f t="shared" si="34"/>
        <v>112627.15951680001</v>
      </c>
      <c r="J338" s="34">
        <f t="shared" si="35"/>
        <v>0.11262715951680001</v>
      </c>
    </row>
    <row r="339" spans="1:10">
      <c r="A339" s="241"/>
      <c r="B339" s="139" t="s">
        <v>229</v>
      </c>
      <c r="C339" s="44">
        <v>0.34</v>
      </c>
      <c r="D339" s="46">
        <v>0.2</v>
      </c>
      <c r="E339" s="37">
        <v>0</v>
      </c>
      <c r="F339" s="108">
        <f t="shared" si="33"/>
        <v>10416866.4</v>
      </c>
      <c r="G339" s="49"/>
      <c r="H339" s="49"/>
      <c r="I339" s="15">
        <f t="shared" si="34"/>
        <v>0</v>
      </c>
      <c r="J339" s="34">
        <f t="shared" si="35"/>
        <v>0</v>
      </c>
    </row>
    <row r="340" spans="1:10">
      <c r="A340" s="278" t="s">
        <v>301</v>
      </c>
      <c r="B340" s="278"/>
      <c r="C340" s="278"/>
      <c r="D340" s="278"/>
      <c r="E340" s="278"/>
      <c r="F340" s="278"/>
      <c r="G340" s="278"/>
      <c r="H340" s="278"/>
      <c r="I340" s="109">
        <f>SUM(I325:I339)</f>
        <v>745389.29211839999</v>
      </c>
      <c r="J340" s="110">
        <f>SUM(J325:J339)</f>
        <v>0.7453892921184001</v>
      </c>
    </row>
    <row r="343" spans="1:10">
      <c r="A343" s="279" t="s">
        <v>0</v>
      </c>
      <c r="B343" s="280"/>
      <c r="C343" s="199" t="s">
        <v>1</v>
      </c>
      <c r="D343" s="283"/>
      <c r="E343" s="283"/>
      <c r="F343" s="283"/>
      <c r="G343" s="283"/>
      <c r="H343" s="283"/>
      <c r="I343" s="283"/>
    </row>
    <row r="344" spans="1:10">
      <c r="A344" s="279" t="s">
        <v>2</v>
      </c>
      <c r="B344" s="280"/>
      <c r="C344" s="199" t="s">
        <v>117</v>
      </c>
      <c r="D344" s="283"/>
      <c r="E344" s="283"/>
      <c r="F344" s="283"/>
      <c r="G344" s="283"/>
      <c r="H344" s="283"/>
      <c r="I344" s="283"/>
    </row>
    <row r="345" spans="1:10">
      <c r="A345" s="279" t="s">
        <v>4</v>
      </c>
      <c r="B345" s="280"/>
      <c r="C345" s="199" t="s">
        <v>118</v>
      </c>
      <c r="D345" s="283"/>
      <c r="E345" s="283"/>
      <c r="F345" s="283"/>
      <c r="G345" s="283"/>
      <c r="H345" s="283"/>
      <c r="I345" s="283"/>
    </row>
    <row r="346" spans="1:10">
      <c r="A346" s="279" t="s">
        <v>6</v>
      </c>
      <c r="B346" s="280"/>
      <c r="C346" s="199" t="s">
        <v>145</v>
      </c>
      <c r="D346" s="283"/>
      <c r="E346" s="283"/>
      <c r="F346" s="283"/>
      <c r="G346" s="283"/>
      <c r="H346" s="283"/>
      <c r="I346" s="283"/>
    </row>
    <row r="347" spans="1:10">
      <c r="A347" s="231" t="s">
        <v>10</v>
      </c>
      <c r="B347" s="268"/>
      <c r="C347" s="268"/>
      <c r="D347" s="268"/>
      <c r="E347" s="268"/>
      <c r="F347" s="268"/>
      <c r="G347" s="268"/>
      <c r="H347" s="268"/>
      <c r="I347" s="268"/>
      <c r="J347" s="107"/>
    </row>
    <row r="348" spans="1:10">
      <c r="A348" s="140"/>
      <c r="B348" s="140"/>
      <c r="C348" s="7" t="s">
        <v>11</v>
      </c>
      <c r="D348" s="7" t="s">
        <v>12</v>
      </c>
      <c r="E348" s="7" t="s">
        <v>13</v>
      </c>
      <c r="F348" s="7" t="s">
        <v>14</v>
      </c>
      <c r="G348" s="7" t="s">
        <v>15</v>
      </c>
      <c r="H348" s="7" t="s">
        <v>58</v>
      </c>
      <c r="I348" s="7" t="s">
        <v>78</v>
      </c>
      <c r="J348" s="89" t="s">
        <v>79</v>
      </c>
    </row>
    <row r="349" spans="1:10" ht="51">
      <c r="A349" s="209" t="s">
        <v>146</v>
      </c>
      <c r="B349" s="209" t="s">
        <v>147</v>
      </c>
      <c r="C349" s="140" t="s">
        <v>148</v>
      </c>
      <c r="D349" s="140" t="s">
        <v>149</v>
      </c>
      <c r="E349" s="140" t="s">
        <v>150</v>
      </c>
      <c r="F349" s="140" t="s">
        <v>123</v>
      </c>
      <c r="G349" s="140" t="s">
        <v>151</v>
      </c>
      <c r="H349" s="140" t="s">
        <v>152</v>
      </c>
      <c r="I349" s="140" t="s">
        <v>153</v>
      </c>
      <c r="J349" s="140" t="s">
        <v>153</v>
      </c>
    </row>
    <row r="350" spans="1:10" ht="15.75">
      <c r="A350" s="209"/>
      <c r="B350" s="209"/>
      <c r="C350" s="137" t="s">
        <v>154</v>
      </c>
      <c r="D350" s="137" t="s">
        <v>155</v>
      </c>
      <c r="E350" s="137" t="s">
        <v>156</v>
      </c>
      <c r="F350" s="137" t="s">
        <v>127</v>
      </c>
      <c r="G350" s="137" t="s">
        <v>157</v>
      </c>
      <c r="H350" s="137" t="s">
        <v>158</v>
      </c>
      <c r="I350" s="137" t="s">
        <v>159</v>
      </c>
      <c r="J350" s="137" t="s">
        <v>159</v>
      </c>
    </row>
    <row r="351" spans="1:10" ht="28.5">
      <c r="A351" s="209"/>
      <c r="B351" s="209"/>
      <c r="C351" s="8" t="s">
        <v>44</v>
      </c>
      <c r="D351" s="8" t="s">
        <v>44</v>
      </c>
      <c r="E351" s="8" t="s">
        <v>142</v>
      </c>
      <c r="F351" s="8" t="s">
        <v>130</v>
      </c>
      <c r="G351" s="8" t="s">
        <v>130</v>
      </c>
      <c r="H351" s="8" t="s">
        <v>160</v>
      </c>
      <c r="I351" s="8" t="s">
        <v>160</v>
      </c>
      <c r="J351" s="8" t="s">
        <v>231</v>
      </c>
    </row>
    <row r="352" spans="1:10" ht="24.75" thickBot="1">
      <c r="A352" s="225"/>
      <c r="B352" s="225"/>
      <c r="C352" s="5"/>
      <c r="D352" s="5"/>
      <c r="E352" s="5" t="s">
        <v>161</v>
      </c>
      <c r="F352" s="5" t="s">
        <v>162</v>
      </c>
      <c r="G352" s="5"/>
      <c r="H352" s="5"/>
      <c r="I352" s="9" t="s">
        <v>163</v>
      </c>
      <c r="J352" s="35"/>
    </row>
    <row r="353" spans="1:10" ht="13.5" thickTop="1">
      <c r="A353" s="281" t="s">
        <v>164</v>
      </c>
      <c r="B353" s="141" t="s">
        <v>225</v>
      </c>
      <c r="C353" s="42">
        <v>0.54</v>
      </c>
      <c r="D353" s="43">
        <v>0</v>
      </c>
      <c r="E353" s="38">
        <f>'4D1_CH4_EF_DomesticWastewater'!$D$14</f>
        <v>0.3</v>
      </c>
      <c r="F353" s="108">
        <f>$M$24</f>
        <v>10637311.799999999</v>
      </c>
      <c r="G353" s="47"/>
      <c r="H353" s="47"/>
      <c r="I353" s="14">
        <f>((C353*D353*E353)*(F353-G353))-H353</f>
        <v>0</v>
      </c>
      <c r="J353" s="138">
        <f>I353/(10^6)</f>
        <v>0</v>
      </c>
    </row>
    <row r="354" spans="1:10">
      <c r="A354" s="282"/>
      <c r="B354" s="142" t="s">
        <v>226</v>
      </c>
      <c r="C354" s="44">
        <v>0.54</v>
      </c>
      <c r="D354" s="45">
        <v>0.47</v>
      </c>
      <c r="E354" s="37">
        <f>'4D1_CH4_EF_DomesticWastewater'!$D$23</f>
        <v>0.06</v>
      </c>
      <c r="F354" s="108">
        <f t="shared" ref="F354:F367" si="36">$M$24</f>
        <v>10637311.799999999</v>
      </c>
      <c r="G354" s="48"/>
      <c r="H354" s="48"/>
      <c r="I354" s="15">
        <f t="shared" ref="I354:I367" si="37">((C354*D354*E354)*(F354-G354))-H354</f>
        <v>161984.98409039999</v>
      </c>
      <c r="J354" s="34">
        <f t="shared" ref="J354:J367" si="38">I354/(10^6)</f>
        <v>0.16198498409039999</v>
      </c>
    </row>
    <row r="355" spans="1:10">
      <c r="A355" s="282"/>
      <c r="B355" s="139" t="s">
        <v>227</v>
      </c>
      <c r="C355" s="44">
        <v>0.54</v>
      </c>
      <c r="D355" s="45">
        <v>0</v>
      </c>
      <c r="E355" s="37">
        <f>'4D1_CH4_EF_DomesticWastewater'!$D$13</f>
        <v>0.06</v>
      </c>
      <c r="F355" s="108">
        <f t="shared" si="36"/>
        <v>10637311.799999999</v>
      </c>
      <c r="G355" s="48"/>
      <c r="H355" s="48"/>
      <c r="I355" s="15">
        <f t="shared" si="37"/>
        <v>0</v>
      </c>
      <c r="J355" s="34">
        <f t="shared" si="38"/>
        <v>0</v>
      </c>
    </row>
    <row r="356" spans="1:10">
      <c r="A356" s="241"/>
      <c r="B356" s="139" t="s">
        <v>228</v>
      </c>
      <c r="C356" s="44">
        <v>0.54</v>
      </c>
      <c r="D356" s="46">
        <v>0.1</v>
      </c>
      <c r="E356" s="37">
        <f>'4D1_CH4_EF_DomesticWastewater'!$D$14</f>
        <v>0.3</v>
      </c>
      <c r="F356" s="108">
        <f t="shared" si="36"/>
        <v>10637311.799999999</v>
      </c>
      <c r="G356" s="49"/>
      <c r="H356" s="49"/>
      <c r="I356" s="15">
        <f t="shared" si="37"/>
        <v>172324.45116</v>
      </c>
      <c r="J356" s="34">
        <f t="shared" si="38"/>
        <v>0.17232445116</v>
      </c>
    </row>
    <row r="357" spans="1:10">
      <c r="A357" s="241"/>
      <c r="B357" s="139" t="s">
        <v>229</v>
      </c>
      <c r="C357" s="44">
        <v>0.54</v>
      </c>
      <c r="D357" s="46">
        <v>0.43</v>
      </c>
      <c r="E357" s="37">
        <v>0</v>
      </c>
      <c r="F357" s="108">
        <f t="shared" si="36"/>
        <v>10637311.799999999</v>
      </c>
      <c r="G357" s="49"/>
      <c r="H357" s="49"/>
      <c r="I357" s="15">
        <f t="shared" si="37"/>
        <v>0</v>
      </c>
      <c r="J357" s="34">
        <f t="shared" si="38"/>
        <v>0</v>
      </c>
    </row>
    <row r="358" spans="1:10">
      <c r="A358" s="241" t="s">
        <v>165</v>
      </c>
      <c r="B358" s="139" t="s">
        <v>225</v>
      </c>
      <c r="C358" s="44">
        <v>0.12</v>
      </c>
      <c r="D358" s="46">
        <v>0.18</v>
      </c>
      <c r="E358" s="37">
        <f>'4D1_CH4_EF_DomesticWastewater'!$D$22</f>
        <v>0.3</v>
      </c>
      <c r="F358" s="108">
        <f t="shared" si="36"/>
        <v>10637311.799999999</v>
      </c>
      <c r="G358" s="49"/>
      <c r="H358" s="49"/>
      <c r="I358" s="15">
        <f t="shared" si="37"/>
        <v>68929.780463999981</v>
      </c>
      <c r="J358" s="34">
        <f t="shared" si="38"/>
        <v>6.8929780463999987E-2</v>
      </c>
    </row>
    <row r="359" spans="1:10">
      <c r="A359" s="241"/>
      <c r="B359" s="139" t="s">
        <v>226</v>
      </c>
      <c r="C359" s="44">
        <v>0.12</v>
      </c>
      <c r="D359" s="46">
        <v>0.08</v>
      </c>
      <c r="E359" s="37">
        <f>'4D1_CH4_EF_DomesticWastewater'!$D$23</f>
        <v>0.06</v>
      </c>
      <c r="F359" s="108">
        <f t="shared" si="36"/>
        <v>10637311.799999999</v>
      </c>
      <c r="G359" s="49"/>
      <c r="H359" s="49"/>
      <c r="I359" s="15">
        <f t="shared" si="37"/>
        <v>6127.0915967999981</v>
      </c>
      <c r="J359" s="34">
        <f t="shared" si="38"/>
        <v>6.1270915967999977E-3</v>
      </c>
    </row>
    <row r="360" spans="1:10">
      <c r="A360" s="241"/>
      <c r="B360" s="139" t="s">
        <v>227</v>
      </c>
      <c r="C360" s="44">
        <v>0.12</v>
      </c>
      <c r="D360" s="46">
        <v>0</v>
      </c>
      <c r="E360" s="37">
        <f>'4D1_CH4_EF_DomesticWastewater'!$D$13</f>
        <v>0.06</v>
      </c>
      <c r="F360" s="108">
        <f t="shared" si="36"/>
        <v>10637311.799999999</v>
      </c>
      <c r="G360" s="49"/>
      <c r="H360" s="49"/>
      <c r="I360" s="15">
        <f t="shared" si="37"/>
        <v>0</v>
      </c>
      <c r="J360" s="34">
        <f t="shared" si="38"/>
        <v>0</v>
      </c>
    </row>
    <row r="361" spans="1:10">
      <c r="A361" s="241"/>
      <c r="B361" s="139" t="s">
        <v>228</v>
      </c>
      <c r="C361" s="44">
        <v>0.12</v>
      </c>
      <c r="D361" s="46">
        <v>0.74</v>
      </c>
      <c r="E361" s="37">
        <f>'4D1_CH4_EF_DomesticWastewater'!$D$13</f>
        <v>0.06</v>
      </c>
      <c r="F361" s="108">
        <f t="shared" si="36"/>
        <v>10637311.799999999</v>
      </c>
      <c r="G361" s="49"/>
      <c r="H361" s="49"/>
      <c r="I361" s="15">
        <f t="shared" si="37"/>
        <v>56675.597270399987</v>
      </c>
      <c r="J361" s="34">
        <f t="shared" si="38"/>
        <v>5.6675597270399988E-2</v>
      </c>
    </row>
    <row r="362" spans="1:10">
      <c r="A362" s="241"/>
      <c r="B362" s="139" t="s">
        <v>229</v>
      </c>
      <c r="C362" s="44">
        <v>0.12</v>
      </c>
      <c r="D362" s="46">
        <v>0</v>
      </c>
      <c r="E362" s="37">
        <v>0</v>
      </c>
      <c r="F362" s="108">
        <f t="shared" si="36"/>
        <v>10637311.799999999</v>
      </c>
      <c r="G362" s="49"/>
      <c r="H362" s="49"/>
      <c r="I362" s="15">
        <f t="shared" si="37"/>
        <v>0</v>
      </c>
      <c r="J362" s="34">
        <f t="shared" si="38"/>
        <v>0</v>
      </c>
    </row>
    <row r="363" spans="1:10">
      <c r="A363" s="241" t="s">
        <v>166</v>
      </c>
      <c r="B363" s="139" t="s">
        <v>225</v>
      </c>
      <c r="C363" s="44">
        <v>0.34</v>
      </c>
      <c r="D363" s="46">
        <v>0.14000000000000001</v>
      </c>
      <c r="E363" s="37">
        <f>'4D1_CH4_EF_DomesticWastewater'!$D$22</f>
        <v>0.3</v>
      </c>
      <c r="F363" s="108">
        <f t="shared" si="36"/>
        <v>10637311.799999999</v>
      </c>
      <c r="G363" s="49"/>
      <c r="H363" s="49"/>
      <c r="I363" s="15">
        <f t="shared" si="37"/>
        <v>151900.812504</v>
      </c>
      <c r="J363" s="34">
        <f t="shared" si="38"/>
        <v>0.151900812504</v>
      </c>
    </row>
    <row r="364" spans="1:10">
      <c r="A364" s="241"/>
      <c r="B364" s="139" t="s">
        <v>226</v>
      </c>
      <c r="C364" s="44">
        <v>0.34</v>
      </c>
      <c r="D364" s="46">
        <v>0.1</v>
      </c>
      <c r="E364" s="37">
        <f>'4D1_CH4_EF_DomesticWastewater'!$D$23</f>
        <v>0.06</v>
      </c>
      <c r="F364" s="108">
        <f t="shared" si="36"/>
        <v>10637311.799999999</v>
      </c>
      <c r="G364" s="49"/>
      <c r="H364" s="49"/>
      <c r="I364" s="15">
        <f t="shared" si="37"/>
        <v>21700.116072000001</v>
      </c>
      <c r="J364" s="34">
        <f t="shared" si="38"/>
        <v>2.1700116072000002E-2</v>
      </c>
    </row>
    <row r="365" spans="1:10">
      <c r="A365" s="241"/>
      <c r="B365" s="139" t="s">
        <v>227</v>
      </c>
      <c r="C365" s="44">
        <v>0.34</v>
      </c>
      <c r="D365" s="46">
        <v>0.03</v>
      </c>
      <c r="E365" s="37">
        <f>'4D1_CH4_EF_DomesticWastewater'!$D$13</f>
        <v>0.06</v>
      </c>
      <c r="F365" s="108">
        <f t="shared" si="36"/>
        <v>10637311.799999999</v>
      </c>
      <c r="G365" s="49"/>
      <c r="H365" s="49"/>
      <c r="I365" s="15">
        <f t="shared" si="37"/>
        <v>6510.0348215999993</v>
      </c>
      <c r="J365" s="34">
        <f t="shared" si="38"/>
        <v>6.5100348215999995E-3</v>
      </c>
    </row>
    <row r="366" spans="1:10">
      <c r="A366" s="241"/>
      <c r="B366" s="139" t="s">
        <v>228</v>
      </c>
      <c r="C366" s="44">
        <v>0.34</v>
      </c>
      <c r="D366" s="46">
        <v>0.53</v>
      </c>
      <c r="E366" s="37">
        <f>'4D1_CH4_EF_DomesticWastewater'!$D$13</f>
        <v>0.06</v>
      </c>
      <c r="F366" s="108">
        <f t="shared" si="36"/>
        <v>10637311.799999999</v>
      </c>
      <c r="G366" s="49"/>
      <c r="H366" s="49"/>
      <c r="I366" s="15">
        <f t="shared" si="37"/>
        <v>115010.61518159999</v>
      </c>
      <c r="J366" s="34">
        <f t="shared" si="38"/>
        <v>0.1150106151816</v>
      </c>
    </row>
    <row r="367" spans="1:10">
      <c r="A367" s="241"/>
      <c r="B367" s="139" t="s">
        <v>229</v>
      </c>
      <c r="C367" s="44">
        <v>0.34</v>
      </c>
      <c r="D367" s="46">
        <v>0.2</v>
      </c>
      <c r="E367" s="37">
        <v>0</v>
      </c>
      <c r="F367" s="108">
        <f t="shared" si="36"/>
        <v>10637311.799999999</v>
      </c>
      <c r="G367" s="49"/>
      <c r="H367" s="49"/>
      <c r="I367" s="15">
        <f t="shared" si="37"/>
        <v>0</v>
      </c>
      <c r="J367" s="34">
        <f t="shared" si="38"/>
        <v>0</v>
      </c>
    </row>
    <row r="368" spans="1:10">
      <c r="A368" s="278" t="s">
        <v>302</v>
      </c>
      <c r="B368" s="278"/>
      <c r="C368" s="278"/>
      <c r="D368" s="278"/>
      <c r="E368" s="278"/>
      <c r="F368" s="278"/>
      <c r="G368" s="278"/>
      <c r="H368" s="278"/>
      <c r="I368" s="109">
        <f>SUM(I353:I367)</f>
        <v>761163.48316079983</v>
      </c>
      <c r="J368" s="110">
        <f>SUM(J353:J367)</f>
        <v>0.76116348316079985</v>
      </c>
    </row>
    <row r="371" spans="1:10">
      <c r="A371" s="279" t="s">
        <v>0</v>
      </c>
      <c r="B371" s="280"/>
      <c r="C371" s="199" t="s">
        <v>1</v>
      </c>
      <c r="D371" s="283"/>
      <c r="E371" s="283"/>
      <c r="F371" s="283"/>
      <c r="G371" s="283"/>
      <c r="H371" s="283"/>
      <c r="I371" s="283"/>
    </row>
    <row r="372" spans="1:10">
      <c r="A372" s="279" t="s">
        <v>2</v>
      </c>
      <c r="B372" s="280"/>
      <c r="C372" s="199" t="s">
        <v>117</v>
      </c>
      <c r="D372" s="283"/>
      <c r="E372" s="283"/>
      <c r="F372" s="283"/>
      <c r="G372" s="283"/>
      <c r="H372" s="283"/>
      <c r="I372" s="283"/>
    </row>
    <row r="373" spans="1:10">
      <c r="A373" s="279" t="s">
        <v>4</v>
      </c>
      <c r="B373" s="280"/>
      <c r="C373" s="199" t="s">
        <v>118</v>
      </c>
      <c r="D373" s="283"/>
      <c r="E373" s="283"/>
      <c r="F373" s="283"/>
      <c r="G373" s="283"/>
      <c r="H373" s="283"/>
      <c r="I373" s="283"/>
    </row>
    <row r="374" spans="1:10">
      <c r="A374" s="279" t="s">
        <v>6</v>
      </c>
      <c r="B374" s="280"/>
      <c r="C374" s="199" t="s">
        <v>145</v>
      </c>
      <c r="D374" s="283"/>
      <c r="E374" s="283"/>
      <c r="F374" s="283"/>
      <c r="G374" s="283"/>
      <c r="H374" s="283"/>
      <c r="I374" s="283"/>
    </row>
    <row r="375" spans="1:10">
      <c r="A375" s="231" t="s">
        <v>10</v>
      </c>
      <c r="B375" s="268"/>
      <c r="C375" s="268"/>
      <c r="D375" s="268"/>
      <c r="E375" s="268"/>
      <c r="F375" s="268"/>
      <c r="G375" s="268"/>
      <c r="H375" s="268"/>
      <c r="I375" s="268"/>
      <c r="J375" s="107"/>
    </row>
    <row r="376" spans="1:10">
      <c r="A376" s="140"/>
      <c r="B376" s="140"/>
      <c r="C376" s="7" t="s">
        <v>11</v>
      </c>
      <c r="D376" s="7" t="s">
        <v>12</v>
      </c>
      <c r="E376" s="7" t="s">
        <v>13</v>
      </c>
      <c r="F376" s="7" t="s">
        <v>14</v>
      </c>
      <c r="G376" s="7" t="s">
        <v>15</v>
      </c>
      <c r="H376" s="7" t="s">
        <v>58</v>
      </c>
      <c r="I376" s="7" t="s">
        <v>78</v>
      </c>
      <c r="J376" s="89" t="s">
        <v>79</v>
      </c>
    </row>
    <row r="377" spans="1:10" ht="51">
      <c r="A377" s="209" t="s">
        <v>146</v>
      </c>
      <c r="B377" s="209" t="s">
        <v>147</v>
      </c>
      <c r="C377" s="140" t="s">
        <v>148</v>
      </c>
      <c r="D377" s="140" t="s">
        <v>149</v>
      </c>
      <c r="E377" s="140" t="s">
        <v>150</v>
      </c>
      <c r="F377" s="140" t="s">
        <v>123</v>
      </c>
      <c r="G377" s="140" t="s">
        <v>151</v>
      </c>
      <c r="H377" s="140" t="s">
        <v>152</v>
      </c>
      <c r="I377" s="140" t="s">
        <v>153</v>
      </c>
      <c r="J377" s="140" t="s">
        <v>153</v>
      </c>
    </row>
    <row r="378" spans="1:10" ht="15.75">
      <c r="A378" s="209"/>
      <c r="B378" s="209"/>
      <c r="C378" s="137" t="s">
        <v>154</v>
      </c>
      <c r="D378" s="137" t="s">
        <v>155</v>
      </c>
      <c r="E378" s="137" t="s">
        <v>156</v>
      </c>
      <c r="F378" s="137" t="s">
        <v>127</v>
      </c>
      <c r="G378" s="137" t="s">
        <v>157</v>
      </c>
      <c r="H378" s="137" t="s">
        <v>158</v>
      </c>
      <c r="I378" s="137" t="s">
        <v>159</v>
      </c>
      <c r="J378" s="137" t="s">
        <v>159</v>
      </c>
    </row>
    <row r="379" spans="1:10" ht="28.5">
      <c r="A379" s="209"/>
      <c r="B379" s="209"/>
      <c r="C379" s="8" t="s">
        <v>44</v>
      </c>
      <c r="D379" s="8" t="s">
        <v>44</v>
      </c>
      <c r="E379" s="8" t="s">
        <v>142</v>
      </c>
      <c r="F379" s="8" t="s">
        <v>130</v>
      </c>
      <c r="G379" s="8" t="s">
        <v>130</v>
      </c>
      <c r="H379" s="8" t="s">
        <v>160</v>
      </c>
      <c r="I379" s="8" t="s">
        <v>160</v>
      </c>
      <c r="J379" s="8" t="s">
        <v>231</v>
      </c>
    </row>
    <row r="380" spans="1:10" ht="24.75" thickBot="1">
      <c r="A380" s="225"/>
      <c r="B380" s="225"/>
      <c r="C380" s="5"/>
      <c r="D380" s="5"/>
      <c r="E380" s="5" t="s">
        <v>161</v>
      </c>
      <c r="F380" s="5" t="s">
        <v>162</v>
      </c>
      <c r="G380" s="5"/>
      <c r="H380" s="5"/>
      <c r="I380" s="9" t="s">
        <v>163</v>
      </c>
      <c r="J380" s="35"/>
    </row>
    <row r="381" spans="1:10" ht="13.5" thickTop="1">
      <c r="A381" s="281" t="s">
        <v>164</v>
      </c>
      <c r="B381" s="141" t="s">
        <v>225</v>
      </c>
      <c r="C381" s="42">
        <v>0.54</v>
      </c>
      <c r="D381" s="43">
        <v>0</v>
      </c>
      <c r="E381" s="38">
        <f>'4D1_CH4_EF_DomesticWastewater'!$D$14</f>
        <v>0.3</v>
      </c>
      <c r="F381" s="108">
        <f>$M$25</f>
        <v>10857757.199999999</v>
      </c>
      <c r="G381" s="47"/>
      <c r="H381" s="47"/>
      <c r="I381" s="14">
        <f>((C381*D381*E381)*(F381-G381))-H381</f>
        <v>0</v>
      </c>
      <c r="J381" s="138">
        <f>I381/(10^6)</f>
        <v>0</v>
      </c>
    </row>
    <row r="382" spans="1:10">
      <c r="A382" s="282"/>
      <c r="B382" s="142" t="s">
        <v>226</v>
      </c>
      <c r="C382" s="44">
        <v>0.54</v>
      </c>
      <c r="D382" s="45">
        <v>0.47</v>
      </c>
      <c r="E382" s="37">
        <f>'4D1_CH4_EF_DomesticWastewater'!$D$23</f>
        <v>0.06</v>
      </c>
      <c r="F382" s="108">
        <f t="shared" ref="F382:F395" si="39">$M$25</f>
        <v>10857757.199999999</v>
      </c>
      <c r="G382" s="48"/>
      <c r="H382" s="48"/>
      <c r="I382" s="15">
        <f t="shared" ref="I382:I395" si="40">((C382*D382*E382)*(F382-G382))-H382</f>
        <v>165341.9266416</v>
      </c>
      <c r="J382" s="34">
        <f t="shared" ref="J382:J395" si="41">I382/(10^6)</f>
        <v>0.1653419266416</v>
      </c>
    </row>
    <row r="383" spans="1:10">
      <c r="A383" s="282"/>
      <c r="B383" s="139" t="s">
        <v>227</v>
      </c>
      <c r="C383" s="44">
        <v>0.54</v>
      </c>
      <c r="D383" s="45">
        <v>0</v>
      </c>
      <c r="E383" s="37">
        <f>'4D1_CH4_EF_DomesticWastewater'!$D$13</f>
        <v>0.06</v>
      </c>
      <c r="F383" s="108">
        <f t="shared" si="39"/>
        <v>10857757.199999999</v>
      </c>
      <c r="G383" s="48"/>
      <c r="H383" s="48"/>
      <c r="I383" s="15">
        <f t="shared" si="40"/>
        <v>0</v>
      </c>
      <c r="J383" s="34">
        <f t="shared" si="41"/>
        <v>0</v>
      </c>
    </row>
    <row r="384" spans="1:10">
      <c r="A384" s="241"/>
      <c r="B384" s="139" t="s">
        <v>228</v>
      </c>
      <c r="C384" s="44">
        <v>0.54</v>
      </c>
      <c r="D384" s="46">
        <v>0.1</v>
      </c>
      <c r="E384" s="37">
        <f>'4D1_CH4_EF_DomesticWastewater'!$D$14</f>
        <v>0.3</v>
      </c>
      <c r="F384" s="108">
        <f t="shared" si="39"/>
        <v>10857757.199999999</v>
      </c>
      <c r="G384" s="49"/>
      <c r="H384" s="49"/>
      <c r="I384" s="15">
        <f t="shared" si="40"/>
        <v>175895.66664000001</v>
      </c>
      <c r="J384" s="34">
        <f t="shared" si="41"/>
        <v>0.17589566664</v>
      </c>
    </row>
    <row r="385" spans="1:10">
      <c r="A385" s="241"/>
      <c r="B385" s="139" t="s">
        <v>229</v>
      </c>
      <c r="C385" s="44">
        <v>0.54</v>
      </c>
      <c r="D385" s="46">
        <v>0.43</v>
      </c>
      <c r="E385" s="37">
        <v>0</v>
      </c>
      <c r="F385" s="108">
        <f t="shared" si="39"/>
        <v>10857757.199999999</v>
      </c>
      <c r="G385" s="49"/>
      <c r="H385" s="49"/>
      <c r="I385" s="15">
        <f t="shared" si="40"/>
        <v>0</v>
      </c>
      <c r="J385" s="34">
        <f t="shared" si="41"/>
        <v>0</v>
      </c>
    </row>
    <row r="386" spans="1:10">
      <c r="A386" s="241" t="s">
        <v>165</v>
      </c>
      <c r="B386" s="139" t="s">
        <v>225</v>
      </c>
      <c r="C386" s="44">
        <v>0.12</v>
      </c>
      <c r="D386" s="46">
        <v>0.18</v>
      </c>
      <c r="E386" s="37">
        <f>'4D1_CH4_EF_DomesticWastewater'!$D$22</f>
        <v>0.3</v>
      </c>
      <c r="F386" s="108">
        <f t="shared" si="39"/>
        <v>10857757.199999999</v>
      </c>
      <c r="G386" s="49"/>
      <c r="H386" s="49"/>
      <c r="I386" s="15">
        <f t="shared" si="40"/>
        <v>70358.266655999978</v>
      </c>
      <c r="J386" s="34">
        <f t="shared" si="41"/>
        <v>7.0358266655999979E-2</v>
      </c>
    </row>
    <row r="387" spans="1:10">
      <c r="A387" s="241"/>
      <c r="B387" s="139" t="s">
        <v>226</v>
      </c>
      <c r="C387" s="44">
        <v>0.12</v>
      </c>
      <c r="D387" s="46">
        <v>0.08</v>
      </c>
      <c r="E387" s="37">
        <f>'4D1_CH4_EF_DomesticWastewater'!$D$23</f>
        <v>0.06</v>
      </c>
      <c r="F387" s="108">
        <f t="shared" si="39"/>
        <v>10857757.199999999</v>
      </c>
      <c r="G387" s="49"/>
      <c r="H387" s="49"/>
      <c r="I387" s="15">
        <f t="shared" si="40"/>
        <v>6254.0681471999987</v>
      </c>
      <c r="J387" s="34">
        <f t="shared" si="41"/>
        <v>6.2540681471999985E-3</v>
      </c>
    </row>
    <row r="388" spans="1:10">
      <c r="A388" s="241"/>
      <c r="B388" s="139" t="s">
        <v>227</v>
      </c>
      <c r="C388" s="44">
        <v>0.12</v>
      </c>
      <c r="D388" s="46">
        <v>0</v>
      </c>
      <c r="E388" s="37">
        <f>'4D1_CH4_EF_DomesticWastewater'!$D$13</f>
        <v>0.06</v>
      </c>
      <c r="F388" s="108">
        <f t="shared" si="39"/>
        <v>10857757.199999999</v>
      </c>
      <c r="G388" s="49"/>
      <c r="H388" s="49"/>
      <c r="I388" s="15">
        <f t="shared" si="40"/>
        <v>0</v>
      </c>
      <c r="J388" s="34">
        <f t="shared" si="41"/>
        <v>0</v>
      </c>
    </row>
    <row r="389" spans="1:10">
      <c r="A389" s="241"/>
      <c r="B389" s="139" t="s">
        <v>228</v>
      </c>
      <c r="C389" s="44">
        <v>0.12</v>
      </c>
      <c r="D389" s="46">
        <v>0.74</v>
      </c>
      <c r="E389" s="37">
        <f>'4D1_CH4_EF_DomesticWastewater'!$D$13</f>
        <v>0.06</v>
      </c>
      <c r="F389" s="108">
        <f t="shared" si="39"/>
        <v>10857757.199999999</v>
      </c>
      <c r="G389" s="49"/>
      <c r="H389" s="49"/>
      <c r="I389" s="15">
        <f t="shared" si="40"/>
        <v>57850.130361599986</v>
      </c>
      <c r="J389" s="34">
        <f t="shared" si="41"/>
        <v>5.7850130361599986E-2</v>
      </c>
    </row>
    <row r="390" spans="1:10">
      <c r="A390" s="241"/>
      <c r="B390" s="139" t="s">
        <v>229</v>
      </c>
      <c r="C390" s="44">
        <v>0.12</v>
      </c>
      <c r="D390" s="46">
        <v>0</v>
      </c>
      <c r="E390" s="37">
        <v>0</v>
      </c>
      <c r="F390" s="108">
        <f t="shared" si="39"/>
        <v>10857757.199999999</v>
      </c>
      <c r="G390" s="49"/>
      <c r="H390" s="49"/>
      <c r="I390" s="15">
        <f t="shared" si="40"/>
        <v>0</v>
      </c>
      <c r="J390" s="34">
        <f t="shared" si="41"/>
        <v>0</v>
      </c>
    </row>
    <row r="391" spans="1:10">
      <c r="A391" s="241" t="s">
        <v>166</v>
      </c>
      <c r="B391" s="139" t="s">
        <v>225</v>
      </c>
      <c r="C391" s="44">
        <v>0.34</v>
      </c>
      <c r="D391" s="46">
        <v>0.14000000000000001</v>
      </c>
      <c r="E391" s="37">
        <f>'4D1_CH4_EF_DomesticWastewater'!$D$22</f>
        <v>0.3</v>
      </c>
      <c r="F391" s="108">
        <f t="shared" si="39"/>
        <v>10857757.199999999</v>
      </c>
      <c r="G391" s="49"/>
      <c r="H391" s="49"/>
      <c r="I391" s="15">
        <f t="shared" si="40"/>
        <v>155048.77281600001</v>
      </c>
      <c r="J391" s="34">
        <f t="shared" si="41"/>
        <v>0.15504877281600002</v>
      </c>
    </row>
    <row r="392" spans="1:10">
      <c r="A392" s="241"/>
      <c r="B392" s="139" t="s">
        <v>226</v>
      </c>
      <c r="C392" s="44">
        <v>0.34</v>
      </c>
      <c r="D392" s="46">
        <v>0.1</v>
      </c>
      <c r="E392" s="37">
        <f>'4D1_CH4_EF_DomesticWastewater'!$D$23</f>
        <v>0.06</v>
      </c>
      <c r="F392" s="108">
        <f t="shared" si="39"/>
        <v>10857757.199999999</v>
      </c>
      <c r="G392" s="49"/>
      <c r="H392" s="49"/>
      <c r="I392" s="15">
        <f t="shared" si="40"/>
        <v>22149.824688000001</v>
      </c>
      <c r="J392" s="34">
        <f t="shared" si="41"/>
        <v>2.2149824687999999E-2</v>
      </c>
    </row>
    <row r="393" spans="1:10">
      <c r="A393" s="241"/>
      <c r="B393" s="139" t="s">
        <v>227</v>
      </c>
      <c r="C393" s="44">
        <v>0.34</v>
      </c>
      <c r="D393" s="46">
        <v>0.03</v>
      </c>
      <c r="E393" s="37">
        <f>'4D1_CH4_EF_DomesticWastewater'!$D$13</f>
        <v>0.06</v>
      </c>
      <c r="F393" s="108">
        <f t="shared" si="39"/>
        <v>10857757.199999999</v>
      </c>
      <c r="G393" s="49"/>
      <c r="H393" s="49"/>
      <c r="I393" s="15">
        <f t="shared" si="40"/>
        <v>6644.9474063999996</v>
      </c>
      <c r="J393" s="34">
        <f t="shared" si="41"/>
        <v>6.6449474063999996E-3</v>
      </c>
    </row>
    <row r="394" spans="1:10">
      <c r="A394" s="241"/>
      <c r="B394" s="139" t="s">
        <v>228</v>
      </c>
      <c r="C394" s="44">
        <v>0.34</v>
      </c>
      <c r="D394" s="46">
        <v>0.53</v>
      </c>
      <c r="E394" s="37">
        <f>'4D1_CH4_EF_DomesticWastewater'!$D$13</f>
        <v>0.06</v>
      </c>
      <c r="F394" s="108">
        <f t="shared" si="39"/>
        <v>10857757.199999999</v>
      </c>
      <c r="G394" s="49"/>
      <c r="H394" s="49"/>
      <c r="I394" s="15">
        <f t="shared" si="40"/>
        <v>117394.07084639999</v>
      </c>
      <c r="J394" s="34">
        <f t="shared" si="41"/>
        <v>0.11739407084639999</v>
      </c>
    </row>
    <row r="395" spans="1:10">
      <c r="A395" s="241"/>
      <c r="B395" s="139" t="s">
        <v>229</v>
      </c>
      <c r="C395" s="44">
        <v>0.34</v>
      </c>
      <c r="D395" s="46">
        <v>0.2</v>
      </c>
      <c r="E395" s="37">
        <v>0</v>
      </c>
      <c r="F395" s="108">
        <f t="shared" si="39"/>
        <v>10857757.199999999</v>
      </c>
      <c r="G395" s="49"/>
      <c r="H395" s="49"/>
      <c r="I395" s="15">
        <f t="shared" si="40"/>
        <v>0</v>
      </c>
      <c r="J395" s="34">
        <f t="shared" si="41"/>
        <v>0</v>
      </c>
    </row>
    <row r="396" spans="1:10">
      <c r="A396" s="278" t="s">
        <v>303</v>
      </c>
      <c r="B396" s="278"/>
      <c r="C396" s="278"/>
      <c r="D396" s="278"/>
      <c r="E396" s="278"/>
      <c r="F396" s="278"/>
      <c r="G396" s="278"/>
      <c r="H396" s="278"/>
      <c r="I396" s="109">
        <f>SUM(I381:I395)</f>
        <v>776937.67420320003</v>
      </c>
      <c r="J396" s="110">
        <f>SUM(J381:J395)</f>
        <v>0.77693767420319981</v>
      </c>
    </row>
    <row r="399" spans="1:10">
      <c r="A399" s="279" t="s">
        <v>0</v>
      </c>
      <c r="B399" s="280"/>
      <c r="C399" s="199" t="s">
        <v>1</v>
      </c>
      <c r="D399" s="283"/>
      <c r="E399" s="283"/>
      <c r="F399" s="283"/>
      <c r="G399" s="283"/>
      <c r="H399" s="283"/>
      <c r="I399" s="283"/>
    </row>
    <row r="400" spans="1:10">
      <c r="A400" s="279" t="s">
        <v>2</v>
      </c>
      <c r="B400" s="280"/>
      <c r="C400" s="199" t="s">
        <v>117</v>
      </c>
      <c r="D400" s="283"/>
      <c r="E400" s="283"/>
      <c r="F400" s="283"/>
      <c r="G400" s="283"/>
      <c r="H400" s="283"/>
      <c r="I400" s="283"/>
    </row>
    <row r="401" spans="1:10">
      <c r="A401" s="279" t="s">
        <v>4</v>
      </c>
      <c r="B401" s="280"/>
      <c r="C401" s="199" t="s">
        <v>118</v>
      </c>
      <c r="D401" s="283"/>
      <c r="E401" s="283"/>
      <c r="F401" s="283"/>
      <c r="G401" s="283"/>
      <c r="H401" s="283"/>
      <c r="I401" s="283"/>
    </row>
    <row r="402" spans="1:10">
      <c r="A402" s="279" t="s">
        <v>6</v>
      </c>
      <c r="B402" s="280"/>
      <c r="C402" s="199" t="s">
        <v>145</v>
      </c>
      <c r="D402" s="283"/>
      <c r="E402" s="283"/>
      <c r="F402" s="283"/>
      <c r="G402" s="283"/>
      <c r="H402" s="283"/>
      <c r="I402" s="283"/>
    </row>
    <row r="403" spans="1:10">
      <c r="A403" s="231" t="s">
        <v>10</v>
      </c>
      <c r="B403" s="268"/>
      <c r="C403" s="268"/>
      <c r="D403" s="268"/>
      <c r="E403" s="268"/>
      <c r="F403" s="268"/>
      <c r="G403" s="268"/>
      <c r="H403" s="268"/>
      <c r="I403" s="268"/>
      <c r="J403" s="107"/>
    </row>
    <row r="404" spans="1:10">
      <c r="A404" s="140"/>
      <c r="B404" s="140"/>
      <c r="C404" s="7" t="s">
        <v>11</v>
      </c>
      <c r="D404" s="7" t="s">
        <v>12</v>
      </c>
      <c r="E404" s="7" t="s">
        <v>13</v>
      </c>
      <c r="F404" s="7" t="s">
        <v>14</v>
      </c>
      <c r="G404" s="7" t="s">
        <v>15</v>
      </c>
      <c r="H404" s="7" t="s">
        <v>58</v>
      </c>
      <c r="I404" s="7" t="s">
        <v>78</v>
      </c>
      <c r="J404" s="89" t="s">
        <v>79</v>
      </c>
    </row>
    <row r="405" spans="1:10" ht="51">
      <c r="A405" s="209" t="s">
        <v>146</v>
      </c>
      <c r="B405" s="209" t="s">
        <v>147</v>
      </c>
      <c r="C405" s="140" t="s">
        <v>148</v>
      </c>
      <c r="D405" s="140" t="s">
        <v>149</v>
      </c>
      <c r="E405" s="140" t="s">
        <v>150</v>
      </c>
      <c r="F405" s="140" t="s">
        <v>123</v>
      </c>
      <c r="G405" s="140" t="s">
        <v>151</v>
      </c>
      <c r="H405" s="140" t="s">
        <v>152</v>
      </c>
      <c r="I405" s="140" t="s">
        <v>153</v>
      </c>
      <c r="J405" s="140" t="s">
        <v>153</v>
      </c>
    </row>
    <row r="406" spans="1:10" ht="15.75">
      <c r="A406" s="209"/>
      <c r="B406" s="209"/>
      <c r="C406" s="137" t="s">
        <v>154</v>
      </c>
      <c r="D406" s="137" t="s">
        <v>155</v>
      </c>
      <c r="E406" s="137" t="s">
        <v>156</v>
      </c>
      <c r="F406" s="137" t="s">
        <v>127</v>
      </c>
      <c r="G406" s="137" t="s">
        <v>157</v>
      </c>
      <c r="H406" s="137" t="s">
        <v>158</v>
      </c>
      <c r="I406" s="137" t="s">
        <v>159</v>
      </c>
      <c r="J406" s="137" t="s">
        <v>159</v>
      </c>
    </row>
    <row r="407" spans="1:10" ht="28.5">
      <c r="A407" s="209"/>
      <c r="B407" s="209"/>
      <c r="C407" s="8" t="s">
        <v>44</v>
      </c>
      <c r="D407" s="8" t="s">
        <v>44</v>
      </c>
      <c r="E407" s="8" t="s">
        <v>142</v>
      </c>
      <c r="F407" s="8" t="s">
        <v>130</v>
      </c>
      <c r="G407" s="8" t="s">
        <v>130</v>
      </c>
      <c r="H407" s="8" t="s">
        <v>160</v>
      </c>
      <c r="I407" s="8" t="s">
        <v>160</v>
      </c>
      <c r="J407" s="8" t="s">
        <v>231</v>
      </c>
    </row>
    <row r="408" spans="1:10" ht="24.75" thickBot="1">
      <c r="A408" s="225"/>
      <c r="B408" s="225"/>
      <c r="C408" s="5"/>
      <c r="D408" s="5"/>
      <c r="E408" s="5" t="s">
        <v>161</v>
      </c>
      <c r="F408" s="5" t="s">
        <v>162</v>
      </c>
      <c r="G408" s="5"/>
      <c r="H408" s="5"/>
      <c r="I408" s="9" t="s">
        <v>163</v>
      </c>
      <c r="J408" s="35"/>
    </row>
    <row r="409" spans="1:10" ht="13.5" thickTop="1">
      <c r="A409" s="281" t="s">
        <v>164</v>
      </c>
      <c r="B409" s="141" t="s">
        <v>225</v>
      </c>
      <c r="C409" s="42">
        <v>0.54</v>
      </c>
      <c r="D409" s="43">
        <v>0</v>
      </c>
      <c r="E409" s="38">
        <f>'4D1_CH4_EF_DomesticWastewater'!$D$14</f>
        <v>0.3</v>
      </c>
      <c r="F409" s="108">
        <f>$M$26</f>
        <v>11078202.6</v>
      </c>
      <c r="G409" s="47"/>
      <c r="H409" s="47"/>
      <c r="I409" s="14">
        <f>((C409*D409*E409)*(F409-G409))-H409</f>
        <v>0</v>
      </c>
      <c r="J409" s="138">
        <f>I409/(10^6)</f>
        <v>0</v>
      </c>
    </row>
    <row r="410" spans="1:10">
      <c r="A410" s="282"/>
      <c r="B410" s="142" t="s">
        <v>226</v>
      </c>
      <c r="C410" s="44">
        <v>0.54</v>
      </c>
      <c r="D410" s="45">
        <v>0.47</v>
      </c>
      <c r="E410" s="37">
        <f>'4D1_CH4_EF_DomesticWastewater'!$D$23</f>
        <v>0.06</v>
      </c>
      <c r="F410" s="108">
        <f t="shared" ref="F410:F423" si="42">$M$26</f>
        <v>11078202.6</v>
      </c>
      <c r="G410" s="48"/>
      <c r="H410" s="48"/>
      <c r="I410" s="15">
        <f t="shared" ref="I410:I423" si="43">((C410*D410*E410)*(F410-G410))-H410</f>
        <v>168698.86919279999</v>
      </c>
      <c r="J410" s="34">
        <f t="shared" ref="J410:J423" si="44">I410/(10^6)</f>
        <v>0.1686988691928</v>
      </c>
    </row>
    <row r="411" spans="1:10">
      <c r="A411" s="282"/>
      <c r="B411" s="139" t="s">
        <v>227</v>
      </c>
      <c r="C411" s="44">
        <v>0.54</v>
      </c>
      <c r="D411" s="45">
        <v>0</v>
      </c>
      <c r="E411" s="37">
        <f>'4D1_CH4_EF_DomesticWastewater'!$D$13</f>
        <v>0.06</v>
      </c>
      <c r="F411" s="108">
        <f t="shared" si="42"/>
        <v>11078202.6</v>
      </c>
      <c r="G411" s="48"/>
      <c r="H411" s="48"/>
      <c r="I411" s="15">
        <f t="shared" si="43"/>
        <v>0</v>
      </c>
      <c r="J411" s="34">
        <f t="shared" si="44"/>
        <v>0</v>
      </c>
    </row>
    <row r="412" spans="1:10">
      <c r="A412" s="241"/>
      <c r="B412" s="139" t="s">
        <v>228</v>
      </c>
      <c r="C412" s="44">
        <v>0.54</v>
      </c>
      <c r="D412" s="46">
        <v>0.1</v>
      </c>
      <c r="E412" s="37">
        <f>'4D1_CH4_EF_DomesticWastewater'!$D$14</f>
        <v>0.3</v>
      </c>
      <c r="F412" s="108">
        <f t="shared" si="42"/>
        <v>11078202.6</v>
      </c>
      <c r="G412" s="49"/>
      <c r="H412" s="49"/>
      <c r="I412" s="15">
        <f t="shared" si="43"/>
        <v>179466.88212000002</v>
      </c>
      <c r="J412" s="34">
        <f t="shared" si="44"/>
        <v>0.17946688212000003</v>
      </c>
    </row>
    <row r="413" spans="1:10">
      <c r="A413" s="241"/>
      <c r="B413" s="139" t="s">
        <v>229</v>
      </c>
      <c r="C413" s="44">
        <v>0.54</v>
      </c>
      <c r="D413" s="46">
        <v>0.43</v>
      </c>
      <c r="E413" s="37">
        <v>0</v>
      </c>
      <c r="F413" s="108">
        <f t="shared" si="42"/>
        <v>11078202.6</v>
      </c>
      <c r="G413" s="49"/>
      <c r="H413" s="49"/>
      <c r="I413" s="15">
        <f t="shared" si="43"/>
        <v>0</v>
      </c>
      <c r="J413" s="34">
        <f t="shared" si="44"/>
        <v>0</v>
      </c>
    </row>
    <row r="414" spans="1:10">
      <c r="A414" s="241" t="s">
        <v>165</v>
      </c>
      <c r="B414" s="139" t="s">
        <v>225</v>
      </c>
      <c r="C414" s="44">
        <v>0.12</v>
      </c>
      <c r="D414" s="46">
        <v>0.18</v>
      </c>
      <c r="E414" s="37">
        <f>'4D1_CH4_EF_DomesticWastewater'!$D$22</f>
        <v>0.3</v>
      </c>
      <c r="F414" s="108">
        <f t="shared" si="42"/>
        <v>11078202.6</v>
      </c>
      <c r="G414" s="49"/>
      <c r="H414" s="49"/>
      <c r="I414" s="15">
        <f t="shared" si="43"/>
        <v>71786.752847999989</v>
      </c>
      <c r="J414" s="34">
        <f t="shared" si="44"/>
        <v>7.1786752847999985E-2</v>
      </c>
    </row>
    <row r="415" spans="1:10">
      <c r="A415" s="241"/>
      <c r="B415" s="139" t="s">
        <v>226</v>
      </c>
      <c r="C415" s="44">
        <v>0.12</v>
      </c>
      <c r="D415" s="46">
        <v>0.08</v>
      </c>
      <c r="E415" s="37">
        <f>'4D1_CH4_EF_DomesticWastewater'!$D$23</f>
        <v>0.06</v>
      </c>
      <c r="F415" s="108">
        <f t="shared" si="42"/>
        <v>11078202.6</v>
      </c>
      <c r="G415" s="49"/>
      <c r="H415" s="49"/>
      <c r="I415" s="15">
        <f t="shared" si="43"/>
        <v>6381.0446975999985</v>
      </c>
      <c r="J415" s="34">
        <f t="shared" si="44"/>
        <v>6.3810446975999984E-3</v>
      </c>
    </row>
    <row r="416" spans="1:10">
      <c r="A416" s="241"/>
      <c r="B416" s="139" t="s">
        <v>227</v>
      </c>
      <c r="C416" s="44">
        <v>0.12</v>
      </c>
      <c r="D416" s="46">
        <v>0</v>
      </c>
      <c r="E416" s="37">
        <f>'4D1_CH4_EF_DomesticWastewater'!$D$13</f>
        <v>0.06</v>
      </c>
      <c r="F416" s="108">
        <f t="shared" si="42"/>
        <v>11078202.6</v>
      </c>
      <c r="G416" s="49"/>
      <c r="H416" s="49"/>
      <c r="I416" s="15">
        <f t="shared" si="43"/>
        <v>0</v>
      </c>
      <c r="J416" s="34">
        <f t="shared" si="44"/>
        <v>0</v>
      </c>
    </row>
    <row r="417" spans="1:10">
      <c r="A417" s="241"/>
      <c r="B417" s="139" t="s">
        <v>228</v>
      </c>
      <c r="C417" s="44">
        <v>0.12</v>
      </c>
      <c r="D417" s="46">
        <v>0.74</v>
      </c>
      <c r="E417" s="37">
        <f>'4D1_CH4_EF_DomesticWastewater'!$D$13</f>
        <v>0.06</v>
      </c>
      <c r="F417" s="108">
        <f t="shared" si="42"/>
        <v>11078202.6</v>
      </c>
      <c r="G417" s="49"/>
      <c r="H417" s="49"/>
      <c r="I417" s="15">
        <f t="shared" si="43"/>
        <v>59024.663452799992</v>
      </c>
      <c r="J417" s="34">
        <f t="shared" si="44"/>
        <v>5.902466345279999E-2</v>
      </c>
    </row>
    <row r="418" spans="1:10">
      <c r="A418" s="241"/>
      <c r="B418" s="139" t="s">
        <v>229</v>
      </c>
      <c r="C418" s="44">
        <v>0.12</v>
      </c>
      <c r="D418" s="46">
        <v>0</v>
      </c>
      <c r="E418" s="37">
        <v>0</v>
      </c>
      <c r="F418" s="108">
        <f t="shared" si="42"/>
        <v>11078202.6</v>
      </c>
      <c r="G418" s="49"/>
      <c r="H418" s="49"/>
      <c r="I418" s="15">
        <f t="shared" si="43"/>
        <v>0</v>
      </c>
      <c r="J418" s="34">
        <f t="shared" si="44"/>
        <v>0</v>
      </c>
    </row>
    <row r="419" spans="1:10">
      <c r="A419" s="241" t="s">
        <v>166</v>
      </c>
      <c r="B419" s="139" t="s">
        <v>225</v>
      </c>
      <c r="C419" s="44">
        <v>0.34</v>
      </c>
      <c r="D419" s="46">
        <v>0.14000000000000001</v>
      </c>
      <c r="E419" s="37">
        <f>'4D1_CH4_EF_DomesticWastewater'!$D$22</f>
        <v>0.3</v>
      </c>
      <c r="F419" s="108">
        <f t="shared" si="42"/>
        <v>11078202.6</v>
      </c>
      <c r="G419" s="49"/>
      <c r="H419" s="49"/>
      <c r="I419" s="15">
        <f t="shared" si="43"/>
        <v>158196.73312800002</v>
      </c>
      <c r="J419" s="34">
        <f t="shared" si="44"/>
        <v>0.15819673312800003</v>
      </c>
    </row>
    <row r="420" spans="1:10">
      <c r="A420" s="241"/>
      <c r="B420" s="139" t="s">
        <v>226</v>
      </c>
      <c r="C420" s="44">
        <v>0.34</v>
      </c>
      <c r="D420" s="46">
        <v>0.1</v>
      </c>
      <c r="E420" s="37">
        <f>'4D1_CH4_EF_DomesticWastewater'!$D$23</f>
        <v>0.06</v>
      </c>
      <c r="F420" s="108">
        <f t="shared" si="42"/>
        <v>11078202.6</v>
      </c>
      <c r="G420" s="49"/>
      <c r="H420" s="49"/>
      <c r="I420" s="15">
        <f t="shared" si="43"/>
        <v>22599.533304</v>
      </c>
      <c r="J420" s="34">
        <f t="shared" si="44"/>
        <v>2.2599533304E-2</v>
      </c>
    </row>
    <row r="421" spans="1:10">
      <c r="A421" s="241"/>
      <c r="B421" s="139" t="s">
        <v>227</v>
      </c>
      <c r="C421" s="44">
        <v>0.34</v>
      </c>
      <c r="D421" s="46">
        <v>0.03</v>
      </c>
      <c r="E421" s="37">
        <f>'4D1_CH4_EF_DomesticWastewater'!$D$13</f>
        <v>0.06</v>
      </c>
      <c r="F421" s="108">
        <f t="shared" si="42"/>
        <v>11078202.6</v>
      </c>
      <c r="G421" s="49"/>
      <c r="H421" s="49"/>
      <c r="I421" s="15">
        <f t="shared" si="43"/>
        <v>6779.8599912</v>
      </c>
      <c r="J421" s="34">
        <f t="shared" si="44"/>
        <v>6.7798599911999997E-3</v>
      </c>
    </row>
    <row r="422" spans="1:10">
      <c r="A422" s="241"/>
      <c r="B422" s="139" t="s">
        <v>228</v>
      </c>
      <c r="C422" s="44">
        <v>0.34</v>
      </c>
      <c r="D422" s="46">
        <v>0.53</v>
      </c>
      <c r="E422" s="37">
        <f>'4D1_CH4_EF_DomesticWastewater'!$D$13</f>
        <v>0.06</v>
      </c>
      <c r="F422" s="108">
        <f t="shared" si="42"/>
        <v>11078202.6</v>
      </c>
      <c r="G422" s="49"/>
      <c r="H422" s="49"/>
      <c r="I422" s="15">
        <f t="shared" si="43"/>
        <v>119777.52651120001</v>
      </c>
      <c r="J422" s="34">
        <f t="shared" si="44"/>
        <v>0.11977752651120001</v>
      </c>
    </row>
    <row r="423" spans="1:10">
      <c r="A423" s="241"/>
      <c r="B423" s="139" t="s">
        <v>229</v>
      </c>
      <c r="C423" s="44">
        <v>0.34</v>
      </c>
      <c r="D423" s="46">
        <v>0.2</v>
      </c>
      <c r="E423" s="37">
        <v>0</v>
      </c>
      <c r="F423" s="108">
        <f t="shared" si="42"/>
        <v>11078202.6</v>
      </c>
      <c r="G423" s="49"/>
      <c r="H423" s="49"/>
      <c r="I423" s="15">
        <f t="shared" si="43"/>
        <v>0</v>
      </c>
      <c r="J423" s="34">
        <f t="shared" si="44"/>
        <v>0</v>
      </c>
    </row>
    <row r="424" spans="1:10">
      <c r="A424" s="278" t="s">
        <v>304</v>
      </c>
      <c r="B424" s="278"/>
      <c r="C424" s="278"/>
      <c r="D424" s="278"/>
      <c r="E424" s="278"/>
      <c r="F424" s="278"/>
      <c r="G424" s="278"/>
      <c r="H424" s="278"/>
      <c r="I424" s="109">
        <f>SUM(I409:I423)</f>
        <v>792711.86524560011</v>
      </c>
      <c r="J424" s="110">
        <f>SUM(J409:J423)</f>
        <v>0.7927118652456</v>
      </c>
    </row>
    <row r="427" spans="1:10">
      <c r="A427" s="279" t="s">
        <v>0</v>
      </c>
      <c r="B427" s="280"/>
      <c r="C427" s="199" t="s">
        <v>1</v>
      </c>
      <c r="D427" s="283"/>
      <c r="E427" s="283"/>
      <c r="F427" s="283"/>
      <c r="G427" s="283"/>
      <c r="H427" s="283"/>
      <c r="I427" s="283"/>
    </row>
    <row r="428" spans="1:10">
      <c r="A428" s="279" t="s">
        <v>2</v>
      </c>
      <c r="B428" s="280"/>
      <c r="C428" s="199" t="s">
        <v>117</v>
      </c>
      <c r="D428" s="283"/>
      <c r="E428" s="283"/>
      <c r="F428" s="283"/>
      <c r="G428" s="283"/>
      <c r="H428" s="283"/>
      <c r="I428" s="283"/>
    </row>
    <row r="429" spans="1:10">
      <c r="A429" s="279" t="s">
        <v>4</v>
      </c>
      <c r="B429" s="280"/>
      <c r="C429" s="199" t="s">
        <v>118</v>
      </c>
      <c r="D429" s="283"/>
      <c r="E429" s="283"/>
      <c r="F429" s="283"/>
      <c r="G429" s="283"/>
      <c r="H429" s="283"/>
      <c r="I429" s="283"/>
    </row>
    <row r="430" spans="1:10">
      <c r="A430" s="279" t="s">
        <v>6</v>
      </c>
      <c r="B430" s="280"/>
      <c r="C430" s="199" t="s">
        <v>145</v>
      </c>
      <c r="D430" s="283"/>
      <c r="E430" s="283"/>
      <c r="F430" s="283"/>
      <c r="G430" s="283"/>
      <c r="H430" s="283"/>
      <c r="I430" s="283"/>
    </row>
    <row r="431" spans="1:10">
      <c r="A431" s="231" t="s">
        <v>10</v>
      </c>
      <c r="B431" s="268"/>
      <c r="C431" s="268"/>
      <c r="D431" s="268"/>
      <c r="E431" s="268"/>
      <c r="F431" s="268"/>
      <c r="G431" s="268"/>
      <c r="H431" s="268"/>
      <c r="I431" s="268"/>
      <c r="J431" s="107"/>
    </row>
    <row r="432" spans="1:10">
      <c r="A432" s="140"/>
      <c r="B432" s="140"/>
      <c r="C432" s="7" t="s">
        <v>11</v>
      </c>
      <c r="D432" s="7" t="s">
        <v>12</v>
      </c>
      <c r="E432" s="7" t="s">
        <v>13</v>
      </c>
      <c r="F432" s="7" t="s">
        <v>14</v>
      </c>
      <c r="G432" s="7" t="s">
        <v>15</v>
      </c>
      <c r="H432" s="7" t="s">
        <v>58</v>
      </c>
      <c r="I432" s="7" t="s">
        <v>78</v>
      </c>
      <c r="J432" s="89" t="s">
        <v>79</v>
      </c>
    </row>
    <row r="433" spans="1:10" ht="51">
      <c r="A433" s="209" t="s">
        <v>146</v>
      </c>
      <c r="B433" s="209" t="s">
        <v>147</v>
      </c>
      <c r="C433" s="140" t="s">
        <v>148</v>
      </c>
      <c r="D433" s="140" t="s">
        <v>149</v>
      </c>
      <c r="E433" s="140" t="s">
        <v>150</v>
      </c>
      <c r="F433" s="140" t="s">
        <v>123</v>
      </c>
      <c r="G433" s="140" t="s">
        <v>151</v>
      </c>
      <c r="H433" s="140" t="s">
        <v>152</v>
      </c>
      <c r="I433" s="140" t="s">
        <v>153</v>
      </c>
      <c r="J433" s="140" t="s">
        <v>153</v>
      </c>
    </row>
    <row r="434" spans="1:10" ht="15.75">
      <c r="A434" s="209"/>
      <c r="B434" s="209"/>
      <c r="C434" s="137" t="s">
        <v>154</v>
      </c>
      <c r="D434" s="137" t="s">
        <v>155</v>
      </c>
      <c r="E434" s="137" t="s">
        <v>156</v>
      </c>
      <c r="F434" s="137" t="s">
        <v>127</v>
      </c>
      <c r="G434" s="137" t="s">
        <v>157</v>
      </c>
      <c r="H434" s="137" t="s">
        <v>158</v>
      </c>
      <c r="I434" s="137" t="s">
        <v>159</v>
      </c>
      <c r="J434" s="137" t="s">
        <v>159</v>
      </c>
    </row>
    <row r="435" spans="1:10" ht="28.5">
      <c r="A435" s="209"/>
      <c r="B435" s="209"/>
      <c r="C435" s="8" t="s">
        <v>44</v>
      </c>
      <c r="D435" s="8" t="s">
        <v>44</v>
      </c>
      <c r="E435" s="8" t="s">
        <v>142</v>
      </c>
      <c r="F435" s="8" t="s">
        <v>130</v>
      </c>
      <c r="G435" s="8" t="s">
        <v>130</v>
      </c>
      <c r="H435" s="8" t="s">
        <v>160</v>
      </c>
      <c r="I435" s="8" t="s">
        <v>160</v>
      </c>
      <c r="J435" s="8" t="s">
        <v>231</v>
      </c>
    </row>
    <row r="436" spans="1:10" ht="24.75" thickBot="1">
      <c r="A436" s="225"/>
      <c r="B436" s="225"/>
      <c r="C436" s="5"/>
      <c r="D436" s="5"/>
      <c r="E436" s="5" t="s">
        <v>161</v>
      </c>
      <c r="F436" s="5" t="s">
        <v>162</v>
      </c>
      <c r="G436" s="5"/>
      <c r="H436" s="5"/>
      <c r="I436" s="9" t="s">
        <v>163</v>
      </c>
      <c r="J436" s="35"/>
    </row>
    <row r="437" spans="1:10" ht="13.5" thickTop="1">
      <c r="A437" s="281" t="s">
        <v>164</v>
      </c>
      <c r="B437" s="141" t="s">
        <v>225</v>
      </c>
      <c r="C437" s="42">
        <v>0.54</v>
      </c>
      <c r="D437" s="43">
        <v>0</v>
      </c>
      <c r="E437" s="38">
        <f>'4D1_CH4_EF_DomesticWastewater'!$D$14</f>
        <v>0.3</v>
      </c>
      <c r="F437" s="108">
        <f>$M$27</f>
        <v>11298648</v>
      </c>
      <c r="G437" s="47"/>
      <c r="H437" s="47"/>
      <c r="I437" s="14">
        <f>((C437*D437*E437)*(F437-G437))-H437</f>
        <v>0</v>
      </c>
      <c r="J437" s="138">
        <f>I437/(10^6)</f>
        <v>0</v>
      </c>
    </row>
    <row r="438" spans="1:10">
      <c r="A438" s="282"/>
      <c r="B438" s="142" t="s">
        <v>226</v>
      </c>
      <c r="C438" s="44">
        <v>0.54</v>
      </c>
      <c r="D438" s="45">
        <v>0.47</v>
      </c>
      <c r="E438" s="37">
        <f>'4D1_CH4_EF_DomesticWastewater'!$D$23</f>
        <v>0.06</v>
      </c>
      <c r="F438" s="108">
        <f t="shared" ref="F438:F451" si="45">$M$27</f>
        <v>11298648</v>
      </c>
      <c r="G438" s="48"/>
      <c r="H438" s="48"/>
      <c r="I438" s="15">
        <f t="shared" ref="I438:I451" si="46">((C438*D438*E438)*(F438-G438))-H438</f>
        <v>172055.81174400001</v>
      </c>
      <c r="J438" s="34">
        <f t="shared" ref="J438:J451" si="47">I438/(10^6)</f>
        <v>0.172055811744</v>
      </c>
    </row>
    <row r="439" spans="1:10">
      <c r="A439" s="282"/>
      <c r="B439" s="139" t="s">
        <v>227</v>
      </c>
      <c r="C439" s="44">
        <v>0.54</v>
      </c>
      <c r="D439" s="45">
        <v>0</v>
      </c>
      <c r="E439" s="37">
        <f>'4D1_CH4_EF_DomesticWastewater'!$D$13</f>
        <v>0.06</v>
      </c>
      <c r="F439" s="108">
        <f t="shared" si="45"/>
        <v>11298648</v>
      </c>
      <c r="G439" s="48"/>
      <c r="H439" s="48"/>
      <c r="I439" s="15">
        <f t="shared" si="46"/>
        <v>0</v>
      </c>
      <c r="J439" s="34">
        <f t="shared" si="47"/>
        <v>0</v>
      </c>
    </row>
    <row r="440" spans="1:10">
      <c r="A440" s="241"/>
      <c r="B440" s="139" t="s">
        <v>228</v>
      </c>
      <c r="C440" s="44">
        <v>0.54</v>
      </c>
      <c r="D440" s="46">
        <v>0.1</v>
      </c>
      <c r="E440" s="37">
        <f>'4D1_CH4_EF_DomesticWastewater'!$D$14</f>
        <v>0.3</v>
      </c>
      <c r="F440" s="108">
        <f t="shared" si="45"/>
        <v>11298648</v>
      </c>
      <c r="G440" s="49"/>
      <c r="H440" s="49"/>
      <c r="I440" s="15">
        <f t="shared" si="46"/>
        <v>183038.09760000004</v>
      </c>
      <c r="J440" s="34">
        <f t="shared" si="47"/>
        <v>0.18303809760000003</v>
      </c>
    </row>
    <row r="441" spans="1:10">
      <c r="A441" s="241"/>
      <c r="B441" s="139" t="s">
        <v>229</v>
      </c>
      <c r="C441" s="44">
        <v>0.54</v>
      </c>
      <c r="D441" s="46">
        <v>0.43</v>
      </c>
      <c r="E441" s="37">
        <v>0</v>
      </c>
      <c r="F441" s="108">
        <f t="shared" si="45"/>
        <v>11298648</v>
      </c>
      <c r="G441" s="49"/>
      <c r="H441" s="49"/>
      <c r="I441" s="15">
        <f t="shared" si="46"/>
        <v>0</v>
      </c>
      <c r="J441" s="34">
        <f t="shared" si="47"/>
        <v>0</v>
      </c>
    </row>
    <row r="442" spans="1:10">
      <c r="A442" s="241" t="s">
        <v>165</v>
      </c>
      <c r="B442" s="139" t="s">
        <v>225</v>
      </c>
      <c r="C442" s="44">
        <v>0.12</v>
      </c>
      <c r="D442" s="46">
        <v>0.18</v>
      </c>
      <c r="E442" s="37">
        <f>'4D1_CH4_EF_DomesticWastewater'!$D$22</f>
        <v>0.3</v>
      </c>
      <c r="F442" s="108">
        <f t="shared" si="45"/>
        <v>11298648</v>
      </c>
      <c r="G442" s="49"/>
      <c r="H442" s="49"/>
      <c r="I442" s="15">
        <f t="shared" si="46"/>
        <v>73215.239039999986</v>
      </c>
      <c r="J442" s="34">
        <f t="shared" si="47"/>
        <v>7.3215239039999991E-2</v>
      </c>
    </row>
    <row r="443" spans="1:10">
      <c r="A443" s="241"/>
      <c r="B443" s="139" t="s">
        <v>226</v>
      </c>
      <c r="C443" s="44">
        <v>0.12</v>
      </c>
      <c r="D443" s="46">
        <v>0.08</v>
      </c>
      <c r="E443" s="37">
        <f>'4D1_CH4_EF_DomesticWastewater'!$D$23</f>
        <v>0.06</v>
      </c>
      <c r="F443" s="108">
        <f t="shared" si="45"/>
        <v>11298648</v>
      </c>
      <c r="G443" s="49"/>
      <c r="H443" s="49"/>
      <c r="I443" s="15">
        <f t="shared" si="46"/>
        <v>6508.0212479999991</v>
      </c>
      <c r="J443" s="34">
        <f t="shared" si="47"/>
        <v>6.5080212479999991E-3</v>
      </c>
    </row>
    <row r="444" spans="1:10">
      <c r="A444" s="241"/>
      <c r="B444" s="139" t="s">
        <v>227</v>
      </c>
      <c r="C444" s="44">
        <v>0.12</v>
      </c>
      <c r="D444" s="46">
        <v>0</v>
      </c>
      <c r="E444" s="37">
        <f>'4D1_CH4_EF_DomesticWastewater'!$D$13</f>
        <v>0.06</v>
      </c>
      <c r="F444" s="108">
        <f t="shared" si="45"/>
        <v>11298648</v>
      </c>
      <c r="G444" s="49"/>
      <c r="H444" s="49"/>
      <c r="I444" s="15">
        <f t="shared" si="46"/>
        <v>0</v>
      </c>
      <c r="J444" s="34">
        <f t="shared" si="47"/>
        <v>0</v>
      </c>
    </row>
    <row r="445" spans="1:10">
      <c r="A445" s="241"/>
      <c r="B445" s="139" t="s">
        <v>228</v>
      </c>
      <c r="C445" s="44">
        <v>0.12</v>
      </c>
      <c r="D445" s="46">
        <v>0.74</v>
      </c>
      <c r="E445" s="37">
        <f>'4D1_CH4_EF_DomesticWastewater'!$D$13</f>
        <v>0.06</v>
      </c>
      <c r="F445" s="108">
        <f t="shared" si="45"/>
        <v>11298648</v>
      </c>
      <c r="G445" s="49"/>
      <c r="H445" s="49"/>
      <c r="I445" s="15">
        <f t="shared" si="46"/>
        <v>60199.196543999991</v>
      </c>
      <c r="J445" s="34">
        <f t="shared" si="47"/>
        <v>6.0199196543999994E-2</v>
      </c>
    </row>
    <row r="446" spans="1:10">
      <c r="A446" s="241"/>
      <c r="B446" s="139" t="s">
        <v>229</v>
      </c>
      <c r="C446" s="44">
        <v>0.12</v>
      </c>
      <c r="D446" s="46">
        <v>0</v>
      </c>
      <c r="E446" s="37">
        <v>0</v>
      </c>
      <c r="F446" s="108">
        <f t="shared" si="45"/>
        <v>11298648</v>
      </c>
      <c r="G446" s="49"/>
      <c r="H446" s="49"/>
      <c r="I446" s="15">
        <f t="shared" si="46"/>
        <v>0</v>
      </c>
      <c r="J446" s="34">
        <f t="shared" si="47"/>
        <v>0</v>
      </c>
    </row>
    <row r="447" spans="1:10">
      <c r="A447" s="241" t="s">
        <v>166</v>
      </c>
      <c r="B447" s="139" t="s">
        <v>225</v>
      </c>
      <c r="C447" s="44">
        <v>0.34</v>
      </c>
      <c r="D447" s="46">
        <v>0.14000000000000001</v>
      </c>
      <c r="E447" s="37">
        <f>'4D1_CH4_EF_DomesticWastewater'!$D$22</f>
        <v>0.3</v>
      </c>
      <c r="F447" s="108">
        <f t="shared" si="45"/>
        <v>11298648</v>
      </c>
      <c r="G447" s="49"/>
      <c r="H447" s="49"/>
      <c r="I447" s="15">
        <f t="shared" si="46"/>
        <v>161344.69344000003</v>
      </c>
      <c r="J447" s="34">
        <f t="shared" si="47"/>
        <v>0.16134469344000002</v>
      </c>
    </row>
    <row r="448" spans="1:10">
      <c r="A448" s="241"/>
      <c r="B448" s="139" t="s">
        <v>226</v>
      </c>
      <c r="C448" s="44">
        <v>0.34</v>
      </c>
      <c r="D448" s="46">
        <v>0.1</v>
      </c>
      <c r="E448" s="37">
        <f>'4D1_CH4_EF_DomesticWastewater'!$D$23</f>
        <v>0.06</v>
      </c>
      <c r="F448" s="108">
        <f t="shared" si="45"/>
        <v>11298648</v>
      </c>
      <c r="G448" s="49"/>
      <c r="H448" s="49"/>
      <c r="I448" s="15">
        <f t="shared" si="46"/>
        <v>23049.24192</v>
      </c>
      <c r="J448" s="34">
        <f t="shared" si="47"/>
        <v>2.3049241920000001E-2</v>
      </c>
    </row>
    <row r="449" spans="1:10">
      <c r="A449" s="241"/>
      <c r="B449" s="139" t="s">
        <v>227</v>
      </c>
      <c r="C449" s="44">
        <v>0.34</v>
      </c>
      <c r="D449" s="46">
        <v>0.03</v>
      </c>
      <c r="E449" s="37">
        <f>'4D1_CH4_EF_DomesticWastewater'!$D$13</f>
        <v>0.06</v>
      </c>
      <c r="F449" s="108">
        <f t="shared" si="45"/>
        <v>11298648</v>
      </c>
      <c r="G449" s="49"/>
      <c r="H449" s="49"/>
      <c r="I449" s="15">
        <f t="shared" si="46"/>
        <v>6914.7725760000003</v>
      </c>
      <c r="J449" s="34">
        <f t="shared" si="47"/>
        <v>6.9147725759999999E-3</v>
      </c>
    </row>
    <row r="450" spans="1:10">
      <c r="A450" s="241"/>
      <c r="B450" s="139" t="s">
        <v>228</v>
      </c>
      <c r="C450" s="44">
        <v>0.34</v>
      </c>
      <c r="D450" s="46">
        <v>0.53</v>
      </c>
      <c r="E450" s="37">
        <f>'4D1_CH4_EF_DomesticWastewater'!$D$13</f>
        <v>0.06</v>
      </c>
      <c r="F450" s="108">
        <f t="shared" si="45"/>
        <v>11298648</v>
      </c>
      <c r="G450" s="49"/>
      <c r="H450" s="49"/>
      <c r="I450" s="15">
        <f t="shared" si="46"/>
        <v>122160.982176</v>
      </c>
      <c r="J450" s="34">
        <f t="shared" si="47"/>
        <v>0.12216098217600001</v>
      </c>
    </row>
    <row r="451" spans="1:10">
      <c r="A451" s="241"/>
      <c r="B451" s="139" t="s">
        <v>229</v>
      </c>
      <c r="C451" s="44">
        <v>0.34</v>
      </c>
      <c r="D451" s="46">
        <v>0.2</v>
      </c>
      <c r="E451" s="37">
        <v>0</v>
      </c>
      <c r="F451" s="108">
        <f t="shared" si="45"/>
        <v>11298648</v>
      </c>
      <c r="G451" s="49"/>
      <c r="H451" s="49"/>
      <c r="I451" s="15">
        <f t="shared" si="46"/>
        <v>0</v>
      </c>
      <c r="J451" s="34">
        <f t="shared" si="47"/>
        <v>0</v>
      </c>
    </row>
    <row r="452" spans="1:10">
      <c r="A452" s="278" t="s">
        <v>305</v>
      </c>
      <c r="B452" s="278"/>
      <c r="C452" s="278"/>
      <c r="D452" s="278"/>
      <c r="E452" s="278"/>
      <c r="F452" s="278"/>
      <c r="G452" s="278"/>
      <c r="H452" s="278"/>
      <c r="I452" s="109">
        <f>SUM(I437:I451)</f>
        <v>808486.05628800008</v>
      </c>
      <c r="J452" s="110">
        <f>SUM(J437:J451)</f>
        <v>0.80848605628800008</v>
      </c>
    </row>
    <row r="455" spans="1:10">
      <c r="A455" s="279" t="s">
        <v>0</v>
      </c>
      <c r="B455" s="280"/>
      <c r="C455" s="199" t="s">
        <v>1</v>
      </c>
      <c r="D455" s="283"/>
      <c r="E455" s="283"/>
      <c r="F455" s="283"/>
      <c r="G455" s="283"/>
      <c r="H455" s="283"/>
      <c r="I455" s="283"/>
    </row>
    <row r="456" spans="1:10">
      <c r="A456" s="279" t="s">
        <v>2</v>
      </c>
      <c r="B456" s="280"/>
      <c r="C456" s="199" t="s">
        <v>117</v>
      </c>
      <c r="D456" s="283"/>
      <c r="E456" s="283"/>
      <c r="F456" s="283"/>
      <c r="G456" s="283"/>
      <c r="H456" s="283"/>
      <c r="I456" s="283"/>
    </row>
    <row r="457" spans="1:10">
      <c r="A457" s="279" t="s">
        <v>4</v>
      </c>
      <c r="B457" s="280"/>
      <c r="C457" s="199" t="s">
        <v>118</v>
      </c>
      <c r="D457" s="283"/>
      <c r="E457" s="283"/>
      <c r="F457" s="283"/>
      <c r="G457" s="283"/>
      <c r="H457" s="283"/>
      <c r="I457" s="283"/>
    </row>
    <row r="458" spans="1:10">
      <c r="A458" s="279" t="s">
        <v>6</v>
      </c>
      <c r="B458" s="280"/>
      <c r="C458" s="199" t="s">
        <v>145</v>
      </c>
      <c r="D458" s="283"/>
      <c r="E458" s="283"/>
      <c r="F458" s="283"/>
      <c r="G458" s="283"/>
      <c r="H458" s="283"/>
      <c r="I458" s="283"/>
    </row>
    <row r="459" spans="1:10">
      <c r="A459" s="231" t="s">
        <v>10</v>
      </c>
      <c r="B459" s="268"/>
      <c r="C459" s="268"/>
      <c r="D459" s="268"/>
      <c r="E459" s="268"/>
      <c r="F459" s="268"/>
      <c r="G459" s="268"/>
      <c r="H459" s="268"/>
      <c r="I459" s="268"/>
      <c r="J459" s="107"/>
    </row>
    <row r="460" spans="1:10">
      <c r="A460" s="140"/>
      <c r="B460" s="140"/>
      <c r="C460" s="7" t="s">
        <v>11</v>
      </c>
      <c r="D460" s="7" t="s">
        <v>12</v>
      </c>
      <c r="E460" s="7" t="s">
        <v>13</v>
      </c>
      <c r="F460" s="7" t="s">
        <v>14</v>
      </c>
      <c r="G460" s="7" t="s">
        <v>15</v>
      </c>
      <c r="H460" s="7" t="s">
        <v>58</v>
      </c>
      <c r="I460" s="7" t="s">
        <v>78</v>
      </c>
      <c r="J460" s="89" t="s">
        <v>79</v>
      </c>
    </row>
    <row r="461" spans="1:10" ht="51">
      <c r="A461" s="209" t="s">
        <v>146</v>
      </c>
      <c r="B461" s="209" t="s">
        <v>147</v>
      </c>
      <c r="C461" s="140" t="s">
        <v>148</v>
      </c>
      <c r="D461" s="140" t="s">
        <v>149</v>
      </c>
      <c r="E461" s="140" t="s">
        <v>150</v>
      </c>
      <c r="F461" s="140" t="s">
        <v>123</v>
      </c>
      <c r="G461" s="140" t="s">
        <v>151</v>
      </c>
      <c r="H461" s="140" t="s">
        <v>152</v>
      </c>
      <c r="I461" s="140" t="s">
        <v>153</v>
      </c>
      <c r="J461" s="140" t="s">
        <v>153</v>
      </c>
    </row>
    <row r="462" spans="1:10" ht="15.75">
      <c r="A462" s="209"/>
      <c r="B462" s="209"/>
      <c r="C462" s="137" t="s">
        <v>154</v>
      </c>
      <c r="D462" s="137" t="s">
        <v>155</v>
      </c>
      <c r="E462" s="137" t="s">
        <v>156</v>
      </c>
      <c r="F462" s="137" t="s">
        <v>127</v>
      </c>
      <c r="G462" s="137" t="s">
        <v>157</v>
      </c>
      <c r="H462" s="137" t="s">
        <v>158</v>
      </c>
      <c r="I462" s="137" t="s">
        <v>159</v>
      </c>
      <c r="J462" s="137" t="s">
        <v>159</v>
      </c>
    </row>
    <row r="463" spans="1:10" ht="28.5">
      <c r="A463" s="209"/>
      <c r="B463" s="209"/>
      <c r="C463" s="8" t="s">
        <v>44</v>
      </c>
      <c r="D463" s="8" t="s">
        <v>44</v>
      </c>
      <c r="E463" s="8" t="s">
        <v>142</v>
      </c>
      <c r="F463" s="8" t="s">
        <v>130</v>
      </c>
      <c r="G463" s="8" t="s">
        <v>130</v>
      </c>
      <c r="H463" s="8" t="s">
        <v>160</v>
      </c>
      <c r="I463" s="8" t="s">
        <v>160</v>
      </c>
      <c r="J463" s="8" t="s">
        <v>231</v>
      </c>
    </row>
    <row r="464" spans="1:10" ht="24.75" thickBot="1">
      <c r="A464" s="225"/>
      <c r="B464" s="225"/>
      <c r="C464" s="5"/>
      <c r="D464" s="5"/>
      <c r="E464" s="5" t="s">
        <v>161</v>
      </c>
      <c r="F464" s="5" t="s">
        <v>162</v>
      </c>
      <c r="G464" s="5"/>
      <c r="H464" s="5"/>
      <c r="I464" s="9" t="s">
        <v>163</v>
      </c>
      <c r="J464" s="35"/>
    </row>
    <row r="465" spans="1:10" ht="13.5" thickTop="1">
      <c r="A465" s="281" t="s">
        <v>164</v>
      </c>
      <c r="B465" s="141" t="s">
        <v>225</v>
      </c>
      <c r="C465" s="42">
        <v>0.54</v>
      </c>
      <c r="D465" s="43">
        <v>0</v>
      </c>
      <c r="E465" s="38">
        <f>'4D1_CH4_EF_DomesticWastewater'!$D$14</f>
        <v>0.3</v>
      </c>
      <c r="F465" s="108">
        <f>$M$28</f>
        <v>11519093.4</v>
      </c>
      <c r="G465" s="47"/>
      <c r="H465" s="47"/>
      <c r="I465" s="14">
        <f>((C465*D465*E465)*(F465-G465))-H465</f>
        <v>0</v>
      </c>
      <c r="J465" s="138">
        <f>I465/(10^6)</f>
        <v>0</v>
      </c>
    </row>
    <row r="466" spans="1:10">
      <c r="A466" s="282"/>
      <c r="B466" s="142" t="s">
        <v>226</v>
      </c>
      <c r="C466" s="44">
        <v>0.54</v>
      </c>
      <c r="D466" s="45">
        <v>0.47</v>
      </c>
      <c r="E466" s="37">
        <f>'4D1_CH4_EF_DomesticWastewater'!$D$23</f>
        <v>0.06</v>
      </c>
      <c r="F466" s="108">
        <f t="shared" ref="F466:F479" si="48">$M$28</f>
        <v>11519093.4</v>
      </c>
      <c r="G466" s="48"/>
      <c r="H466" s="48"/>
      <c r="I466" s="15">
        <f t="shared" ref="I466:I479" si="49">((C466*D466*E466)*(F466-G466))-H466</f>
        <v>175412.75429520002</v>
      </c>
      <c r="J466" s="34">
        <f t="shared" ref="J466:J479" si="50">I466/(10^6)</f>
        <v>0.17541275429520004</v>
      </c>
    </row>
    <row r="467" spans="1:10">
      <c r="A467" s="282"/>
      <c r="B467" s="139" t="s">
        <v>227</v>
      </c>
      <c r="C467" s="44">
        <v>0.54</v>
      </c>
      <c r="D467" s="45">
        <v>0</v>
      </c>
      <c r="E467" s="37">
        <f>'4D1_CH4_EF_DomesticWastewater'!$D$13</f>
        <v>0.06</v>
      </c>
      <c r="F467" s="108">
        <f t="shared" si="48"/>
        <v>11519093.4</v>
      </c>
      <c r="G467" s="48"/>
      <c r="H467" s="48"/>
      <c r="I467" s="15">
        <f t="shared" si="49"/>
        <v>0</v>
      </c>
      <c r="J467" s="34">
        <f t="shared" si="50"/>
        <v>0</v>
      </c>
    </row>
    <row r="468" spans="1:10">
      <c r="A468" s="241"/>
      <c r="B468" s="139" t="s">
        <v>228</v>
      </c>
      <c r="C468" s="44">
        <v>0.54</v>
      </c>
      <c r="D468" s="46">
        <v>0.1</v>
      </c>
      <c r="E468" s="37">
        <f>'4D1_CH4_EF_DomesticWastewater'!$D$14</f>
        <v>0.3</v>
      </c>
      <c r="F468" s="108">
        <f t="shared" si="48"/>
        <v>11519093.4</v>
      </c>
      <c r="G468" s="49"/>
      <c r="H468" s="49"/>
      <c r="I468" s="15">
        <f t="shared" si="49"/>
        <v>186609.31308000002</v>
      </c>
      <c r="J468" s="34">
        <f t="shared" si="50"/>
        <v>0.18660931308000003</v>
      </c>
    </row>
    <row r="469" spans="1:10">
      <c r="A469" s="241"/>
      <c r="B469" s="139" t="s">
        <v>229</v>
      </c>
      <c r="C469" s="44">
        <v>0.54</v>
      </c>
      <c r="D469" s="46">
        <v>0.43</v>
      </c>
      <c r="E469" s="37">
        <v>0</v>
      </c>
      <c r="F469" s="108">
        <f t="shared" si="48"/>
        <v>11519093.4</v>
      </c>
      <c r="G469" s="49"/>
      <c r="H469" s="49"/>
      <c r="I469" s="15">
        <f t="shared" si="49"/>
        <v>0</v>
      </c>
      <c r="J469" s="34">
        <f t="shared" si="50"/>
        <v>0</v>
      </c>
    </row>
    <row r="470" spans="1:10">
      <c r="A470" s="241" t="s">
        <v>165</v>
      </c>
      <c r="B470" s="139" t="s">
        <v>225</v>
      </c>
      <c r="C470" s="44">
        <v>0.12</v>
      </c>
      <c r="D470" s="46">
        <v>0.18</v>
      </c>
      <c r="E470" s="37">
        <f>'4D1_CH4_EF_DomesticWastewater'!$D$22</f>
        <v>0.3</v>
      </c>
      <c r="F470" s="108">
        <f t="shared" si="48"/>
        <v>11519093.4</v>
      </c>
      <c r="G470" s="49"/>
      <c r="H470" s="49"/>
      <c r="I470" s="15">
        <f t="shared" si="49"/>
        <v>74643.725231999982</v>
      </c>
      <c r="J470" s="34">
        <f t="shared" si="50"/>
        <v>7.4643725231999983E-2</v>
      </c>
    </row>
    <row r="471" spans="1:10">
      <c r="A471" s="241"/>
      <c r="B471" s="139" t="s">
        <v>226</v>
      </c>
      <c r="C471" s="44">
        <v>0.12</v>
      </c>
      <c r="D471" s="46">
        <v>0.08</v>
      </c>
      <c r="E471" s="37">
        <f>'4D1_CH4_EF_DomesticWastewater'!$D$23</f>
        <v>0.06</v>
      </c>
      <c r="F471" s="108">
        <f t="shared" si="48"/>
        <v>11519093.4</v>
      </c>
      <c r="G471" s="49"/>
      <c r="H471" s="49"/>
      <c r="I471" s="15">
        <f t="shared" si="49"/>
        <v>6634.9977983999988</v>
      </c>
      <c r="J471" s="34">
        <f t="shared" si="50"/>
        <v>6.634997798399999E-3</v>
      </c>
    </row>
    <row r="472" spans="1:10">
      <c r="A472" s="241"/>
      <c r="B472" s="139" t="s">
        <v>227</v>
      </c>
      <c r="C472" s="44">
        <v>0.12</v>
      </c>
      <c r="D472" s="46">
        <v>0</v>
      </c>
      <c r="E472" s="37">
        <f>'4D1_CH4_EF_DomesticWastewater'!$D$13</f>
        <v>0.06</v>
      </c>
      <c r="F472" s="108">
        <f t="shared" si="48"/>
        <v>11519093.4</v>
      </c>
      <c r="G472" s="49"/>
      <c r="H472" s="49"/>
      <c r="I472" s="15">
        <f t="shared" si="49"/>
        <v>0</v>
      </c>
      <c r="J472" s="34">
        <f t="shared" si="50"/>
        <v>0</v>
      </c>
    </row>
    <row r="473" spans="1:10">
      <c r="A473" s="241"/>
      <c r="B473" s="139" t="s">
        <v>228</v>
      </c>
      <c r="C473" s="44">
        <v>0.12</v>
      </c>
      <c r="D473" s="46">
        <v>0.74</v>
      </c>
      <c r="E473" s="37">
        <f>'4D1_CH4_EF_DomesticWastewater'!$D$13</f>
        <v>0.06</v>
      </c>
      <c r="F473" s="108">
        <f t="shared" si="48"/>
        <v>11519093.4</v>
      </c>
      <c r="G473" s="49"/>
      <c r="H473" s="49"/>
      <c r="I473" s="15">
        <f t="shared" si="49"/>
        <v>61373.729635199998</v>
      </c>
      <c r="J473" s="34">
        <f t="shared" si="50"/>
        <v>6.1373729635199999E-2</v>
      </c>
    </row>
    <row r="474" spans="1:10">
      <c r="A474" s="241"/>
      <c r="B474" s="139" t="s">
        <v>229</v>
      </c>
      <c r="C474" s="44">
        <v>0.12</v>
      </c>
      <c r="D474" s="46">
        <v>0</v>
      </c>
      <c r="E474" s="37">
        <v>0</v>
      </c>
      <c r="F474" s="108">
        <f t="shared" si="48"/>
        <v>11519093.4</v>
      </c>
      <c r="G474" s="49"/>
      <c r="H474" s="49"/>
      <c r="I474" s="15">
        <f t="shared" si="49"/>
        <v>0</v>
      </c>
      <c r="J474" s="34">
        <f t="shared" si="50"/>
        <v>0</v>
      </c>
    </row>
    <row r="475" spans="1:10">
      <c r="A475" s="241" t="s">
        <v>166</v>
      </c>
      <c r="B475" s="139" t="s">
        <v>225</v>
      </c>
      <c r="C475" s="44">
        <v>0.34</v>
      </c>
      <c r="D475" s="46">
        <v>0.14000000000000001</v>
      </c>
      <c r="E475" s="37">
        <f>'4D1_CH4_EF_DomesticWastewater'!$D$22</f>
        <v>0.3</v>
      </c>
      <c r="F475" s="108">
        <f t="shared" si="48"/>
        <v>11519093.4</v>
      </c>
      <c r="G475" s="49"/>
      <c r="H475" s="49"/>
      <c r="I475" s="15">
        <f t="shared" si="49"/>
        <v>164492.65375200004</v>
      </c>
      <c r="J475" s="34">
        <f t="shared" si="50"/>
        <v>0.16449265375200003</v>
      </c>
    </row>
    <row r="476" spans="1:10">
      <c r="A476" s="241"/>
      <c r="B476" s="139" t="s">
        <v>226</v>
      </c>
      <c r="C476" s="44">
        <v>0.34</v>
      </c>
      <c r="D476" s="46">
        <v>0.1</v>
      </c>
      <c r="E476" s="37">
        <f>'4D1_CH4_EF_DomesticWastewater'!$D$23</f>
        <v>0.06</v>
      </c>
      <c r="F476" s="108">
        <f t="shared" si="48"/>
        <v>11519093.4</v>
      </c>
      <c r="G476" s="49"/>
      <c r="H476" s="49"/>
      <c r="I476" s="15">
        <f t="shared" si="49"/>
        <v>23498.950536000004</v>
      </c>
      <c r="J476" s="34">
        <f t="shared" si="50"/>
        <v>2.3498950536000002E-2</v>
      </c>
    </row>
    <row r="477" spans="1:10">
      <c r="A477" s="241"/>
      <c r="B477" s="139" t="s">
        <v>227</v>
      </c>
      <c r="C477" s="44">
        <v>0.34</v>
      </c>
      <c r="D477" s="46">
        <v>0.03</v>
      </c>
      <c r="E477" s="37">
        <f>'4D1_CH4_EF_DomesticWastewater'!$D$13</f>
        <v>0.06</v>
      </c>
      <c r="F477" s="108">
        <f t="shared" si="48"/>
        <v>11519093.4</v>
      </c>
      <c r="G477" s="49"/>
      <c r="H477" s="49"/>
      <c r="I477" s="15">
        <f t="shared" si="49"/>
        <v>7049.6851608000006</v>
      </c>
      <c r="J477" s="34">
        <f t="shared" si="50"/>
        <v>7.0496851608000009E-3</v>
      </c>
    </row>
    <row r="478" spans="1:10">
      <c r="A478" s="241"/>
      <c r="B478" s="139" t="s">
        <v>228</v>
      </c>
      <c r="C478" s="44">
        <v>0.34</v>
      </c>
      <c r="D478" s="46">
        <v>0.53</v>
      </c>
      <c r="E478" s="37">
        <f>'4D1_CH4_EF_DomesticWastewater'!$D$13</f>
        <v>0.06</v>
      </c>
      <c r="F478" s="108">
        <f t="shared" si="48"/>
        <v>11519093.4</v>
      </c>
      <c r="G478" s="49"/>
      <c r="H478" s="49"/>
      <c r="I478" s="15">
        <f t="shared" si="49"/>
        <v>124544.4378408</v>
      </c>
      <c r="J478" s="34">
        <f t="shared" si="50"/>
        <v>0.12454443784080001</v>
      </c>
    </row>
    <row r="479" spans="1:10">
      <c r="A479" s="241"/>
      <c r="B479" s="139" t="s">
        <v>229</v>
      </c>
      <c r="C479" s="44">
        <v>0.34</v>
      </c>
      <c r="D479" s="46">
        <v>0.2</v>
      </c>
      <c r="E479" s="37">
        <v>0</v>
      </c>
      <c r="F479" s="108">
        <f t="shared" si="48"/>
        <v>11519093.4</v>
      </c>
      <c r="G479" s="49"/>
      <c r="H479" s="49"/>
      <c r="I479" s="15">
        <f t="shared" si="49"/>
        <v>0</v>
      </c>
      <c r="J479" s="34">
        <f t="shared" si="50"/>
        <v>0</v>
      </c>
    </row>
    <row r="480" spans="1:10">
      <c r="A480" s="278" t="s">
        <v>306</v>
      </c>
      <c r="B480" s="278"/>
      <c r="C480" s="278"/>
      <c r="D480" s="278"/>
      <c r="E480" s="278"/>
      <c r="F480" s="278"/>
      <c r="G480" s="278"/>
      <c r="H480" s="278"/>
      <c r="I480" s="109">
        <f>SUM(I465:I479)</f>
        <v>824260.24733040005</v>
      </c>
      <c r="J480" s="110">
        <f>SUM(J465:J479)</f>
        <v>0.82426024733040015</v>
      </c>
    </row>
    <row r="483" spans="1:10">
      <c r="A483" s="279" t="s">
        <v>0</v>
      </c>
      <c r="B483" s="280"/>
      <c r="C483" s="199" t="s">
        <v>1</v>
      </c>
      <c r="D483" s="283"/>
      <c r="E483" s="283"/>
      <c r="F483" s="283"/>
      <c r="G483" s="283"/>
      <c r="H483" s="283"/>
      <c r="I483" s="283"/>
    </row>
    <row r="484" spans="1:10">
      <c r="A484" s="279" t="s">
        <v>2</v>
      </c>
      <c r="B484" s="280"/>
      <c r="C484" s="199" t="s">
        <v>117</v>
      </c>
      <c r="D484" s="283"/>
      <c r="E484" s="283"/>
      <c r="F484" s="283"/>
      <c r="G484" s="283"/>
      <c r="H484" s="283"/>
      <c r="I484" s="283"/>
    </row>
    <row r="485" spans="1:10">
      <c r="A485" s="279" t="s">
        <v>4</v>
      </c>
      <c r="B485" s="280"/>
      <c r="C485" s="199" t="s">
        <v>118</v>
      </c>
      <c r="D485" s="283"/>
      <c r="E485" s="283"/>
      <c r="F485" s="283"/>
      <c r="G485" s="283"/>
      <c r="H485" s="283"/>
      <c r="I485" s="283"/>
    </row>
    <row r="486" spans="1:10">
      <c r="A486" s="279" t="s">
        <v>6</v>
      </c>
      <c r="B486" s="280"/>
      <c r="C486" s="199" t="s">
        <v>145</v>
      </c>
      <c r="D486" s="283"/>
      <c r="E486" s="283"/>
      <c r="F486" s="283"/>
      <c r="G486" s="283"/>
      <c r="H486" s="283"/>
      <c r="I486" s="283"/>
    </row>
    <row r="487" spans="1:10">
      <c r="A487" s="231" t="s">
        <v>10</v>
      </c>
      <c r="B487" s="268"/>
      <c r="C487" s="268"/>
      <c r="D487" s="268"/>
      <c r="E487" s="268"/>
      <c r="F487" s="268"/>
      <c r="G487" s="268"/>
      <c r="H487" s="268"/>
      <c r="I487" s="268"/>
      <c r="J487" s="107"/>
    </row>
    <row r="488" spans="1:10">
      <c r="A488" s="140"/>
      <c r="B488" s="140"/>
      <c r="C488" s="7" t="s">
        <v>11</v>
      </c>
      <c r="D488" s="7" t="s">
        <v>12</v>
      </c>
      <c r="E488" s="7" t="s">
        <v>13</v>
      </c>
      <c r="F488" s="7" t="s">
        <v>14</v>
      </c>
      <c r="G488" s="7" t="s">
        <v>15</v>
      </c>
      <c r="H488" s="7" t="s">
        <v>58</v>
      </c>
      <c r="I488" s="7" t="s">
        <v>78</v>
      </c>
      <c r="J488" s="89" t="s">
        <v>79</v>
      </c>
    </row>
    <row r="489" spans="1:10" ht="51">
      <c r="A489" s="209" t="s">
        <v>146</v>
      </c>
      <c r="B489" s="209" t="s">
        <v>147</v>
      </c>
      <c r="C489" s="140" t="s">
        <v>148</v>
      </c>
      <c r="D489" s="140" t="s">
        <v>149</v>
      </c>
      <c r="E489" s="140" t="s">
        <v>150</v>
      </c>
      <c r="F489" s="140" t="s">
        <v>123</v>
      </c>
      <c r="G489" s="140" t="s">
        <v>151</v>
      </c>
      <c r="H489" s="140" t="s">
        <v>152</v>
      </c>
      <c r="I489" s="140" t="s">
        <v>153</v>
      </c>
      <c r="J489" s="140" t="s">
        <v>153</v>
      </c>
    </row>
    <row r="490" spans="1:10" ht="15.75">
      <c r="A490" s="209"/>
      <c r="B490" s="209"/>
      <c r="C490" s="137" t="s">
        <v>154</v>
      </c>
      <c r="D490" s="137" t="s">
        <v>155</v>
      </c>
      <c r="E490" s="137" t="s">
        <v>156</v>
      </c>
      <c r="F490" s="137" t="s">
        <v>127</v>
      </c>
      <c r="G490" s="137" t="s">
        <v>157</v>
      </c>
      <c r="H490" s="137" t="s">
        <v>158</v>
      </c>
      <c r="I490" s="137" t="s">
        <v>159</v>
      </c>
      <c r="J490" s="137" t="s">
        <v>159</v>
      </c>
    </row>
    <row r="491" spans="1:10" ht="28.5">
      <c r="A491" s="209"/>
      <c r="B491" s="209"/>
      <c r="C491" s="8" t="s">
        <v>44</v>
      </c>
      <c r="D491" s="8" t="s">
        <v>44</v>
      </c>
      <c r="E491" s="8" t="s">
        <v>142</v>
      </c>
      <c r="F491" s="8" t="s">
        <v>130</v>
      </c>
      <c r="G491" s="8" t="s">
        <v>130</v>
      </c>
      <c r="H491" s="8" t="s">
        <v>160</v>
      </c>
      <c r="I491" s="8" t="s">
        <v>160</v>
      </c>
      <c r="J491" s="8" t="s">
        <v>231</v>
      </c>
    </row>
    <row r="492" spans="1:10" ht="24.75" thickBot="1">
      <c r="A492" s="225"/>
      <c r="B492" s="225"/>
      <c r="C492" s="5"/>
      <c r="D492" s="5"/>
      <c r="E492" s="5" t="s">
        <v>161</v>
      </c>
      <c r="F492" s="5" t="s">
        <v>162</v>
      </c>
      <c r="G492" s="5"/>
      <c r="H492" s="5"/>
      <c r="I492" s="9" t="s">
        <v>163</v>
      </c>
      <c r="J492" s="35"/>
    </row>
    <row r="493" spans="1:10" ht="13.5" thickTop="1">
      <c r="A493" s="281" t="s">
        <v>164</v>
      </c>
      <c r="B493" s="141" t="s">
        <v>225</v>
      </c>
      <c r="C493" s="42">
        <v>0.54</v>
      </c>
      <c r="D493" s="43">
        <v>0</v>
      </c>
      <c r="E493" s="38">
        <f>'4D1_CH4_EF_DomesticWastewater'!$D$14</f>
        <v>0.3</v>
      </c>
      <c r="F493" s="108">
        <f>$M$29</f>
        <v>11739538.799999999</v>
      </c>
      <c r="G493" s="47"/>
      <c r="H493" s="47"/>
      <c r="I493" s="14">
        <f>((C493*D493*E493)*(F493-G493))-H493</f>
        <v>0</v>
      </c>
      <c r="J493" s="138">
        <f>I493/(10^6)</f>
        <v>0</v>
      </c>
    </row>
    <row r="494" spans="1:10">
      <c r="A494" s="282"/>
      <c r="B494" s="142" t="s">
        <v>226</v>
      </c>
      <c r="C494" s="44">
        <v>0.54</v>
      </c>
      <c r="D494" s="45">
        <v>0.47</v>
      </c>
      <c r="E494" s="37">
        <f>'4D1_CH4_EF_DomesticWastewater'!$D$23</f>
        <v>0.06</v>
      </c>
      <c r="F494" s="108">
        <f t="shared" ref="F494:F507" si="51">$M$29</f>
        <v>11739538.799999999</v>
      </c>
      <c r="G494" s="48"/>
      <c r="H494" s="48"/>
      <c r="I494" s="15">
        <f t="shared" ref="I494:I507" si="52">((C494*D494*E494)*(F494-G494))-H494</f>
        <v>178769.69684639998</v>
      </c>
      <c r="J494" s="34">
        <f t="shared" ref="J494:J507" si="53">I494/(10^6)</f>
        <v>0.17876969684639998</v>
      </c>
    </row>
    <row r="495" spans="1:10">
      <c r="A495" s="282"/>
      <c r="B495" s="139" t="s">
        <v>227</v>
      </c>
      <c r="C495" s="44">
        <v>0.54</v>
      </c>
      <c r="D495" s="45">
        <v>0</v>
      </c>
      <c r="E495" s="37">
        <f>'4D1_CH4_EF_DomesticWastewater'!$D$13</f>
        <v>0.06</v>
      </c>
      <c r="F495" s="108">
        <f t="shared" si="51"/>
        <v>11739538.799999999</v>
      </c>
      <c r="G495" s="48"/>
      <c r="H495" s="48"/>
      <c r="I495" s="15">
        <f t="shared" si="52"/>
        <v>0</v>
      </c>
      <c r="J495" s="34">
        <f t="shared" si="53"/>
        <v>0</v>
      </c>
    </row>
    <row r="496" spans="1:10">
      <c r="A496" s="241"/>
      <c r="B496" s="139" t="s">
        <v>228</v>
      </c>
      <c r="C496" s="44">
        <v>0.54</v>
      </c>
      <c r="D496" s="46">
        <v>0.1</v>
      </c>
      <c r="E496" s="37">
        <f>'4D1_CH4_EF_DomesticWastewater'!$D$14</f>
        <v>0.3</v>
      </c>
      <c r="F496" s="108">
        <f t="shared" si="51"/>
        <v>11739538.799999999</v>
      </c>
      <c r="G496" s="49"/>
      <c r="H496" s="49"/>
      <c r="I496" s="15">
        <f t="shared" si="52"/>
        <v>190180.52856000001</v>
      </c>
      <c r="J496" s="34">
        <f t="shared" si="53"/>
        <v>0.19018052856000001</v>
      </c>
    </row>
    <row r="497" spans="1:10">
      <c r="A497" s="241"/>
      <c r="B497" s="139" t="s">
        <v>229</v>
      </c>
      <c r="C497" s="44">
        <v>0.54</v>
      </c>
      <c r="D497" s="46">
        <v>0.43</v>
      </c>
      <c r="E497" s="37">
        <v>0</v>
      </c>
      <c r="F497" s="108">
        <f t="shared" si="51"/>
        <v>11739538.799999999</v>
      </c>
      <c r="G497" s="49"/>
      <c r="H497" s="49"/>
      <c r="I497" s="15">
        <f t="shared" si="52"/>
        <v>0</v>
      </c>
      <c r="J497" s="34">
        <f t="shared" si="53"/>
        <v>0</v>
      </c>
    </row>
    <row r="498" spans="1:10">
      <c r="A498" s="241" t="s">
        <v>165</v>
      </c>
      <c r="B498" s="139" t="s">
        <v>225</v>
      </c>
      <c r="C498" s="44">
        <v>0.12</v>
      </c>
      <c r="D498" s="46">
        <v>0.18</v>
      </c>
      <c r="E498" s="37">
        <f>'4D1_CH4_EF_DomesticWastewater'!$D$22</f>
        <v>0.3</v>
      </c>
      <c r="F498" s="108">
        <f t="shared" si="51"/>
        <v>11739538.799999999</v>
      </c>
      <c r="G498" s="49"/>
      <c r="H498" s="49"/>
      <c r="I498" s="15">
        <f t="shared" si="52"/>
        <v>76072.211423999979</v>
      </c>
      <c r="J498" s="34">
        <f t="shared" si="53"/>
        <v>7.6072211423999975E-2</v>
      </c>
    </row>
    <row r="499" spans="1:10">
      <c r="A499" s="241"/>
      <c r="B499" s="139" t="s">
        <v>226</v>
      </c>
      <c r="C499" s="44">
        <v>0.12</v>
      </c>
      <c r="D499" s="46">
        <v>0.08</v>
      </c>
      <c r="E499" s="37">
        <f>'4D1_CH4_EF_DomesticWastewater'!$D$23</f>
        <v>0.06</v>
      </c>
      <c r="F499" s="108">
        <f t="shared" si="51"/>
        <v>11739538.799999999</v>
      </c>
      <c r="G499" s="49"/>
      <c r="H499" s="49"/>
      <c r="I499" s="15">
        <f t="shared" si="52"/>
        <v>6761.9743487999986</v>
      </c>
      <c r="J499" s="34">
        <f t="shared" si="53"/>
        <v>6.7619743487999989E-3</v>
      </c>
    </row>
    <row r="500" spans="1:10">
      <c r="A500" s="241"/>
      <c r="B500" s="139" t="s">
        <v>227</v>
      </c>
      <c r="C500" s="44">
        <v>0.12</v>
      </c>
      <c r="D500" s="46">
        <v>0</v>
      </c>
      <c r="E500" s="37">
        <f>'4D1_CH4_EF_DomesticWastewater'!$D$13</f>
        <v>0.06</v>
      </c>
      <c r="F500" s="108">
        <f t="shared" si="51"/>
        <v>11739538.799999999</v>
      </c>
      <c r="G500" s="49"/>
      <c r="H500" s="49"/>
      <c r="I500" s="15">
        <f t="shared" si="52"/>
        <v>0</v>
      </c>
      <c r="J500" s="34">
        <f t="shared" si="53"/>
        <v>0</v>
      </c>
    </row>
    <row r="501" spans="1:10">
      <c r="A501" s="241"/>
      <c r="B501" s="139" t="s">
        <v>228</v>
      </c>
      <c r="C501" s="44">
        <v>0.12</v>
      </c>
      <c r="D501" s="46">
        <v>0.74</v>
      </c>
      <c r="E501" s="37">
        <f>'4D1_CH4_EF_DomesticWastewater'!$D$13</f>
        <v>0.06</v>
      </c>
      <c r="F501" s="108">
        <f t="shared" si="51"/>
        <v>11739538.799999999</v>
      </c>
      <c r="G501" s="49"/>
      <c r="H501" s="49"/>
      <c r="I501" s="15">
        <f t="shared" si="52"/>
        <v>62548.262726399989</v>
      </c>
      <c r="J501" s="34">
        <f t="shared" si="53"/>
        <v>6.2548262726399989E-2</v>
      </c>
    </row>
    <row r="502" spans="1:10">
      <c r="A502" s="241"/>
      <c r="B502" s="139" t="s">
        <v>229</v>
      </c>
      <c r="C502" s="44">
        <v>0.12</v>
      </c>
      <c r="D502" s="46">
        <v>0</v>
      </c>
      <c r="E502" s="37">
        <v>0</v>
      </c>
      <c r="F502" s="108">
        <f t="shared" si="51"/>
        <v>11739538.799999999</v>
      </c>
      <c r="G502" s="49"/>
      <c r="H502" s="49"/>
      <c r="I502" s="15">
        <f t="shared" si="52"/>
        <v>0</v>
      </c>
      <c r="J502" s="34">
        <f t="shared" si="53"/>
        <v>0</v>
      </c>
    </row>
    <row r="503" spans="1:10">
      <c r="A503" s="241" t="s">
        <v>166</v>
      </c>
      <c r="B503" s="139" t="s">
        <v>225</v>
      </c>
      <c r="C503" s="44">
        <v>0.34</v>
      </c>
      <c r="D503" s="46">
        <v>0.14000000000000001</v>
      </c>
      <c r="E503" s="37">
        <f>'4D1_CH4_EF_DomesticWastewater'!$D$22</f>
        <v>0.3</v>
      </c>
      <c r="F503" s="108">
        <f t="shared" si="51"/>
        <v>11739538.799999999</v>
      </c>
      <c r="G503" s="49"/>
      <c r="H503" s="49"/>
      <c r="I503" s="15">
        <f t="shared" si="52"/>
        <v>167640.61406400002</v>
      </c>
      <c r="J503" s="34">
        <f t="shared" si="53"/>
        <v>0.16764061406400002</v>
      </c>
    </row>
    <row r="504" spans="1:10">
      <c r="A504" s="241"/>
      <c r="B504" s="139" t="s">
        <v>226</v>
      </c>
      <c r="C504" s="44">
        <v>0.34</v>
      </c>
      <c r="D504" s="46">
        <v>0.1</v>
      </c>
      <c r="E504" s="37">
        <f>'4D1_CH4_EF_DomesticWastewater'!$D$23</f>
        <v>0.06</v>
      </c>
      <c r="F504" s="108">
        <f t="shared" si="51"/>
        <v>11739538.799999999</v>
      </c>
      <c r="G504" s="49"/>
      <c r="H504" s="49"/>
      <c r="I504" s="15">
        <f t="shared" si="52"/>
        <v>23948.659152</v>
      </c>
      <c r="J504" s="34">
        <f t="shared" si="53"/>
        <v>2.3948659152E-2</v>
      </c>
    </row>
    <row r="505" spans="1:10">
      <c r="A505" s="241"/>
      <c r="B505" s="139" t="s">
        <v>227</v>
      </c>
      <c r="C505" s="44">
        <v>0.34</v>
      </c>
      <c r="D505" s="46">
        <v>0.03</v>
      </c>
      <c r="E505" s="37">
        <f>'4D1_CH4_EF_DomesticWastewater'!$D$13</f>
        <v>0.06</v>
      </c>
      <c r="F505" s="108">
        <f t="shared" si="51"/>
        <v>11739538.799999999</v>
      </c>
      <c r="G505" s="49"/>
      <c r="H505" s="49"/>
      <c r="I505" s="15">
        <f t="shared" si="52"/>
        <v>7184.5977455999991</v>
      </c>
      <c r="J505" s="34">
        <f t="shared" si="53"/>
        <v>7.1845977455999993E-3</v>
      </c>
    </row>
    <row r="506" spans="1:10">
      <c r="A506" s="241"/>
      <c r="B506" s="139" t="s">
        <v>228</v>
      </c>
      <c r="C506" s="44">
        <v>0.34</v>
      </c>
      <c r="D506" s="46">
        <v>0.53</v>
      </c>
      <c r="E506" s="37">
        <f>'4D1_CH4_EF_DomesticWastewater'!$D$13</f>
        <v>0.06</v>
      </c>
      <c r="F506" s="108">
        <f t="shared" si="51"/>
        <v>11739538.799999999</v>
      </c>
      <c r="G506" s="49"/>
      <c r="H506" s="49"/>
      <c r="I506" s="15">
        <f t="shared" si="52"/>
        <v>126927.89350559999</v>
      </c>
      <c r="J506" s="34">
        <f t="shared" si="53"/>
        <v>0.12692789350559999</v>
      </c>
    </row>
    <row r="507" spans="1:10">
      <c r="A507" s="241"/>
      <c r="B507" s="139" t="s">
        <v>229</v>
      </c>
      <c r="C507" s="44">
        <v>0.34</v>
      </c>
      <c r="D507" s="46">
        <v>0.2</v>
      </c>
      <c r="E507" s="37">
        <v>0</v>
      </c>
      <c r="F507" s="108">
        <f t="shared" si="51"/>
        <v>11739538.799999999</v>
      </c>
      <c r="G507" s="49"/>
      <c r="H507" s="49"/>
      <c r="I507" s="15">
        <f t="shared" si="52"/>
        <v>0</v>
      </c>
      <c r="J507" s="34">
        <f t="shared" si="53"/>
        <v>0</v>
      </c>
    </row>
    <row r="508" spans="1:10">
      <c r="A508" s="278" t="s">
        <v>307</v>
      </c>
      <c r="B508" s="278"/>
      <c r="C508" s="278"/>
      <c r="D508" s="278"/>
      <c r="E508" s="278"/>
      <c r="F508" s="278"/>
      <c r="G508" s="278"/>
      <c r="H508" s="278"/>
      <c r="I508" s="109">
        <f>SUM(I493:I507)</f>
        <v>840034.43837279989</v>
      </c>
      <c r="J508" s="110">
        <f>SUM(J493:J507)</f>
        <v>0.8400344383727999</v>
      </c>
    </row>
    <row r="511" spans="1:10">
      <c r="A511" s="279" t="s">
        <v>0</v>
      </c>
      <c r="B511" s="280"/>
      <c r="C511" s="199" t="s">
        <v>1</v>
      </c>
      <c r="D511" s="283"/>
      <c r="E511" s="283"/>
      <c r="F511" s="283"/>
      <c r="G511" s="283"/>
      <c r="H511" s="283"/>
      <c r="I511" s="283"/>
    </row>
    <row r="512" spans="1:10">
      <c r="A512" s="279" t="s">
        <v>2</v>
      </c>
      <c r="B512" s="280"/>
      <c r="C512" s="199" t="s">
        <v>117</v>
      </c>
      <c r="D512" s="283"/>
      <c r="E512" s="283"/>
      <c r="F512" s="283"/>
      <c r="G512" s="283"/>
      <c r="H512" s="283"/>
      <c r="I512" s="283"/>
    </row>
    <row r="513" spans="1:10">
      <c r="A513" s="279" t="s">
        <v>4</v>
      </c>
      <c r="B513" s="280"/>
      <c r="C513" s="199" t="s">
        <v>118</v>
      </c>
      <c r="D513" s="283"/>
      <c r="E513" s="283"/>
      <c r="F513" s="283"/>
      <c r="G513" s="283"/>
      <c r="H513" s="283"/>
      <c r="I513" s="283"/>
    </row>
    <row r="514" spans="1:10">
      <c r="A514" s="279" t="s">
        <v>6</v>
      </c>
      <c r="B514" s="280"/>
      <c r="C514" s="199" t="s">
        <v>145</v>
      </c>
      <c r="D514" s="283"/>
      <c r="E514" s="283"/>
      <c r="F514" s="283"/>
      <c r="G514" s="283"/>
      <c r="H514" s="283"/>
      <c r="I514" s="283"/>
    </row>
    <row r="515" spans="1:10">
      <c r="A515" s="231" t="s">
        <v>10</v>
      </c>
      <c r="B515" s="268"/>
      <c r="C515" s="268"/>
      <c r="D515" s="268"/>
      <c r="E515" s="268"/>
      <c r="F515" s="268"/>
      <c r="G515" s="268"/>
      <c r="H515" s="268"/>
      <c r="I515" s="268"/>
      <c r="J515" s="107"/>
    </row>
    <row r="516" spans="1:10">
      <c r="A516" s="140"/>
      <c r="B516" s="140"/>
      <c r="C516" s="7" t="s">
        <v>11</v>
      </c>
      <c r="D516" s="7" t="s">
        <v>12</v>
      </c>
      <c r="E516" s="7" t="s">
        <v>13</v>
      </c>
      <c r="F516" s="7" t="s">
        <v>14</v>
      </c>
      <c r="G516" s="7" t="s">
        <v>15</v>
      </c>
      <c r="H516" s="7" t="s">
        <v>58</v>
      </c>
      <c r="I516" s="7" t="s">
        <v>78</v>
      </c>
      <c r="J516" s="89" t="s">
        <v>79</v>
      </c>
    </row>
    <row r="517" spans="1:10" ht="51">
      <c r="A517" s="209" t="s">
        <v>146</v>
      </c>
      <c r="B517" s="209" t="s">
        <v>147</v>
      </c>
      <c r="C517" s="140" t="s">
        <v>148</v>
      </c>
      <c r="D517" s="140" t="s">
        <v>149</v>
      </c>
      <c r="E517" s="140" t="s">
        <v>150</v>
      </c>
      <c r="F517" s="140" t="s">
        <v>123</v>
      </c>
      <c r="G517" s="140" t="s">
        <v>151</v>
      </c>
      <c r="H517" s="140" t="s">
        <v>152</v>
      </c>
      <c r="I517" s="140" t="s">
        <v>153</v>
      </c>
      <c r="J517" s="140" t="s">
        <v>153</v>
      </c>
    </row>
    <row r="518" spans="1:10" ht="15.75">
      <c r="A518" s="209"/>
      <c r="B518" s="209"/>
      <c r="C518" s="137" t="s">
        <v>154</v>
      </c>
      <c r="D518" s="137" t="s">
        <v>155</v>
      </c>
      <c r="E518" s="137" t="s">
        <v>156</v>
      </c>
      <c r="F518" s="137" t="s">
        <v>127</v>
      </c>
      <c r="G518" s="137" t="s">
        <v>157</v>
      </c>
      <c r="H518" s="137" t="s">
        <v>158</v>
      </c>
      <c r="I518" s="137" t="s">
        <v>159</v>
      </c>
      <c r="J518" s="137" t="s">
        <v>159</v>
      </c>
    </row>
    <row r="519" spans="1:10" ht="28.5">
      <c r="A519" s="209"/>
      <c r="B519" s="209"/>
      <c r="C519" s="8" t="s">
        <v>44</v>
      </c>
      <c r="D519" s="8" t="s">
        <v>44</v>
      </c>
      <c r="E519" s="8" t="s">
        <v>142</v>
      </c>
      <c r="F519" s="8" t="s">
        <v>130</v>
      </c>
      <c r="G519" s="8" t="s">
        <v>130</v>
      </c>
      <c r="H519" s="8" t="s">
        <v>160</v>
      </c>
      <c r="I519" s="8" t="s">
        <v>160</v>
      </c>
      <c r="J519" s="8" t="s">
        <v>231</v>
      </c>
    </row>
    <row r="520" spans="1:10" ht="24.75" thickBot="1">
      <c r="A520" s="225"/>
      <c r="B520" s="225"/>
      <c r="C520" s="5"/>
      <c r="D520" s="5"/>
      <c r="E520" s="5" t="s">
        <v>161</v>
      </c>
      <c r="F520" s="5" t="s">
        <v>162</v>
      </c>
      <c r="G520" s="5"/>
      <c r="H520" s="5"/>
      <c r="I520" s="9" t="s">
        <v>163</v>
      </c>
      <c r="J520" s="35"/>
    </row>
    <row r="521" spans="1:10" ht="13.5" thickTop="1">
      <c r="A521" s="281" t="s">
        <v>164</v>
      </c>
      <c r="B521" s="141" t="s">
        <v>225</v>
      </c>
      <c r="C521" s="42">
        <v>0.54</v>
      </c>
      <c r="D521" s="43">
        <v>0</v>
      </c>
      <c r="E521" s="38">
        <f>'4D1_CH4_EF_DomesticWastewater'!$D$14</f>
        <v>0.3</v>
      </c>
      <c r="F521" s="108">
        <f>$M$30</f>
        <v>11959984.199999999</v>
      </c>
      <c r="G521" s="47"/>
      <c r="H521" s="47"/>
      <c r="I521" s="14">
        <f>((C521*D521*E521)*(F521-G521))-H521</f>
        <v>0</v>
      </c>
      <c r="J521" s="138">
        <f>I521/(10^6)</f>
        <v>0</v>
      </c>
    </row>
    <row r="522" spans="1:10">
      <c r="A522" s="282"/>
      <c r="B522" s="142" t="s">
        <v>226</v>
      </c>
      <c r="C522" s="44">
        <v>0.54</v>
      </c>
      <c r="D522" s="45">
        <v>0.47</v>
      </c>
      <c r="E522" s="37">
        <f>'4D1_CH4_EF_DomesticWastewater'!$D$23</f>
        <v>0.06</v>
      </c>
      <c r="F522" s="108">
        <f t="shared" ref="F522:F535" si="54">$M$30</f>
        <v>11959984.199999999</v>
      </c>
      <c r="G522" s="48"/>
      <c r="H522" s="48"/>
      <c r="I522" s="15">
        <f t="shared" ref="I522:I535" si="55">((C522*D522*E522)*(F522-G522))-H522</f>
        <v>182126.6393976</v>
      </c>
      <c r="J522" s="34">
        <f t="shared" ref="J522:J535" si="56">I522/(10^6)</f>
        <v>0.18212663939759999</v>
      </c>
    </row>
    <row r="523" spans="1:10">
      <c r="A523" s="282"/>
      <c r="B523" s="139" t="s">
        <v>227</v>
      </c>
      <c r="C523" s="44">
        <v>0.54</v>
      </c>
      <c r="D523" s="45">
        <v>0</v>
      </c>
      <c r="E523" s="37">
        <f>'4D1_CH4_EF_DomesticWastewater'!$D$13</f>
        <v>0.06</v>
      </c>
      <c r="F523" s="108">
        <f t="shared" si="54"/>
        <v>11959984.199999999</v>
      </c>
      <c r="G523" s="48"/>
      <c r="H523" s="48"/>
      <c r="I523" s="15">
        <f t="shared" si="55"/>
        <v>0</v>
      </c>
      <c r="J523" s="34">
        <f t="shared" si="56"/>
        <v>0</v>
      </c>
    </row>
    <row r="524" spans="1:10">
      <c r="A524" s="241"/>
      <c r="B524" s="139" t="s">
        <v>228</v>
      </c>
      <c r="C524" s="44">
        <v>0.54</v>
      </c>
      <c r="D524" s="46">
        <v>0.1</v>
      </c>
      <c r="E524" s="37">
        <f>'4D1_CH4_EF_DomesticWastewater'!$D$14</f>
        <v>0.3</v>
      </c>
      <c r="F524" s="108">
        <f t="shared" si="54"/>
        <v>11959984.199999999</v>
      </c>
      <c r="G524" s="49"/>
      <c r="H524" s="49"/>
      <c r="I524" s="15">
        <f t="shared" si="55"/>
        <v>193751.74404000002</v>
      </c>
      <c r="J524" s="34">
        <f t="shared" si="56"/>
        <v>0.19375174404000001</v>
      </c>
    </row>
    <row r="525" spans="1:10">
      <c r="A525" s="241"/>
      <c r="B525" s="139" t="s">
        <v>229</v>
      </c>
      <c r="C525" s="44">
        <v>0.54</v>
      </c>
      <c r="D525" s="46">
        <v>0.43</v>
      </c>
      <c r="E525" s="37">
        <v>0</v>
      </c>
      <c r="F525" s="108">
        <f t="shared" si="54"/>
        <v>11959984.199999999</v>
      </c>
      <c r="G525" s="49"/>
      <c r="H525" s="49"/>
      <c r="I525" s="15">
        <f t="shared" si="55"/>
        <v>0</v>
      </c>
      <c r="J525" s="34">
        <f t="shared" si="56"/>
        <v>0</v>
      </c>
    </row>
    <row r="526" spans="1:10">
      <c r="A526" s="241" t="s">
        <v>165</v>
      </c>
      <c r="B526" s="139" t="s">
        <v>225</v>
      </c>
      <c r="C526" s="44">
        <v>0.12</v>
      </c>
      <c r="D526" s="46">
        <v>0.18</v>
      </c>
      <c r="E526" s="37">
        <f>'4D1_CH4_EF_DomesticWastewater'!$D$22</f>
        <v>0.3</v>
      </c>
      <c r="F526" s="108">
        <f t="shared" si="54"/>
        <v>11959984.199999999</v>
      </c>
      <c r="G526" s="49"/>
      <c r="H526" s="49"/>
      <c r="I526" s="15">
        <f t="shared" si="55"/>
        <v>77500.697615999976</v>
      </c>
      <c r="J526" s="34">
        <f t="shared" si="56"/>
        <v>7.7500697615999981E-2</v>
      </c>
    </row>
    <row r="527" spans="1:10">
      <c r="A527" s="241"/>
      <c r="B527" s="139" t="s">
        <v>226</v>
      </c>
      <c r="C527" s="44">
        <v>0.12</v>
      </c>
      <c r="D527" s="46">
        <v>0.08</v>
      </c>
      <c r="E527" s="37">
        <f>'4D1_CH4_EF_DomesticWastewater'!$D$23</f>
        <v>0.06</v>
      </c>
      <c r="F527" s="108">
        <f t="shared" si="54"/>
        <v>11959984.199999999</v>
      </c>
      <c r="G527" s="49"/>
      <c r="H527" s="49"/>
      <c r="I527" s="15">
        <f t="shared" si="55"/>
        <v>6888.9508991999983</v>
      </c>
      <c r="J527" s="34">
        <f t="shared" si="56"/>
        <v>6.8889508991999979E-3</v>
      </c>
    </row>
    <row r="528" spans="1:10">
      <c r="A528" s="241"/>
      <c r="B528" s="139" t="s">
        <v>227</v>
      </c>
      <c r="C528" s="44">
        <v>0.12</v>
      </c>
      <c r="D528" s="46">
        <v>0</v>
      </c>
      <c r="E528" s="37">
        <f>'4D1_CH4_EF_DomesticWastewater'!$D$13</f>
        <v>0.06</v>
      </c>
      <c r="F528" s="108">
        <f t="shared" si="54"/>
        <v>11959984.199999999</v>
      </c>
      <c r="G528" s="49"/>
      <c r="H528" s="49"/>
      <c r="I528" s="15">
        <f t="shared" si="55"/>
        <v>0</v>
      </c>
      <c r="J528" s="34">
        <f t="shared" si="56"/>
        <v>0</v>
      </c>
    </row>
    <row r="529" spans="1:10">
      <c r="A529" s="241"/>
      <c r="B529" s="139" t="s">
        <v>228</v>
      </c>
      <c r="C529" s="44">
        <v>0.12</v>
      </c>
      <c r="D529" s="46">
        <v>0.74</v>
      </c>
      <c r="E529" s="37">
        <f>'4D1_CH4_EF_DomesticWastewater'!$D$13</f>
        <v>0.06</v>
      </c>
      <c r="F529" s="108">
        <f t="shared" si="54"/>
        <v>11959984.199999999</v>
      </c>
      <c r="G529" s="49"/>
      <c r="H529" s="49"/>
      <c r="I529" s="15">
        <f t="shared" si="55"/>
        <v>63722.795817599988</v>
      </c>
      <c r="J529" s="34">
        <f t="shared" si="56"/>
        <v>6.3722795817599986E-2</v>
      </c>
    </row>
    <row r="530" spans="1:10">
      <c r="A530" s="241"/>
      <c r="B530" s="139" t="s">
        <v>229</v>
      </c>
      <c r="C530" s="44">
        <v>0.12</v>
      </c>
      <c r="D530" s="46">
        <v>0</v>
      </c>
      <c r="E530" s="37">
        <v>0</v>
      </c>
      <c r="F530" s="108">
        <f t="shared" si="54"/>
        <v>11959984.199999999</v>
      </c>
      <c r="G530" s="49"/>
      <c r="H530" s="49"/>
      <c r="I530" s="15">
        <f t="shared" si="55"/>
        <v>0</v>
      </c>
      <c r="J530" s="34">
        <f t="shared" si="56"/>
        <v>0</v>
      </c>
    </row>
    <row r="531" spans="1:10">
      <c r="A531" s="241" t="s">
        <v>166</v>
      </c>
      <c r="B531" s="139" t="s">
        <v>225</v>
      </c>
      <c r="C531" s="44">
        <v>0.34</v>
      </c>
      <c r="D531" s="46">
        <v>0.14000000000000001</v>
      </c>
      <c r="E531" s="37">
        <f>'4D1_CH4_EF_DomesticWastewater'!$D$22</f>
        <v>0.3</v>
      </c>
      <c r="F531" s="108">
        <f t="shared" si="54"/>
        <v>11959984.199999999</v>
      </c>
      <c r="G531" s="49"/>
      <c r="H531" s="49"/>
      <c r="I531" s="15">
        <f t="shared" si="55"/>
        <v>170788.57437600003</v>
      </c>
      <c r="J531" s="34">
        <f t="shared" si="56"/>
        <v>0.17078857437600004</v>
      </c>
    </row>
    <row r="532" spans="1:10">
      <c r="A532" s="241"/>
      <c r="B532" s="139" t="s">
        <v>226</v>
      </c>
      <c r="C532" s="44">
        <v>0.34</v>
      </c>
      <c r="D532" s="46">
        <v>0.1</v>
      </c>
      <c r="E532" s="37">
        <f>'4D1_CH4_EF_DomesticWastewater'!$D$23</f>
        <v>0.06</v>
      </c>
      <c r="F532" s="108">
        <f t="shared" si="54"/>
        <v>11959984.199999999</v>
      </c>
      <c r="G532" s="49"/>
      <c r="H532" s="49"/>
      <c r="I532" s="15">
        <f t="shared" si="55"/>
        <v>24398.367768</v>
      </c>
      <c r="J532" s="34">
        <f t="shared" si="56"/>
        <v>2.4398367768000001E-2</v>
      </c>
    </row>
    <row r="533" spans="1:10">
      <c r="A533" s="241"/>
      <c r="B533" s="139" t="s">
        <v>227</v>
      </c>
      <c r="C533" s="44">
        <v>0.34</v>
      </c>
      <c r="D533" s="46">
        <v>0.03</v>
      </c>
      <c r="E533" s="37">
        <f>'4D1_CH4_EF_DomesticWastewater'!$D$13</f>
        <v>0.06</v>
      </c>
      <c r="F533" s="108">
        <f t="shared" si="54"/>
        <v>11959984.199999999</v>
      </c>
      <c r="G533" s="49"/>
      <c r="H533" s="49"/>
      <c r="I533" s="15">
        <f t="shared" si="55"/>
        <v>7319.5103303999995</v>
      </c>
      <c r="J533" s="34">
        <f t="shared" si="56"/>
        <v>7.3195103303999995E-3</v>
      </c>
    </row>
    <row r="534" spans="1:10">
      <c r="A534" s="241"/>
      <c r="B534" s="139" t="s">
        <v>228</v>
      </c>
      <c r="C534" s="44">
        <v>0.34</v>
      </c>
      <c r="D534" s="46">
        <v>0.53</v>
      </c>
      <c r="E534" s="37">
        <f>'4D1_CH4_EF_DomesticWastewater'!$D$13</f>
        <v>0.06</v>
      </c>
      <c r="F534" s="108">
        <f t="shared" si="54"/>
        <v>11959984.199999999</v>
      </c>
      <c r="G534" s="49"/>
      <c r="H534" s="49"/>
      <c r="I534" s="15">
        <f t="shared" si="55"/>
        <v>129311.34917039999</v>
      </c>
      <c r="J534" s="34">
        <f t="shared" si="56"/>
        <v>0.12931134917039999</v>
      </c>
    </row>
    <row r="535" spans="1:10">
      <c r="A535" s="241"/>
      <c r="B535" s="139" t="s">
        <v>229</v>
      </c>
      <c r="C535" s="44">
        <v>0.34</v>
      </c>
      <c r="D535" s="46">
        <v>0.2</v>
      </c>
      <c r="E535" s="37">
        <v>0</v>
      </c>
      <c r="F535" s="108">
        <f t="shared" si="54"/>
        <v>11959984.199999999</v>
      </c>
      <c r="G535" s="49"/>
      <c r="H535" s="49"/>
      <c r="I535" s="15">
        <f t="shared" si="55"/>
        <v>0</v>
      </c>
      <c r="J535" s="34">
        <f t="shared" si="56"/>
        <v>0</v>
      </c>
    </row>
    <row r="536" spans="1:10">
      <c r="A536" s="278" t="s">
        <v>308</v>
      </c>
      <c r="B536" s="278"/>
      <c r="C536" s="278"/>
      <c r="D536" s="278"/>
      <c r="E536" s="278"/>
      <c r="F536" s="278"/>
      <c r="G536" s="278"/>
      <c r="H536" s="278"/>
      <c r="I536" s="109">
        <f>SUM(I521:I535)</f>
        <v>855808.62941519986</v>
      </c>
      <c r="J536" s="110">
        <f>SUM(J521:J535)</f>
        <v>0.85580862941519997</v>
      </c>
    </row>
    <row r="539" spans="1:10">
      <c r="A539" s="279" t="s">
        <v>0</v>
      </c>
      <c r="B539" s="280"/>
      <c r="C539" s="199" t="s">
        <v>1</v>
      </c>
      <c r="D539" s="283"/>
      <c r="E539" s="283"/>
      <c r="F539" s="283"/>
      <c r="G539" s="283"/>
      <c r="H539" s="283"/>
      <c r="I539" s="283"/>
    </row>
    <row r="540" spans="1:10">
      <c r="A540" s="279" t="s">
        <v>2</v>
      </c>
      <c r="B540" s="280"/>
      <c r="C540" s="199" t="s">
        <v>117</v>
      </c>
      <c r="D540" s="283"/>
      <c r="E540" s="283"/>
      <c r="F540" s="283"/>
      <c r="G540" s="283"/>
      <c r="H540" s="283"/>
      <c r="I540" s="283"/>
    </row>
    <row r="541" spans="1:10">
      <c r="A541" s="279" t="s">
        <v>4</v>
      </c>
      <c r="B541" s="280"/>
      <c r="C541" s="199" t="s">
        <v>118</v>
      </c>
      <c r="D541" s="283"/>
      <c r="E541" s="283"/>
      <c r="F541" s="283"/>
      <c r="G541" s="283"/>
      <c r="H541" s="283"/>
      <c r="I541" s="283"/>
    </row>
    <row r="542" spans="1:10">
      <c r="A542" s="279" t="s">
        <v>6</v>
      </c>
      <c r="B542" s="280"/>
      <c r="C542" s="199" t="s">
        <v>145</v>
      </c>
      <c r="D542" s="283"/>
      <c r="E542" s="283"/>
      <c r="F542" s="283"/>
      <c r="G542" s="283"/>
      <c r="H542" s="283"/>
      <c r="I542" s="283"/>
    </row>
    <row r="543" spans="1:10">
      <c r="A543" s="231" t="s">
        <v>10</v>
      </c>
      <c r="B543" s="268"/>
      <c r="C543" s="268"/>
      <c r="D543" s="268"/>
      <c r="E543" s="268"/>
      <c r="F543" s="268"/>
      <c r="G543" s="268"/>
      <c r="H543" s="268"/>
      <c r="I543" s="268"/>
      <c r="J543" s="107"/>
    </row>
    <row r="544" spans="1:10">
      <c r="A544" s="140"/>
      <c r="B544" s="140"/>
      <c r="C544" s="7" t="s">
        <v>11</v>
      </c>
      <c r="D544" s="7" t="s">
        <v>12</v>
      </c>
      <c r="E544" s="7" t="s">
        <v>13</v>
      </c>
      <c r="F544" s="7" t="s">
        <v>14</v>
      </c>
      <c r="G544" s="7" t="s">
        <v>15</v>
      </c>
      <c r="H544" s="7" t="s">
        <v>58</v>
      </c>
      <c r="I544" s="7" t="s">
        <v>78</v>
      </c>
      <c r="J544" s="89" t="s">
        <v>79</v>
      </c>
    </row>
    <row r="545" spans="1:10" ht="51">
      <c r="A545" s="209" t="s">
        <v>146</v>
      </c>
      <c r="B545" s="209" t="s">
        <v>147</v>
      </c>
      <c r="C545" s="140" t="s">
        <v>148</v>
      </c>
      <c r="D545" s="140" t="s">
        <v>149</v>
      </c>
      <c r="E545" s="140" t="s">
        <v>150</v>
      </c>
      <c r="F545" s="140" t="s">
        <v>123</v>
      </c>
      <c r="G545" s="140" t="s">
        <v>151</v>
      </c>
      <c r="H545" s="140" t="s">
        <v>152</v>
      </c>
      <c r="I545" s="140" t="s">
        <v>153</v>
      </c>
      <c r="J545" s="140" t="s">
        <v>153</v>
      </c>
    </row>
    <row r="546" spans="1:10" ht="15.75">
      <c r="A546" s="209"/>
      <c r="B546" s="209"/>
      <c r="C546" s="137" t="s">
        <v>154</v>
      </c>
      <c r="D546" s="137" t="s">
        <v>155</v>
      </c>
      <c r="E546" s="137" t="s">
        <v>156</v>
      </c>
      <c r="F546" s="137" t="s">
        <v>127</v>
      </c>
      <c r="G546" s="137" t="s">
        <v>157</v>
      </c>
      <c r="H546" s="137" t="s">
        <v>158</v>
      </c>
      <c r="I546" s="137" t="s">
        <v>159</v>
      </c>
      <c r="J546" s="137" t="s">
        <v>159</v>
      </c>
    </row>
    <row r="547" spans="1:10" ht="28.5">
      <c r="A547" s="209"/>
      <c r="B547" s="209"/>
      <c r="C547" s="8" t="s">
        <v>44</v>
      </c>
      <c r="D547" s="8" t="s">
        <v>44</v>
      </c>
      <c r="E547" s="8" t="s">
        <v>142</v>
      </c>
      <c r="F547" s="8" t="s">
        <v>130</v>
      </c>
      <c r="G547" s="8" t="s">
        <v>130</v>
      </c>
      <c r="H547" s="8" t="s">
        <v>160</v>
      </c>
      <c r="I547" s="8" t="s">
        <v>160</v>
      </c>
      <c r="J547" s="8" t="s">
        <v>231</v>
      </c>
    </row>
    <row r="548" spans="1:10" ht="24.75" thickBot="1">
      <c r="A548" s="225"/>
      <c r="B548" s="225"/>
      <c r="C548" s="5"/>
      <c r="D548" s="5"/>
      <c r="E548" s="5" t="s">
        <v>161</v>
      </c>
      <c r="F548" s="5" t="s">
        <v>162</v>
      </c>
      <c r="G548" s="5"/>
      <c r="H548" s="5"/>
      <c r="I548" s="9" t="s">
        <v>163</v>
      </c>
      <c r="J548" s="35"/>
    </row>
    <row r="549" spans="1:10" ht="13.5" thickTop="1">
      <c r="A549" s="281" t="s">
        <v>164</v>
      </c>
      <c r="B549" s="141" t="s">
        <v>225</v>
      </c>
      <c r="C549" s="42">
        <v>0.54</v>
      </c>
      <c r="D549" s="43">
        <v>0</v>
      </c>
      <c r="E549" s="38">
        <f>'4D1_CH4_EF_DomesticWastewater'!$D$14</f>
        <v>0.3</v>
      </c>
      <c r="F549" s="108">
        <f>$M$31</f>
        <v>12180429.6</v>
      </c>
      <c r="G549" s="47"/>
      <c r="H549" s="47"/>
      <c r="I549" s="14">
        <f>((C549*D549*E549)*(F549-G549))-H549</f>
        <v>0</v>
      </c>
      <c r="J549" s="138">
        <f>I549/(10^6)</f>
        <v>0</v>
      </c>
    </row>
    <row r="550" spans="1:10">
      <c r="A550" s="282"/>
      <c r="B550" s="142" t="s">
        <v>226</v>
      </c>
      <c r="C550" s="44">
        <v>0.54</v>
      </c>
      <c r="D550" s="45">
        <v>0.47</v>
      </c>
      <c r="E550" s="37">
        <f>'4D1_CH4_EF_DomesticWastewater'!$D$23</f>
        <v>0.06</v>
      </c>
      <c r="F550" s="108">
        <f t="shared" ref="F550:F563" si="57">$M$31</f>
        <v>12180429.6</v>
      </c>
      <c r="G550" s="48"/>
      <c r="H550" s="48"/>
      <c r="I550" s="15">
        <f t="shared" ref="I550:I563" si="58">((C550*D550*E550)*(F550-G550))-H550</f>
        <v>185483.58194879998</v>
      </c>
      <c r="J550" s="34">
        <f t="shared" ref="J550:J563" si="59">I550/(10^6)</f>
        <v>0.18548358194879999</v>
      </c>
    </row>
    <row r="551" spans="1:10">
      <c r="A551" s="282"/>
      <c r="B551" s="139" t="s">
        <v>227</v>
      </c>
      <c r="C551" s="44">
        <v>0.54</v>
      </c>
      <c r="D551" s="45">
        <v>0</v>
      </c>
      <c r="E551" s="37">
        <f>'4D1_CH4_EF_DomesticWastewater'!$D$13</f>
        <v>0.06</v>
      </c>
      <c r="F551" s="108">
        <f t="shared" si="57"/>
        <v>12180429.6</v>
      </c>
      <c r="G551" s="48"/>
      <c r="H551" s="48"/>
      <c r="I551" s="15">
        <f t="shared" si="58"/>
        <v>0</v>
      </c>
      <c r="J551" s="34">
        <f t="shared" si="59"/>
        <v>0</v>
      </c>
    </row>
    <row r="552" spans="1:10">
      <c r="A552" s="241"/>
      <c r="B552" s="139" t="s">
        <v>228</v>
      </c>
      <c r="C552" s="44">
        <v>0.54</v>
      </c>
      <c r="D552" s="46">
        <v>0.1</v>
      </c>
      <c r="E552" s="37">
        <f>'4D1_CH4_EF_DomesticWastewater'!$D$14</f>
        <v>0.3</v>
      </c>
      <c r="F552" s="108">
        <f t="shared" si="57"/>
        <v>12180429.6</v>
      </c>
      <c r="G552" s="49"/>
      <c r="H552" s="49"/>
      <c r="I552" s="15">
        <f t="shared" si="58"/>
        <v>197322.95952000003</v>
      </c>
      <c r="J552" s="34">
        <f t="shared" si="59"/>
        <v>0.19732295952000004</v>
      </c>
    </row>
    <row r="553" spans="1:10">
      <c r="A553" s="241"/>
      <c r="B553" s="139" t="s">
        <v>229</v>
      </c>
      <c r="C553" s="44">
        <v>0.54</v>
      </c>
      <c r="D553" s="46">
        <v>0.43</v>
      </c>
      <c r="E553" s="37">
        <v>0</v>
      </c>
      <c r="F553" s="108">
        <f t="shared" si="57"/>
        <v>12180429.6</v>
      </c>
      <c r="G553" s="49"/>
      <c r="H553" s="49"/>
      <c r="I553" s="15">
        <f t="shared" si="58"/>
        <v>0</v>
      </c>
      <c r="J553" s="34">
        <f t="shared" si="59"/>
        <v>0</v>
      </c>
    </row>
    <row r="554" spans="1:10">
      <c r="A554" s="241" t="s">
        <v>165</v>
      </c>
      <c r="B554" s="139" t="s">
        <v>225</v>
      </c>
      <c r="C554" s="44">
        <v>0.12</v>
      </c>
      <c r="D554" s="46">
        <v>0.18</v>
      </c>
      <c r="E554" s="37">
        <f>'4D1_CH4_EF_DomesticWastewater'!$D$22</f>
        <v>0.3</v>
      </c>
      <c r="F554" s="108">
        <f t="shared" si="57"/>
        <v>12180429.6</v>
      </c>
      <c r="G554" s="49"/>
      <c r="H554" s="49"/>
      <c r="I554" s="15">
        <f t="shared" si="58"/>
        <v>78929.183807999987</v>
      </c>
      <c r="J554" s="34">
        <f t="shared" si="59"/>
        <v>7.8929183807999986E-2</v>
      </c>
    </row>
    <row r="555" spans="1:10">
      <c r="A555" s="241"/>
      <c r="B555" s="139" t="s">
        <v>226</v>
      </c>
      <c r="C555" s="44">
        <v>0.12</v>
      </c>
      <c r="D555" s="46">
        <v>0.08</v>
      </c>
      <c r="E555" s="37">
        <f>'4D1_CH4_EF_DomesticWastewater'!$D$23</f>
        <v>0.06</v>
      </c>
      <c r="F555" s="108">
        <f t="shared" si="57"/>
        <v>12180429.6</v>
      </c>
      <c r="G555" s="49"/>
      <c r="H555" s="49"/>
      <c r="I555" s="15">
        <f t="shared" si="58"/>
        <v>7015.9274495999989</v>
      </c>
      <c r="J555" s="34">
        <f t="shared" si="59"/>
        <v>7.0159274495999987E-3</v>
      </c>
    </row>
    <row r="556" spans="1:10">
      <c r="A556" s="241"/>
      <c r="B556" s="139" t="s">
        <v>227</v>
      </c>
      <c r="C556" s="44">
        <v>0.12</v>
      </c>
      <c r="D556" s="46">
        <v>0</v>
      </c>
      <c r="E556" s="37">
        <f>'4D1_CH4_EF_DomesticWastewater'!$D$13</f>
        <v>0.06</v>
      </c>
      <c r="F556" s="108">
        <f t="shared" si="57"/>
        <v>12180429.6</v>
      </c>
      <c r="G556" s="49"/>
      <c r="H556" s="49"/>
      <c r="I556" s="15">
        <f t="shared" si="58"/>
        <v>0</v>
      </c>
      <c r="J556" s="34">
        <f t="shared" si="59"/>
        <v>0</v>
      </c>
    </row>
    <row r="557" spans="1:10">
      <c r="A557" s="241"/>
      <c r="B557" s="139" t="s">
        <v>228</v>
      </c>
      <c r="C557" s="44">
        <v>0.12</v>
      </c>
      <c r="D557" s="46">
        <v>0.74</v>
      </c>
      <c r="E557" s="37">
        <f>'4D1_CH4_EF_DomesticWastewater'!$D$13</f>
        <v>0.06</v>
      </c>
      <c r="F557" s="108">
        <f t="shared" si="57"/>
        <v>12180429.6</v>
      </c>
      <c r="G557" s="49"/>
      <c r="H557" s="49"/>
      <c r="I557" s="15">
        <f t="shared" si="58"/>
        <v>64897.328908799987</v>
      </c>
      <c r="J557" s="34">
        <f t="shared" si="59"/>
        <v>6.4897328908799984E-2</v>
      </c>
    </row>
    <row r="558" spans="1:10">
      <c r="A558" s="241"/>
      <c r="B558" s="139" t="s">
        <v>229</v>
      </c>
      <c r="C558" s="44">
        <v>0.12</v>
      </c>
      <c r="D558" s="46">
        <v>0</v>
      </c>
      <c r="E558" s="37">
        <v>0</v>
      </c>
      <c r="F558" s="108">
        <f t="shared" si="57"/>
        <v>12180429.6</v>
      </c>
      <c r="G558" s="49"/>
      <c r="H558" s="49"/>
      <c r="I558" s="15">
        <f t="shared" si="58"/>
        <v>0</v>
      </c>
      <c r="J558" s="34">
        <f t="shared" si="59"/>
        <v>0</v>
      </c>
    </row>
    <row r="559" spans="1:10">
      <c r="A559" s="241" t="s">
        <v>166</v>
      </c>
      <c r="B559" s="139" t="s">
        <v>225</v>
      </c>
      <c r="C559" s="44">
        <v>0.34</v>
      </c>
      <c r="D559" s="46">
        <v>0.14000000000000001</v>
      </c>
      <c r="E559" s="37">
        <f>'4D1_CH4_EF_DomesticWastewater'!$D$22</f>
        <v>0.3</v>
      </c>
      <c r="F559" s="108">
        <f t="shared" si="57"/>
        <v>12180429.6</v>
      </c>
      <c r="G559" s="49"/>
      <c r="H559" s="49"/>
      <c r="I559" s="15">
        <f t="shared" si="58"/>
        <v>173936.53468800001</v>
      </c>
      <c r="J559" s="34">
        <f t="shared" si="59"/>
        <v>0.17393653468800002</v>
      </c>
    </row>
    <row r="560" spans="1:10">
      <c r="A560" s="241"/>
      <c r="B560" s="139" t="s">
        <v>226</v>
      </c>
      <c r="C560" s="44">
        <v>0.34</v>
      </c>
      <c r="D560" s="46">
        <v>0.1</v>
      </c>
      <c r="E560" s="37">
        <f>'4D1_CH4_EF_DomesticWastewater'!$D$23</f>
        <v>0.06</v>
      </c>
      <c r="F560" s="108">
        <f t="shared" si="57"/>
        <v>12180429.6</v>
      </c>
      <c r="G560" s="49"/>
      <c r="H560" s="49"/>
      <c r="I560" s="15">
        <f t="shared" si="58"/>
        <v>24848.076384</v>
      </c>
      <c r="J560" s="34">
        <f t="shared" si="59"/>
        <v>2.4848076383999999E-2</v>
      </c>
    </row>
    <row r="561" spans="1:10">
      <c r="A561" s="241"/>
      <c r="B561" s="139" t="s">
        <v>227</v>
      </c>
      <c r="C561" s="44">
        <v>0.34</v>
      </c>
      <c r="D561" s="46">
        <v>0.03</v>
      </c>
      <c r="E561" s="37">
        <f>'4D1_CH4_EF_DomesticWastewater'!$D$13</f>
        <v>0.06</v>
      </c>
      <c r="F561" s="108">
        <f t="shared" si="57"/>
        <v>12180429.6</v>
      </c>
      <c r="G561" s="49"/>
      <c r="H561" s="49"/>
      <c r="I561" s="15">
        <f t="shared" si="58"/>
        <v>7454.4229151999998</v>
      </c>
      <c r="J561" s="34">
        <f t="shared" si="59"/>
        <v>7.4544229151999996E-3</v>
      </c>
    </row>
    <row r="562" spans="1:10">
      <c r="A562" s="241"/>
      <c r="B562" s="139" t="s">
        <v>228</v>
      </c>
      <c r="C562" s="44">
        <v>0.34</v>
      </c>
      <c r="D562" s="46">
        <v>0.53</v>
      </c>
      <c r="E562" s="37">
        <f>'4D1_CH4_EF_DomesticWastewater'!$D$13</f>
        <v>0.06</v>
      </c>
      <c r="F562" s="108">
        <f t="shared" si="57"/>
        <v>12180429.6</v>
      </c>
      <c r="G562" s="49"/>
      <c r="H562" s="49"/>
      <c r="I562" s="15">
        <f t="shared" si="58"/>
        <v>131694.80483519999</v>
      </c>
      <c r="J562" s="34">
        <f t="shared" si="59"/>
        <v>0.13169480483519999</v>
      </c>
    </row>
    <row r="563" spans="1:10">
      <c r="A563" s="241"/>
      <c r="B563" s="139" t="s">
        <v>229</v>
      </c>
      <c r="C563" s="44">
        <v>0.34</v>
      </c>
      <c r="D563" s="46">
        <v>0.2</v>
      </c>
      <c r="E563" s="37">
        <v>0</v>
      </c>
      <c r="F563" s="108">
        <f t="shared" si="57"/>
        <v>12180429.6</v>
      </c>
      <c r="G563" s="49"/>
      <c r="H563" s="49"/>
      <c r="I563" s="15">
        <f t="shared" si="58"/>
        <v>0</v>
      </c>
      <c r="J563" s="34">
        <f t="shared" si="59"/>
        <v>0</v>
      </c>
    </row>
    <row r="564" spans="1:10">
      <c r="A564" s="278" t="s">
        <v>309</v>
      </c>
      <c r="B564" s="278"/>
      <c r="C564" s="278"/>
      <c r="D564" s="278"/>
      <c r="E564" s="278"/>
      <c r="F564" s="278"/>
      <c r="G564" s="278"/>
      <c r="H564" s="278"/>
      <c r="I564" s="109">
        <f>SUM(I549:I563)</f>
        <v>871582.82045760006</v>
      </c>
      <c r="J564" s="110">
        <f>SUM(J549:J563)</f>
        <v>0.87158282045759994</v>
      </c>
    </row>
  </sheetData>
  <mergeCells count="305">
    <mergeCell ref="A549:A553"/>
    <mergeCell ref="A554:A558"/>
    <mergeCell ref="A559:A563"/>
    <mergeCell ref="A564:H564"/>
    <mergeCell ref="A540:B540"/>
    <mergeCell ref="C540:I540"/>
    <mergeCell ref="A541:B541"/>
    <mergeCell ref="C541:I541"/>
    <mergeCell ref="A542:B542"/>
    <mergeCell ref="C542:I542"/>
    <mergeCell ref="A543:I543"/>
    <mergeCell ref="A545:A548"/>
    <mergeCell ref="B545:B548"/>
    <mergeCell ref="A515:I515"/>
    <mergeCell ref="A517:A520"/>
    <mergeCell ref="B517:B520"/>
    <mergeCell ref="A521:A525"/>
    <mergeCell ref="A526:A530"/>
    <mergeCell ref="A531:A535"/>
    <mergeCell ref="A536:H536"/>
    <mergeCell ref="A539:B539"/>
    <mergeCell ref="C539:I539"/>
    <mergeCell ref="A503:A507"/>
    <mergeCell ref="A508:H508"/>
    <mergeCell ref="A511:B511"/>
    <mergeCell ref="C511:I511"/>
    <mergeCell ref="A512:B512"/>
    <mergeCell ref="C512:I512"/>
    <mergeCell ref="A513:B513"/>
    <mergeCell ref="C513:I513"/>
    <mergeCell ref="A514:B514"/>
    <mergeCell ref="C514:I514"/>
    <mergeCell ref="A485:B485"/>
    <mergeCell ref="C485:I485"/>
    <mergeCell ref="A486:B486"/>
    <mergeCell ref="C486:I486"/>
    <mergeCell ref="A487:I487"/>
    <mergeCell ref="A489:A492"/>
    <mergeCell ref="B489:B492"/>
    <mergeCell ref="A493:A497"/>
    <mergeCell ref="A498:A502"/>
    <mergeCell ref="A461:A464"/>
    <mergeCell ref="B461:B464"/>
    <mergeCell ref="A465:A469"/>
    <mergeCell ref="A470:A474"/>
    <mergeCell ref="A475:A479"/>
    <mergeCell ref="A480:H480"/>
    <mergeCell ref="A483:B483"/>
    <mergeCell ref="C483:I483"/>
    <mergeCell ref="A484:B484"/>
    <mergeCell ref="C484:I484"/>
    <mergeCell ref="A455:B455"/>
    <mergeCell ref="C455:I455"/>
    <mergeCell ref="A456:B456"/>
    <mergeCell ref="C456:I456"/>
    <mergeCell ref="A457:B457"/>
    <mergeCell ref="C457:I457"/>
    <mergeCell ref="A458:B458"/>
    <mergeCell ref="C458:I458"/>
    <mergeCell ref="A459:I459"/>
    <mergeCell ref="A430:B430"/>
    <mergeCell ref="C430:I430"/>
    <mergeCell ref="A431:I431"/>
    <mergeCell ref="A433:A436"/>
    <mergeCell ref="B433:B436"/>
    <mergeCell ref="A437:A441"/>
    <mergeCell ref="A442:A446"/>
    <mergeCell ref="A447:A451"/>
    <mergeCell ref="A452:H452"/>
    <mergeCell ref="A409:A413"/>
    <mergeCell ref="A414:A418"/>
    <mergeCell ref="A419:A423"/>
    <mergeCell ref="A424:H424"/>
    <mergeCell ref="A427:B427"/>
    <mergeCell ref="C427:I427"/>
    <mergeCell ref="A428:B428"/>
    <mergeCell ref="C428:I428"/>
    <mergeCell ref="A429:B429"/>
    <mergeCell ref="C429:I429"/>
    <mergeCell ref="A400:B400"/>
    <mergeCell ref="C400:I400"/>
    <mergeCell ref="A401:B401"/>
    <mergeCell ref="C401:I401"/>
    <mergeCell ref="A402:B402"/>
    <mergeCell ref="C402:I402"/>
    <mergeCell ref="A403:I403"/>
    <mergeCell ref="A405:A408"/>
    <mergeCell ref="B405:B408"/>
    <mergeCell ref="A375:I375"/>
    <mergeCell ref="A377:A380"/>
    <mergeCell ref="B377:B380"/>
    <mergeCell ref="A381:A385"/>
    <mergeCell ref="A386:A390"/>
    <mergeCell ref="A391:A395"/>
    <mergeCell ref="A396:H396"/>
    <mergeCell ref="A399:B399"/>
    <mergeCell ref="C399:I399"/>
    <mergeCell ref="A363:A367"/>
    <mergeCell ref="A368:H368"/>
    <mergeCell ref="A371:B371"/>
    <mergeCell ref="C371:I371"/>
    <mergeCell ref="A372:B372"/>
    <mergeCell ref="C372:I372"/>
    <mergeCell ref="A373:B373"/>
    <mergeCell ref="C373:I373"/>
    <mergeCell ref="A374:B374"/>
    <mergeCell ref="C374:I374"/>
    <mergeCell ref="A345:B345"/>
    <mergeCell ref="C345:I345"/>
    <mergeCell ref="A346:B346"/>
    <mergeCell ref="C346:I346"/>
    <mergeCell ref="A347:I347"/>
    <mergeCell ref="A349:A352"/>
    <mergeCell ref="B349:B352"/>
    <mergeCell ref="A353:A357"/>
    <mergeCell ref="A358:A362"/>
    <mergeCell ref="A321:A324"/>
    <mergeCell ref="B321:B324"/>
    <mergeCell ref="A325:A329"/>
    <mergeCell ref="A330:A334"/>
    <mergeCell ref="A335:A339"/>
    <mergeCell ref="A340:H340"/>
    <mergeCell ref="A343:B343"/>
    <mergeCell ref="C343:I343"/>
    <mergeCell ref="A344:B344"/>
    <mergeCell ref="C344:I344"/>
    <mergeCell ref="A315:B315"/>
    <mergeCell ref="C315:I315"/>
    <mergeCell ref="A316:B316"/>
    <mergeCell ref="C316:I316"/>
    <mergeCell ref="A317:B317"/>
    <mergeCell ref="C317:I317"/>
    <mergeCell ref="A318:B318"/>
    <mergeCell ref="C318:I318"/>
    <mergeCell ref="A319:I319"/>
    <mergeCell ref="A312:H312"/>
    <mergeCell ref="A293:A296"/>
    <mergeCell ref="B293:B296"/>
    <mergeCell ref="A297:A301"/>
    <mergeCell ref="A302:A306"/>
    <mergeCell ref="A307:A311"/>
    <mergeCell ref="A289:B289"/>
    <mergeCell ref="C289:I289"/>
    <mergeCell ref="A290:B290"/>
    <mergeCell ref="C290:I290"/>
    <mergeCell ref="A291:I291"/>
    <mergeCell ref="A284:H284"/>
    <mergeCell ref="A287:B287"/>
    <mergeCell ref="C287:I287"/>
    <mergeCell ref="A288:B288"/>
    <mergeCell ref="C288:I288"/>
    <mergeCell ref="A265:A268"/>
    <mergeCell ref="B265:B268"/>
    <mergeCell ref="A269:A273"/>
    <mergeCell ref="A274:A278"/>
    <mergeCell ref="A279:A283"/>
    <mergeCell ref="A261:B261"/>
    <mergeCell ref="C261:I261"/>
    <mergeCell ref="A262:B262"/>
    <mergeCell ref="C262:I262"/>
    <mergeCell ref="A263:I263"/>
    <mergeCell ref="A256:H256"/>
    <mergeCell ref="A259:B259"/>
    <mergeCell ref="C259:I259"/>
    <mergeCell ref="A260:B260"/>
    <mergeCell ref="C260:I260"/>
    <mergeCell ref="A237:A240"/>
    <mergeCell ref="B237:B240"/>
    <mergeCell ref="A241:A245"/>
    <mergeCell ref="A246:A250"/>
    <mergeCell ref="A251:A255"/>
    <mergeCell ref="A233:B233"/>
    <mergeCell ref="C233:I233"/>
    <mergeCell ref="A234:B234"/>
    <mergeCell ref="C234:I234"/>
    <mergeCell ref="A235:I235"/>
    <mergeCell ref="A228:H228"/>
    <mergeCell ref="A231:B231"/>
    <mergeCell ref="C231:I231"/>
    <mergeCell ref="A232:B232"/>
    <mergeCell ref="C232:I232"/>
    <mergeCell ref="A209:A212"/>
    <mergeCell ref="B209:B212"/>
    <mergeCell ref="A213:A217"/>
    <mergeCell ref="A218:A222"/>
    <mergeCell ref="A223:A227"/>
    <mergeCell ref="A205:B205"/>
    <mergeCell ref="C205:I205"/>
    <mergeCell ref="A206:B206"/>
    <mergeCell ref="C206:I206"/>
    <mergeCell ref="A207:I207"/>
    <mergeCell ref="A200:H200"/>
    <mergeCell ref="A203:B203"/>
    <mergeCell ref="C203:I203"/>
    <mergeCell ref="A204:B204"/>
    <mergeCell ref="C204:I204"/>
    <mergeCell ref="A181:A184"/>
    <mergeCell ref="B181:B184"/>
    <mergeCell ref="A185:A189"/>
    <mergeCell ref="A190:A194"/>
    <mergeCell ref="A195:A199"/>
    <mergeCell ref="A177:B177"/>
    <mergeCell ref="C177:I177"/>
    <mergeCell ref="A178:B178"/>
    <mergeCell ref="C178:I178"/>
    <mergeCell ref="A179:I179"/>
    <mergeCell ref="A172:H172"/>
    <mergeCell ref="A175:B175"/>
    <mergeCell ref="C175:I175"/>
    <mergeCell ref="A176:B176"/>
    <mergeCell ref="C176:I176"/>
    <mergeCell ref="A153:A156"/>
    <mergeCell ref="B153:B156"/>
    <mergeCell ref="A157:A161"/>
    <mergeCell ref="A162:A166"/>
    <mergeCell ref="A167:A171"/>
    <mergeCell ref="A149:B149"/>
    <mergeCell ref="C149:I149"/>
    <mergeCell ref="A150:B150"/>
    <mergeCell ref="C150:I150"/>
    <mergeCell ref="A151:I151"/>
    <mergeCell ref="A144:H144"/>
    <mergeCell ref="A147:B147"/>
    <mergeCell ref="C147:I147"/>
    <mergeCell ref="A148:B148"/>
    <mergeCell ref="C148:I148"/>
    <mergeCell ref="A125:A128"/>
    <mergeCell ref="B125:B128"/>
    <mergeCell ref="A129:A133"/>
    <mergeCell ref="A134:A138"/>
    <mergeCell ref="A139:A143"/>
    <mergeCell ref="A121:B121"/>
    <mergeCell ref="C121:I121"/>
    <mergeCell ref="A122:B122"/>
    <mergeCell ref="C122:I122"/>
    <mergeCell ref="A123:I123"/>
    <mergeCell ref="A116:H116"/>
    <mergeCell ref="A119:B119"/>
    <mergeCell ref="C119:I119"/>
    <mergeCell ref="A120:B120"/>
    <mergeCell ref="C120:I120"/>
    <mergeCell ref="A97:A100"/>
    <mergeCell ref="B97:B100"/>
    <mergeCell ref="A101:A105"/>
    <mergeCell ref="A106:A110"/>
    <mergeCell ref="A111:A115"/>
    <mergeCell ref="A93:B93"/>
    <mergeCell ref="C93:I93"/>
    <mergeCell ref="A94:B94"/>
    <mergeCell ref="C94:I94"/>
    <mergeCell ref="A95:I95"/>
    <mergeCell ref="A83:A87"/>
    <mergeCell ref="A88:H88"/>
    <mergeCell ref="A91:B91"/>
    <mergeCell ref="C91:I91"/>
    <mergeCell ref="A92:B92"/>
    <mergeCell ref="C92:I92"/>
    <mergeCell ref="A67:I67"/>
    <mergeCell ref="A69:A72"/>
    <mergeCell ref="B69:B72"/>
    <mergeCell ref="A73:A77"/>
    <mergeCell ref="A78:A82"/>
    <mergeCell ref="A64:B64"/>
    <mergeCell ref="C64:I64"/>
    <mergeCell ref="A65:B65"/>
    <mergeCell ref="C65:I65"/>
    <mergeCell ref="A66:B66"/>
    <mergeCell ref="C66:I66"/>
    <mergeCell ref="A45:A49"/>
    <mergeCell ref="A50:A54"/>
    <mergeCell ref="A55:A59"/>
    <mergeCell ref="A60:H60"/>
    <mergeCell ref="A63:B63"/>
    <mergeCell ref="C63:I63"/>
    <mergeCell ref="A38:B38"/>
    <mergeCell ref="C38:I38"/>
    <mergeCell ref="A39:I39"/>
    <mergeCell ref="A41:A44"/>
    <mergeCell ref="B41:B44"/>
    <mergeCell ref="A35:B35"/>
    <mergeCell ref="C35:I35"/>
    <mergeCell ref="A36:B36"/>
    <mergeCell ref="C36:I36"/>
    <mergeCell ref="A37:B37"/>
    <mergeCell ref="C37:I37"/>
    <mergeCell ref="A1:B1"/>
    <mergeCell ref="C1:I1"/>
    <mergeCell ref="C2:I2"/>
    <mergeCell ref="C5:I5"/>
    <mergeCell ref="A2:B2"/>
    <mergeCell ref="C3:I3"/>
    <mergeCell ref="C4:I4"/>
    <mergeCell ref="L9:L11"/>
    <mergeCell ref="M9:M11"/>
    <mergeCell ref="N9:N11"/>
    <mergeCell ref="A27:H27"/>
    <mergeCell ref="A3:B3"/>
    <mergeCell ref="A5:B5"/>
    <mergeCell ref="A4:B4"/>
    <mergeCell ref="A22:A26"/>
    <mergeCell ref="A17:A21"/>
    <mergeCell ref="A12:A16"/>
    <mergeCell ref="A8:A11"/>
    <mergeCell ref="B8:B11"/>
    <mergeCell ref="A6:I6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rgb="FF0070C0"/>
  </sheetPr>
  <dimension ref="A2:H32"/>
  <sheetViews>
    <sheetView topLeftCell="A8" zoomScaleNormal="100" workbookViewId="0">
      <selection activeCell="C21" sqref="C21"/>
    </sheetView>
  </sheetViews>
  <sheetFormatPr defaultRowHeight="12.75"/>
  <cols>
    <col min="1" max="1" width="18.42578125" style="6" customWidth="1"/>
    <col min="2" max="2" width="14.5703125" style="6" customWidth="1"/>
    <col min="3" max="3" width="16.140625" style="6" customWidth="1"/>
    <col min="4" max="4" width="14" style="6" customWidth="1"/>
    <col min="5" max="7" width="14.5703125" style="6" customWidth="1"/>
    <col min="8" max="8" width="26.140625" style="6" customWidth="1"/>
    <col min="9" max="10" width="9.140625" style="6"/>
    <col min="11" max="11" width="12.5703125" style="6" customWidth="1"/>
    <col min="12" max="12" width="9.140625" style="6"/>
    <col min="13" max="13" width="11.28515625" style="6" customWidth="1"/>
    <col min="14" max="16384" width="9.140625" style="6"/>
  </cols>
  <sheetData>
    <row r="2" spans="1:8">
      <c r="A2" s="75" t="s">
        <v>0</v>
      </c>
      <c r="B2" s="199" t="s">
        <v>1</v>
      </c>
      <c r="C2" s="199"/>
      <c r="D2" s="199"/>
      <c r="E2" s="199"/>
      <c r="F2" s="199"/>
      <c r="G2" s="199"/>
      <c r="H2" s="199"/>
    </row>
    <row r="3" spans="1:8">
      <c r="A3" s="75" t="s">
        <v>2</v>
      </c>
      <c r="B3" s="199" t="s">
        <v>117</v>
      </c>
      <c r="C3" s="199"/>
      <c r="D3" s="199"/>
      <c r="E3" s="199"/>
      <c r="F3" s="199"/>
      <c r="G3" s="199"/>
      <c r="H3" s="199"/>
    </row>
    <row r="4" spans="1:8">
      <c r="A4" s="75" t="s">
        <v>4</v>
      </c>
      <c r="B4" s="199" t="s">
        <v>118</v>
      </c>
      <c r="C4" s="199"/>
      <c r="D4" s="199"/>
      <c r="E4" s="199"/>
      <c r="F4" s="199"/>
      <c r="G4" s="199"/>
      <c r="H4" s="199"/>
    </row>
    <row r="5" spans="1:8">
      <c r="A5" s="75" t="s">
        <v>6</v>
      </c>
      <c r="B5" s="199" t="s">
        <v>167</v>
      </c>
      <c r="C5" s="199"/>
      <c r="D5" s="199"/>
      <c r="E5" s="199"/>
      <c r="F5" s="199"/>
      <c r="G5" s="199"/>
      <c r="H5" s="199"/>
    </row>
    <row r="6" spans="1:8">
      <c r="A6" s="113"/>
      <c r="B6" s="285"/>
      <c r="C6" s="285"/>
      <c r="D6" s="285"/>
      <c r="E6" s="285"/>
      <c r="F6" s="285"/>
      <c r="G6" s="285"/>
      <c r="H6" s="285"/>
    </row>
    <row r="7" spans="1:8">
      <c r="A7" s="50"/>
      <c r="B7" s="10" t="s">
        <v>11</v>
      </c>
      <c r="C7" s="10" t="s">
        <v>12</v>
      </c>
      <c r="D7" s="10" t="s">
        <v>13</v>
      </c>
      <c r="E7" s="10" t="s">
        <v>14</v>
      </c>
      <c r="F7" s="10" t="s">
        <v>15</v>
      </c>
      <c r="G7" s="10" t="s">
        <v>58</v>
      </c>
      <c r="H7" s="10" t="s">
        <v>79</v>
      </c>
    </row>
    <row r="8" spans="1:8" ht="66.75" customHeight="1">
      <c r="A8" s="12"/>
      <c r="B8" s="51" t="s">
        <v>59</v>
      </c>
      <c r="C8" s="51" t="s">
        <v>168</v>
      </c>
      <c r="D8" s="51" t="s">
        <v>169</v>
      </c>
      <c r="E8" s="51" t="s">
        <v>170</v>
      </c>
      <c r="F8" s="51" t="s">
        <v>171</v>
      </c>
      <c r="G8" s="51" t="s">
        <v>187</v>
      </c>
      <c r="H8" s="51" t="s">
        <v>172</v>
      </c>
    </row>
    <row r="9" spans="1:8" ht="15.75">
      <c r="A9" s="1"/>
      <c r="B9" s="1" t="s">
        <v>124</v>
      </c>
      <c r="C9" s="1" t="s">
        <v>173</v>
      </c>
      <c r="D9" s="1" t="s">
        <v>174</v>
      </c>
      <c r="E9" s="1" t="s">
        <v>175</v>
      </c>
      <c r="F9" s="1" t="s">
        <v>176</v>
      </c>
      <c r="G9" s="1" t="s">
        <v>177</v>
      </c>
      <c r="H9" s="1" t="s">
        <v>178</v>
      </c>
    </row>
    <row r="10" spans="1:8" ht="25.5">
      <c r="A10" s="10" t="s">
        <v>179</v>
      </c>
      <c r="B10" s="10" t="s">
        <v>180</v>
      </c>
      <c r="C10" s="7" t="s">
        <v>181</v>
      </c>
      <c r="D10" s="10" t="s">
        <v>182</v>
      </c>
      <c r="E10" s="7" t="s">
        <v>183</v>
      </c>
      <c r="F10" s="7" t="s">
        <v>183</v>
      </c>
      <c r="G10" s="7" t="s">
        <v>184</v>
      </c>
      <c r="H10" s="10" t="s">
        <v>185</v>
      </c>
    </row>
    <row r="11" spans="1:8">
      <c r="A11" s="50"/>
      <c r="B11" s="50"/>
      <c r="C11" s="50"/>
      <c r="D11" s="51"/>
      <c r="E11" s="51"/>
      <c r="F11" s="51"/>
      <c r="G11" s="51"/>
      <c r="H11" s="51" t="s">
        <v>186</v>
      </c>
    </row>
    <row r="12" spans="1:8">
      <c r="A12" s="10">
        <f>'4B_N2O emission'!B12</f>
        <v>2011</v>
      </c>
      <c r="B12" s="114">
        <f>'4D1_TOW_DomesticWastewater'!B12</f>
        <v>560184</v>
      </c>
      <c r="C12" s="115">
        <v>20.54</v>
      </c>
      <c r="D12" s="10">
        <v>0.16</v>
      </c>
      <c r="E12" s="10">
        <v>1.1000000000000001</v>
      </c>
      <c r="F12" s="10">
        <v>1.25</v>
      </c>
      <c r="G12" s="10">
        <v>0</v>
      </c>
      <c r="H12" s="116">
        <f>(B12*C12*D12*E12*F12)-G12</f>
        <v>2531359.4591999999</v>
      </c>
    </row>
    <row r="13" spans="1:8">
      <c r="A13" s="10">
        <f>'4B_N2O emission'!B13</f>
        <v>2012</v>
      </c>
      <c r="B13" s="114">
        <f>'4D1_TOW_DomesticWastewater'!B13</f>
        <v>571272</v>
      </c>
      <c r="C13" s="115">
        <v>19.8</v>
      </c>
      <c r="D13" s="10">
        <v>0.16</v>
      </c>
      <c r="E13" s="10">
        <v>1.1000000000000001</v>
      </c>
      <c r="F13" s="10">
        <v>1.25</v>
      </c>
      <c r="G13" s="10">
        <v>0</v>
      </c>
      <c r="H13" s="116">
        <f t="shared" ref="H13:H32" si="0">(B13*C13*D13*E13*F13)-G13</f>
        <v>2488460.8320000004</v>
      </c>
    </row>
    <row r="14" spans="1:8">
      <c r="A14" s="10">
        <f>'4B_N2O emission'!B14</f>
        <v>2013</v>
      </c>
      <c r="B14" s="114">
        <f>'4D1_TOW_DomesticWastewater'!B14</f>
        <v>582322</v>
      </c>
      <c r="C14" s="115">
        <v>19.52</v>
      </c>
      <c r="D14" s="10">
        <v>0.16</v>
      </c>
      <c r="E14" s="10">
        <v>1.1000000000000001</v>
      </c>
      <c r="F14" s="10">
        <v>1.25</v>
      </c>
      <c r="G14" s="10">
        <v>0</v>
      </c>
      <c r="H14" s="116">
        <f t="shared" si="0"/>
        <v>2500723.5967999999</v>
      </c>
    </row>
    <row r="15" spans="1:8">
      <c r="A15" s="10">
        <f>'4B_N2O emission'!B15</f>
        <v>2014</v>
      </c>
      <c r="B15" s="114">
        <f>'4D1_TOW_DomesticWastewater'!B15</f>
        <v>593096</v>
      </c>
      <c r="C15" s="187">
        <f>AVERAGE(C12:C14)</f>
        <v>19.953333333333333</v>
      </c>
      <c r="D15" s="10">
        <v>0.16</v>
      </c>
      <c r="E15" s="10">
        <v>1.1000000000000001</v>
      </c>
      <c r="F15" s="10">
        <v>1.25</v>
      </c>
      <c r="G15" s="10">
        <v>0</v>
      </c>
      <c r="H15" s="116">
        <f t="shared" si="0"/>
        <v>2603533.2810666673</v>
      </c>
    </row>
    <row r="16" spans="1:8">
      <c r="A16" s="10">
        <f>'4B_N2O emission'!B16</f>
        <v>2015</v>
      </c>
      <c r="B16" s="114">
        <f>'4D1_TOW_DomesticWastewater'!B16</f>
        <v>603574</v>
      </c>
      <c r="C16" s="187">
        <f>C15</f>
        <v>19.953333333333333</v>
      </c>
      <c r="D16" s="10">
        <v>0.16</v>
      </c>
      <c r="E16" s="10">
        <v>1.1000000000000001</v>
      </c>
      <c r="F16" s="10">
        <v>1.25</v>
      </c>
      <c r="G16" s="10">
        <v>0</v>
      </c>
      <c r="H16" s="116">
        <f t="shared" si="0"/>
        <v>2649528.9069333337</v>
      </c>
    </row>
    <row r="17" spans="1:8">
      <c r="A17" s="10">
        <f>'4B_N2O emission'!B17</f>
        <v>2016</v>
      </c>
      <c r="B17" s="114">
        <f>'4D1_TOW_DomesticWastewater'!B17</f>
        <v>613968</v>
      </c>
      <c r="C17" s="187">
        <f t="shared" ref="C17:C31" si="1">C16</f>
        <v>19.953333333333333</v>
      </c>
      <c r="D17" s="10">
        <v>0.16</v>
      </c>
      <c r="E17" s="10">
        <v>1.1000000000000001</v>
      </c>
      <c r="F17" s="10">
        <v>1.25</v>
      </c>
      <c r="G17" s="10">
        <v>0</v>
      </c>
      <c r="H17" s="116">
        <f t="shared" si="0"/>
        <v>2695155.7952000005</v>
      </c>
    </row>
    <row r="18" spans="1:8">
      <c r="A18" s="10">
        <f>'4B_N2O emission'!B18</f>
        <v>2017</v>
      </c>
      <c r="B18" s="114">
        <f>'4D1_TOW_DomesticWastewater'!B18</f>
        <v>637989</v>
      </c>
      <c r="C18" s="187">
        <f t="shared" si="1"/>
        <v>19.953333333333333</v>
      </c>
      <c r="D18" s="10">
        <v>0.16</v>
      </c>
      <c r="E18" s="10">
        <v>1.1000000000000001</v>
      </c>
      <c r="F18" s="10">
        <v>1.25</v>
      </c>
      <c r="G18" s="10">
        <v>0</v>
      </c>
      <c r="H18" s="116">
        <f t="shared" si="0"/>
        <v>2800601.5796000003</v>
      </c>
    </row>
    <row r="19" spans="1:8">
      <c r="A19" s="10">
        <f>'4B_N2O emission'!B19</f>
        <v>2018</v>
      </c>
      <c r="B19" s="114">
        <f>'4D1_TOW_DomesticWastewater'!B19</f>
        <v>653088</v>
      </c>
      <c r="C19" s="187">
        <f t="shared" si="1"/>
        <v>19.953333333333333</v>
      </c>
      <c r="D19" s="10">
        <v>0.16</v>
      </c>
      <c r="E19" s="10">
        <v>1.1000000000000001</v>
      </c>
      <c r="F19" s="10">
        <v>1.25</v>
      </c>
      <c r="G19" s="10">
        <v>0</v>
      </c>
      <c r="H19" s="116">
        <f t="shared" si="0"/>
        <v>2866882.1632000008</v>
      </c>
    </row>
    <row r="20" spans="1:8">
      <c r="A20" s="10">
        <f>'4B_N2O emission'!B20</f>
        <v>2019</v>
      </c>
      <c r="B20" s="114">
        <f>'4D1_TOW_DomesticWastewater'!B20</f>
        <v>668187</v>
      </c>
      <c r="C20" s="187">
        <f t="shared" si="1"/>
        <v>19.953333333333333</v>
      </c>
      <c r="D20" s="10">
        <v>0.16</v>
      </c>
      <c r="E20" s="10">
        <v>1.1000000000000001</v>
      </c>
      <c r="F20" s="10">
        <v>1.25</v>
      </c>
      <c r="G20" s="10">
        <v>0</v>
      </c>
      <c r="H20" s="116">
        <f t="shared" si="0"/>
        <v>2933162.7467999998</v>
      </c>
    </row>
    <row r="21" spans="1:8">
      <c r="A21" s="10">
        <f>'4B_N2O emission'!B21</f>
        <v>2020</v>
      </c>
      <c r="B21" s="114">
        <f>'4D1_TOW_DomesticWastewater'!B21</f>
        <v>683286</v>
      </c>
      <c r="C21" s="187">
        <f t="shared" si="1"/>
        <v>19.953333333333333</v>
      </c>
      <c r="D21" s="10">
        <v>0.16</v>
      </c>
      <c r="E21" s="10">
        <v>1.1000000000000001</v>
      </c>
      <c r="F21" s="10">
        <v>1.25</v>
      </c>
      <c r="G21" s="10">
        <v>0</v>
      </c>
      <c r="H21" s="116">
        <f t="shared" si="0"/>
        <v>2999443.3303999999</v>
      </c>
    </row>
    <row r="22" spans="1:8">
      <c r="A22" s="10">
        <f>'4B_N2O emission'!B22</f>
        <v>2021</v>
      </c>
      <c r="B22" s="114">
        <f>'4D1_TOW_DomesticWastewater'!B22</f>
        <v>698385</v>
      </c>
      <c r="C22" s="187">
        <f t="shared" si="1"/>
        <v>19.953333333333333</v>
      </c>
      <c r="D22" s="10">
        <v>0.16</v>
      </c>
      <c r="E22" s="10">
        <v>1.1000000000000001</v>
      </c>
      <c r="F22" s="10">
        <v>1.25</v>
      </c>
      <c r="G22" s="10">
        <v>0</v>
      </c>
      <c r="H22" s="116">
        <f t="shared" si="0"/>
        <v>3065723.9140000003</v>
      </c>
    </row>
    <row r="23" spans="1:8">
      <c r="A23" s="10">
        <f>'4B_N2O emission'!B23</f>
        <v>2022</v>
      </c>
      <c r="B23" s="114">
        <f>'4D1_TOW_DomesticWastewater'!B23</f>
        <v>713484</v>
      </c>
      <c r="C23" s="187">
        <f t="shared" si="1"/>
        <v>19.953333333333333</v>
      </c>
      <c r="D23" s="10">
        <v>0.16</v>
      </c>
      <c r="E23" s="10">
        <v>1.1000000000000001</v>
      </c>
      <c r="F23" s="10">
        <v>1.25</v>
      </c>
      <c r="G23" s="10">
        <v>0</v>
      </c>
      <c r="H23" s="116">
        <f t="shared" si="0"/>
        <v>3132004.4976000004</v>
      </c>
    </row>
    <row r="24" spans="1:8">
      <c r="A24" s="10">
        <f>'4B_N2O emission'!B24</f>
        <v>2023</v>
      </c>
      <c r="B24" s="114">
        <f>'4D1_TOW_DomesticWastewater'!B24</f>
        <v>728583</v>
      </c>
      <c r="C24" s="187">
        <f t="shared" si="1"/>
        <v>19.953333333333333</v>
      </c>
      <c r="D24" s="10">
        <v>0.16</v>
      </c>
      <c r="E24" s="10">
        <v>1.1000000000000001</v>
      </c>
      <c r="F24" s="10">
        <v>1.25</v>
      </c>
      <c r="G24" s="10">
        <v>0</v>
      </c>
      <c r="H24" s="116">
        <f t="shared" si="0"/>
        <v>3198285.0811999999</v>
      </c>
    </row>
    <row r="25" spans="1:8">
      <c r="A25" s="10">
        <f>'4B_N2O emission'!B25</f>
        <v>2024</v>
      </c>
      <c r="B25" s="114">
        <f>'4D1_TOW_DomesticWastewater'!B25</f>
        <v>743682</v>
      </c>
      <c r="C25" s="187">
        <f t="shared" si="1"/>
        <v>19.953333333333333</v>
      </c>
      <c r="D25" s="10">
        <v>0.16</v>
      </c>
      <c r="E25" s="10">
        <v>1.1000000000000001</v>
      </c>
      <c r="F25" s="10">
        <v>1.25</v>
      </c>
      <c r="G25" s="10">
        <v>0</v>
      </c>
      <c r="H25" s="116">
        <f t="shared" si="0"/>
        <v>3264565.6647999999</v>
      </c>
    </row>
    <row r="26" spans="1:8">
      <c r="A26" s="10">
        <f>'4B_N2O emission'!B26</f>
        <v>2025</v>
      </c>
      <c r="B26" s="114">
        <f>'4D1_TOW_DomesticWastewater'!B26</f>
        <v>758781</v>
      </c>
      <c r="C26" s="187">
        <f t="shared" si="1"/>
        <v>19.953333333333333</v>
      </c>
      <c r="D26" s="10">
        <v>0.16</v>
      </c>
      <c r="E26" s="10">
        <v>1.1000000000000001</v>
      </c>
      <c r="F26" s="10">
        <v>1.25</v>
      </c>
      <c r="G26" s="10">
        <v>0</v>
      </c>
      <c r="H26" s="116">
        <f t="shared" si="0"/>
        <v>3330846.2484000009</v>
      </c>
    </row>
    <row r="27" spans="1:8">
      <c r="A27" s="10">
        <f>'4B_N2O emission'!B27</f>
        <v>2026</v>
      </c>
      <c r="B27" s="114">
        <f>'4D1_TOW_DomesticWastewater'!B27</f>
        <v>773880</v>
      </c>
      <c r="C27" s="187">
        <f t="shared" si="1"/>
        <v>19.953333333333333</v>
      </c>
      <c r="D27" s="10">
        <v>0.16</v>
      </c>
      <c r="E27" s="10">
        <v>1.1000000000000001</v>
      </c>
      <c r="F27" s="10">
        <v>1.25</v>
      </c>
      <c r="G27" s="10">
        <v>0</v>
      </c>
      <c r="H27" s="116">
        <f t="shared" si="0"/>
        <v>3397126.8320000004</v>
      </c>
    </row>
    <row r="28" spans="1:8">
      <c r="A28" s="10">
        <f>'4B_N2O emission'!B28</f>
        <v>2027</v>
      </c>
      <c r="B28" s="114">
        <f>'4D1_TOW_DomesticWastewater'!B28</f>
        <v>788979</v>
      </c>
      <c r="C28" s="187">
        <f t="shared" si="1"/>
        <v>19.953333333333333</v>
      </c>
      <c r="D28" s="10">
        <v>0.16</v>
      </c>
      <c r="E28" s="10">
        <v>1.1000000000000001</v>
      </c>
      <c r="F28" s="10">
        <v>1.25</v>
      </c>
      <c r="G28" s="10">
        <v>0</v>
      </c>
      <c r="H28" s="116">
        <f t="shared" si="0"/>
        <v>3463407.4156000004</v>
      </c>
    </row>
    <row r="29" spans="1:8">
      <c r="A29" s="10">
        <f>'4B_N2O emission'!B29</f>
        <v>2028</v>
      </c>
      <c r="B29" s="114">
        <f>'4D1_TOW_DomesticWastewater'!B29</f>
        <v>804078</v>
      </c>
      <c r="C29" s="187">
        <f t="shared" si="1"/>
        <v>19.953333333333333</v>
      </c>
      <c r="D29" s="10">
        <v>0.16</v>
      </c>
      <c r="E29" s="10">
        <v>1.1000000000000001</v>
      </c>
      <c r="F29" s="10">
        <v>1.25</v>
      </c>
      <c r="G29" s="10">
        <v>0</v>
      </c>
      <c r="H29" s="116">
        <f t="shared" si="0"/>
        <v>3529687.9992000009</v>
      </c>
    </row>
    <row r="30" spans="1:8">
      <c r="A30" s="10">
        <f>'4B_N2O emission'!B30</f>
        <v>2029</v>
      </c>
      <c r="B30" s="114">
        <f>'4D1_TOW_DomesticWastewater'!B30</f>
        <v>819177</v>
      </c>
      <c r="C30" s="187">
        <f t="shared" si="1"/>
        <v>19.953333333333333</v>
      </c>
      <c r="D30" s="10">
        <v>0.16</v>
      </c>
      <c r="E30" s="10">
        <v>1.1000000000000001</v>
      </c>
      <c r="F30" s="10">
        <v>1.25</v>
      </c>
      <c r="G30" s="10">
        <v>0</v>
      </c>
      <c r="H30" s="116">
        <f t="shared" si="0"/>
        <v>3595968.5828000004</v>
      </c>
    </row>
    <row r="31" spans="1:8">
      <c r="A31" s="10">
        <f>'4B_N2O emission'!B31</f>
        <v>2030</v>
      </c>
      <c r="B31" s="114">
        <f>'4D1_TOW_DomesticWastewater'!B31</f>
        <v>834276</v>
      </c>
      <c r="C31" s="187">
        <f t="shared" si="1"/>
        <v>19.953333333333333</v>
      </c>
      <c r="D31" s="10">
        <v>0.16</v>
      </c>
      <c r="E31" s="10">
        <v>1.1000000000000001</v>
      </c>
      <c r="F31" s="10">
        <v>1.25</v>
      </c>
      <c r="G31" s="10">
        <v>0</v>
      </c>
      <c r="H31" s="116">
        <f t="shared" si="0"/>
        <v>3662249.1664</v>
      </c>
    </row>
    <row r="32" spans="1:8">
      <c r="A32" s="10">
        <f>'4B_N2O emission'!B32</f>
        <v>2031</v>
      </c>
      <c r="B32" s="114">
        <f>'4C1_Amount_Waste_OpenBurned'!B32</f>
        <v>0</v>
      </c>
      <c r="C32" s="115"/>
      <c r="D32" s="10">
        <v>0.16</v>
      </c>
      <c r="E32" s="10">
        <v>1.1000000000000001</v>
      </c>
      <c r="F32" s="10">
        <v>1.25</v>
      </c>
      <c r="G32" s="10">
        <v>0</v>
      </c>
      <c r="H32" s="116">
        <f t="shared" si="0"/>
        <v>0</v>
      </c>
    </row>
  </sheetData>
  <mergeCells count="5">
    <mergeCell ref="B6:H6"/>
    <mergeCell ref="B2:H2"/>
    <mergeCell ref="B3:H3"/>
    <mergeCell ref="B4:H4"/>
    <mergeCell ref="B5:H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rgb="FF0070C0"/>
  </sheetPr>
  <dimension ref="A2:G32"/>
  <sheetViews>
    <sheetView topLeftCell="A10" zoomScale="85" zoomScaleNormal="85" workbookViewId="0">
      <selection activeCell="B24" sqref="B24"/>
    </sheetView>
  </sheetViews>
  <sheetFormatPr defaultRowHeight="12.75"/>
  <cols>
    <col min="1" max="1" width="21.28515625" style="6" customWidth="1"/>
    <col min="2" max="3" width="18.140625" style="6" customWidth="1"/>
    <col min="4" max="6" width="20.140625" style="6" customWidth="1"/>
    <col min="7" max="7" width="15.5703125" style="6" customWidth="1"/>
    <col min="8" max="16384" width="9.140625" style="6"/>
  </cols>
  <sheetData>
    <row r="2" spans="1:7" ht="16.5" customHeight="1">
      <c r="A2" s="75" t="s">
        <v>0</v>
      </c>
      <c r="B2" s="286" t="s">
        <v>1</v>
      </c>
      <c r="C2" s="287"/>
      <c r="D2" s="287"/>
      <c r="E2" s="287"/>
      <c r="F2" s="287"/>
      <c r="G2" s="288"/>
    </row>
    <row r="3" spans="1:7" ht="16.5" customHeight="1">
      <c r="A3" s="75" t="s">
        <v>2</v>
      </c>
      <c r="B3" s="286" t="s">
        <v>117</v>
      </c>
      <c r="C3" s="287"/>
      <c r="D3" s="287"/>
      <c r="E3" s="287"/>
      <c r="F3" s="287"/>
      <c r="G3" s="288"/>
    </row>
    <row r="4" spans="1:7" ht="16.5" customHeight="1">
      <c r="A4" s="75" t="s">
        <v>4</v>
      </c>
      <c r="B4" s="286" t="s">
        <v>118</v>
      </c>
      <c r="C4" s="287"/>
      <c r="D4" s="287"/>
      <c r="E4" s="287"/>
      <c r="F4" s="287"/>
      <c r="G4" s="288"/>
    </row>
    <row r="5" spans="1:7" ht="16.5" customHeight="1">
      <c r="A5" s="75" t="s">
        <v>6</v>
      </c>
      <c r="B5" s="286" t="s">
        <v>188</v>
      </c>
      <c r="C5" s="287"/>
      <c r="D5" s="287"/>
      <c r="E5" s="287"/>
      <c r="F5" s="287"/>
      <c r="G5" s="288"/>
    </row>
    <row r="6" spans="1:7">
      <c r="A6" s="113"/>
      <c r="B6" s="285"/>
      <c r="C6" s="285"/>
      <c r="D6" s="285"/>
      <c r="E6" s="285"/>
      <c r="F6" s="285"/>
      <c r="G6" s="34"/>
    </row>
    <row r="7" spans="1:7">
      <c r="A7" s="51"/>
      <c r="B7" s="10" t="s">
        <v>11</v>
      </c>
      <c r="C7" s="10" t="s">
        <v>12</v>
      </c>
      <c r="D7" s="10" t="s">
        <v>189</v>
      </c>
      <c r="E7" s="10" t="s">
        <v>14</v>
      </c>
      <c r="F7" s="10" t="s">
        <v>15</v>
      </c>
      <c r="G7" s="89" t="s">
        <v>58</v>
      </c>
    </row>
    <row r="8" spans="1:7" ht="63.75" customHeight="1">
      <c r="A8" s="12"/>
      <c r="B8" s="51" t="s">
        <v>190</v>
      </c>
      <c r="C8" s="51" t="s">
        <v>137</v>
      </c>
      <c r="D8" s="51" t="s">
        <v>191</v>
      </c>
      <c r="E8" s="51" t="s">
        <v>192</v>
      </c>
      <c r="F8" s="117" t="s">
        <v>193</v>
      </c>
      <c r="G8" s="51" t="s">
        <v>193</v>
      </c>
    </row>
    <row r="9" spans="1:7" ht="15.75">
      <c r="A9" s="12"/>
      <c r="B9" s="1" t="s">
        <v>194</v>
      </c>
      <c r="C9" s="8" t="s">
        <v>195</v>
      </c>
      <c r="D9" s="8" t="s">
        <v>196</v>
      </c>
      <c r="E9" s="8" t="s">
        <v>197</v>
      </c>
      <c r="F9" s="8" t="s">
        <v>197</v>
      </c>
      <c r="G9" s="8" t="s">
        <v>232</v>
      </c>
    </row>
    <row r="10" spans="1:7" ht="13.5" thickBot="1">
      <c r="A10" s="12"/>
      <c r="B10" s="11"/>
      <c r="C10" s="11"/>
      <c r="D10" s="11"/>
      <c r="E10" s="11"/>
      <c r="F10" s="11" t="s">
        <v>198</v>
      </c>
      <c r="G10" s="35"/>
    </row>
    <row r="11" spans="1:7" ht="13.5" thickTop="1">
      <c r="A11" s="10">
        <f>'4B_N2O emission'!B12</f>
        <v>2011</v>
      </c>
      <c r="B11" s="118">
        <f>'4D1_N_effluent'!H12</f>
        <v>2531359.4591999999</v>
      </c>
      <c r="C11" s="118">
        <v>5.0000000000000001E-3</v>
      </c>
      <c r="D11" s="119">
        <f>44/28</f>
        <v>1.5714285714285714</v>
      </c>
      <c r="E11" s="120">
        <v>0</v>
      </c>
      <c r="F11" s="119">
        <f>(B11*C11*D11)-E11</f>
        <v>19889.252893714285</v>
      </c>
      <c r="G11" s="121">
        <f>F11/(10^6)</f>
        <v>1.9889252893714286E-2</v>
      </c>
    </row>
    <row r="12" spans="1:7">
      <c r="A12" s="10">
        <f>'4B_N2O emission'!B13</f>
        <v>2012</v>
      </c>
      <c r="B12" s="122">
        <f>'4D1_N_effluent'!H13</f>
        <v>2488460.8320000004</v>
      </c>
      <c r="C12" s="122">
        <v>5.0000000000000001E-3</v>
      </c>
      <c r="D12" s="123">
        <f t="shared" ref="D12:D31" si="0">44/28</f>
        <v>1.5714285714285714</v>
      </c>
      <c r="E12" s="124">
        <v>0</v>
      </c>
      <c r="F12" s="123">
        <f t="shared" ref="F12:F31" si="1">(B12*C12*D12)-E12</f>
        <v>19552.192251428572</v>
      </c>
      <c r="G12" s="125">
        <f t="shared" ref="G12:G31" si="2">F12/(10^6)</f>
        <v>1.9552192251428572E-2</v>
      </c>
    </row>
    <row r="13" spans="1:7">
      <c r="A13" s="10">
        <f>'4B_N2O emission'!B14</f>
        <v>2013</v>
      </c>
      <c r="B13" s="122">
        <f>'4D1_N_effluent'!H14</f>
        <v>2500723.5967999999</v>
      </c>
      <c r="C13" s="122">
        <v>5.0000000000000001E-3</v>
      </c>
      <c r="D13" s="123">
        <f t="shared" si="0"/>
        <v>1.5714285714285714</v>
      </c>
      <c r="E13" s="124">
        <v>0</v>
      </c>
      <c r="F13" s="123">
        <f t="shared" si="1"/>
        <v>19648.542546285713</v>
      </c>
      <c r="G13" s="125">
        <f t="shared" si="2"/>
        <v>1.9648542546285713E-2</v>
      </c>
    </row>
    <row r="14" spans="1:7">
      <c r="A14" s="10">
        <f>'4B_N2O emission'!B15</f>
        <v>2014</v>
      </c>
      <c r="B14" s="122">
        <f>'4D1_N_effluent'!H15</f>
        <v>2603533.2810666673</v>
      </c>
      <c r="C14" s="122">
        <v>5.0000000000000001E-3</v>
      </c>
      <c r="D14" s="123">
        <f t="shared" si="0"/>
        <v>1.5714285714285714</v>
      </c>
      <c r="E14" s="124">
        <v>0</v>
      </c>
      <c r="F14" s="123">
        <f t="shared" si="1"/>
        <v>20456.332922666672</v>
      </c>
      <c r="G14" s="125">
        <f t="shared" si="2"/>
        <v>2.0456332922666673E-2</v>
      </c>
    </row>
    <row r="15" spans="1:7">
      <c r="A15" s="10">
        <f>'4B_N2O emission'!B16</f>
        <v>2015</v>
      </c>
      <c r="B15" s="122">
        <f>'4D1_N_effluent'!H16</f>
        <v>2649528.9069333337</v>
      </c>
      <c r="C15" s="122">
        <v>5.0000000000000001E-3</v>
      </c>
      <c r="D15" s="123">
        <f t="shared" si="0"/>
        <v>1.5714285714285714</v>
      </c>
      <c r="E15" s="124">
        <v>0</v>
      </c>
      <c r="F15" s="123">
        <f t="shared" si="1"/>
        <v>20817.727125904767</v>
      </c>
      <c r="G15" s="125">
        <f t="shared" si="2"/>
        <v>2.0817727125904767E-2</v>
      </c>
    </row>
    <row r="16" spans="1:7">
      <c r="A16" s="10">
        <f>'4B_N2O emission'!B17</f>
        <v>2016</v>
      </c>
      <c r="B16" s="122">
        <f>'4D1_N_effluent'!H17</f>
        <v>2695155.7952000005</v>
      </c>
      <c r="C16" s="122">
        <v>5.0000000000000001E-3</v>
      </c>
      <c r="D16" s="123">
        <f t="shared" si="0"/>
        <v>1.5714285714285714</v>
      </c>
      <c r="E16" s="124">
        <v>0</v>
      </c>
      <c r="F16" s="123">
        <f t="shared" si="1"/>
        <v>21176.224105142861</v>
      </c>
      <c r="G16" s="125">
        <f t="shared" si="2"/>
        <v>2.117622410514286E-2</v>
      </c>
    </row>
    <row r="17" spans="1:7">
      <c r="A17" s="10">
        <f>'4B_N2O emission'!B18</f>
        <v>2017</v>
      </c>
      <c r="B17" s="122">
        <f>'4D1_N_effluent'!H18</f>
        <v>2800601.5796000003</v>
      </c>
      <c r="C17" s="122">
        <v>5.0000000000000001E-3</v>
      </c>
      <c r="D17" s="123">
        <f t="shared" si="0"/>
        <v>1.5714285714285714</v>
      </c>
      <c r="E17" s="124">
        <v>0</v>
      </c>
      <c r="F17" s="123">
        <f t="shared" si="1"/>
        <v>22004.726696857146</v>
      </c>
      <c r="G17" s="125">
        <f t="shared" si="2"/>
        <v>2.2004726696857147E-2</v>
      </c>
    </row>
    <row r="18" spans="1:7">
      <c r="A18" s="10">
        <f>'4B_N2O emission'!B19</f>
        <v>2018</v>
      </c>
      <c r="B18" s="122">
        <f>'4D1_N_effluent'!H19</f>
        <v>2866882.1632000008</v>
      </c>
      <c r="C18" s="122">
        <v>5.0000000000000001E-3</v>
      </c>
      <c r="D18" s="123">
        <f t="shared" si="0"/>
        <v>1.5714285714285714</v>
      </c>
      <c r="E18" s="124">
        <v>0</v>
      </c>
      <c r="F18" s="123">
        <f t="shared" si="1"/>
        <v>22525.502710857148</v>
      </c>
      <c r="G18" s="125">
        <f t="shared" si="2"/>
        <v>2.2525502710857147E-2</v>
      </c>
    </row>
    <row r="19" spans="1:7">
      <c r="A19" s="10">
        <f>'4B_N2O emission'!B20</f>
        <v>2019</v>
      </c>
      <c r="B19" s="122">
        <f>'4D1_N_effluent'!H20</f>
        <v>2933162.7467999998</v>
      </c>
      <c r="C19" s="122">
        <v>5.0000000000000001E-3</v>
      </c>
      <c r="D19" s="123">
        <f t="shared" si="0"/>
        <v>1.5714285714285714</v>
      </c>
      <c r="E19" s="124">
        <v>0</v>
      </c>
      <c r="F19" s="123">
        <f t="shared" si="1"/>
        <v>23046.27872485714</v>
      </c>
      <c r="G19" s="125">
        <f t="shared" si="2"/>
        <v>2.3046278724857139E-2</v>
      </c>
    </row>
    <row r="20" spans="1:7">
      <c r="A20" s="10">
        <f>'4B_N2O emission'!B21</f>
        <v>2020</v>
      </c>
      <c r="B20" s="122">
        <f>'4D1_N_effluent'!H21</f>
        <v>2999443.3303999999</v>
      </c>
      <c r="C20" s="122">
        <v>5.0000000000000001E-3</v>
      </c>
      <c r="D20" s="123">
        <f t="shared" si="0"/>
        <v>1.5714285714285714</v>
      </c>
      <c r="E20" s="124">
        <v>0</v>
      </c>
      <c r="F20" s="123">
        <f t="shared" si="1"/>
        <v>23567.054738857139</v>
      </c>
      <c r="G20" s="125">
        <f t="shared" si="2"/>
        <v>2.3567054738857139E-2</v>
      </c>
    </row>
    <row r="21" spans="1:7">
      <c r="A21" s="10">
        <f>'4B_N2O emission'!B22</f>
        <v>2021</v>
      </c>
      <c r="B21" s="122">
        <f>'4D1_N_effluent'!H22</f>
        <v>3065723.9140000003</v>
      </c>
      <c r="C21" s="122">
        <v>5.0000000000000001E-3</v>
      </c>
      <c r="D21" s="123">
        <f t="shared" si="0"/>
        <v>1.5714285714285714</v>
      </c>
      <c r="E21" s="124">
        <v>0</v>
      </c>
      <c r="F21" s="123">
        <f t="shared" si="1"/>
        <v>24087.830752857146</v>
      </c>
      <c r="G21" s="125">
        <f t="shared" si="2"/>
        <v>2.4087830752857146E-2</v>
      </c>
    </row>
    <row r="22" spans="1:7">
      <c r="A22" s="10">
        <f>'4B_N2O emission'!B23</f>
        <v>2022</v>
      </c>
      <c r="B22" s="122">
        <f>'4D1_N_effluent'!H23</f>
        <v>3132004.4976000004</v>
      </c>
      <c r="C22" s="122">
        <v>5.0000000000000001E-3</v>
      </c>
      <c r="D22" s="123">
        <f t="shared" si="0"/>
        <v>1.5714285714285714</v>
      </c>
      <c r="E22" s="124">
        <v>0</v>
      </c>
      <c r="F22" s="123">
        <f t="shared" si="1"/>
        <v>24608.606766857145</v>
      </c>
      <c r="G22" s="125">
        <f t="shared" si="2"/>
        <v>2.4608606766857145E-2</v>
      </c>
    </row>
    <row r="23" spans="1:7">
      <c r="A23" s="10">
        <f>'4B_N2O emission'!B24</f>
        <v>2023</v>
      </c>
      <c r="B23" s="122">
        <f>'4D1_N_effluent'!H24</f>
        <v>3198285.0811999999</v>
      </c>
      <c r="C23" s="122">
        <v>5.0000000000000001E-3</v>
      </c>
      <c r="D23" s="123">
        <f t="shared" si="0"/>
        <v>1.5714285714285714</v>
      </c>
      <c r="E23" s="124">
        <v>0</v>
      </c>
      <c r="F23" s="123">
        <f t="shared" si="1"/>
        <v>25129.382780857144</v>
      </c>
      <c r="G23" s="125">
        <f t="shared" si="2"/>
        <v>2.5129382780857145E-2</v>
      </c>
    </row>
    <row r="24" spans="1:7">
      <c r="A24" s="10">
        <f>'4B_N2O emission'!B25</f>
        <v>2024</v>
      </c>
      <c r="B24" s="122">
        <f>'4D1_N_effluent'!H25</f>
        <v>3264565.6647999999</v>
      </c>
      <c r="C24" s="122">
        <v>5.0000000000000001E-3</v>
      </c>
      <c r="D24" s="123">
        <f t="shared" si="0"/>
        <v>1.5714285714285714</v>
      </c>
      <c r="E24" s="124">
        <v>0</v>
      </c>
      <c r="F24" s="123">
        <f t="shared" si="1"/>
        <v>25650.158794857143</v>
      </c>
      <c r="G24" s="125">
        <f t="shared" si="2"/>
        <v>2.5650158794857145E-2</v>
      </c>
    </row>
    <row r="25" spans="1:7">
      <c r="A25" s="10">
        <f>'4B_N2O emission'!B26</f>
        <v>2025</v>
      </c>
      <c r="B25" s="122">
        <f>'4D1_N_effluent'!H26</f>
        <v>3330846.2484000009</v>
      </c>
      <c r="C25" s="122">
        <v>5.0000000000000001E-3</v>
      </c>
      <c r="D25" s="123">
        <f t="shared" si="0"/>
        <v>1.5714285714285714</v>
      </c>
      <c r="E25" s="124">
        <v>0</v>
      </c>
      <c r="F25" s="123">
        <f t="shared" si="1"/>
        <v>26170.93480885715</v>
      </c>
      <c r="G25" s="125">
        <f t="shared" si="2"/>
        <v>2.6170934808857151E-2</v>
      </c>
    </row>
    <row r="26" spans="1:7">
      <c r="A26" s="10">
        <f>'4B_N2O emission'!B27</f>
        <v>2026</v>
      </c>
      <c r="B26" s="122">
        <f>'4D1_N_effluent'!H27</f>
        <v>3397126.8320000004</v>
      </c>
      <c r="C26" s="122">
        <v>5.0000000000000001E-3</v>
      </c>
      <c r="D26" s="123">
        <f t="shared" si="0"/>
        <v>1.5714285714285714</v>
      </c>
      <c r="E26" s="124">
        <v>0</v>
      </c>
      <c r="F26" s="123">
        <f t="shared" si="1"/>
        <v>26691.710822857145</v>
      </c>
      <c r="G26" s="125">
        <f t="shared" si="2"/>
        <v>2.6691710822857144E-2</v>
      </c>
    </row>
    <row r="27" spans="1:7">
      <c r="A27" s="10">
        <f>'4B_N2O emission'!B28</f>
        <v>2027</v>
      </c>
      <c r="B27" s="122">
        <f>'4D1_N_effluent'!H28</f>
        <v>3463407.4156000004</v>
      </c>
      <c r="C27" s="122">
        <v>5.0000000000000001E-3</v>
      </c>
      <c r="D27" s="123">
        <f t="shared" si="0"/>
        <v>1.5714285714285714</v>
      </c>
      <c r="E27" s="124">
        <v>0</v>
      </c>
      <c r="F27" s="123">
        <f t="shared" si="1"/>
        <v>27212.486836857144</v>
      </c>
      <c r="G27" s="125">
        <f t="shared" si="2"/>
        <v>2.7212486836857144E-2</v>
      </c>
    </row>
    <row r="28" spans="1:7">
      <c r="A28" s="10">
        <f>'4B_N2O emission'!B29</f>
        <v>2028</v>
      </c>
      <c r="B28" s="122">
        <f>'4D1_N_effluent'!H29</f>
        <v>3529687.9992000009</v>
      </c>
      <c r="C28" s="122">
        <v>5.0000000000000001E-3</v>
      </c>
      <c r="D28" s="123">
        <f t="shared" si="0"/>
        <v>1.5714285714285714</v>
      </c>
      <c r="E28" s="124">
        <v>0</v>
      </c>
      <c r="F28" s="123">
        <f t="shared" si="1"/>
        <v>27733.262850857151</v>
      </c>
      <c r="G28" s="125">
        <f t="shared" si="2"/>
        <v>2.773326285085715E-2</v>
      </c>
    </row>
    <row r="29" spans="1:7">
      <c r="A29" s="10">
        <f>'4B_N2O emission'!B30</f>
        <v>2029</v>
      </c>
      <c r="B29" s="122">
        <f>'4D1_N_effluent'!H30</f>
        <v>3595968.5828000004</v>
      </c>
      <c r="C29" s="122">
        <v>5.0000000000000001E-3</v>
      </c>
      <c r="D29" s="123">
        <f t="shared" si="0"/>
        <v>1.5714285714285714</v>
      </c>
      <c r="E29" s="124">
        <v>0</v>
      </c>
      <c r="F29" s="123">
        <f t="shared" si="1"/>
        <v>28254.03886485715</v>
      </c>
      <c r="G29" s="125">
        <f t="shared" si="2"/>
        <v>2.825403886485715E-2</v>
      </c>
    </row>
    <row r="30" spans="1:7">
      <c r="A30" s="10">
        <f>'4B_N2O emission'!B31</f>
        <v>2030</v>
      </c>
      <c r="B30" s="122">
        <f>'4D1_N_effluent'!H31</f>
        <v>3662249.1664</v>
      </c>
      <c r="C30" s="122">
        <v>5.0000000000000001E-3</v>
      </c>
      <c r="D30" s="123">
        <f t="shared" si="0"/>
        <v>1.5714285714285714</v>
      </c>
      <c r="E30" s="124">
        <v>0</v>
      </c>
      <c r="F30" s="123">
        <f t="shared" si="1"/>
        <v>28774.814878857142</v>
      </c>
      <c r="G30" s="125">
        <f t="shared" si="2"/>
        <v>2.8774814878857143E-2</v>
      </c>
    </row>
    <row r="31" spans="1:7">
      <c r="A31" s="10">
        <f>'4B_N2O emission'!B32</f>
        <v>2031</v>
      </c>
      <c r="B31" s="122">
        <f>'4D1_N_effluent'!H32</f>
        <v>0</v>
      </c>
      <c r="C31" s="122">
        <v>5.0000000000000001E-3</v>
      </c>
      <c r="D31" s="123">
        <f t="shared" si="0"/>
        <v>1.5714285714285714</v>
      </c>
      <c r="E31" s="124">
        <v>0</v>
      </c>
      <c r="F31" s="123">
        <f t="shared" si="1"/>
        <v>0</v>
      </c>
      <c r="G31" s="125">
        <f t="shared" si="2"/>
        <v>0</v>
      </c>
    </row>
    <row r="32" spans="1:7">
      <c r="C32" s="126"/>
    </row>
  </sheetData>
  <mergeCells count="5">
    <mergeCell ref="B6:F6"/>
    <mergeCell ref="B2:G2"/>
    <mergeCell ref="B3:G3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00B050"/>
  </sheetPr>
  <dimension ref="A1:G40"/>
  <sheetViews>
    <sheetView topLeftCell="A7" zoomScaleNormal="100" workbookViewId="0">
      <selection activeCell="C12" sqref="C12"/>
    </sheetView>
  </sheetViews>
  <sheetFormatPr defaultRowHeight="12.75"/>
  <cols>
    <col min="1" max="1" width="15.7109375" style="6" customWidth="1"/>
    <col min="2" max="2" width="13" style="6" customWidth="1"/>
    <col min="3" max="7" width="20.140625" style="6" customWidth="1"/>
    <col min="8" max="11" width="9.140625" style="6"/>
    <col min="12" max="12" width="13.140625" style="6" customWidth="1"/>
    <col min="13" max="16384" width="9.140625" style="6"/>
  </cols>
  <sheetData>
    <row r="1" spans="1:7">
      <c r="A1" s="197"/>
      <c r="B1" s="197"/>
      <c r="C1" s="197"/>
      <c r="D1" s="197"/>
      <c r="E1" s="197"/>
      <c r="F1" s="197"/>
      <c r="G1" s="197"/>
    </row>
    <row r="2" spans="1:7">
      <c r="A2" s="198" t="s">
        <v>0</v>
      </c>
      <c r="B2" s="198"/>
      <c r="C2" s="199" t="s">
        <v>1</v>
      </c>
      <c r="D2" s="199"/>
      <c r="E2" s="199"/>
      <c r="F2" s="199"/>
      <c r="G2" s="199"/>
    </row>
    <row r="3" spans="1:7">
      <c r="A3" s="198" t="s">
        <v>2</v>
      </c>
      <c r="B3" s="198"/>
      <c r="C3" s="199" t="s">
        <v>3</v>
      </c>
      <c r="D3" s="199"/>
      <c r="E3" s="199"/>
      <c r="F3" s="199"/>
      <c r="G3" s="199"/>
    </row>
    <row r="4" spans="1:7">
      <c r="A4" s="198" t="s">
        <v>4</v>
      </c>
      <c r="B4" s="198"/>
      <c r="C4" s="199" t="s">
        <v>5</v>
      </c>
      <c r="D4" s="199"/>
      <c r="E4" s="199"/>
      <c r="F4" s="199"/>
      <c r="G4" s="199"/>
    </row>
    <row r="5" spans="1:7" ht="14.25" customHeight="1">
      <c r="A5" s="198" t="s">
        <v>6</v>
      </c>
      <c r="B5" s="198"/>
      <c r="C5" s="199" t="s">
        <v>7</v>
      </c>
      <c r="D5" s="199"/>
      <c r="E5" s="199"/>
      <c r="F5" s="199"/>
      <c r="G5" s="199"/>
    </row>
    <row r="6" spans="1:7">
      <c r="A6" s="56"/>
      <c r="B6" s="57"/>
      <c r="C6" s="58" t="s">
        <v>8</v>
      </c>
      <c r="D6" s="215" t="s">
        <v>9</v>
      </c>
      <c r="E6" s="216"/>
      <c r="F6" s="217" t="s">
        <v>10</v>
      </c>
      <c r="G6" s="216"/>
    </row>
    <row r="7" spans="1:7">
      <c r="A7" s="59"/>
      <c r="B7" s="59"/>
      <c r="C7" s="10" t="s">
        <v>11</v>
      </c>
      <c r="D7" s="10" t="s">
        <v>12</v>
      </c>
      <c r="E7" s="10" t="s">
        <v>13</v>
      </c>
      <c r="F7" s="10" t="s">
        <v>14</v>
      </c>
      <c r="G7" s="10" t="s">
        <v>15</v>
      </c>
    </row>
    <row r="8" spans="1:7" ht="53.25" customHeight="1">
      <c r="A8" s="203" t="s">
        <v>16</v>
      </c>
      <c r="B8" s="209" t="s">
        <v>28</v>
      </c>
      <c r="C8" s="51" t="s">
        <v>17</v>
      </c>
      <c r="D8" s="51" t="s">
        <v>18</v>
      </c>
      <c r="E8" s="51" t="s">
        <v>19</v>
      </c>
      <c r="F8" s="51" t="s">
        <v>20</v>
      </c>
      <c r="G8" s="51" t="s">
        <v>21</v>
      </c>
    </row>
    <row r="9" spans="1:7" ht="28.5">
      <c r="A9" s="204"/>
      <c r="B9" s="210"/>
      <c r="C9" s="1" t="s">
        <v>22</v>
      </c>
      <c r="D9" s="1" t="s">
        <v>23</v>
      </c>
      <c r="E9" s="1" t="s">
        <v>24</v>
      </c>
      <c r="F9" s="1" t="s">
        <v>24</v>
      </c>
      <c r="G9" s="1" t="s">
        <v>24</v>
      </c>
    </row>
    <row r="10" spans="1:7" ht="15" thickBot="1">
      <c r="A10" s="205"/>
      <c r="B10" s="211"/>
      <c r="C10" s="11"/>
      <c r="D10" s="11"/>
      <c r="E10" s="11" t="s">
        <v>25</v>
      </c>
      <c r="F10" s="11"/>
      <c r="G10" s="11" t="s">
        <v>26</v>
      </c>
    </row>
    <row r="11" spans="1:7" ht="28.5" customHeight="1" thickTop="1" thickBot="1">
      <c r="B11" s="60"/>
      <c r="C11" s="60"/>
      <c r="D11" s="60"/>
      <c r="E11" s="60"/>
      <c r="F11" s="61" t="s">
        <v>258</v>
      </c>
      <c r="G11" s="60"/>
    </row>
    <row r="12" spans="1:7" ht="13.5" thickTop="1">
      <c r="A12" s="212" t="s">
        <v>27</v>
      </c>
      <c r="B12" s="10">
        <v>2011</v>
      </c>
      <c r="C12" s="131">
        <f>'[1]Fraksi pengelolaan sampah BaU'!D29</f>
        <v>1.6993864799999998</v>
      </c>
      <c r="D12" s="64">
        <v>4</v>
      </c>
      <c r="E12" s="65">
        <f>C12*D12/1000</f>
        <v>6.7975459199999992E-3</v>
      </c>
      <c r="F12" s="66">
        <v>0</v>
      </c>
      <c r="G12" s="65">
        <f>E12-F12</f>
        <v>6.7975459199999992E-3</v>
      </c>
    </row>
    <row r="13" spans="1:7">
      <c r="A13" s="213"/>
      <c r="B13" s="10">
        <v>2012</v>
      </c>
      <c r="C13" s="131">
        <f>'[1]Fraksi pengelolaan sampah BaU'!D30</f>
        <v>1.7323178399999999</v>
      </c>
      <c r="D13" s="64">
        <v>4</v>
      </c>
      <c r="E13" s="65">
        <f t="shared" ref="E13:E32" si="0">C13*D13/1000</f>
        <v>6.9292713599999993E-3</v>
      </c>
      <c r="F13" s="66">
        <v>0</v>
      </c>
      <c r="G13" s="65">
        <f t="shared" ref="G13:G32" si="1">E13-F13</f>
        <v>6.9292713599999993E-3</v>
      </c>
    </row>
    <row r="14" spans="1:7">
      <c r="A14" s="213"/>
      <c r="B14" s="10">
        <v>2013</v>
      </c>
      <c r="C14" s="131">
        <f>'[1]Fraksi pengelolaan sampah BaU'!D31</f>
        <v>1.7651363399999997</v>
      </c>
      <c r="D14" s="64">
        <v>4</v>
      </c>
      <c r="E14" s="65">
        <f t="shared" si="0"/>
        <v>7.0605453599999991E-3</v>
      </c>
      <c r="F14" s="66">
        <v>0</v>
      </c>
      <c r="G14" s="65">
        <f t="shared" si="1"/>
        <v>7.0605453599999991E-3</v>
      </c>
    </row>
    <row r="15" spans="1:7">
      <c r="A15" s="213"/>
      <c r="B15" s="10">
        <v>2014</v>
      </c>
      <c r="C15" s="131">
        <f>'[1]Fraksi pengelolaan sampah BaU'!D32</f>
        <v>1.7971351199999999</v>
      </c>
      <c r="D15" s="64">
        <v>4</v>
      </c>
      <c r="E15" s="65">
        <f t="shared" si="0"/>
        <v>7.1885404799999992E-3</v>
      </c>
      <c r="F15" s="66">
        <v>0</v>
      </c>
      <c r="G15" s="65">
        <f t="shared" si="1"/>
        <v>7.1885404799999992E-3</v>
      </c>
    </row>
    <row r="16" spans="1:7">
      <c r="A16" s="213"/>
      <c r="B16" s="10">
        <v>2015</v>
      </c>
      <c r="C16" s="131">
        <f>'[1]Fraksi pengelolaan sampah BaU'!D33</f>
        <v>1.82825478</v>
      </c>
      <c r="D16" s="64">
        <v>4</v>
      </c>
      <c r="E16" s="65">
        <f t="shared" si="0"/>
        <v>7.31301912E-3</v>
      </c>
      <c r="F16" s="66">
        <v>0</v>
      </c>
      <c r="G16" s="65">
        <f t="shared" si="1"/>
        <v>7.31301912E-3</v>
      </c>
    </row>
    <row r="17" spans="1:7">
      <c r="A17" s="213"/>
      <c r="B17" s="10">
        <v>2016</v>
      </c>
      <c r="C17" s="131">
        <f>'[1]Fraksi pengelolaan sampah BaU'!D34</f>
        <v>1.8591249599999997</v>
      </c>
      <c r="D17" s="64">
        <v>4</v>
      </c>
      <c r="E17" s="65">
        <f t="shared" si="0"/>
        <v>7.4364998399999984E-3</v>
      </c>
      <c r="F17" s="66">
        <v>0</v>
      </c>
      <c r="G17" s="65">
        <f t="shared" si="1"/>
        <v>7.4364998399999984E-3</v>
      </c>
    </row>
    <row r="18" spans="1:7">
      <c r="A18" s="213"/>
      <c r="B18" s="10">
        <v>2017</v>
      </c>
      <c r="C18" s="131">
        <f>'[1]Fraksi pengelolaan sampah BaU'!D35</f>
        <v>1.9854856489049999</v>
      </c>
      <c r="D18" s="64">
        <v>4</v>
      </c>
      <c r="E18" s="65">
        <f t="shared" si="0"/>
        <v>7.9419425956199999E-3</v>
      </c>
      <c r="F18" s="66">
        <v>0</v>
      </c>
      <c r="G18" s="65">
        <f t="shared" si="1"/>
        <v>7.9419425956199999E-3</v>
      </c>
    </row>
    <row r="19" spans="1:7">
      <c r="A19" s="213"/>
      <c r="B19" s="10">
        <v>2018</v>
      </c>
      <c r="C19" s="131">
        <f>'[1]Fraksi pengelolaan sampah BaU'!D36</f>
        <v>2.0895085541721601</v>
      </c>
      <c r="D19" s="64">
        <v>4</v>
      </c>
      <c r="E19" s="65">
        <f t="shared" si="0"/>
        <v>8.3580342166886396E-3</v>
      </c>
      <c r="F19" s="66">
        <v>0</v>
      </c>
      <c r="G19" s="65">
        <f t="shared" si="1"/>
        <v>8.3580342166886396E-3</v>
      </c>
    </row>
    <row r="20" spans="1:7">
      <c r="A20" s="213"/>
      <c r="B20" s="10">
        <v>2019</v>
      </c>
      <c r="C20" s="131">
        <f>'[1]Fraksi pengelolaan sampah BaU'!D37</f>
        <v>2.1978480543212249</v>
      </c>
      <c r="D20" s="64">
        <v>4</v>
      </c>
      <c r="E20" s="65">
        <f t="shared" si="0"/>
        <v>8.7913922172848987E-3</v>
      </c>
      <c r="F20" s="66">
        <v>0</v>
      </c>
      <c r="G20" s="65">
        <f t="shared" si="1"/>
        <v>8.7913922172848987E-3</v>
      </c>
    </row>
    <row r="21" spans="1:7">
      <c r="A21" s="213"/>
      <c r="B21" s="10">
        <v>2020</v>
      </c>
      <c r="C21" s="131">
        <f>'[1]Fraksi pengelolaan sampah BaU'!D38</f>
        <v>2.3106657026556605</v>
      </c>
      <c r="D21" s="64">
        <v>4</v>
      </c>
      <c r="E21" s="65">
        <f t="shared" si="0"/>
        <v>9.2426628106226424E-3</v>
      </c>
      <c r="F21" s="66">
        <v>0</v>
      </c>
      <c r="G21" s="65">
        <f t="shared" si="1"/>
        <v>9.2426628106226424E-3</v>
      </c>
    </row>
    <row r="22" spans="1:7">
      <c r="A22" s="213"/>
      <c r="B22" s="10">
        <v>2021</v>
      </c>
      <c r="C22" s="131">
        <f>'[1]Fraksi pengelolaan sampah BaU'!D39</f>
        <v>2.4281287548630361</v>
      </c>
      <c r="D22" s="64">
        <v>4</v>
      </c>
      <c r="E22" s="65">
        <f t="shared" si="0"/>
        <v>9.7125150194521444E-3</v>
      </c>
      <c r="F22" s="66">
        <v>0</v>
      </c>
      <c r="G22" s="65">
        <f>E22-F22</f>
        <v>9.7125150194521444E-3</v>
      </c>
    </row>
    <row r="23" spans="1:7">
      <c r="A23" s="213"/>
      <c r="B23" s="10">
        <v>2022</v>
      </c>
      <c r="C23" s="131">
        <f>'[1]Fraksi pengelolaan sampah BaU'!D40</f>
        <v>2.5504103628292505</v>
      </c>
      <c r="D23" s="64">
        <v>4</v>
      </c>
      <c r="E23" s="65">
        <f t="shared" si="0"/>
        <v>1.0201641451317002E-2</v>
      </c>
      <c r="F23" s="66">
        <v>0</v>
      </c>
      <c r="G23" s="65">
        <f t="shared" si="1"/>
        <v>1.0201641451317002E-2</v>
      </c>
    </row>
    <row r="24" spans="1:7">
      <c r="A24" s="213"/>
      <c r="B24" s="10">
        <v>2023</v>
      </c>
      <c r="C24" s="131">
        <f>'[1]Fraksi pengelolaan sampah BaU'!D41</f>
        <v>2.6776897748684014</v>
      </c>
      <c r="D24" s="64">
        <v>4</v>
      </c>
      <c r="E24" s="65">
        <f t="shared" si="0"/>
        <v>1.0710759099473605E-2</v>
      </c>
      <c r="F24" s="66">
        <v>0</v>
      </c>
      <c r="G24" s="65">
        <f t="shared" si="1"/>
        <v>1.0710759099473605E-2</v>
      </c>
    </row>
    <row r="25" spans="1:7">
      <c r="A25" s="213"/>
      <c r="B25" s="10">
        <v>2024</v>
      </c>
      <c r="C25" s="131">
        <f>'[1]Fraksi pengelolaan sampah BaU'!D42</f>
        <v>2.8101525425765757</v>
      </c>
      <c r="D25" s="64">
        <v>4</v>
      </c>
      <c r="E25" s="65">
        <f t="shared" si="0"/>
        <v>1.1240610170306302E-2</v>
      </c>
      <c r="F25" s="66">
        <v>0</v>
      </c>
      <c r="G25" s="65">
        <f t="shared" si="1"/>
        <v>1.1240610170306302E-2</v>
      </c>
    </row>
    <row r="26" spans="1:7">
      <c r="A26" s="213"/>
      <c r="B26" s="10">
        <v>2025</v>
      </c>
      <c r="C26" s="131">
        <f>'[1]Fraksi pengelolaan sampah BaU'!D43</f>
        <v>2.9479907345244789</v>
      </c>
      <c r="D26" s="64">
        <v>4</v>
      </c>
      <c r="E26" s="65">
        <f t="shared" si="0"/>
        <v>1.1791962938097915E-2</v>
      </c>
      <c r="F26" s="66">
        <v>0</v>
      </c>
      <c r="G26" s="65">
        <f t="shared" si="1"/>
        <v>1.1791962938097915E-2</v>
      </c>
    </row>
    <row r="27" spans="1:7">
      <c r="A27" s="213"/>
      <c r="B27" s="10">
        <v>2026</v>
      </c>
      <c r="C27" s="131">
        <f>'[1]Fraksi pengelolaan sampah BaU'!D44</f>
        <v>3.0914031570107046</v>
      </c>
      <c r="D27" s="64">
        <v>4</v>
      </c>
      <c r="E27" s="65">
        <f t="shared" si="0"/>
        <v>1.2365612628042819E-2</v>
      </c>
      <c r="F27" s="66">
        <v>0</v>
      </c>
      <c r="G27" s="65">
        <f t="shared" si="1"/>
        <v>1.2365612628042819E-2</v>
      </c>
    </row>
    <row r="28" spans="1:7">
      <c r="A28" s="213"/>
      <c r="B28" s="10">
        <v>2027</v>
      </c>
      <c r="C28" s="131">
        <f>'[1]Fraksi pengelolaan sampah BaU'!D45</f>
        <v>3.2405955821045285</v>
      </c>
      <c r="D28" s="64">
        <v>4</v>
      </c>
      <c r="E28" s="65">
        <f t="shared" si="0"/>
        <v>1.2962382328418114E-2</v>
      </c>
      <c r="F28" s="66">
        <v>0</v>
      </c>
      <c r="G28" s="65">
        <f t="shared" si="1"/>
        <v>1.2962382328418114E-2</v>
      </c>
    </row>
    <row r="29" spans="1:7">
      <c r="A29" s="213"/>
      <c r="B29" s="10">
        <v>2028</v>
      </c>
      <c r="C29" s="131">
        <f>'[1]Fraksi pengelolaan sampah BaU'!D46</f>
        <v>3.3957809832144181</v>
      </c>
      <c r="D29" s="64">
        <v>4</v>
      </c>
      <c r="E29" s="65">
        <f t="shared" si="0"/>
        <v>1.3583123932857672E-2</v>
      </c>
      <c r="F29" s="66">
        <v>0</v>
      </c>
      <c r="G29" s="65">
        <f t="shared" si="1"/>
        <v>1.3583123932857672E-2</v>
      </c>
    </row>
    <row r="30" spans="1:7">
      <c r="A30" s="213"/>
      <c r="B30" s="10">
        <v>2029</v>
      </c>
      <c r="C30" s="131">
        <f>'[1]Fraksi pengelolaan sampah BaU'!D47</f>
        <v>3.5571797784260069</v>
      </c>
      <c r="D30" s="64">
        <v>4</v>
      </c>
      <c r="E30" s="65">
        <f t="shared" si="0"/>
        <v>1.4228719113704028E-2</v>
      </c>
      <c r="F30" s="66">
        <v>0</v>
      </c>
      <c r="G30" s="65">
        <f t="shared" si="1"/>
        <v>1.4228719113704028E-2</v>
      </c>
    </row>
    <row r="31" spans="1:7">
      <c r="A31" s="213"/>
      <c r="B31" s="10">
        <v>2030</v>
      </c>
      <c r="C31" s="131">
        <f>'[1]Fraksi pengelolaan sampah BaU'!D48</f>
        <v>3.7236144000000002</v>
      </c>
      <c r="D31" s="64">
        <v>4</v>
      </c>
      <c r="E31" s="65">
        <f t="shared" si="0"/>
        <v>1.4894457600000001E-2</v>
      </c>
      <c r="F31" s="66">
        <v>0</v>
      </c>
      <c r="G31" s="65">
        <f t="shared" si="1"/>
        <v>1.4894457600000001E-2</v>
      </c>
    </row>
    <row r="32" spans="1:7">
      <c r="A32" s="214"/>
      <c r="B32" s="10">
        <v>2031</v>
      </c>
      <c r="C32" s="63"/>
      <c r="D32" s="64">
        <v>4</v>
      </c>
      <c r="E32" s="65">
        <f t="shared" si="0"/>
        <v>0</v>
      </c>
      <c r="F32" s="66">
        <v>0</v>
      </c>
      <c r="G32" s="65">
        <f t="shared" si="1"/>
        <v>0</v>
      </c>
    </row>
    <row r="33" spans="1:7" ht="56.25" customHeight="1">
      <c r="A33" s="41" t="s">
        <v>246</v>
      </c>
      <c r="B33" s="53"/>
      <c r="C33" s="53"/>
      <c r="D33" s="53"/>
      <c r="E33" s="53"/>
      <c r="F33" s="53"/>
      <c r="G33" s="53"/>
    </row>
    <row r="34" spans="1:7">
      <c r="A34" s="2"/>
      <c r="B34" s="53"/>
      <c r="C34" s="53"/>
      <c r="D34" s="53"/>
      <c r="E34" s="53"/>
      <c r="F34" s="53"/>
      <c r="G34" s="53"/>
    </row>
    <row r="35" spans="1:7">
      <c r="A35" s="2"/>
      <c r="B35" s="53"/>
      <c r="C35" s="53"/>
      <c r="D35" s="53"/>
      <c r="E35" s="53"/>
      <c r="F35" s="53"/>
      <c r="G35" s="53"/>
    </row>
    <row r="36" spans="1:7">
      <c r="A36" s="2"/>
      <c r="B36" s="53"/>
      <c r="C36" s="53"/>
      <c r="D36" s="53"/>
      <c r="E36" s="53"/>
      <c r="F36" s="53"/>
      <c r="G36" s="53"/>
    </row>
    <row r="37" spans="1:7">
      <c r="A37" s="200"/>
      <c r="B37" s="201"/>
      <c r="C37" s="201"/>
      <c r="D37" s="201"/>
      <c r="E37" s="201"/>
      <c r="F37" s="202"/>
      <c r="G37" s="67"/>
    </row>
    <row r="38" spans="1:7" ht="24.75" customHeight="1">
      <c r="A38" s="218" t="s">
        <v>49</v>
      </c>
      <c r="B38" s="219"/>
      <c r="C38" s="219"/>
      <c r="D38" s="219"/>
      <c r="E38" s="219"/>
      <c r="F38" s="219"/>
      <c r="G38" s="220"/>
    </row>
    <row r="39" spans="1:7" ht="13.5" customHeight="1">
      <c r="A39" s="221" t="s">
        <v>50</v>
      </c>
      <c r="B39" s="222"/>
      <c r="C39" s="222"/>
      <c r="D39" s="222"/>
      <c r="E39" s="222"/>
      <c r="F39" s="222"/>
      <c r="G39" s="223"/>
    </row>
    <row r="40" spans="1:7" ht="13.5" customHeight="1">
      <c r="A40" s="206" t="s">
        <v>51</v>
      </c>
      <c r="B40" s="207"/>
      <c r="C40" s="207"/>
      <c r="D40" s="207"/>
      <c r="E40" s="207"/>
      <c r="F40" s="207"/>
      <c r="G40" s="208"/>
    </row>
  </sheetData>
  <mergeCells count="18">
    <mergeCell ref="C4:G4"/>
    <mergeCell ref="A5:B5"/>
    <mergeCell ref="A37:F37"/>
    <mergeCell ref="A8:A10"/>
    <mergeCell ref="A40:G40"/>
    <mergeCell ref="B8:B10"/>
    <mergeCell ref="C5:G5"/>
    <mergeCell ref="A12:A32"/>
    <mergeCell ref="D6:E6"/>
    <mergeCell ref="F6:G6"/>
    <mergeCell ref="A38:G38"/>
    <mergeCell ref="A39:G39"/>
    <mergeCell ref="A4:B4"/>
    <mergeCell ref="A1:G1"/>
    <mergeCell ref="A2:B2"/>
    <mergeCell ref="C2:G2"/>
    <mergeCell ref="A3:B3"/>
    <mergeCell ref="C3:G3"/>
  </mergeCells>
  <phoneticPr fontId="13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00B050"/>
  </sheetPr>
  <dimension ref="A2:E41"/>
  <sheetViews>
    <sheetView topLeftCell="A7" zoomScaleNormal="100" workbookViewId="0">
      <selection activeCell="G21" sqref="G21"/>
    </sheetView>
  </sheetViews>
  <sheetFormatPr defaultRowHeight="12.75"/>
  <cols>
    <col min="1" max="1" width="15.28515625" style="6" customWidth="1"/>
    <col min="2" max="2" width="17.140625" style="6" customWidth="1"/>
    <col min="3" max="3" width="28.28515625" style="6" customWidth="1"/>
    <col min="4" max="4" width="23.7109375" style="6" customWidth="1"/>
    <col min="5" max="5" width="20.140625" style="6" customWidth="1"/>
    <col min="6" max="16384" width="9.140625" style="6"/>
  </cols>
  <sheetData>
    <row r="2" spans="1:5">
      <c r="A2" s="198" t="s">
        <v>0</v>
      </c>
      <c r="B2" s="198"/>
      <c r="C2" s="199" t="s">
        <v>1</v>
      </c>
      <c r="D2" s="199"/>
      <c r="E2" s="199"/>
    </row>
    <row r="3" spans="1:5" ht="13.5" customHeight="1">
      <c r="A3" s="198" t="s">
        <v>2</v>
      </c>
      <c r="B3" s="198"/>
      <c r="C3" s="199" t="s">
        <v>3</v>
      </c>
      <c r="D3" s="199"/>
      <c r="E3" s="199"/>
    </row>
    <row r="4" spans="1:5">
      <c r="A4" s="198" t="s">
        <v>4</v>
      </c>
      <c r="B4" s="198"/>
      <c r="C4" s="199" t="s">
        <v>5</v>
      </c>
      <c r="D4" s="199"/>
      <c r="E4" s="199"/>
    </row>
    <row r="5" spans="1:5" ht="15.75" customHeight="1">
      <c r="A5" s="198" t="s">
        <v>6</v>
      </c>
      <c r="B5" s="198"/>
      <c r="C5" s="199" t="s">
        <v>29</v>
      </c>
      <c r="D5" s="199"/>
      <c r="E5" s="199"/>
    </row>
    <row r="6" spans="1:5">
      <c r="A6" s="68"/>
      <c r="B6" s="69"/>
      <c r="C6" s="69" t="s">
        <v>8</v>
      </c>
      <c r="D6" s="224" t="s">
        <v>9</v>
      </c>
      <c r="E6" s="224"/>
    </row>
    <row r="7" spans="1:5">
      <c r="A7" s="3"/>
      <c r="B7" s="70"/>
      <c r="C7" s="10" t="s">
        <v>11</v>
      </c>
      <c r="D7" s="10" t="s">
        <v>12</v>
      </c>
      <c r="E7" s="10" t="s">
        <v>13</v>
      </c>
    </row>
    <row r="8" spans="1:5" ht="30" customHeight="1">
      <c r="A8" s="209" t="s">
        <v>16</v>
      </c>
      <c r="B8" s="209" t="s">
        <v>30</v>
      </c>
      <c r="C8" s="51" t="s">
        <v>17</v>
      </c>
      <c r="D8" s="51" t="s">
        <v>18</v>
      </c>
      <c r="E8" s="51" t="s">
        <v>31</v>
      </c>
    </row>
    <row r="9" spans="1:5" ht="15.75">
      <c r="A9" s="209"/>
      <c r="B9" s="209"/>
      <c r="C9" s="1" t="s">
        <v>22</v>
      </c>
      <c r="D9" s="1" t="s">
        <v>32</v>
      </c>
      <c r="E9" s="1" t="s">
        <v>33</v>
      </c>
    </row>
    <row r="10" spans="1:5" ht="15" thickBot="1">
      <c r="A10" s="225"/>
      <c r="B10" s="225"/>
      <c r="C10" s="11"/>
      <c r="D10" s="11"/>
      <c r="E10" s="71" t="s">
        <v>202</v>
      </c>
    </row>
    <row r="11" spans="1:5" ht="14.25" customHeight="1" thickTop="1" thickBot="1">
      <c r="B11" s="60"/>
      <c r="C11" s="60"/>
      <c r="D11" s="60"/>
      <c r="E11" s="72" t="s">
        <v>230</v>
      </c>
    </row>
    <row r="12" spans="1:5" ht="13.5" thickTop="1">
      <c r="A12" s="226" t="s">
        <v>27</v>
      </c>
      <c r="B12" s="74">
        <f>'4B_CH4 emissions'!B12</f>
        <v>2011</v>
      </c>
      <c r="C12" s="132">
        <f>'4B_CH4 emissions'!C12</f>
        <v>1.6993864799999998</v>
      </c>
      <c r="D12" s="65">
        <v>0.3</v>
      </c>
      <c r="E12" s="65">
        <f>C12*D12/1000</f>
        <v>5.0981594399999997E-4</v>
      </c>
    </row>
    <row r="13" spans="1:5">
      <c r="A13" s="227"/>
      <c r="B13" s="74">
        <f>'4B_CH4 emissions'!B13</f>
        <v>2012</v>
      </c>
      <c r="C13" s="132">
        <f>'4B_CH4 emissions'!C13</f>
        <v>1.7323178399999999</v>
      </c>
      <c r="D13" s="65">
        <v>0.3</v>
      </c>
      <c r="E13" s="65">
        <f t="shared" ref="E13:E32" si="0">C13*D13/1000</f>
        <v>5.1969535199999993E-4</v>
      </c>
    </row>
    <row r="14" spans="1:5">
      <c r="A14" s="227"/>
      <c r="B14" s="74">
        <f>'4B_CH4 emissions'!B14</f>
        <v>2013</v>
      </c>
      <c r="C14" s="132">
        <f>'4B_CH4 emissions'!C14</f>
        <v>1.7651363399999997</v>
      </c>
      <c r="D14" s="65">
        <v>0.3</v>
      </c>
      <c r="E14" s="65">
        <f t="shared" si="0"/>
        <v>5.2954090199999998E-4</v>
      </c>
    </row>
    <row r="15" spans="1:5">
      <c r="A15" s="227"/>
      <c r="B15" s="74">
        <f>'4B_CH4 emissions'!B15</f>
        <v>2014</v>
      </c>
      <c r="C15" s="132">
        <f>'4B_CH4 emissions'!C15</f>
        <v>1.7971351199999999</v>
      </c>
      <c r="D15" s="65">
        <v>0.3</v>
      </c>
      <c r="E15" s="65">
        <f t="shared" si="0"/>
        <v>5.3914053599999994E-4</v>
      </c>
    </row>
    <row r="16" spans="1:5">
      <c r="A16" s="227"/>
      <c r="B16" s="74">
        <f>'4B_CH4 emissions'!B16</f>
        <v>2015</v>
      </c>
      <c r="C16" s="132">
        <f>'4B_CH4 emissions'!C16</f>
        <v>1.82825478</v>
      </c>
      <c r="D16" s="65">
        <v>0.3</v>
      </c>
      <c r="E16" s="65">
        <f t="shared" si="0"/>
        <v>5.48476434E-4</v>
      </c>
    </row>
    <row r="17" spans="1:5">
      <c r="A17" s="227"/>
      <c r="B17" s="74">
        <f>'4B_CH4 emissions'!B17</f>
        <v>2016</v>
      </c>
      <c r="C17" s="132">
        <f>'4B_CH4 emissions'!C17</f>
        <v>1.8591249599999997</v>
      </c>
      <c r="D17" s="65">
        <v>0.3</v>
      </c>
      <c r="E17" s="65">
        <f t="shared" si="0"/>
        <v>5.5773748799999988E-4</v>
      </c>
    </row>
    <row r="18" spans="1:5">
      <c r="A18" s="227"/>
      <c r="B18" s="74">
        <f>'4B_CH4 emissions'!B18</f>
        <v>2017</v>
      </c>
      <c r="C18" s="132">
        <f>'4B_CH4 emissions'!C18</f>
        <v>1.9854856489049999</v>
      </c>
      <c r="D18" s="65">
        <v>0.3</v>
      </c>
      <c r="E18" s="65">
        <f t="shared" si="0"/>
        <v>5.9564569467150002E-4</v>
      </c>
    </row>
    <row r="19" spans="1:5">
      <c r="A19" s="227"/>
      <c r="B19" s="74">
        <f>'4B_CH4 emissions'!B19</f>
        <v>2018</v>
      </c>
      <c r="C19" s="132">
        <f>'4B_CH4 emissions'!C19</f>
        <v>2.0895085541721601</v>
      </c>
      <c r="D19" s="65">
        <v>0.3</v>
      </c>
      <c r="E19" s="65">
        <f t="shared" si="0"/>
        <v>6.2685256625164801E-4</v>
      </c>
    </row>
    <row r="20" spans="1:5">
      <c r="A20" s="227"/>
      <c r="B20" s="74">
        <f>'4B_CH4 emissions'!B20</f>
        <v>2019</v>
      </c>
      <c r="C20" s="132">
        <f>'4B_CH4 emissions'!C20</f>
        <v>2.1978480543212249</v>
      </c>
      <c r="D20" s="65">
        <v>0.3</v>
      </c>
      <c r="E20" s="65">
        <f t="shared" si="0"/>
        <v>6.5935441629636751E-4</v>
      </c>
    </row>
    <row r="21" spans="1:5">
      <c r="A21" s="227"/>
      <c r="B21" s="74">
        <f>'4B_CH4 emissions'!B21</f>
        <v>2020</v>
      </c>
      <c r="C21" s="132">
        <f>'4B_CH4 emissions'!C21</f>
        <v>2.3106657026556605</v>
      </c>
      <c r="D21" s="65">
        <v>0.3</v>
      </c>
      <c r="E21" s="65">
        <f t="shared" si="0"/>
        <v>6.9319971079669822E-4</v>
      </c>
    </row>
    <row r="22" spans="1:5">
      <c r="A22" s="227"/>
      <c r="B22" s="74">
        <f>'4B_CH4 emissions'!B22</f>
        <v>2021</v>
      </c>
      <c r="C22" s="132">
        <f>'4B_CH4 emissions'!C22</f>
        <v>2.4281287548630361</v>
      </c>
      <c r="D22" s="65">
        <v>0.3</v>
      </c>
      <c r="E22" s="65">
        <f t="shared" si="0"/>
        <v>7.2843862645891077E-4</v>
      </c>
    </row>
    <row r="23" spans="1:5">
      <c r="A23" s="227"/>
      <c r="B23" s="74">
        <f>'4B_CH4 emissions'!B23</f>
        <v>2022</v>
      </c>
      <c r="C23" s="180">
        <f>'4B_CH4 emissions'!C23</f>
        <v>2.5504103628292505</v>
      </c>
      <c r="D23" s="65">
        <v>0.3</v>
      </c>
      <c r="E23" s="65">
        <f t="shared" si="0"/>
        <v>7.6512310884877509E-4</v>
      </c>
    </row>
    <row r="24" spans="1:5">
      <c r="A24" s="227"/>
      <c r="B24" s="74">
        <f>'4B_CH4 emissions'!B24</f>
        <v>2023</v>
      </c>
      <c r="C24" s="180">
        <f>'4B_CH4 emissions'!C24</f>
        <v>2.6776897748684014</v>
      </c>
      <c r="D24" s="65">
        <v>0.3</v>
      </c>
      <c r="E24" s="65">
        <f t="shared" si="0"/>
        <v>8.0330693246052041E-4</v>
      </c>
    </row>
    <row r="25" spans="1:5">
      <c r="A25" s="227"/>
      <c r="B25" s="74">
        <f>'4B_CH4 emissions'!B25</f>
        <v>2024</v>
      </c>
      <c r="C25" s="180">
        <f>'4B_CH4 emissions'!C25</f>
        <v>2.8101525425765757</v>
      </c>
      <c r="D25" s="65">
        <v>0.3</v>
      </c>
      <c r="E25" s="65">
        <f t="shared" si="0"/>
        <v>8.4304576277297277E-4</v>
      </c>
    </row>
    <row r="26" spans="1:5">
      <c r="A26" s="227"/>
      <c r="B26" s="74">
        <f>'4B_CH4 emissions'!B26</f>
        <v>2025</v>
      </c>
      <c r="C26" s="180">
        <f>'4B_CH4 emissions'!C26</f>
        <v>2.9479907345244789</v>
      </c>
      <c r="D26" s="65">
        <v>0.3</v>
      </c>
      <c r="E26" s="65">
        <f t="shared" si="0"/>
        <v>8.8439722035734368E-4</v>
      </c>
    </row>
    <row r="27" spans="1:5">
      <c r="A27" s="227"/>
      <c r="B27" s="74">
        <f>'4B_CH4 emissions'!B27</f>
        <v>2026</v>
      </c>
      <c r="C27" s="180">
        <f>'4B_CH4 emissions'!C27</f>
        <v>3.0914031570107046</v>
      </c>
      <c r="D27" s="65">
        <v>0.3</v>
      </c>
      <c r="E27" s="65">
        <f t="shared" si="0"/>
        <v>9.2742094710321138E-4</v>
      </c>
    </row>
    <row r="28" spans="1:5">
      <c r="A28" s="227"/>
      <c r="B28" s="74">
        <f>'4B_CH4 emissions'!B28</f>
        <v>2027</v>
      </c>
      <c r="C28" s="180">
        <f>'4B_CH4 emissions'!C28</f>
        <v>3.2405955821045285</v>
      </c>
      <c r="D28" s="65">
        <v>0.3</v>
      </c>
      <c r="E28" s="65">
        <f t="shared" si="0"/>
        <v>9.7217867463135856E-4</v>
      </c>
    </row>
    <row r="29" spans="1:5">
      <c r="A29" s="227"/>
      <c r="B29" s="74">
        <f>'4B_CH4 emissions'!B29</f>
        <v>2028</v>
      </c>
      <c r="C29" s="180">
        <f>'4B_CH4 emissions'!C29</f>
        <v>3.3957809832144181</v>
      </c>
      <c r="D29" s="65">
        <v>0.3</v>
      </c>
      <c r="E29" s="65">
        <f t="shared" si="0"/>
        <v>1.0187342949643254E-3</v>
      </c>
    </row>
    <row r="30" spans="1:5">
      <c r="A30" s="227"/>
      <c r="B30" s="74">
        <f>'4B_CH4 emissions'!B30</f>
        <v>2029</v>
      </c>
      <c r="C30" s="180">
        <f>'4B_CH4 emissions'!C30</f>
        <v>3.5571797784260069</v>
      </c>
      <c r="D30" s="65">
        <v>0.3</v>
      </c>
      <c r="E30" s="65">
        <f t="shared" si="0"/>
        <v>1.0671539335278019E-3</v>
      </c>
    </row>
    <row r="31" spans="1:5">
      <c r="A31" s="227"/>
      <c r="B31" s="74">
        <f>'4B_CH4 emissions'!B31</f>
        <v>2030</v>
      </c>
      <c r="C31" s="180">
        <f>'4B_CH4 emissions'!C31</f>
        <v>3.7236144000000002</v>
      </c>
      <c r="D31" s="65">
        <v>0.3</v>
      </c>
      <c r="E31" s="65">
        <f t="shared" si="0"/>
        <v>1.11708432E-3</v>
      </c>
    </row>
    <row r="32" spans="1:5">
      <c r="A32" s="228"/>
      <c r="B32" s="4">
        <f>'4B_CH4 emissions'!B32</f>
        <v>2031</v>
      </c>
      <c r="C32" s="180">
        <f>'4B_CH4 emissions'!C32</f>
        <v>0</v>
      </c>
      <c r="D32" s="65">
        <v>0.3</v>
      </c>
      <c r="E32" s="65">
        <f t="shared" si="0"/>
        <v>0</v>
      </c>
    </row>
    <row r="33" spans="1:5">
      <c r="A33" s="4"/>
      <c r="B33" s="62"/>
      <c r="C33" s="65"/>
      <c r="D33" s="65"/>
      <c r="E33" s="65"/>
    </row>
    <row r="34" spans="1:5" ht="60.75" customHeight="1">
      <c r="A34" s="41" t="s">
        <v>246</v>
      </c>
      <c r="B34" s="53"/>
      <c r="C34" s="53"/>
      <c r="D34" s="53"/>
      <c r="E34" s="53"/>
    </row>
    <row r="35" spans="1:5">
      <c r="A35" s="53"/>
      <c r="B35" s="53"/>
      <c r="C35" s="53"/>
      <c r="D35" s="53"/>
      <c r="E35" s="53"/>
    </row>
    <row r="36" spans="1:5">
      <c r="A36" s="53"/>
      <c r="B36" s="53"/>
      <c r="C36" s="53"/>
      <c r="D36" s="53"/>
      <c r="E36" s="53"/>
    </row>
    <row r="37" spans="1:5">
      <c r="A37" s="53"/>
      <c r="B37" s="53"/>
      <c r="C37" s="53"/>
      <c r="D37" s="53"/>
      <c r="E37" s="53"/>
    </row>
    <row r="38" spans="1:5">
      <c r="A38" s="200"/>
      <c r="B38" s="201"/>
      <c r="C38" s="201"/>
      <c r="D38" s="202"/>
      <c r="E38" s="73"/>
    </row>
    <row r="39" spans="1:5" ht="13.5" customHeight="1">
      <c r="A39" s="218" t="s">
        <v>52</v>
      </c>
      <c r="B39" s="219"/>
      <c r="C39" s="219"/>
      <c r="D39" s="219"/>
      <c r="E39" s="220"/>
    </row>
    <row r="40" spans="1:5" ht="12.75" customHeight="1">
      <c r="A40" s="221" t="s">
        <v>50</v>
      </c>
      <c r="B40" s="222"/>
      <c r="C40" s="222"/>
      <c r="D40" s="222"/>
      <c r="E40" s="223"/>
    </row>
    <row r="41" spans="1:5" ht="13.5" customHeight="1">
      <c r="A41" s="206" t="s">
        <v>51</v>
      </c>
      <c r="B41" s="207"/>
      <c r="C41" s="207"/>
      <c r="D41" s="207"/>
      <c r="E41" s="208"/>
    </row>
  </sheetData>
  <mergeCells count="16">
    <mergeCell ref="A4:B4"/>
    <mergeCell ref="C4:E4"/>
    <mergeCell ref="A5:B5"/>
    <mergeCell ref="C5:E5"/>
    <mergeCell ref="A2:B2"/>
    <mergeCell ref="C2:E2"/>
    <mergeCell ref="A3:B3"/>
    <mergeCell ref="C3:E3"/>
    <mergeCell ref="A39:E39"/>
    <mergeCell ref="A40:E40"/>
    <mergeCell ref="A41:E41"/>
    <mergeCell ref="A38:D38"/>
    <mergeCell ref="D6:E6"/>
    <mergeCell ref="A8:A10"/>
    <mergeCell ref="B8:B10"/>
    <mergeCell ref="A12:A32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rgb="FFC00000"/>
  </sheetPr>
  <dimension ref="A2:G33"/>
  <sheetViews>
    <sheetView topLeftCell="A8" zoomScaleNormal="100" workbookViewId="0">
      <selection activeCell="C15" sqref="C15"/>
    </sheetView>
  </sheetViews>
  <sheetFormatPr defaultRowHeight="12.75"/>
  <cols>
    <col min="1" max="1" width="23.28515625" style="6" customWidth="1"/>
    <col min="2" max="2" width="14.140625" style="6" customWidth="1"/>
    <col min="3" max="3" width="19.42578125" style="6" customWidth="1"/>
    <col min="4" max="4" width="19.140625" style="6" customWidth="1"/>
    <col min="5" max="5" width="19.7109375" style="6" customWidth="1"/>
    <col min="6" max="6" width="15.42578125" style="6" customWidth="1"/>
    <col min="7" max="7" width="20.85546875" style="6" customWidth="1"/>
    <col min="8" max="16384" width="9.140625" style="6"/>
  </cols>
  <sheetData>
    <row r="2" spans="1:7">
      <c r="A2" s="75" t="s">
        <v>0</v>
      </c>
      <c r="B2" s="199" t="s">
        <v>1</v>
      </c>
      <c r="C2" s="199"/>
      <c r="D2" s="199"/>
      <c r="E2" s="199"/>
      <c r="F2" s="199"/>
      <c r="G2" s="199"/>
    </row>
    <row r="3" spans="1:7">
      <c r="A3" s="75" t="s">
        <v>2</v>
      </c>
      <c r="B3" s="199" t="s">
        <v>34</v>
      </c>
      <c r="C3" s="199"/>
      <c r="D3" s="199"/>
      <c r="E3" s="199"/>
      <c r="F3" s="199"/>
      <c r="G3" s="199"/>
    </row>
    <row r="4" spans="1:7" ht="13.5" customHeight="1">
      <c r="A4" s="75" t="s">
        <v>4</v>
      </c>
      <c r="B4" s="199" t="s">
        <v>35</v>
      </c>
      <c r="C4" s="199"/>
      <c r="D4" s="199"/>
      <c r="E4" s="199"/>
      <c r="F4" s="199"/>
      <c r="G4" s="199"/>
    </row>
    <row r="5" spans="1:7">
      <c r="A5" s="75" t="s">
        <v>6</v>
      </c>
      <c r="B5" s="199" t="s">
        <v>56</v>
      </c>
      <c r="C5" s="199"/>
      <c r="D5" s="199"/>
      <c r="E5" s="199"/>
      <c r="F5" s="199"/>
      <c r="G5" s="199"/>
    </row>
    <row r="6" spans="1:7">
      <c r="A6" s="231" t="s">
        <v>8</v>
      </c>
      <c r="B6" s="231"/>
      <c r="C6" s="231"/>
      <c r="D6" s="231"/>
      <c r="E6" s="231"/>
      <c r="F6" s="231"/>
      <c r="G6" s="231"/>
    </row>
    <row r="7" spans="1:7">
      <c r="A7" s="59"/>
      <c r="B7" s="7" t="s">
        <v>36</v>
      </c>
      <c r="C7" s="7" t="s">
        <v>12</v>
      </c>
      <c r="D7" s="7" t="s">
        <v>13</v>
      </c>
      <c r="E7" s="7" t="s">
        <v>57</v>
      </c>
      <c r="F7" s="7" t="s">
        <v>15</v>
      </c>
      <c r="G7" s="7" t="s">
        <v>58</v>
      </c>
    </row>
    <row r="8" spans="1:7" ht="56.25" customHeight="1">
      <c r="A8" s="195" t="s">
        <v>259</v>
      </c>
      <c r="B8" s="59" t="s">
        <v>59</v>
      </c>
      <c r="C8" s="133" t="s">
        <v>60</v>
      </c>
      <c r="D8" s="59" t="s">
        <v>61</v>
      </c>
      <c r="E8" s="59" t="s">
        <v>62</v>
      </c>
      <c r="F8" s="59" t="s">
        <v>74</v>
      </c>
      <c r="G8" s="59" t="s">
        <v>63</v>
      </c>
    </row>
    <row r="9" spans="1:7" ht="15.75">
      <c r="A9" s="232"/>
      <c r="B9" s="76" t="s">
        <v>64</v>
      </c>
      <c r="C9" s="76" t="s">
        <v>65</v>
      </c>
      <c r="D9" s="76" t="s">
        <v>66</v>
      </c>
      <c r="E9" s="76" t="s">
        <v>67</v>
      </c>
      <c r="F9" s="76"/>
      <c r="G9" s="76" t="s">
        <v>68</v>
      </c>
    </row>
    <row r="10" spans="1:7">
      <c r="A10" s="232"/>
      <c r="B10" s="8" t="s">
        <v>69</v>
      </c>
      <c r="C10" s="8" t="s">
        <v>44</v>
      </c>
      <c r="D10" s="8" t="s">
        <v>70</v>
      </c>
      <c r="E10" s="8" t="s">
        <v>44</v>
      </c>
      <c r="F10" s="8" t="s">
        <v>71</v>
      </c>
      <c r="G10" s="8" t="s">
        <v>72</v>
      </c>
    </row>
    <row r="11" spans="1:7" ht="13.5" thickBot="1">
      <c r="A11" s="233"/>
      <c r="B11" s="70"/>
      <c r="C11" s="70"/>
      <c r="D11" s="77"/>
      <c r="E11" s="77"/>
      <c r="F11" s="77"/>
      <c r="G11" s="5" t="s">
        <v>73</v>
      </c>
    </row>
    <row r="12" spans="1:7" ht="13.5" thickTop="1">
      <c r="A12" s="79">
        <f>'4B_N2O emission'!B12</f>
        <v>2011</v>
      </c>
      <c r="B12" s="80">
        <f>'[1]timbulan sampah'!B5</f>
        <v>572184</v>
      </c>
      <c r="C12" s="183">
        <v>0.35</v>
      </c>
      <c r="D12" s="42">
        <v>0.22</v>
      </c>
      <c r="E12" s="42">
        <v>0.5</v>
      </c>
      <c r="F12" s="79">
        <v>365</v>
      </c>
      <c r="G12" s="81">
        <f>B12*C12*D12*E12*F12*1000/(10^9)</f>
        <v>8.0406156599999985</v>
      </c>
    </row>
    <row r="13" spans="1:7">
      <c r="A13" s="53">
        <f>'4B_N2O emission'!B13</f>
        <v>2012</v>
      </c>
      <c r="B13" s="80">
        <f>'[1]timbulan sampah'!B6</f>
        <v>583272</v>
      </c>
      <c r="C13" s="183">
        <v>0.35</v>
      </c>
      <c r="D13" s="44">
        <v>0.22</v>
      </c>
      <c r="E13" s="44">
        <v>0.5</v>
      </c>
      <c r="F13" s="53">
        <v>365</v>
      </c>
      <c r="G13" s="82">
        <f t="shared" ref="G13:G32" si="0">B13*C13*D13*E13*F13*1000/(10^9)</f>
        <v>8.196429779999999</v>
      </c>
    </row>
    <row r="14" spans="1:7">
      <c r="A14" s="53">
        <f>'4B_N2O emission'!B14</f>
        <v>2013</v>
      </c>
      <c r="B14" s="80">
        <f>'[1]timbulan sampah'!B7</f>
        <v>594322</v>
      </c>
      <c r="C14" s="183">
        <v>0.35</v>
      </c>
      <c r="D14" s="44">
        <v>0.22</v>
      </c>
      <c r="E14" s="44">
        <v>0.5</v>
      </c>
      <c r="F14" s="53">
        <v>365</v>
      </c>
      <c r="G14" s="82">
        <f t="shared" si="0"/>
        <v>8.3517099049999999</v>
      </c>
    </row>
    <row r="15" spans="1:7">
      <c r="A15" s="53">
        <f>'4B_N2O emission'!B15</f>
        <v>2014</v>
      </c>
      <c r="B15" s="80">
        <f>'[1]timbulan sampah'!B8</f>
        <v>605096</v>
      </c>
      <c r="C15" s="183">
        <v>0.35</v>
      </c>
      <c r="D15" s="44">
        <v>0.22</v>
      </c>
      <c r="E15" s="44">
        <v>0.5</v>
      </c>
      <c r="F15" s="53">
        <v>365</v>
      </c>
      <c r="G15" s="82">
        <f t="shared" si="0"/>
        <v>8.503111539999999</v>
      </c>
    </row>
    <row r="16" spans="1:7">
      <c r="A16" s="53">
        <f>'4B_N2O emission'!B16</f>
        <v>2015</v>
      </c>
      <c r="B16" s="80">
        <f>'[1]timbulan sampah'!B9</f>
        <v>615574</v>
      </c>
      <c r="C16" s="183">
        <v>0.35</v>
      </c>
      <c r="D16" s="44">
        <v>0.22</v>
      </c>
      <c r="E16" s="44">
        <v>0.5</v>
      </c>
      <c r="F16" s="53">
        <v>365</v>
      </c>
      <c r="G16" s="82">
        <f t="shared" si="0"/>
        <v>8.6503536350000001</v>
      </c>
    </row>
    <row r="17" spans="1:7">
      <c r="A17" s="53">
        <f>'4B_N2O emission'!B17</f>
        <v>2016</v>
      </c>
      <c r="B17" s="80">
        <f>'[1]timbulan sampah'!B10</f>
        <v>625968</v>
      </c>
      <c r="C17" s="183">
        <v>0.35</v>
      </c>
      <c r="D17" s="44">
        <v>0.22</v>
      </c>
      <c r="E17" s="44">
        <v>0.5</v>
      </c>
      <c r="F17" s="53">
        <v>365</v>
      </c>
      <c r="G17" s="82">
        <f t="shared" si="0"/>
        <v>8.7964153199999995</v>
      </c>
    </row>
    <row r="18" spans="1:7">
      <c r="A18" s="53">
        <f>'4B_N2O emission'!B18</f>
        <v>2017</v>
      </c>
      <c r="B18" s="80">
        <f>'[1]timbulan sampah'!B11</f>
        <v>649989</v>
      </c>
      <c r="C18" s="183">
        <v>0.35</v>
      </c>
      <c r="D18" s="44">
        <v>0.22</v>
      </c>
      <c r="E18" s="44">
        <v>0.5</v>
      </c>
      <c r="F18" s="53">
        <v>365</v>
      </c>
      <c r="G18" s="82">
        <f t="shared" si="0"/>
        <v>9.1339704224999991</v>
      </c>
    </row>
    <row r="19" spans="1:7">
      <c r="A19" s="53">
        <f>'4B_N2O emission'!B19</f>
        <v>2018</v>
      </c>
      <c r="B19" s="80">
        <f>'[1]timbulan sampah'!B12</f>
        <v>665088</v>
      </c>
      <c r="C19" s="183">
        <v>0.35</v>
      </c>
      <c r="D19" s="44">
        <v>0.22</v>
      </c>
      <c r="E19" s="44">
        <v>0.5</v>
      </c>
      <c r="F19" s="53">
        <v>365</v>
      </c>
      <c r="G19" s="82">
        <f t="shared" si="0"/>
        <v>9.3461491199999998</v>
      </c>
    </row>
    <row r="20" spans="1:7">
      <c r="A20" s="53">
        <f>'4B_N2O emission'!B20</f>
        <v>2019</v>
      </c>
      <c r="B20" s="80">
        <f>'[1]timbulan sampah'!B13</f>
        <v>680187</v>
      </c>
      <c r="C20" s="183">
        <v>0.35</v>
      </c>
      <c r="D20" s="44">
        <v>0.22</v>
      </c>
      <c r="E20" s="44">
        <v>0.5</v>
      </c>
      <c r="F20" s="53">
        <v>365</v>
      </c>
      <c r="G20" s="82">
        <f t="shared" si="0"/>
        <v>9.5583278174999986</v>
      </c>
    </row>
    <row r="21" spans="1:7">
      <c r="A21" s="53">
        <f>'4B_N2O emission'!B21</f>
        <v>2020</v>
      </c>
      <c r="B21" s="80">
        <f>'[1]timbulan sampah'!B14</f>
        <v>695286</v>
      </c>
      <c r="C21" s="183">
        <v>0.35</v>
      </c>
      <c r="D21" s="44">
        <v>0.22</v>
      </c>
      <c r="E21" s="44">
        <v>0.5</v>
      </c>
      <c r="F21" s="53">
        <v>365</v>
      </c>
      <c r="G21" s="82">
        <f t="shared" si="0"/>
        <v>9.7705065149999974</v>
      </c>
    </row>
    <row r="22" spans="1:7">
      <c r="A22" s="53">
        <f>'4B_N2O emission'!B22</f>
        <v>2021</v>
      </c>
      <c r="B22" s="80">
        <f>'[1]timbulan sampah'!B15</f>
        <v>710385</v>
      </c>
      <c r="C22" s="183">
        <v>0.35</v>
      </c>
      <c r="D22" s="44">
        <v>0.22</v>
      </c>
      <c r="E22" s="44">
        <v>0.5</v>
      </c>
      <c r="F22" s="53">
        <v>365</v>
      </c>
      <c r="G22" s="82">
        <f t="shared" si="0"/>
        <v>9.9826852124999981</v>
      </c>
    </row>
    <row r="23" spans="1:7">
      <c r="A23" s="53">
        <f>'4B_N2O emission'!B23</f>
        <v>2022</v>
      </c>
      <c r="B23" s="80">
        <f>'[1]timbulan sampah'!B16</f>
        <v>725484</v>
      </c>
      <c r="C23" s="183">
        <v>0.35</v>
      </c>
      <c r="D23" s="44">
        <v>0.22</v>
      </c>
      <c r="E23" s="44">
        <v>0.5</v>
      </c>
      <c r="F23" s="53">
        <v>365</v>
      </c>
      <c r="G23" s="82">
        <f t="shared" si="0"/>
        <v>10.19486391</v>
      </c>
    </row>
    <row r="24" spans="1:7">
      <c r="A24" s="53">
        <f>'4B_N2O emission'!B24</f>
        <v>2023</v>
      </c>
      <c r="B24" s="80">
        <f>'[1]timbulan sampah'!B17</f>
        <v>740583</v>
      </c>
      <c r="C24" s="183">
        <v>0.35</v>
      </c>
      <c r="D24" s="44">
        <v>0.22</v>
      </c>
      <c r="E24" s="44">
        <v>0.5</v>
      </c>
      <c r="F24" s="53">
        <v>365</v>
      </c>
      <c r="G24" s="82">
        <f t="shared" si="0"/>
        <v>10.407042607499999</v>
      </c>
    </row>
    <row r="25" spans="1:7">
      <c r="A25" s="53">
        <f>'4B_N2O emission'!B25</f>
        <v>2024</v>
      </c>
      <c r="B25" s="80">
        <f>'[1]timbulan sampah'!B18</f>
        <v>755682</v>
      </c>
      <c r="C25" s="183">
        <v>0.35</v>
      </c>
      <c r="D25" s="44">
        <v>0.22</v>
      </c>
      <c r="E25" s="44">
        <v>0.5</v>
      </c>
      <c r="F25" s="53">
        <v>365</v>
      </c>
      <c r="G25" s="82">
        <f t="shared" si="0"/>
        <v>10.619221305</v>
      </c>
    </row>
    <row r="26" spans="1:7">
      <c r="A26" s="53">
        <f>'4B_N2O emission'!B26</f>
        <v>2025</v>
      </c>
      <c r="B26" s="80">
        <f>'[1]timbulan sampah'!B19</f>
        <v>770781</v>
      </c>
      <c r="C26" s="183">
        <v>0.35</v>
      </c>
      <c r="D26" s="44">
        <v>0.22</v>
      </c>
      <c r="E26" s="44">
        <v>0.5</v>
      </c>
      <c r="F26" s="53">
        <v>365</v>
      </c>
      <c r="G26" s="82">
        <f t="shared" si="0"/>
        <v>10.831400002500001</v>
      </c>
    </row>
    <row r="27" spans="1:7">
      <c r="A27" s="53">
        <f>'4B_N2O emission'!B27</f>
        <v>2026</v>
      </c>
      <c r="B27" s="80">
        <f>'[1]timbulan sampah'!B20</f>
        <v>785880</v>
      </c>
      <c r="C27" s="183">
        <v>0.35</v>
      </c>
      <c r="D27" s="44">
        <v>0.22</v>
      </c>
      <c r="E27" s="44">
        <v>0.5</v>
      </c>
      <c r="F27" s="53">
        <v>365</v>
      </c>
      <c r="G27" s="82">
        <f t="shared" si="0"/>
        <v>11.043578700000001</v>
      </c>
    </row>
    <row r="28" spans="1:7">
      <c r="A28" s="53">
        <f>'4B_N2O emission'!B28</f>
        <v>2027</v>
      </c>
      <c r="B28" s="80">
        <f>'[1]timbulan sampah'!B21</f>
        <v>800979</v>
      </c>
      <c r="C28" s="183">
        <v>0.35</v>
      </c>
      <c r="D28" s="44">
        <v>0.22</v>
      </c>
      <c r="E28" s="44">
        <v>0.5</v>
      </c>
      <c r="F28" s="53">
        <v>365</v>
      </c>
      <c r="G28" s="82">
        <f t="shared" si="0"/>
        <v>11.255757397499998</v>
      </c>
    </row>
    <row r="29" spans="1:7">
      <c r="A29" s="53">
        <f>'4B_N2O emission'!B29</f>
        <v>2028</v>
      </c>
      <c r="B29" s="80">
        <f>'[1]timbulan sampah'!B22</f>
        <v>816078</v>
      </c>
      <c r="C29" s="183">
        <v>0.35</v>
      </c>
      <c r="D29" s="44">
        <v>0.22</v>
      </c>
      <c r="E29" s="44">
        <v>0.5</v>
      </c>
      <c r="F29" s="53">
        <v>365</v>
      </c>
      <c r="G29" s="82">
        <f t="shared" si="0"/>
        <v>11.467936095000001</v>
      </c>
    </row>
    <row r="30" spans="1:7">
      <c r="A30" s="53">
        <f>'4B_N2O emission'!B30</f>
        <v>2029</v>
      </c>
      <c r="B30" s="80">
        <f>'[1]timbulan sampah'!B23</f>
        <v>831177</v>
      </c>
      <c r="C30" s="183">
        <v>0.35</v>
      </c>
      <c r="D30" s="44">
        <v>0.22</v>
      </c>
      <c r="E30" s="44">
        <v>0.5</v>
      </c>
      <c r="F30" s="53">
        <v>365</v>
      </c>
      <c r="G30" s="82">
        <f t="shared" si="0"/>
        <v>11.680114792499998</v>
      </c>
    </row>
    <row r="31" spans="1:7">
      <c r="A31" s="53">
        <f>'4B_N2O emission'!B31</f>
        <v>2030</v>
      </c>
      <c r="B31" s="80">
        <f>'[1]timbulan sampah'!B24</f>
        <v>846276</v>
      </c>
      <c r="C31" s="183">
        <v>0.35</v>
      </c>
      <c r="D31" s="44">
        <v>0.22</v>
      </c>
      <c r="E31" s="44">
        <v>0.5</v>
      </c>
      <c r="F31" s="53">
        <v>365</v>
      </c>
      <c r="G31" s="82">
        <f t="shared" si="0"/>
        <v>11.892293489999998</v>
      </c>
    </row>
    <row r="32" spans="1:7">
      <c r="A32" s="53">
        <f>'4B_N2O emission'!B32</f>
        <v>2031</v>
      </c>
      <c r="B32" s="80">
        <f>'[1]timbulan sampah'!B25</f>
        <v>0</v>
      </c>
      <c r="C32" s="183">
        <v>0.35</v>
      </c>
      <c r="D32" s="78">
        <v>0.22</v>
      </c>
      <c r="E32" s="78">
        <v>0.5</v>
      </c>
      <c r="F32" s="55">
        <v>365</v>
      </c>
      <c r="G32" s="83">
        <f t="shared" si="0"/>
        <v>0</v>
      </c>
    </row>
    <row r="33" spans="1:7" ht="27" customHeight="1">
      <c r="A33" s="229" t="s">
        <v>199</v>
      </c>
      <c r="B33" s="230"/>
      <c r="C33" s="230"/>
      <c r="D33" s="230"/>
      <c r="E33" s="230"/>
      <c r="F33" s="230"/>
      <c r="G33" s="230"/>
    </row>
  </sheetData>
  <mergeCells count="7">
    <mergeCell ref="B2:G2"/>
    <mergeCell ref="B3:G3"/>
    <mergeCell ref="A33:G33"/>
    <mergeCell ref="A6:G6"/>
    <mergeCell ref="A8:A11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tabColor rgb="FFC00000"/>
  </sheetPr>
  <dimension ref="A2:M605"/>
  <sheetViews>
    <sheetView topLeftCell="A11" zoomScale="85" zoomScaleNormal="85" workbookViewId="0">
      <selection activeCell="M33" sqref="M33"/>
    </sheetView>
  </sheetViews>
  <sheetFormatPr defaultRowHeight="12.75"/>
  <cols>
    <col min="1" max="1" width="14.42578125" style="6" customWidth="1"/>
    <col min="2" max="2" width="15.7109375" style="6" customWidth="1"/>
    <col min="3" max="3" width="20.140625" style="6" customWidth="1"/>
    <col min="4" max="4" width="11.5703125" style="6" customWidth="1"/>
    <col min="5" max="5" width="14.85546875" style="6" customWidth="1"/>
    <col min="6" max="6" width="17.7109375" style="6" customWidth="1"/>
    <col min="7" max="8" width="11.140625" style="6" customWidth="1"/>
    <col min="9" max="9" width="23.28515625" style="6" customWidth="1"/>
    <col min="10" max="10" width="9.140625" style="6"/>
    <col min="11" max="11" width="9.140625" style="84"/>
    <col min="12" max="12" width="14" style="84" customWidth="1"/>
    <col min="13" max="13" width="17.140625" style="6" customWidth="1"/>
    <col min="14" max="16384" width="9.140625" style="6"/>
  </cols>
  <sheetData>
    <row r="2" spans="1:13">
      <c r="A2" s="198" t="s">
        <v>0</v>
      </c>
      <c r="B2" s="198"/>
      <c r="C2" s="199" t="s">
        <v>1</v>
      </c>
      <c r="D2" s="199"/>
      <c r="E2" s="199"/>
      <c r="F2" s="199"/>
      <c r="G2" s="199"/>
      <c r="H2" s="199"/>
      <c r="I2" s="199"/>
    </row>
    <row r="3" spans="1:13">
      <c r="A3" s="198" t="s">
        <v>2</v>
      </c>
      <c r="B3" s="198"/>
      <c r="C3" s="199" t="s">
        <v>75</v>
      </c>
      <c r="D3" s="199"/>
      <c r="E3" s="199"/>
      <c r="F3" s="199"/>
      <c r="G3" s="199"/>
      <c r="H3" s="199"/>
      <c r="I3" s="199"/>
    </row>
    <row r="4" spans="1:13">
      <c r="A4" s="198" t="s">
        <v>4</v>
      </c>
      <c r="B4" s="198"/>
      <c r="C4" s="199" t="s">
        <v>76</v>
      </c>
      <c r="D4" s="199"/>
      <c r="E4" s="199"/>
      <c r="F4" s="199"/>
      <c r="G4" s="199"/>
      <c r="H4" s="199"/>
      <c r="I4" s="199"/>
    </row>
    <row r="5" spans="1:13" ht="14.25" customHeight="1">
      <c r="A5" s="198" t="s">
        <v>6</v>
      </c>
      <c r="B5" s="198"/>
      <c r="C5" s="199" t="s">
        <v>77</v>
      </c>
      <c r="D5" s="199"/>
      <c r="E5" s="199"/>
      <c r="F5" s="199"/>
      <c r="G5" s="199"/>
      <c r="H5" s="199"/>
      <c r="I5" s="199"/>
    </row>
    <row r="6" spans="1:13">
      <c r="A6" s="231" t="s">
        <v>8</v>
      </c>
      <c r="B6" s="231"/>
      <c r="C6" s="231"/>
      <c r="D6" s="231" t="s">
        <v>9</v>
      </c>
      <c r="E6" s="236"/>
      <c r="F6" s="236"/>
      <c r="G6" s="236"/>
      <c r="H6" s="236"/>
      <c r="I6" s="85"/>
    </row>
    <row r="7" spans="1:13">
      <c r="A7" s="242"/>
      <c r="B7" s="242"/>
      <c r="C7" s="7" t="s">
        <v>58</v>
      </c>
      <c r="D7" s="7" t="s">
        <v>78</v>
      </c>
      <c r="E7" s="7" t="s">
        <v>79</v>
      </c>
      <c r="F7" s="7" t="s">
        <v>80</v>
      </c>
      <c r="G7" s="7" t="s">
        <v>81</v>
      </c>
      <c r="H7" s="7" t="s">
        <v>82</v>
      </c>
      <c r="I7" s="7" t="s">
        <v>83</v>
      </c>
    </row>
    <row r="8" spans="1:13" ht="25.5" customHeight="1">
      <c r="A8" s="209" t="s">
        <v>84</v>
      </c>
      <c r="B8" s="209"/>
      <c r="C8" s="59" t="s">
        <v>85</v>
      </c>
      <c r="D8" s="242" t="s">
        <v>86</v>
      </c>
      <c r="E8" s="59" t="s">
        <v>87</v>
      </c>
      <c r="F8" s="59" t="s">
        <v>89</v>
      </c>
      <c r="G8" s="242" t="s">
        <v>91</v>
      </c>
      <c r="H8" s="242" t="s">
        <v>38</v>
      </c>
      <c r="I8" s="242" t="s">
        <v>92</v>
      </c>
      <c r="K8" s="243" t="s">
        <v>259</v>
      </c>
      <c r="L8" s="243" t="s">
        <v>267</v>
      </c>
      <c r="M8" s="243" t="s">
        <v>249</v>
      </c>
    </row>
    <row r="9" spans="1:13" ht="14.25" customHeight="1">
      <c r="A9" s="209"/>
      <c r="B9" s="209"/>
      <c r="C9" s="76" t="s">
        <v>37</v>
      </c>
      <c r="D9" s="232"/>
      <c r="E9" s="76" t="s">
        <v>88</v>
      </c>
      <c r="F9" s="76" t="s">
        <v>90</v>
      </c>
      <c r="G9" s="232"/>
      <c r="H9" s="232"/>
      <c r="I9" s="232"/>
      <c r="K9" s="243"/>
      <c r="L9" s="243"/>
      <c r="M9" s="243"/>
    </row>
    <row r="10" spans="1:13">
      <c r="A10" s="210"/>
      <c r="B10" s="210"/>
      <c r="C10" s="76"/>
      <c r="D10" s="76" t="s">
        <v>39</v>
      </c>
      <c r="E10" s="76" t="s">
        <v>40</v>
      </c>
      <c r="F10" s="76" t="s">
        <v>41</v>
      </c>
      <c r="G10" s="76" t="s">
        <v>42</v>
      </c>
      <c r="H10" s="76"/>
      <c r="I10" s="76"/>
      <c r="K10" s="243"/>
      <c r="L10" s="243"/>
      <c r="M10" s="243"/>
    </row>
    <row r="11" spans="1:13" ht="16.5" customHeight="1">
      <c r="A11" s="210"/>
      <c r="B11" s="210"/>
      <c r="C11" s="8" t="s">
        <v>43</v>
      </c>
      <c r="D11" s="8" t="s">
        <v>44</v>
      </c>
      <c r="E11" s="8" t="s">
        <v>44</v>
      </c>
      <c r="F11" s="8" t="s">
        <v>44</v>
      </c>
      <c r="G11" s="8" t="s">
        <v>44</v>
      </c>
      <c r="H11" s="8" t="s">
        <v>45</v>
      </c>
      <c r="I11" s="8" t="s">
        <v>46</v>
      </c>
      <c r="K11" s="243"/>
      <c r="L11" s="243"/>
      <c r="M11" s="243"/>
    </row>
    <row r="12" spans="1:13" ht="18" customHeight="1" thickBot="1">
      <c r="A12" s="244"/>
      <c r="B12" s="244"/>
      <c r="C12" s="5" t="s">
        <v>93</v>
      </c>
      <c r="D12" s="5"/>
      <c r="E12" s="5"/>
      <c r="F12" s="5"/>
      <c r="G12" s="5"/>
      <c r="H12" s="5"/>
      <c r="I12" s="5" t="s">
        <v>94</v>
      </c>
      <c r="K12" s="243"/>
      <c r="L12" s="243"/>
      <c r="M12" s="243"/>
    </row>
    <row r="13" spans="1:13" ht="14.25" customHeight="1" thickTop="1">
      <c r="A13" s="241" t="s">
        <v>95</v>
      </c>
      <c r="B13" s="53" t="s">
        <v>203</v>
      </c>
      <c r="C13" s="86">
        <f>'4A_DOC'!$B$39*$L$13</f>
        <v>5.338164736673999</v>
      </c>
      <c r="D13" s="87">
        <v>0.4</v>
      </c>
      <c r="E13" s="87">
        <v>0.38</v>
      </c>
      <c r="F13" s="34">
        <v>0</v>
      </c>
      <c r="G13" s="88">
        <v>0.57999999999999996</v>
      </c>
      <c r="H13" s="87">
        <f>44/12</f>
        <v>3.6666666666666665</v>
      </c>
      <c r="I13" s="53">
        <f>C13*D13*E13*F13*G13*H13</f>
        <v>0</v>
      </c>
      <c r="K13" s="89">
        <f>'4B_N2O emission'!B12</f>
        <v>2011</v>
      </c>
      <c r="L13" s="92">
        <f>'4C1_Amount_Waste_OpenBurned'!G12</f>
        <v>8.0406156599999985</v>
      </c>
      <c r="M13" s="67">
        <f>I23</f>
        <v>1.3937116357928248</v>
      </c>
    </row>
    <row r="14" spans="1:13" ht="12.75" customHeight="1">
      <c r="A14" s="241"/>
      <c r="B14" s="53" t="s">
        <v>204</v>
      </c>
      <c r="C14" s="86">
        <f>'4A_DOC'!$B$40*$L$13</f>
        <v>1.0332191123099999</v>
      </c>
      <c r="D14" s="87">
        <v>0.9</v>
      </c>
      <c r="E14" s="87">
        <v>0.46</v>
      </c>
      <c r="F14" s="34">
        <f>1/100</f>
        <v>0.01</v>
      </c>
      <c r="G14" s="88">
        <v>0.57999999999999996</v>
      </c>
      <c r="H14" s="87">
        <f t="shared" ref="H14:H21" si="0">44/12</f>
        <v>3.6666666666666665</v>
      </c>
      <c r="I14" s="53">
        <f t="shared" ref="I14:I21" si="1">C14*D14*E14*F14*G14*H14</f>
        <v>9.0968743524221622E-3</v>
      </c>
      <c r="K14" s="89">
        <f>'4B_N2O emission'!B13</f>
        <v>2012</v>
      </c>
      <c r="L14" s="92">
        <f>'4C1_Amount_Waste_OpenBurned'!G13</f>
        <v>8.196429779999999</v>
      </c>
      <c r="M14" s="134">
        <f>I57</f>
        <v>1.420719511961454</v>
      </c>
    </row>
    <row r="15" spans="1:13">
      <c r="A15" s="241"/>
      <c r="B15" s="53" t="s">
        <v>205</v>
      </c>
      <c r="C15" s="86">
        <f>'4A_DOC'!$B$41*$L$13</f>
        <v>0</v>
      </c>
      <c r="D15" s="87">
        <v>0.85</v>
      </c>
      <c r="E15" s="87">
        <v>0.5</v>
      </c>
      <c r="F15" s="34">
        <v>0</v>
      </c>
      <c r="G15" s="88">
        <v>0.57999999999999996</v>
      </c>
      <c r="H15" s="87">
        <f t="shared" si="0"/>
        <v>3.6666666666666665</v>
      </c>
      <c r="I15" s="53">
        <f t="shared" si="1"/>
        <v>0</v>
      </c>
      <c r="K15" s="89">
        <f>'4B_N2O emission'!B14</f>
        <v>2013</v>
      </c>
      <c r="L15" s="92">
        <f>'4C1_Amount_Waste_OpenBurned'!G14</f>
        <v>8.3517099049999999</v>
      </c>
      <c r="M15" s="134">
        <f>I87</f>
        <v>1.4476348286699092</v>
      </c>
    </row>
    <row r="16" spans="1:13">
      <c r="A16" s="241"/>
      <c r="B16" s="53" t="s">
        <v>47</v>
      </c>
      <c r="C16" s="86">
        <f>'4A_DOC'!$B$42*$L$13</f>
        <v>6.5128986845999992E-2</v>
      </c>
      <c r="D16" s="87">
        <v>0.8</v>
      </c>
      <c r="E16" s="87">
        <v>0.5</v>
      </c>
      <c r="F16" s="34">
        <f>20/100</f>
        <v>0.2</v>
      </c>
      <c r="G16" s="88">
        <v>0.57999999999999996</v>
      </c>
      <c r="H16" s="87">
        <f t="shared" si="0"/>
        <v>3.6666666666666665</v>
      </c>
      <c r="I16" s="53">
        <f t="shared" si="1"/>
        <v>1.1080611628732799E-2</v>
      </c>
      <c r="K16" s="89">
        <f>'4B_N2O emission'!B15</f>
        <v>2014</v>
      </c>
      <c r="L16" s="92">
        <f>'4C1_Amount_Waste_OpenBurned'!G15</f>
        <v>8.503111539999999</v>
      </c>
      <c r="M16" s="134">
        <f>I118</f>
        <v>1.47387787140447</v>
      </c>
    </row>
    <row r="17" spans="1:13" ht="13.5" customHeight="1">
      <c r="A17" s="241"/>
      <c r="B17" s="53" t="s">
        <v>206</v>
      </c>
      <c r="C17" s="86">
        <f>'4A_DOC'!$B$43*$L$13</f>
        <v>0</v>
      </c>
      <c r="D17" s="87">
        <v>0.84</v>
      </c>
      <c r="E17" s="87">
        <v>0.67</v>
      </c>
      <c r="F17" s="34">
        <f>20/100</f>
        <v>0.2</v>
      </c>
      <c r="G17" s="88">
        <v>0.57999999999999996</v>
      </c>
      <c r="H17" s="87">
        <f t="shared" si="0"/>
        <v>3.6666666666666665</v>
      </c>
      <c r="I17" s="53">
        <f t="shared" si="1"/>
        <v>0</v>
      </c>
      <c r="K17" s="89">
        <f>'4B_N2O emission'!B16</f>
        <v>2015</v>
      </c>
      <c r="L17" s="92">
        <f>'4C1_Amount_Waste_OpenBurned'!G16</f>
        <v>8.6503536350000001</v>
      </c>
      <c r="M17" s="134">
        <f>I149</f>
        <v>1.4993999246597813</v>
      </c>
    </row>
    <row r="18" spans="1:13">
      <c r="A18" s="241"/>
      <c r="B18" s="53" t="s">
        <v>207</v>
      </c>
      <c r="C18" s="86">
        <f>'4A_DOC'!$B$44*$L$13</f>
        <v>0.86114993718599997</v>
      </c>
      <c r="D18" s="87">
        <v>1</v>
      </c>
      <c r="E18" s="87">
        <v>0.75</v>
      </c>
      <c r="F18" s="34">
        <f>100/100</f>
        <v>1</v>
      </c>
      <c r="G18" s="88">
        <v>0.57999999999999996</v>
      </c>
      <c r="H18" s="87">
        <f t="shared" si="0"/>
        <v>3.6666666666666665</v>
      </c>
      <c r="I18" s="53">
        <f t="shared" si="1"/>
        <v>1.3735341498116698</v>
      </c>
      <c r="K18" s="89">
        <f>'4B_N2O emission'!B17</f>
        <v>2016</v>
      </c>
      <c r="L18" s="92">
        <f>'4C1_Amount_Waste_OpenBurned'!G17</f>
        <v>8.7964153199999995</v>
      </c>
      <c r="M18" s="135">
        <f>I179</f>
        <v>1.5247173727926036</v>
      </c>
    </row>
    <row r="19" spans="1:13">
      <c r="A19" s="241"/>
      <c r="B19" s="53" t="s">
        <v>208</v>
      </c>
      <c r="C19" s="86">
        <f>'4A_DOC'!$B$45*$L$13</f>
        <v>0.14231889718199997</v>
      </c>
      <c r="D19" s="87">
        <v>1</v>
      </c>
      <c r="E19" s="87">
        <v>0</v>
      </c>
      <c r="F19" s="34">
        <v>0</v>
      </c>
      <c r="G19" s="88">
        <v>0.57999999999999996</v>
      </c>
      <c r="H19" s="87">
        <f t="shared" si="0"/>
        <v>3.6666666666666665</v>
      </c>
      <c r="I19" s="53">
        <f t="shared" si="1"/>
        <v>0</v>
      </c>
      <c r="K19" s="89">
        <f>'4B_N2O emission'!B18</f>
        <v>2017</v>
      </c>
      <c r="L19" s="92">
        <f>'4C1_Amount_Waste_OpenBurned'!G18</f>
        <v>9.1339704224999991</v>
      </c>
      <c r="M19" s="134">
        <f>I209</f>
        <v>1.5832271304988297</v>
      </c>
    </row>
    <row r="20" spans="1:13">
      <c r="A20" s="241"/>
      <c r="B20" s="53" t="s">
        <v>209</v>
      </c>
      <c r="C20" s="86">
        <f>'4A_DOC'!$B$46*$L$13</f>
        <v>0.10694018827799999</v>
      </c>
      <c r="D20" s="87">
        <v>1</v>
      </c>
      <c r="E20" s="87">
        <v>0</v>
      </c>
      <c r="F20" s="34">
        <v>0</v>
      </c>
      <c r="G20" s="88">
        <v>0.57999999999999996</v>
      </c>
      <c r="H20" s="87">
        <f t="shared" si="0"/>
        <v>3.6666666666666665</v>
      </c>
      <c r="I20" s="53">
        <f t="shared" si="1"/>
        <v>0</v>
      </c>
      <c r="K20" s="89">
        <f>'4B_N2O emission'!B19</f>
        <v>2018</v>
      </c>
      <c r="L20" s="92">
        <f>'4C1_Amount_Waste_OpenBurned'!G19</f>
        <v>9.3461491199999998</v>
      </c>
      <c r="M20" s="134">
        <f>I239</f>
        <v>1.620004901266338</v>
      </c>
    </row>
    <row r="21" spans="1:13">
      <c r="A21" s="241"/>
      <c r="B21" s="53" t="s">
        <v>210</v>
      </c>
      <c r="C21" s="86">
        <f>'4A_DOC'!$B$47*$L$13</f>
        <v>0.49932223248599994</v>
      </c>
      <c r="D21" s="87">
        <v>0.9</v>
      </c>
      <c r="E21" s="87">
        <v>0</v>
      </c>
      <c r="F21" s="34">
        <v>0</v>
      </c>
      <c r="G21" s="88">
        <v>0.57999999999999996</v>
      </c>
      <c r="H21" s="87">
        <f t="shared" si="0"/>
        <v>3.6666666666666665</v>
      </c>
      <c r="I21" s="53">
        <f t="shared" si="1"/>
        <v>0</v>
      </c>
      <c r="K21" s="89">
        <f>'4B_N2O emission'!B20</f>
        <v>2019</v>
      </c>
      <c r="L21" s="92">
        <f>'4C1_Amount_Waste_OpenBurned'!G20</f>
        <v>9.5583278174999986</v>
      </c>
      <c r="M21" s="134">
        <f>I269</f>
        <v>1.6567826720338461</v>
      </c>
    </row>
    <row r="22" spans="1:13">
      <c r="A22" s="241" t="s">
        <v>48</v>
      </c>
      <c r="B22" s="241"/>
      <c r="C22" s="7"/>
      <c r="D22" s="53"/>
      <c r="E22" s="53"/>
      <c r="F22" s="53"/>
      <c r="G22" s="53"/>
      <c r="H22" s="53"/>
      <c r="I22" s="53"/>
      <c r="K22" s="89">
        <f>'4B_N2O emission'!B21</f>
        <v>2020</v>
      </c>
      <c r="L22" s="92">
        <f>'4C1_Amount_Waste_OpenBurned'!G21</f>
        <v>9.7705065149999974</v>
      </c>
      <c r="M22" s="134">
        <f>I299</f>
        <v>1.6935604428013538</v>
      </c>
    </row>
    <row r="23" spans="1:13">
      <c r="A23" s="200" t="s">
        <v>270</v>
      </c>
      <c r="B23" s="201"/>
      <c r="C23" s="201"/>
      <c r="D23" s="201"/>
      <c r="E23" s="201"/>
      <c r="F23" s="201"/>
      <c r="G23" s="201"/>
      <c r="H23" s="202"/>
      <c r="I23" s="90">
        <f>SUM(I13:I22)</f>
        <v>1.3937116357928248</v>
      </c>
      <c r="K23" s="89">
        <f>'4B_N2O emission'!B22</f>
        <v>2021</v>
      </c>
      <c r="L23" s="92">
        <f>'4C1_Amount_Waste_OpenBurned'!G22</f>
        <v>9.9826852124999981</v>
      </c>
      <c r="M23" s="134">
        <f>I329</f>
        <v>1.7303382135688625</v>
      </c>
    </row>
    <row r="24" spans="1:13" ht="12.75" customHeight="1">
      <c r="A24" s="237" t="s">
        <v>53</v>
      </c>
      <c r="B24" s="238"/>
      <c r="C24" s="238"/>
      <c r="D24" s="238"/>
      <c r="E24" s="238"/>
      <c r="F24" s="238"/>
      <c r="G24" s="238"/>
      <c r="H24" s="238"/>
      <c r="I24" s="238"/>
      <c r="K24" s="89">
        <f>'4B_N2O emission'!B23</f>
        <v>2022</v>
      </c>
      <c r="L24" s="92">
        <f>'4C1_Amount_Waste_OpenBurned'!G23</f>
        <v>10.19486391</v>
      </c>
      <c r="M24" s="94">
        <f>I359</f>
        <v>1.7671159843363704</v>
      </c>
    </row>
    <row r="25" spans="1:13" ht="12.75" customHeight="1">
      <c r="A25" s="239" t="s">
        <v>54</v>
      </c>
      <c r="B25" s="240"/>
      <c r="C25" s="240"/>
      <c r="D25" s="240"/>
      <c r="E25" s="240"/>
      <c r="F25" s="240"/>
      <c r="G25" s="240"/>
      <c r="H25" s="240"/>
      <c r="I25" s="240"/>
      <c r="K25" s="89">
        <f>'4B_N2O emission'!B24</f>
        <v>2023</v>
      </c>
      <c r="L25" s="92">
        <f>'4C1_Amount_Waste_OpenBurned'!G24</f>
        <v>10.407042607499999</v>
      </c>
      <c r="M25" s="94">
        <f>I389</f>
        <v>1.8038937551038787</v>
      </c>
    </row>
    <row r="26" spans="1:13" ht="12.75" customHeight="1">
      <c r="A26" s="239" t="s">
        <v>55</v>
      </c>
      <c r="B26" s="240"/>
      <c r="C26" s="240"/>
      <c r="D26" s="240"/>
      <c r="E26" s="240"/>
      <c r="F26" s="240"/>
      <c r="G26" s="240"/>
      <c r="H26" s="240"/>
      <c r="I26" s="240"/>
      <c r="K26" s="89">
        <f>'4B_N2O emission'!B25</f>
        <v>2024</v>
      </c>
      <c r="L26" s="92">
        <f>'4C1_Amount_Waste_OpenBurned'!G25</f>
        <v>10.619221305</v>
      </c>
      <c r="M26" s="93">
        <f>I419</f>
        <v>1.8406715258713868</v>
      </c>
    </row>
    <row r="27" spans="1:13" ht="12.75" customHeight="1">
      <c r="A27" s="239" t="s">
        <v>96</v>
      </c>
      <c r="B27" s="240"/>
      <c r="C27" s="240"/>
      <c r="D27" s="240"/>
      <c r="E27" s="240"/>
      <c r="F27" s="240"/>
      <c r="G27" s="240"/>
      <c r="H27" s="240"/>
      <c r="I27" s="240"/>
      <c r="K27" s="89">
        <f>'4B_N2O emission'!B26</f>
        <v>2025</v>
      </c>
      <c r="L27" s="92">
        <f>'4C1_Amount_Waste_OpenBurned'!G26</f>
        <v>10.831400002500001</v>
      </c>
      <c r="M27" s="94">
        <f>I449</f>
        <v>1.8774492966388949</v>
      </c>
    </row>
    <row r="28" spans="1:13" ht="12.75" customHeight="1">
      <c r="A28" s="239" t="s">
        <v>97</v>
      </c>
      <c r="B28" s="240"/>
      <c r="C28" s="240"/>
      <c r="D28" s="240"/>
      <c r="E28" s="240"/>
      <c r="F28" s="240"/>
      <c r="G28" s="240"/>
      <c r="H28" s="240"/>
      <c r="I28" s="240"/>
      <c r="K28" s="89">
        <f>'4B_N2O emission'!B27</f>
        <v>2026</v>
      </c>
      <c r="L28" s="92">
        <f>'4C1_Amount_Waste_OpenBurned'!G27</f>
        <v>11.043578700000001</v>
      </c>
      <c r="M28" s="94">
        <f>I479</f>
        <v>1.9142270674064032</v>
      </c>
    </row>
    <row r="29" spans="1:13">
      <c r="A29" s="234" t="s">
        <v>200</v>
      </c>
      <c r="B29" s="235"/>
      <c r="C29" s="235"/>
      <c r="D29" s="235"/>
      <c r="E29" s="235"/>
      <c r="F29" s="235"/>
      <c r="G29" s="235"/>
      <c r="H29" s="235"/>
      <c r="I29" s="235"/>
      <c r="K29" s="89">
        <f>'4B_N2O emission'!B28</f>
        <v>2027</v>
      </c>
      <c r="L29" s="92">
        <f>'4C1_Amount_Waste_OpenBurned'!G28</f>
        <v>11.255757397499998</v>
      </c>
      <c r="M29" s="94">
        <f>I509</f>
        <v>1.9510048381739111</v>
      </c>
    </row>
    <row r="30" spans="1:13">
      <c r="K30" s="89">
        <f>'4B_N2O emission'!B29</f>
        <v>2028</v>
      </c>
      <c r="L30" s="92">
        <f>'4C1_Amount_Waste_OpenBurned'!G29</f>
        <v>11.467936095000001</v>
      </c>
      <c r="M30" s="94">
        <f>I539</f>
        <v>1.9877826089414194</v>
      </c>
    </row>
    <row r="31" spans="1:13">
      <c r="K31" s="89">
        <f>'4B_N2O emission'!B30</f>
        <v>2029</v>
      </c>
      <c r="L31" s="92">
        <f>'4C1_Amount_Waste_OpenBurned'!G30</f>
        <v>11.680114792499998</v>
      </c>
      <c r="M31" s="94">
        <f>I569</f>
        <v>2.0245603797089271</v>
      </c>
    </row>
    <row r="32" spans="1:13">
      <c r="K32" s="89">
        <f>'4B_N2O emission'!B31</f>
        <v>2030</v>
      </c>
      <c r="L32" s="92">
        <f>'4C1_Amount_Waste_OpenBurned'!G31</f>
        <v>11.892293489999998</v>
      </c>
      <c r="M32" s="94">
        <f>I599</f>
        <v>2.0613381504764354</v>
      </c>
    </row>
    <row r="33" spans="1:13">
      <c r="F33" s="96" t="s">
        <v>268</v>
      </c>
      <c r="K33" s="89">
        <f>'4B_N2O emission'!B32</f>
        <v>2031</v>
      </c>
      <c r="L33" s="92">
        <f>'4C1_Amount_Waste_OpenBurned'!G32</f>
        <v>0</v>
      </c>
      <c r="M33" s="94"/>
    </row>
    <row r="36" spans="1:13">
      <c r="A36" s="198" t="s">
        <v>0</v>
      </c>
      <c r="B36" s="198"/>
      <c r="C36" s="199" t="s">
        <v>1</v>
      </c>
      <c r="D36" s="199"/>
      <c r="E36" s="199"/>
      <c r="F36" s="199"/>
      <c r="G36" s="199"/>
      <c r="H36" s="199"/>
      <c r="I36" s="199"/>
    </row>
    <row r="37" spans="1:13">
      <c r="A37" s="198" t="s">
        <v>2</v>
      </c>
      <c r="B37" s="198"/>
      <c r="C37" s="199" t="s">
        <v>75</v>
      </c>
      <c r="D37" s="199"/>
      <c r="E37" s="199"/>
      <c r="F37" s="199"/>
      <c r="G37" s="199"/>
      <c r="H37" s="199"/>
      <c r="I37" s="199"/>
    </row>
    <row r="38" spans="1:13">
      <c r="A38" s="198" t="s">
        <v>4</v>
      </c>
      <c r="B38" s="198"/>
      <c r="C38" s="199" t="s">
        <v>76</v>
      </c>
      <c r="D38" s="199"/>
      <c r="E38" s="199"/>
      <c r="F38" s="199"/>
      <c r="G38" s="199"/>
      <c r="H38" s="199"/>
      <c r="I38" s="199"/>
    </row>
    <row r="39" spans="1:13">
      <c r="A39" s="198" t="s">
        <v>6</v>
      </c>
      <c r="B39" s="198"/>
      <c r="C39" s="199" t="s">
        <v>77</v>
      </c>
      <c r="D39" s="199"/>
      <c r="E39" s="199"/>
      <c r="F39" s="199"/>
      <c r="G39" s="199"/>
      <c r="H39" s="199"/>
      <c r="I39" s="199"/>
    </row>
    <row r="40" spans="1:13">
      <c r="A40" s="231" t="s">
        <v>8</v>
      </c>
      <c r="B40" s="231"/>
      <c r="C40" s="231"/>
      <c r="D40" s="231" t="s">
        <v>9</v>
      </c>
      <c r="E40" s="236"/>
      <c r="F40" s="236"/>
      <c r="G40" s="236"/>
      <c r="H40" s="236"/>
      <c r="I40" s="85"/>
    </row>
    <row r="41" spans="1:13">
      <c r="A41" s="242"/>
      <c r="B41" s="242"/>
      <c r="C41" s="7" t="s">
        <v>58</v>
      </c>
      <c r="D41" s="7" t="s">
        <v>78</v>
      </c>
      <c r="E41" s="7" t="s">
        <v>79</v>
      </c>
      <c r="F41" s="7" t="s">
        <v>80</v>
      </c>
      <c r="G41" s="7" t="s">
        <v>81</v>
      </c>
      <c r="H41" s="7" t="s">
        <v>82</v>
      </c>
      <c r="I41" s="7" t="s">
        <v>83</v>
      </c>
    </row>
    <row r="42" spans="1:13" ht="25.5">
      <c r="A42" s="209" t="s">
        <v>84</v>
      </c>
      <c r="B42" s="209"/>
      <c r="C42" s="59" t="s">
        <v>85</v>
      </c>
      <c r="D42" s="242" t="s">
        <v>86</v>
      </c>
      <c r="E42" s="59" t="s">
        <v>87</v>
      </c>
      <c r="F42" s="59" t="s">
        <v>89</v>
      </c>
      <c r="G42" s="242" t="s">
        <v>91</v>
      </c>
      <c r="H42" s="242" t="s">
        <v>38</v>
      </c>
      <c r="I42" s="242" t="s">
        <v>92</v>
      </c>
    </row>
    <row r="43" spans="1:13" ht="14.25">
      <c r="A43" s="209"/>
      <c r="B43" s="209"/>
      <c r="C43" s="76" t="s">
        <v>37</v>
      </c>
      <c r="D43" s="232"/>
      <c r="E43" s="76" t="s">
        <v>88</v>
      </c>
      <c r="F43" s="76" t="s">
        <v>90</v>
      </c>
      <c r="G43" s="232"/>
      <c r="H43" s="232"/>
      <c r="I43" s="232"/>
    </row>
    <row r="44" spans="1:13">
      <c r="A44" s="210"/>
      <c r="B44" s="210"/>
      <c r="C44" s="76"/>
      <c r="D44" s="76" t="s">
        <v>39</v>
      </c>
      <c r="E44" s="76" t="s">
        <v>40</v>
      </c>
      <c r="F44" s="76" t="s">
        <v>41</v>
      </c>
      <c r="G44" s="76" t="s">
        <v>42</v>
      </c>
      <c r="H44" s="76"/>
      <c r="I44" s="76"/>
    </row>
    <row r="45" spans="1:13" ht="15.75">
      <c r="A45" s="210"/>
      <c r="B45" s="210"/>
      <c r="C45" s="8" t="s">
        <v>43</v>
      </c>
      <c r="D45" s="8" t="s">
        <v>44</v>
      </c>
      <c r="E45" s="8" t="s">
        <v>44</v>
      </c>
      <c r="F45" s="8" t="s">
        <v>44</v>
      </c>
      <c r="G45" s="8" t="s">
        <v>44</v>
      </c>
      <c r="H45" s="8" t="s">
        <v>45</v>
      </c>
      <c r="I45" s="8" t="s">
        <v>46</v>
      </c>
    </row>
    <row r="46" spans="1:13" ht="15" thickBot="1">
      <c r="A46" s="244"/>
      <c r="B46" s="244"/>
      <c r="C46" s="5" t="s">
        <v>93</v>
      </c>
      <c r="D46" s="5"/>
      <c r="E46" s="5"/>
      <c r="F46" s="5"/>
      <c r="G46" s="5"/>
      <c r="H46" s="5"/>
      <c r="I46" s="5" t="s">
        <v>94</v>
      </c>
    </row>
    <row r="47" spans="1:13" ht="13.5" thickTop="1">
      <c r="A47" s="241" t="s">
        <v>95</v>
      </c>
      <c r="B47" s="53" t="s">
        <v>203</v>
      </c>
      <c r="C47" s="86">
        <f>'4A_DOC'!$B$39*$L$14</f>
        <v>5.441609730942</v>
      </c>
      <c r="D47" s="87">
        <v>0.4</v>
      </c>
      <c r="E47" s="87">
        <v>0.38</v>
      </c>
      <c r="F47" s="34">
        <v>0</v>
      </c>
      <c r="G47" s="88">
        <v>0.57999999999999996</v>
      </c>
      <c r="H47" s="87">
        <f>44/12</f>
        <v>3.6666666666666665</v>
      </c>
      <c r="I47" s="53">
        <f>C47*D47*E47*F47*G47*H47</f>
        <v>0</v>
      </c>
    </row>
    <row r="48" spans="1:13">
      <c r="A48" s="241"/>
      <c r="B48" s="53" t="s">
        <v>204</v>
      </c>
      <c r="C48" s="86">
        <f>'4A_DOC'!$B$40*$L$14</f>
        <v>1.05324122673</v>
      </c>
      <c r="D48" s="87">
        <v>0.9</v>
      </c>
      <c r="E48" s="87">
        <v>0.46</v>
      </c>
      <c r="F48" s="34">
        <f>1/100</f>
        <v>0.01</v>
      </c>
      <c r="G48" s="88">
        <v>0.57999999999999996</v>
      </c>
      <c r="H48" s="87">
        <f t="shared" ref="H48:H55" si="2">44/12</f>
        <v>3.6666666666666665</v>
      </c>
      <c r="I48" s="53">
        <f t="shared" ref="I48:I55" si="3">C48*D48*E48*F48*G48*H48</f>
        <v>9.2731570566216108E-3</v>
      </c>
    </row>
    <row r="49" spans="1:9">
      <c r="A49" s="241"/>
      <c r="B49" s="53" t="s">
        <v>205</v>
      </c>
      <c r="C49" s="86">
        <f>'4A_DOC'!$B$41*$L$14</f>
        <v>0</v>
      </c>
      <c r="D49" s="87">
        <v>0.85</v>
      </c>
      <c r="E49" s="87">
        <v>0.5</v>
      </c>
      <c r="F49" s="34">
        <v>0</v>
      </c>
      <c r="G49" s="88">
        <v>0.57999999999999996</v>
      </c>
      <c r="H49" s="87">
        <f t="shared" si="2"/>
        <v>3.6666666666666665</v>
      </c>
      <c r="I49" s="53">
        <f t="shared" si="3"/>
        <v>0</v>
      </c>
    </row>
    <row r="50" spans="1:9">
      <c r="A50" s="241"/>
      <c r="B50" s="53" t="s">
        <v>47</v>
      </c>
      <c r="C50" s="86">
        <f>'4A_DOC'!$B$42*$L$14</f>
        <v>6.6391081217999998E-2</v>
      </c>
      <c r="D50" s="87">
        <v>0.8</v>
      </c>
      <c r="E50" s="87">
        <v>0.5</v>
      </c>
      <c r="F50" s="34">
        <f>20/100</f>
        <v>0.2</v>
      </c>
      <c r="G50" s="88">
        <v>0.57999999999999996</v>
      </c>
      <c r="H50" s="87">
        <f t="shared" si="2"/>
        <v>3.6666666666666665</v>
      </c>
      <c r="I50" s="53">
        <f t="shared" si="3"/>
        <v>1.12953359512224E-2</v>
      </c>
    </row>
    <row r="51" spans="1:9">
      <c r="A51" s="241"/>
      <c r="B51" s="53" t="s">
        <v>206</v>
      </c>
      <c r="C51" s="86">
        <f>'4A_DOC'!$B$43*$L$14</f>
        <v>0</v>
      </c>
      <c r="D51" s="87">
        <v>0.84</v>
      </c>
      <c r="E51" s="87">
        <v>0.67</v>
      </c>
      <c r="F51" s="34">
        <f>20/100</f>
        <v>0.2</v>
      </c>
      <c r="G51" s="88">
        <v>0.57999999999999996</v>
      </c>
      <c r="H51" s="87">
        <f t="shared" si="2"/>
        <v>3.6666666666666665</v>
      </c>
      <c r="I51" s="53">
        <f t="shared" si="3"/>
        <v>0</v>
      </c>
    </row>
    <row r="52" spans="1:9">
      <c r="A52" s="241"/>
      <c r="B52" s="53" t="s">
        <v>207</v>
      </c>
      <c r="C52" s="86">
        <f>'4A_DOC'!$B$44*$L$14</f>
        <v>0.87783762943800003</v>
      </c>
      <c r="D52" s="87">
        <v>1</v>
      </c>
      <c r="E52" s="87">
        <v>0.75</v>
      </c>
      <c r="F52" s="34">
        <f>100/100</f>
        <v>1</v>
      </c>
      <c r="G52" s="88">
        <v>0.57999999999999996</v>
      </c>
      <c r="H52" s="87">
        <f t="shared" si="2"/>
        <v>3.6666666666666665</v>
      </c>
      <c r="I52" s="53">
        <f t="shared" si="3"/>
        <v>1.4001510189536099</v>
      </c>
    </row>
    <row r="53" spans="1:9">
      <c r="A53" s="241"/>
      <c r="B53" s="53" t="s">
        <v>208</v>
      </c>
      <c r="C53" s="86">
        <f>'4A_DOC'!$B$45*$L$14</f>
        <v>0.14507680710599999</v>
      </c>
      <c r="D53" s="87">
        <v>1</v>
      </c>
      <c r="E53" s="87">
        <v>0</v>
      </c>
      <c r="F53" s="34">
        <v>0</v>
      </c>
      <c r="G53" s="88">
        <v>0.57999999999999996</v>
      </c>
      <c r="H53" s="87">
        <f t="shared" si="2"/>
        <v>3.6666666666666665</v>
      </c>
      <c r="I53" s="53">
        <f t="shared" si="3"/>
        <v>0</v>
      </c>
    </row>
    <row r="54" spans="1:9">
      <c r="A54" s="241"/>
      <c r="B54" s="53" t="s">
        <v>209</v>
      </c>
      <c r="C54" s="86">
        <f>'4A_DOC'!$B$46*$L$14</f>
        <v>0.10901251607399999</v>
      </c>
      <c r="D54" s="87">
        <v>1</v>
      </c>
      <c r="E54" s="87">
        <v>0</v>
      </c>
      <c r="F54" s="34">
        <v>0</v>
      </c>
      <c r="G54" s="88">
        <v>0.57999999999999996</v>
      </c>
      <c r="H54" s="87">
        <f t="shared" si="2"/>
        <v>3.6666666666666665</v>
      </c>
      <c r="I54" s="53">
        <f t="shared" si="3"/>
        <v>0</v>
      </c>
    </row>
    <row r="55" spans="1:9">
      <c r="A55" s="241"/>
      <c r="B55" s="53" t="s">
        <v>210</v>
      </c>
      <c r="C55" s="86">
        <f>'4A_DOC'!$B$47*$L$14</f>
        <v>0.50899828933799995</v>
      </c>
      <c r="D55" s="87">
        <v>0.9</v>
      </c>
      <c r="E55" s="87">
        <v>0</v>
      </c>
      <c r="F55" s="34">
        <v>0</v>
      </c>
      <c r="G55" s="88">
        <v>0.57999999999999996</v>
      </c>
      <c r="H55" s="87">
        <f t="shared" si="2"/>
        <v>3.6666666666666665</v>
      </c>
      <c r="I55" s="53">
        <f t="shared" si="3"/>
        <v>0</v>
      </c>
    </row>
    <row r="56" spans="1:9">
      <c r="A56" s="241" t="s">
        <v>48</v>
      </c>
      <c r="B56" s="241"/>
      <c r="C56" s="7"/>
      <c r="D56" s="53"/>
      <c r="E56" s="53"/>
      <c r="F56" s="53"/>
      <c r="G56" s="53"/>
      <c r="H56" s="53"/>
      <c r="I56" s="53"/>
    </row>
    <row r="57" spans="1:9">
      <c r="A57" s="200" t="s">
        <v>271</v>
      </c>
      <c r="B57" s="201"/>
      <c r="C57" s="201"/>
      <c r="D57" s="201"/>
      <c r="E57" s="201"/>
      <c r="F57" s="201"/>
      <c r="G57" s="201"/>
      <c r="H57" s="202"/>
      <c r="I57" s="90">
        <f>SUM(I47:I56)</f>
        <v>1.420719511961454</v>
      </c>
    </row>
    <row r="58" spans="1:9">
      <c r="A58" s="237" t="s">
        <v>53</v>
      </c>
      <c r="B58" s="238"/>
      <c r="C58" s="238"/>
      <c r="D58" s="238"/>
      <c r="E58" s="238"/>
      <c r="F58" s="238"/>
      <c r="G58" s="238"/>
      <c r="H58" s="238"/>
      <c r="I58" s="238"/>
    </row>
    <row r="59" spans="1:9">
      <c r="A59" s="239" t="s">
        <v>54</v>
      </c>
      <c r="B59" s="240"/>
      <c r="C59" s="240"/>
      <c r="D59" s="240"/>
      <c r="E59" s="240"/>
      <c r="F59" s="240"/>
      <c r="G59" s="240"/>
      <c r="H59" s="240"/>
      <c r="I59" s="240"/>
    </row>
    <row r="60" spans="1:9">
      <c r="A60" s="239" t="s">
        <v>55</v>
      </c>
      <c r="B60" s="240"/>
      <c r="C60" s="240"/>
      <c r="D60" s="240"/>
      <c r="E60" s="240"/>
      <c r="F60" s="240"/>
      <c r="G60" s="240"/>
      <c r="H60" s="240"/>
      <c r="I60" s="240"/>
    </row>
    <row r="61" spans="1:9">
      <c r="A61" s="239" t="s">
        <v>96</v>
      </c>
      <c r="B61" s="240"/>
      <c r="C61" s="240"/>
      <c r="D61" s="240"/>
      <c r="E61" s="240"/>
      <c r="F61" s="240"/>
      <c r="G61" s="240"/>
      <c r="H61" s="240"/>
      <c r="I61" s="240"/>
    </row>
    <row r="62" spans="1:9">
      <c r="A62" s="239" t="s">
        <v>97</v>
      </c>
      <c r="B62" s="240"/>
      <c r="C62" s="240"/>
      <c r="D62" s="240"/>
      <c r="E62" s="240"/>
      <c r="F62" s="240"/>
      <c r="G62" s="240"/>
      <c r="H62" s="240"/>
      <c r="I62" s="240"/>
    </row>
    <row r="63" spans="1:9">
      <c r="A63" s="234" t="s">
        <v>200</v>
      </c>
      <c r="B63" s="235"/>
      <c r="C63" s="235"/>
      <c r="D63" s="235"/>
      <c r="E63" s="235"/>
      <c r="F63" s="235"/>
      <c r="G63" s="235"/>
      <c r="H63" s="235"/>
      <c r="I63" s="235"/>
    </row>
    <row r="66" spans="1:9">
      <c r="A66" s="198" t="s">
        <v>0</v>
      </c>
      <c r="B66" s="198"/>
      <c r="C66" s="199" t="s">
        <v>1</v>
      </c>
      <c r="D66" s="199"/>
      <c r="E66" s="199"/>
      <c r="F66" s="199"/>
      <c r="G66" s="199"/>
      <c r="H66" s="199"/>
      <c r="I66" s="199"/>
    </row>
    <row r="67" spans="1:9">
      <c r="A67" s="198" t="s">
        <v>2</v>
      </c>
      <c r="B67" s="198"/>
      <c r="C67" s="199" t="s">
        <v>75</v>
      </c>
      <c r="D67" s="199"/>
      <c r="E67" s="199"/>
      <c r="F67" s="199"/>
      <c r="G67" s="199"/>
      <c r="H67" s="199"/>
      <c r="I67" s="199"/>
    </row>
    <row r="68" spans="1:9">
      <c r="A68" s="198" t="s">
        <v>4</v>
      </c>
      <c r="B68" s="198"/>
      <c r="C68" s="199" t="s">
        <v>76</v>
      </c>
      <c r="D68" s="199"/>
      <c r="E68" s="199"/>
      <c r="F68" s="199"/>
      <c r="G68" s="199"/>
      <c r="H68" s="199"/>
      <c r="I68" s="199"/>
    </row>
    <row r="69" spans="1:9">
      <c r="A69" s="198" t="s">
        <v>6</v>
      </c>
      <c r="B69" s="198"/>
      <c r="C69" s="199" t="s">
        <v>77</v>
      </c>
      <c r="D69" s="199"/>
      <c r="E69" s="199"/>
      <c r="F69" s="199"/>
      <c r="G69" s="199"/>
      <c r="H69" s="199"/>
      <c r="I69" s="199"/>
    </row>
    <row r="70" spans="1:9">
      <c r="A70" s="231" t="s">
        <v>8</v>
      </c>
      <c r="B70" s="231"/>
      <c r="C70" s="231"/>
      <c r="D70" s="231" t="s">
        <v>9</v>
      </c>
      <c r="E70" s="236"/>
      <c r="F70" s="236"/>
      <c r="G70" s="236"/>
      <c r="H70" s="236"/>
      <c r="I70" s="85"/>
    </row>
    <row r="71" spans="1:9">
      <c r="A71" s="242"/>
      <c r="B71" s="242"/>
      <c r="C71" s="7" t="s">
        <v>58</v>
      </c>
      <c r="D71" s="7" t="s">
        <v>78</v>
      </c>
      <c r="E71" s="7" t="s">
        <v>79</v>
      </c>
      <c r="F71" s="7" t="s">
        <v>80</v>
      </c>
      <c r="G71" s="7" t="s">
        <v>81</v>
      </c>
      <c r="H71" s="7" t="s">
        <v>82</v>
      </c>
      <c r="I71" s="7" t="s">
        <v>83</v>
      </c>
    </row>
    <row r="72" spans="1:9" ht="25.5">
      <c r="A72" s="209" t="s">
        <v>84</v>
      </c>
      <c r="B72" s="209"/>
      <c r="C72" s="59" t="s">
        <v>85</v>
      </c>
      <c r="D72" s="242" t="s">
        <v>86</v>
      </c>
      <c r="E72" s="59" t="s">
        <v>87</v>
      </c>
      <c r="F72" s="59" t="s">
        <v>89</v>
      </c>
      <c r="G72" s="242" t="s">
        <v>91</v>
      </c>
      <c r="H72" s="242" t="s">
        <v>38</v>
      </c>
      <c r="I72" s="242" t="s">
        <v>92</v>
      </c>
    </row>
    <row r="73" spans="1:9" ht="14.25">
      <c r="A73" s="209"/>
      <c r="B73" s="209"/>
      <c r="C73" s="76" t="s">
        <v>37</v>
      </c>
      <c r="D73" s="232"/>
      <c r="E73" s="76" t="s">
        <v>88</v>
      </c>
      <c r="F73" s="76" t="s">
        <v>90</v>
      </c>
      <c r="G73" s="232"/>
      <c r="H73" s="232"/>
      <c r="I73" s="232"/>
    </row>
    <row r="74" spans="1:9">
      <c r="A74" s="210"/>
      <c r="B74" s="210"/>
      <c r="C74" s="76"/>
      <c r="D74" s="76" t="s">
        <v>39</v>
      </c>
      <c r="E74" s="76" t="s">
        <v>40</v>
      </c>
      <c r="F74" s="76" t="s">
        <v>41</v>
      </c>
      <c r="G74" s="76" t="s">
        <v>42</v>
      </c>
      <c r="H74" s="76"/>
      <c r="I74" s="76"/>
    </row>
    <row r="75" spans="1:9" ht="15.75">
      <c r="A75" s="210"/>
      <c r="B75" s="210"/>
      <c r="C75" s="8" t="s">
        <v>43</v>
      </c>
      <c r="D75" s="8" t="s">
        <v>44</v>
      </c>
      <c r="E75" s="8" t="s">
        <v>44</v>
      </c>
      <c r="F75" s="8" t="s">
        <v>44</v>
      </c>
      <c r="G75" s="8" t="s">
        <v>44</v>
      </c>
      <c r="H75" s="8" t="s">
        <v>45</v>
      </c>
      <c r="I75" s="8" t="s">
        <v>46</v>
      </c>
    </row>
    <row r="76" spans="1:9" ht="15" thickBot="1">
      <c r="A76" s="244"/>
      <c r="B76" s="244"/>
      <c r="C76" s="5" t="s">
        <v>93</v>
      </c>
      <c r="D76" s="5"/>
      <c r="E76" s="5"/>
      <c r="F76" s="5"/>
      <c r="G76" s="5"/>
      <c r="H76" s="5"/>
      <c r="I76" s="5" t="s">
        <v>94</v>
      </c>
    </row>
    <row r="77" spans="1:9" ht="13.5" thickTop="1">
      <c r="A77" s="241" t="s">
        <v>95</v>
      </c>
      <c r="B77" s="53" t="s">
        <v>203</v>
      </c>
      <c r="C77" s="86">
        <f>'4A_DOC'!$B$39*$L$15</f>
        <v>5.5447002059294999</v>
      </c>
      <c r="D77" s="87">
        <v>0.4</v>
      </c>
      <c r="E77" s="87">
        <v>0.38</v>
      </c>
      <c r="F77" s="34">
        <v>0</v>
      </c>
      <c r="G77" s="88">
        <v>0.57999999999999996</v>
      </c>
      <c r="H77" s="87">
        <f>44/12</f>
        <v>3.6666666666666665</v>
      </c>
      <c r="I77" s="53">
        <f>C77*D77*E77*F77*G77*H77</f>
        <v>0</v>
      </c>
    </row>
    <row r="78" spans="1:9">
      <c r="A78" s="241"/>
      <c r="B78" s="53" t="s">
        <v>204</v>
      </c>
      <c r="C78" s="86">
        <f>'4A_DOC'!$B$40*$L$15</f>
        <v>1.0731947227925001</v>
      </c>
      <c r="D78" s="87">
        <v>0.9</v>
      </c>
      <c r="E78" s="87">
        <v>0.46</v>
      </c>
      <c r="F78" s="34">
        <f>1/100</f>
        <v>0.01</v>
      </c>
      <c r="G78" s="88">
        <v>0.57999999999999996</v>
      </c>
      <c r="H78" s="87">
        <f t="shared" ref="H78:H85" si="4">44/12</f>
        <v>3.6666666666666665</v>
      </c>
      <c r="I78" s="53">
        <f t="shared" ref="I78:I85" si="5">C78*D78*E78*F78*G78*H78</f>
        <v>9.4488356173542867E-3</v>
      </c>
    </row>
    <row r="79" spans="1:9">
      <c r="A79" s="241"/>
      <c r="B79" s="53" t="s">
        <v>205</v>
      </c>
      <c r="C79" s="86">
        <f>'4A_DOC'!$B$41*$L$15</f>
        <v>0</v>
      </c>
      <c r="D79" s="87">
        <v>0.85</v>
      </c>
      <c r="E79" s="87">
        <v>0.5</v>
      </c>
      <c r="F79" s="34">
        <v>0</v>
      </c>
      <c r="G79" s="88">
        <v>0.57999999999999996</v>
      </c>
      <c r="H79" s="87">
        <f t="shared" si="4"/>
        <v>3.6666666666666665</v>
      </c>
      <c r="I79" s="53">
        <f t="shared" si="5"/>
        <v>0</v>
      </c>
    </row>
    <row r="80" spans="1:9">
      <c r="A80" s="241"/>
      <c r="B80" s="53" t="s">
        <v>47</v>
      </c>
      <c r="C80" s="86">
        <f>'4A_DOC'!$B$42*$L$15</f>
        <v>6.7648850230500004E-2</v>
      </c>
      <c r="D80" s="87">
        <v>0.8</v>
      </c>
      <c r="E80" s="87">
        <v>0.5</v>
      </c>
      <c r="F80" s="34">
        <f>20/100</f>
        <v>0.2</v>
      </c>
      <c r="G80" s="88">
        <v>0.57999999999999996</v>
      </c>
      <c r="H80" s="87">
        <f t="shared" si="4"/>
        <v>3.6666666666666665</v>
      </c>
      <c r="I80" s="53">
        <f t="shared" si="5"/>
        <v>1.15093243858824E-2</v>
      </c>
    </row>
    <row r="81" spans="1:9">
      <c r="A81" s="241"/>
      <c r="B81" s="53" t="s">
        <v>206</v>
      </c>
      <c r="C81" s="86">
        <f>'4A_DOC'!$B$43*$L$15</f>
        <v>0</v>
      </c>
      <c r="D81" s="87">
        <v>0.84</v>
      </c>
      <c r="E81" s="87">
        <v>0.67</v>
      </c>
      <c r="F81" s="34">
        <f>20/100</f>
        <v>0.2</v>
      </c>
      <c r="G81" s="88">
        <v>0.57999999999999996</v>
      </c>
      <c r="H81" s="87">
        <f t="shared" si="4"/>
        <v>3.6666666666666665</v>
      </c>
      <c r="I81" s="53">
        <f t="shared" si="5"/>
        <v>0</v>
      </c>
    </row>
    <row r="82" spans="1:9">
      <c r="A82" s="241"/>
      <c r="B82" s="53" t="s">
        <v>207</v>
      </c>
      <c r="C82" s="86">
        <f>'4A_DOC'!$B$44*$L$15</f>
        <v>0.89446813082550014</v>
      </c>
      <c r="D82" s="87">
        <v>1</v>
      </c>
      <c r="E82" s="87">
        <v>0.75</v>
      </c>
      <c r="F82" s="34">
        <f>100/100</f>
        <v>1</v>
      </c>
      <c r="G82" s="88">
        <v>0.57999999999999996</v>
      </c>
      <c r="H82" s="87">
        <f t="shared" si="4"/>
        <v>3.6666666666666665</v>
      </c>
      <c r="I82" s="53">
        <f t="shared" si="5"/>
        <v>1.4266766686666725</v>
      </c>
    </row>
    <row r="83" spans="1:9">
      <c r="A83" s="241"/>
      <c r="B83" s="53" t="s">
        <v>208</v>
      </c>
      <c r="C83" s="86">
        <f>'4A_DOC'!$B$45*$L$15</f>
        <v>0.14782526531850002</v>
      </c>
      <c r="D83" s="87">
        <v>1</v>
      </c>
      <c r="E83" s="87">
        <v>0</v>
      </c>
      <c r="F83" s="34">
        <v>0</v>
      </c>
      <c r="G83" s="88">
        <v>0.57999999999999996</v>
      </c>
      <c r="H83" s="87">
        <f t="shared" si="4"/>
        <v>3.6666666666666665</v>
      </c>
      <c r="I83" s="53">
        <f t="shared" si="5"/>
        <v>0</v>
      </c>
    </row>
    <row r="84" spans="1:9">
      <c r="A84" s="241"/>
      <c r="B84" s="53" t="s">
        <v>209</v>
      </c>
      <c r="C84" s="86">
        <f>'4A_DOC'!$B$46*$L$15</f>
        <v>0.11107774173650001</v>
      </c>
      <c r="D84" s="87">
        <v>1</v>
      </c>
      <c r="E84" s="87">
        <v>0</v>
      </c>
      <c r="F84" s="34">
        <v>0</v>
      </c>
      <c r="G84" s="88">
        <v>0.57999999999999996</v>
      </c>
      <c r="H84" s="87">
        <f t="shared" si="4"/>
        <v>3.6666666666666665</v>
      </c>
      <c r="I84" s="53">
        <f t="shared" si="5"/>
        <v>0</v>
      </c>
    </row>
    <row r="85" spans="1:9">
      <c r="A85" s="241"/>
      <c r="B85" s="53" t="s">
        <v>210</v>
      </c>
      <c r="C85" s="86">
        <f>'4A_DOC'!$B$47*$L$15</f>
        <v>0.51864118510050006</v>
      </c>
      <c r="D85" s="87">
        <v>0.9</v>
      </c>
      <c r="E85" s="87">
        <v>0</v>
      </c>
      <c r="F85" s="34">
        <v>0</v>
      </c>
      <c r="G85" s="88">
        <v>0.57999999999999996</v>
      </c>
      <c r="H85" s="87">
        <f t="shared" si="4"/>
        <v>3.6666666666666665</v>
      </c>
      <c r="I85" s="53">
        <f t="shared" si="5"/>
        <v>0</v>
      </c>
    </row>
    <row r="86" spans="1:9">
      <c r="A86" s="241" t="s">
        <v>48</v>
      </c>
      <c r="B86" s="241"/>
      <c r="C86" s="7"/>
      <c r="D86" s="53"/>
      <c r="E86" s="53"/>
      <c r="F86" s="53"/>
      <c r="G86" s="53"/>
      <c r="H86" s="53"/>
      <c r="I86" s="53"/>
    </row>
    <row r="87" spans="1:9">
      <c r="A87" s="200" t="s">
        <v>272</v>
      </c>
      <c r="B87" s="201"/>
      <c r="C87" s="201"/>
      <c r="D87" s="201"/>
      <c r="E87" s="201"/>
      <c r="F87" s="201"/>
      <c r="G87" s="201"/>
      <c r="H87" s="202"/>
      <c r="I87" s="90">
        <f>SUM(I77:I86)</f>
        <v>1.4476348286699092</v>
      </c>
    </row>
    <row r="88" spans="1:9">
      <c r="A88" s="237" t="s">
        <v>53</v>
      </c>
      <c r="B88" s="238"/>
      <c r="C88" s="238"/>
      <c r="D88" s="238"/>
      <c r="E88" s="238"/>
      <c r="F88" s="238"/>
      <c r="G88" s="238"/>
      <c r="H88" s="238"/>
      <c r="I88" s="238"/>
    </row>
    <row r="89" spans="1:9">
      <c r="A89" s="239" t="s">
        <v>54</v>
      </c>
      <c r="B89" s="240"/>
      <c r="C89" s="240"/>
      <c r="D89" s="240"/>
      <c r="E89" s="240"/>
      <c r="F89" s="240"/>
      <c r="G89" s="240"/>
      <c r="H89" s="240"/>
      <c r="I89" s="240"/>
    </row>
    <row r="90" spans="1:9">
      <c r="A90" s="239" t="s">
        <v>55</v>
      </c>
      <c r="B90" s="240"/>
      <c r="C90" s="240"/>
      <c r="D90" s="240"/>
      <c r="E90" s="240"/>
      <c r="F90" s="240"/>
      <c r="G90" s="240"/>
      <c r="H90" s="240"/>
      <c r="I90" s="240"/>
    </row>
    <row r="91" spans="1:9">
      <c r="A91" s="239" t="s">
        <v>96</v>
      </c>
      <c r="B91" s="240"/>
      <c r="C91" s="240"/>
      <c r="D91" s="240"/>
      <c r="E91" s="240"/>
      <c r="F91" s="240"/>
      <c r="G91" s="240"/>
      <c r="H91" s="240"/>
      <c r="I91" s="240"/>
    </row>
    <row r="92" spans="1:9">
      <c r="A92" s="239" t="s">
        <v>97</v>
      </c>
      <c r="B92" s="240"/>
      <c r="C92" s="240"/>
      <c r="D92" s="240"/>
      <c r="E92" s="240"/>
      <c r="F92" s="240"/>
      <c r="G92" s="240"/>
      <c r="H92" s="240"/>
      <c r="I92" s="240"/>
    </row>
    <row r="93" spans="1:9">
      <c r="A93" s="234" t="s">
        <v>200</v>
      </c>
      <c r="B93" s="235"/>
      <c r="C93" s="235"/>
      <c r="D93" s="235"/>
      <c r="E93" s="235"/>
      <c r="F93" s="235"/>
      <c r="G93" s="235"/>
      <c r="H93" s="235"/>
      <c r="I93" s="235"/>
    </row>
    <row r="97" spans="1:9">
      <c r="A97" s="198" t="s">
        <v>0</v>
      </c>
      <c r="B97" s="198"/>
      <c r="C97" s="199" t="s">
        <v>1</v>
      </c>
      <c r="D97" s="199"/>
      <c r="E97" s="199"/>
      <c r="F97" s="199"/>
      <c r="G97" s="199"/>
      <c r="H97" s="199"/>
      <c r="I97" s="199"/>
    </row>
    <row r="98" spans="1:9">
      <c r="A98" s="198" t="s">
        <v>2</v>
      </c>
      <c r="B98" s="198"/>
      <c r="C98" s="199" t="s">
        <v>75</v>
      </c>
      <c r="D98" s="199"/>
      <c r="E98" s="199"/>
      <c r="F98" s="199"/>
      <c r="G98" s="199"/>
      <c r="H98" s="199"/>
      <c r="I98" s="199"/>
    </row>
    <row r="99" spans="1:9">
      <c r="A99" s="198" t="s">
        <v>4</v>
      </c>
      <c r="B99" s="198"/>
      <c r="C99" s="199" t="s">
        <v>76</v>
      </c>
      <c r="D99" s="199"/>
      <c r="E99" s="199"/>
      <c r="F99" s="199"/>
      <c r="G99" s="199"/>
      <c r="H99" s="199"/>
      <c r="I99" s="199"/>
    </row>
    <row r="100" spans="1:9">
      <c r="A100" s="198" t="s">
        <v>6</v>
      </c>
      <c r="B100" s="198"/>
      <c r="C100" s="199" t="s">
        <v>77</v>
      </c>
      <c r="D100" s="199"/>
      <c r="E100" s="199"/>
      <c r="F100" s="199"/>
      <c r="G100" s="199"/>
      <c r="H100" s="199"/>
      <c r="I100" s="199"/>
    </row>
    <row r="101" spans="1:9">
      <c r="A101" s="231" t="s">
        <v>8</v>
      </c>
      <c r="B101" s="231"/>
      <c r="C101" s="231"/>
      <c r="D101" s="231" t="s">
        <v>9</v>
      </c>
      <c r="E101" s="236"/>
      <c r="F101" s="236"/>
      <c r="G101" s="236"/>
      <c r="H101" s="236"/>
      <c r="I101" s="85"/>
    </row>
    <row r="102" spans="1:9">
      <c r="A102" s="242"/>
      <c r="B102" s="242"/>
      <c r="C102" s="7" t="s">
        <v>58</v>
      </c>
      <c r="D102" s="7" t="s">
        <v>78</v>
      </c>
      <c r="E102" s="7" t="s">
        <v>79</v>
      </c>
      <c r="F102" s="7" t="s">
        <v>80</v>
      </c>
      <c r="G102" s="7" t="s">
        <v>81</v>
      </c>
      <c r="H102" s="7" t="s">
        <v>82</v>
      </c>
      <c r="I102" s="7" t="s">
        <v>83</v>
      </c>
    </row>
    <row r="103" spans="1:9" ht="25.5">
      <c r="A103" s="209" t="s">
        <v>84</v>
      </c>
      <c r="B103" s="209"/>
      <c r="C103" s="59" t="s">
        <v>85</v>
      </c>
      <c r="D103" s="242" t="s">
        <v>86</v>
      </c>
      <c r="E103" s="59" t="s">
        <v>87</v>
      </c>
      <c r="F103" s="59" t="s">
        <v>89</v>
      </c>
      <c r="G103" s="242" t="s">
        <v>91</v>
      </c>
      <c r="H103" s="242" t="s">
        <v>38</v>
      </c>
      <c r="I103" s="242" t="s">
        <v>92</v>
      </c>
    </row>
    <row r="104" spans="1:9" ht="14.25">
      <c r="A104" s="209"/>
      <c r="B104" s="209"/>
      <c r="C104" s="76" t="s">
        <v>37</v>
      </c>
      <c r="D104" s="232"/>
      <c r="E104" s="76" t="s">
        <v>88</v>
      </c>
      <c r="F104" s="76" t="s">
        <v>90</v>
      </c>
      <c r="G104" s="232"/>
      <c r="H104" s="232"/>
      <c r="I104" s="232"/>
    </row>
    <row r="105" spans="1:9">
      <c r="A105" s="210"/>
      <c r="B105" s="210"/>
      <c r="C105" s="76"/>
      <c r="D105" s="76" t="s">
        <v>39</v>
      </c>
      <c r="E105" s="76" t="s">
        <v>40</v>
      </c>
      <c r="F105" s="76" t="s">
        <v>41</v>
      </c>
      <c r="G105" s="76" t="s">
        <v>42</v>
      </c>
      <c r="H105" s="76"/>
      <c r="I105" s="76"/>
    </row>
    <row r="106" spans="1:9" ht="15.75">
      <c r="A106" s="210"/>
      <c r="B106" s="210"/>
      <c r="C106" s="8" t="s">
        <v>43</v>
      </c>
      <c r="D106" s="8" t="s">
        <v>44</v>
      </c>
      <c r="E106" s="8" t="s">
        <v>44</v>
      </c>
      <c r="F106" s="8" t="s">
        <v>44</v>
      </c>
      <c r="G106" s="8" t="s">
        <v>44</v>
      </c>
      <c r="H106" s="8" t="s">
        <v>45</v>
      </c>
      <c r="I106" s="8" t="s">
        <v>46</v>
      </c>
    </row>
    <row r="107" spans="1:9" ht="15" thickBot="1">
      <c r="A107" s="244"/>
      <c r="B107" s="244"/>
      <c r="C107" s="5" t="s">
        <v>93</v>
      </c>
      <c r="D107" s="5"/>
      <c r="E107" s="5"/>
      <c r="F107" s="5"/>
      <c r="G107" s="5"/>
      <c r="H107" s="5"/>
      <c r="I107" s="5" t="s">
        <v>94</v>
      </c>
    </row>
    <row r="108" spans="1:9" ht="13.5" thickTop="1">
      <c r="A108" s="241" t="s">
        <v>95</v>
      </c>
      <c r="B108" s="53" t="s">
        <v>203</v>
      </c>
      <c r="C108" s="86">
        <f>'4A_DOC'!$B$39*$L$16</f>
        <v>5.645215751406</v>
      </c>
      <c r="D108" s="87">
        <v>0.4</v>
      </c>
      <c r="E108" s="87">
        <v>0.38</v>
      </c>
      <c r="F108" s="34">
        <v>0</v>
      </c>
      <c r="G108" s="88">
        <v>0.57999999999999996</v>
      </c>
      <c r="H108" s="87">
        <f>44/12</f>
        <v>3.6666666666666665</v>
      </c>
      <c r="I108" s="53">
        <f>C108*D108*E108*F108*G108*H108</f>
        <v>0</v>
      </c>
    </row>
    <row r="109" spans="1:9">
      <c r="A109" s="241"/>
      <c r="B109" s="53" t="s">
        <v>204</v>
      </c>
      <c r="C109" s="86">
        <f>'4A_DOC'!$B$40*$L$16</f>
        <v>1.0926498328899998</v>
      </c>
      <c r="D109" s="87">
        <v>0.9</v>
      </c>
      <c r="E109" s="87">
        <v>0.46</v>
      </c>
      <c r="F109" s="34">
        <f>1/100</f>
        <v>0.01</v>
      </c>
      <c r="G109" s="88">
        <v>0.57999999999999996</v>
      </c>
      <c r="H109" s="87">
        <f t="shared" ref="H109:H116" si="6">44/12</f>
        <v>3.6666666666666665</v>
      </c>
      <c r="I109" s="53">
        <f t="shared" ref="I109:I116" si="7">C109*D109*E109*F109*G109*H109</f>
        <v>9.6201261886967159E-3</v>
      </c>
    </row>
    <row r="110" spans="1:9">
      <c r="A110" s="241"/>
      <c r="B110" s="53" t="s">
        <v>205</v>
      </c>
      <c r="C110" s="86">
        <f>'4A_DOC'!$B$41*$L$16</f>
        <v>0</v>
      </c>
      <c r="D110" s="87">
        <v>0.85</v>
      </c>
      <c r="E110" s="87">
        <v>0.5</v>
      </c>
      <c r="F110" s="34">
        <v>0</v>
      </c>
      <c r="G110" s="88">
        <v>0.57999999999999996</v>
      </c>
      <c r="H110" s="87">
        <f t="shared" si="6"/>
        <v>3.6666666666666665</v>
      </c>
      <c r="I110" s="53">
        <f t="shared" si="7"/>
        <v>0</v>
      </c>
    </row>
    <row r="111" spans="1:9">
      <c r="A111" s="241"/>
      <c r="B111" s="53" t="s">
        <v>47</v>
      </c>
      <c r="C111" s="86">
        <f>'4A_DOC'!$B$42*$L$16</f>
        <v>6.8875203474000002E-2</v>
      </c>
      <c r="D111" s="87">
        <v>0.8</v>
      </c>
      <c r="E111" s="87">
        <v>0.5</v>
      </c>
      <c r="F111" s="34">
        <f>20/100</f>
        <v>0.2</v>
      </c>
      <c r="G111" s="88">
        <v>0.57999999999999996</v>
      </c>
      <c r="H111" s="87">
        <f t="shared" si="6"/>
        <v>3.6666666666666665</v>
      </c>
      <c r="I111" s="53">
        <f t="shared" si="7"/>
        <v>1.17179679510432E-2</v>
      </c>
    </row>
    <row r="112" spans="1:9">
      <c r="A112" s="241"/>
      <c r="B112" s="53" t="s">
        <v>206</v>
      </c>
      <c r="C112" s="86">
        <f>'4A_DOC'!$B$43*$L$16</f>
        <v>0</v>
      </c>
      <c r="D112" s="87">
        <v>0.84</v>
      </c>
      <c r="E112" s="87">
        <v>0.67</v>
      </c>
      <c r="F112" s="34">
        <f>20/100</f>
        <v>0.2</v>
      </c>
      <c r="G112" s="88">
        <v>0.57999999999999996</v>
      </c>
      <c r="H112" s="87">
        <f t="shared" si="6"/>
        <v>3.6666666666666665</v>
      </c>
      <c r="I112" s="53">
        <f t="shared" si="7"/>
        <v>0</v>
      </c>
    </row>
    <row r="113" spans="1:9">
      <c r="A113" s="241"/>
      <c r="B113" s="53" t="s">
        <v>207</v>
      </c>
      <c r="C113" s="86">
        <f>'4A_DOC'!$B$44*$L$16</f>
        <v>0.91068324593400007</v>
      </c>
      <c r="D113" s="87">
        <v>1</v>
      </c>
      <c r="E113" s="87">
        <v>0.75</v>
      </c>
      <c r="F113" s="34">
        <f>100/100</f>
        <v>1</v>
      </c>
      <c r="G113" s="88">
        <v>0.57999999999999996</v>
      </c>
      <c r="H113" s="87">
        <f t="shared" si="6"/>
        <v>3.6666666666666665</v>
      </c>
      <c r="I113" s="53">
        <f t="shared" si="7"/>
        <v>1.4525397772647302</v>
      </c>
    </row>
    <row r="114" spans="1:9">
      <c r="A114" s="241"/>
      <c r="B114" s="53" t="s">
        <v>208</v>
      </c>
      <c r="C114" s="86">
        <f>'4A_DOC'!$B$45*$L$16</f>
        <v>0.150505074258</v>
      </c>
      <c r="D114" s="87">
        <v>1</v>
      </c>
      <c r="E114" s="87">
        <v>0</v>
      </c>
      <c r="F114" s="34">
        <v>0</v>
      </c>
      <c r="G114" s="88">
        <v>0.57999999999999996</v>
      </c>
      <c r="H114" s="87">
        <f t="shared" si="6"/>
        <v>3.6666666666666665</v>
      </c>
      <c r="I114" s="53">
        <f t="shared" si="7"/>
        <v>0</v>
      </c>
    </row>
    <row r="115" spans="1:9">
      <c r="A115" s="241"/>
      <c r="B115" s="53" t="s">
        <v>209</v>
      </c>
      <c r="C115" s="86">
        <f>'4A_DOC'!$B$46*$L$16</f>
        <v>0.113091383482</v>
      </c>
      <c r="D115" s="87">
        <v>1</v>
      </c>
      <c r="E115" s="87">
        <v>0</v>
      </c>
      <c r="F115" s="34">
        <v>0</v>
      </c>
      <c r="G115" s="88">
        <v>0.57999999999999996</v>
      </c>
      <c r="H115" s="87">
        <f t="shared" si="6"/>
        <v>3.6666666666666665</v>
      </c>
      <c r="I115" s="53">
        <f t="shared" si="7"/>
        <v>0</v>
      </c>
    </row>
    <row r="116" spans="1:9">
      <c r="A116" s="241"/>
      <c r="B116" s="53" t="s">
        <v>210</v>
      </c>
      <c r="C116" s="86">
        <f>'4A_DOC'!$B$47*$L$16</f>
        <v>0.52804322663399994</v>
      </c>
      <c r="D116" s="87">
        <v>0.9</v>
      </c>
      <c r="E116" s="87">
        <v>0</v>
      </c>
      <c r="F116" s="34">
        <v>0</v>
      </c>
      <c r="G116" s="88">
        <v>0.57999999999999996</v>
      </c>
      <c r="H116" s="87">
        <f t="shared" si="6"/>
        <v>3.6666666666666665</v>
      </c>
      <c r="I116" s="53">
        <f t="shared" si="7"/>
        <v>0</v>
      </c>
    </row>
    <row r="117" spans="1:9">
      <c r="A117" s="241" t="s">
        <v>48</v>
      </c>
      <c r="B117" s="241"/>
      <c r="C117" s="7"/>
      <c r="D117" s="53"/>
      <c r="E117" s="53"/>
      <c r="F117" s="53"/>
      <c r="G117" s="53"/>
      <c r="H117" s="53"/>
      <c r="I117" s="53"/>
    </row>
    <row r="118" spans="1:9">
      <c r="A118" s="200" t="s">
        <v>273</v>
      </c>
      <c r="B118" s="201"/>
      <c r="C118" s="201"/>
      <c r="D118" s="201"/>
      <c r="E118" s="201"/>
      <c r="F118" s="201"/>
      <c r="G118" s="201"/>
      <c r="H118" s="202"/>
      <c r="I118" s="93">
        <f>SUM(I108:I117)</f>
        <v>1.47387787140447</v>
      </c>
    </row>
    <row r="119" spans="1:9">
      <c r="A119" s="237" t="s">
        <v>53</v>
      </c>
      <c r="B119" s="238"/>
      <c r="C119" s="238"/>
      <c r="D119" s="238"/>
      <c r="E119" s="238"/>
      <c r="F119" s="238"/>
      <c r="G119" s="238"/>
      <c r="H119" s="238"/>
      <c r="I119" s="238"/>
    </row>
    <row r="120" spans="1:9">
      <c r="A120" s="239" t="s">
        <v>54</v>
      </c>
      <c r="B120" s="240"/>
      <c r="C120" s="240"/>
      <c r="D120" s="240"/>
      <c r="E120" s="240"/>
      <c r="F120" s="240"/>
      <c r="G120" s="240"/>
      <c r="H120" s="240"/>
      <c r="I120" s="240"/>
    </row>
    <row r="121" spans="1:9">
      <c r="A121" s="239" t="s">
        <v>55</v>
      </c>
      <c r="B121" s="240"/>
      <c r="C121" s="240"/>
      <c r="D121" s="240"/>
      <c r="E121" s="240"/>
      <c r="F121" s="240"/>
      <c r="G121" s="240"/>
      <c r="H121" s="240"/>
      <c r="I121" s="240"/>
    </row>
    <row r="122" spans="1:9">
      <c r="A122" s="239" t="s">
        <v>96</v>
      </c>
      <c r="B122" s="240"/>
      <c r="C122" s="240"/>
      <c r="D122" s="240"/>
      <c r="E122" s="240"/>
      <c r="F122" s="240"/>
      <c r="G122" s="240"/>
      <c r="H122" s="240"/>
      <c r="I122" s="240"/>
    </row>
    <row r="123" spans="1:9">
      <c r="A123" s="239" t="s">
        <v>97</v>
      </c>
      <c r="B123" s="240"/>
      <c r="C123" s="240"/>
      <c r="D123" s="240"/>
      <c r="E123" s="240"/>
      <c r="F123" s="240"/>
      <c r="G123" s="240"/>
      <c r="H123" s="240"/>
      <c r="I123" s="240"/>
    </row>
    <row r="124" spans="1:9">
      <c r="A124" s="234" t="s">
        <v>200</v>
      </c>
      <c r="B124" s="235"/>
      <c r="C124" s="235"/>
      <c r="D124" s="235"/>
      <c r="E124" s="235"/>
      <c r="F124" s="235"/>
      <c r="G124" s="235"/>
      <c r="H124" s="235"/>
      <c r="I124" s="235"/>
    </row>
    <row r="128" spans="1:9">
      <c r="A128" s="198" t="s">
        <v>0</v>
      </c>
      <c r="B128" s="198"/>
      <c r="C128" s="199" t="s">
        <v>1</v>
      </c>
      <c r="D128" s="199"/>
      <c r="E128" s="199"/>
      <c r="F128" s="199"/>
      <c r="G128" s="199"/>
      <c r="H128" s="199"/>
      <c r="I128" s="199"/>
    </row>
    <row r="129" spans="1:9">
      <c r="A129" s="198" t="s">
        <v>2</v>
      </c>
      <c r="B129" s="198"/>
      <c r="C129" s="199" t="s">
        <v>75</v>
      </c>
      <c r="D129" s="199"/>
      <c r="E129" s="199"/>
      <c r="F129" s="199"/>
      <c r="G129" s="199"/>
      <c r="H129" s="199"/>
      <c r="I129" s="199"/>
    </row>
    <row r="130" spans="1:9">
      <c r="A130" s="198" t="s">
        <v>4</v>
      </c>
      <c r="B130" s="198"/>
      <c r="C130" s="199" t="s">
        <v>76</v>
      </c>
      <c r="D130" s="199"/>
      <c r="E130" s="199"/>
      <c r="F130" s="199"/>
      <c r="G130" s="199"/>
      <c r="H130" s="199"/>
      <c r="I130" s="199"/>
    </row>
    <row r="131" spans="1:9">
      <c r="A131" s="198" t="s">
        <v>6</v>
      </c>
      <c r="B131" s="198"/>
      <c r="C131" s="199" t="s">
        <v>77</v>
      </c>
      <c r="D131" s="199"/>
      <c r="E131" s="199"/>
      <c r="F131" s="199"/>
      <c r="G131" s="199"/>
      <c r="H131" s="199"/>
      <c r="I131" s="199"/>
    </row>
    <row r="132" spans="1:9">
      <c r="A132" s="231" t="s">
        <v>8</v>
      </c>
      <c r="B132" s="231"/>
      <c r="C132" s="231"/>
      <c r="D132" s="231" t="s">
        <v>9</v>
      </c>
      <c r="E132" s="236"/>
      <c r="F132" s="236"/>
      <c r="G132" s="236"/>
      <c r="H132" s="236"/>
      <c r="I132" s="85"/>
    </row>
    <row r="133" spans="1:9">
      <c r="A133" s="242"/>
      <c r="B133" s="242"/>
      <c r="C133" s="7" t="s">
        <v>58</v>
      </c>
      <c r="D133" s="7" t="s">
        <v>78</v>
      </c>
      <c r="E133" s="7" t="s">
        <v>79</v>
      </c>
      <c r="F133" s="7" t="s">
        <v>80</v>
      </c>
      <c r="G133" s="7" t="s">
        <v>81</v>
      </c>
      <c r="H133" s="7" t="s">
        <v>82</v>
      </c>
      <c r="I133" s="7" t="s">
        <v>83</v>
      </c>
    </row>
    <row r="134" spans="1:9" ht="25.5">
      <c r="A134" s="209" t="s">
        <v>84</v>
      </c>
      <c r="B134" s="209"/>
      <c r="C134" s="59" t="s">
        <v>85</v>
      </c>
      <c r="D134" s="242" t="s">
        <v>86</v>
      </c>
      <c r="E134" s="59" t="s">
        <v>87</v>
      </c>
      <c r="F134" s="59" t="s">
        <v>89</v>
      </c>
      <c r="G134" s="242" t="s">
        <v>91</v>
      </c>
      <c r="H134" s="242" t="s">
        <v>38</v>
      </c>
      <c r="I134" s="242" t="s">
        <v>92</v>
      </c>
    </row>
    <row r="135" spans="1:9" ht="14.25">
      <c r="A135" s="209"/>
      <c r="B135" s="209"/>
      <c r="C135" s="76" t="s">
        <v>37</v>
      </c>
      <c r="D135" s="232"/>
      <c r="E135" s="76" t="s">
        <v>88</v>
      </c>
      <c r="F135" s="76" t="s">
        <v>90</v>
      </c>
      <c r="G135" s="232"/>
      <c r="H135" s="232"/>
      <c r="I135" s="232"/>
    </row>
    <row r="136" spans="1:9">
      <c r="A136" s="210"/>
      <c r="B136" s="210"/>
      <c r="C136" s="76"/>
      <c r="D136" s="76" t="s">
        <v>39</v>
      </c>
      <c r="E136" s="76" t="s">
        <v>40</v>
      </c>
      <c r="F136" s="76" t="s">
        <v>41</v>
      </c>
      <c r="G136" s="76" t="s">
        <v>42</v>
      </c>
      <c r="H136" s="76"/>
      <c r="I136" s="76"/>
    </row>
    <row r="137" spans="1:9" ht="15.75">
      <c r="A137" s="210"/>
      <c r="B137" s="210"/>
      <c r="C137" s="8" t="s">
        <v>43</v>
      </c>
      <c r="D137" s="8" t="s">
        <v>44</v>
      </c>
      <c r="E137" s="8" t="s">
        <v>44</v>
      </c>
      <c r="F137" s="8" t="s">
        <v>44</v>
      </c>
      <c r="G137" s="8" t="s">
        <v>44</v>
      </c>
      <c r="H137" s="8" t="s">
        <v>45</v>
      </c>
      <c r="I137" s="8" t="s">
        <v>46</v>
      </c>
    </row>
    <row r="138" spans="1:9" ht="15" thickBot="1">
      <c r="A138" s="244"/>
      <c r="B138" s="244"/>
      <c r="C138" s="5" t="s">
        <v>93</v>
      </c>
      <c r="D138" s="5"/>
      <c r="E138" s="5"/>
      <c r="F138" s="5"/>
      <c r="G138" s="5"/>
      <c r="H138" s="5"/>
      <c r="I138" s="5" t="s">
        <v>94</v>
      </c>
    </row>
    <row r="139" spans="1:9" ht="13.5" thickTop="1">
      <c r="A139" s="241" t="s">
        <v>95</v>
      </c>
      <c r="B139" s="53" t="s">
        <v>203</v>
      </c>
      <c r="C139" s="86">
        <f>'4A_DOC'!$B$39*$L$17</f>
        <v>5.7429697782765006</v>
      </c>
      <c r="D139" s="87">
        <v>0.4</v>
      </c>
      <c r="E139" s="87">
        <v>0.38</v>
      </c>
      <c r="F139" s="34">
        <v>0</v>
      </c>
      <c r="G139" s="88">
        <v>0.57999999999999996</v>
      </c>
      <c r="H139" s="87">
        <f>44/12</f>
        <v>3.6666666666666665</v>
      </c>
      <c r="I139" s="53">
        <f>C139*D139*E139*F139*G139*H139</f>
        <v>0</v>
      </c>
    </row>
    <row r="140" spans="1:9">
      <c r="A140" s="241"/>
      <c r="B140" s="53" t="s">
        <v>204</v>
      </c>
      <c r="C140" s="86">
        <f>'4A_DOC'!$B$40*$L$17</f>
        <v>1.1115704420975001</v>
      </c>
      <c r="D140" s="87">
        <v>0.9</v>
      </c>
      <c r="E140" s="87">
        <v>0.46</v>
      </c>
      <c r="F140" s="34">
        <f>1/100</f>
        <v>0.01</v>
      </c>
      <c r="G140" s="88">
        <v>0.57999999999999996</v>
      </c>
      <c r="H140" s="87">
        <f t="shared" ref="H140:H147" si="8">44/12</f>
        <v>3.6666666666666665</v>
      </c>
      <c r="I140" s="53">
        <f t="shared" ref="I140:I147" si="9">C140*D140*E140*F140*G140*H140</f>
        <v>9.7867108004032304E-3</v>
      </c>
    </row>
    <row r="141" spans="1:9">
      <c r="A141" s="241"/>
      <c r="B141" s="53" t="s">
        <v>205</v>
      </c>
      <c r="C141" s="86">
        <f>'4A_DOC'!$B$41*$L$17</f>
        <v>0</v>
      </c>
      <c r="D141" s="87">
        <v>0.85</v>
      </c>
      <c r="E141" s="87">
        <v>0.5</v>
      </c>
      <c r="F141" s="34">
        <v>0</v>
      </c>
      <c r="G141" s="88">
        <v>0.57999999999999996</v>
      </c>
      <c r="H141" s="87">
        <f t="shared" si="8"/>
        <v>3.6666666666666665</v>
      </c>
      <c r="I141" s="53">
        <f t="shared" si="9"/>
        <v>0</v>
      </c>
    </row>
    <row r="142" spans="1:9">
      <c r="A142" s="241"/>
      <c r="B142" s="53" t="s">
        <v>47</v>
      </c>
      <c r="C142" s="86">
        <f>'4A_DOC'!$B$42*$L$17</f>
        <v>7.0067864443500008E-2</v>
      </c>
      <c r="D142" s="87">
        <v>0.8</v>
      </c>
      <c r="E142" s="87">
        <v>0.5</v>
      </c>
      <c r="F142" s="34">
        <f>20/100</f>
        <v>0.2</v>
      </c>
      <c r="G142" s="88">
        <v>0.57999999999999996</v>
      </c>
      <c r="H142" s="87">
        <f t="shared" si="8"/>
        <v>3.6666666666666665</v>
      </c>
      <c r="I142" s="53">
        <f t="shared" si="9"/>
        <v>1.1920879337320802E-2</v>
      </c>
    </row>
    <row r="143" spans="1:9">
      <c r="A143" s="241"/>
      <c r="B143" s="53" t="s">
        <v>206</v>
      </c>
      <c r="C143" s="86">
        <f>'4A_DOC'!$B$43*$L$17</f>
        <v>0</v>
      </c>
      <c r="D143" s="87">
        <v>0.84</v>
      </c>
      <c r="E143" s="87">
        <v>0.67</v>
      </c>
      <c r="F143" s="34">
        <f>20/100</f>
        <v>0.2</v>
      </c>
      <c r="G143" s="88">
        <v>0.57999999999999996</v>
      </c>
      <c r="H143" s="87">
        <f t="shared" si="8"/>
        <v>3.6666666666666665</v>
      </c>
      <c r="I143" s="53">
        <f t="shared" si="9"/>
        <v>0</v>
      </c>
    </row>
    <row r="144" spans="1:9">
      <c r="A144" s="241"/>
      <c r="B144" s="53" t="s">
        <v>207</v>
      </c>
      <c r="C144" s="86">
        <f>'4A_DOC'!$B$44*$L$17</f>
        <v>0.9264528743085001</v>
      </c>
      <c r="D144" s="87">
        <v>1</v>
      </c>
      <c r="E144" s="87">
        <v>0.75</v>
      </c>
      <c r="F144" s="34">
        <f>100/100</f>
        <v>1</v>
      </c>
      <c r="G144" s="88">
        <v>0.57999999999999996</v>
      </c>
      <c r="H144" s="87">
        <f t="shared" si="8"/>
        <v>3.6666666666666665</v>
      </c>
      <c r="I144" s="53">
        <f t="shared" si="9"/>
        <v>1.4776923345220574</v>
      </c>
    </row>
    <row r="145" spans="1:9">
      <c r="A145" s="241"/>
      <c r="B145" s="53" t="s">
        <v>208</v>
      </c>
      <c r="C145" s="86">
        <f>'4A_DOC'!$B$45*$L$17</f>
        <v>0.15311125933950001</v>
      </c>
      <c r="D145" s="87">
        <v>1</v>
      </c>
      <c r="E145" s="87">
        <v>0</v>
      </c>
      <c r="F145" s="34">
        <v>0</v>
      </c>
      <c r="G145" s="88">
        <v>0.57999999999999996</v>
      </c>
      <c r="H145" s="87">
        <f t="shared" si="8"/>
        <v>3.6666666666666665</v>
      </c>
      <c r="I145" s="53">
        <f t="shared" si="9"/>
        <v>0</v>
      </c>
    </row>
    <row r="146" spans="1:9">
      <c r="A146" s="241"/>
      <c r="B146" s="53" t="s">
        <v>209</v>
      </c>
      <c r="C146" s="86">
        <f>'4A_DOC'!$B$46*$L$17</f>
        <v>0.11504970334550001</v>
      </c>
      <c r="D146" s="87">
        <v>1</v>
      </c>
      <c r="E146" s="87">
        <v>0</v>
      </c>
      <c r="F146" s="34">
        <v>0</v>
      </c>
      <c r="G146" s="88">
        <v>0.57999999999999996</v>
      </c>
      <c r="H146" s="87">
        <f t="shared" si="8"/>
        <v>3.6666666666666665</v>
      </c>
      <c r="I146" s="53">
        <f t="shared" si="9"/>
        <v>0</v>
      </c>
    </row>
    <row r="147" spans="1:9">
      <c r="A147" s="241"/>
      <c r="B147" s="53" t="s">
        <v>210</v>
      </c>
      <c r="C147" s="86">
        <f>'4A_DOC'!$B$47*$L$17</f>
        <v>0.53718696073350003</v>
      </c>
      <c r="D147" s="87">
        <v>0.9</v>
      </c>
      <c r="E147" s="87">
        <v>0</v>
      </c>
      <c r="F147" s="34">
        <v>0</v>
      </c>
      <c r="G147" s="88">
        <v>0.57999999999999996</v>
      </c>
      <c r="H147" s="87">
        <f t="shared" si="8"/>
        <v>3.6666666666666665</v>
      </c>
      <c r="I147" s="53">
        <f t="shared" si="9"/>
        <v>0</v>
      </c>
    </row>
    <row r="148" spans="1:9">
      <c r="A148" s="241" t="s">
        <v>48</v>
      </c>
      <c r="B148" s="241"/>
      <c r="C148" s="7"/>
      <c r="D148" s="53"/>
      <c r="E148" s="53"/>
      <c r="F148" s="53"/>
      <c r="G148" s="53"/>
      <c r="H148" s="53"/>
      <c r="I148" s="53"/>
    </row>
    <row r="149" spans="1:9">
      <c r="A149" s="200" t="s">
        <v>274</v>
      </c>
      <c r="B149" s="201"/>
      <c r="C149" s="201"/>
      <c r="D149" s="201"/>
      <c r="E149" s="201"/>
      <c r="F149" s="201"/>
      <c r="G149" s="201"/>
      <c r="H149" s="202"/>
      <c r="I149" s="93">
        <f>SUM(I139:I148)</f>
        <v>1.4993999246597813</v>
      </c>
    </row>
    <row r="150" spans="1:9">
      <c r="A150" s="237" t="s">
        <v>53</v>
      </c>
      <c r="B150" s="238"/>
      <c r="C150" s="238"/>
      <c r="D150" s="238"/>
      <c r="E150" s="238"/>
      <c r="F150" s="238"/>
      <c r="G150" s="238"/>
      <c r="H150" s="238"/>
      <c r="I150" s="238"/>
    </row>
    <row r="151" spans="1:9">
      <c r="A151" s="239" t="s">
        <v>54</v>
      </c>
      <c r="B151" s="240"/>
      <c r="C151" s="240"/>
      <c r="D151" s="240"/>
      <c r="E151" s="240"/>
      <c r="F151" s="240"/>
      <c r="G151" s="240"/>
      <c r="H151" s="240"/>
      <c r="I151" s="240"/>
    </row>
    <row r="152" spans="1:9">
      <c r="A152" s="239" t="s">
        <v>55</v>
      </c>
      <c r="B152" s="240"/>
      <c r="C152" s="240"/>
      <c r="D152" s="240"/>
      <c r="E152" s="240"/>
      <c r="F152" s="240"/>
      <c r="G152" s="240"/>
      <c r="H152" s="240"/>
      <c r="I152" s="240"/>
    </row>
    <row r="153" spans="1:9">
      <c r="A153" s="239" t="s">
        <v>96</v>
      </c>
      <c r="B153" s="240"/>
      <c r="C153" s="240"/>
      <c r="D153" s="240"/>
      <c r="E153" s="240"/>
      <c r="F153" s="240"/>
      <c r="G153" s="240"/>
      <c r="H153" s="240"/>
      <c r="I153" s="240"/>
    </row>
    <row r="154" spans="1:9">
      <c r="A154" s="239" t="s">
        <v>97</v>
      </c>
      <c r="B154" s="240"/>
      <c r="C154" s="240"/>
      <c r="D154" s="240"/>
      <c r="E154" s="240"/>
      <c r="F154" s="240"/>
      <c r="G154" s="240"/>
      <c r="H154" s="240"/>
      <c r="I154" s="240"/>
    </row>
    <row r="155" spans="1:9">
      <c r="A155" s="234" t="s">
        <v>200</v>
      </c>
      <c r="B155" s="235"/>
      <c r="C155" s="235"/>
      <c r="D155" s="235"/>
      <c r="E155" s="235"/>
      <c r="F155" s="235"/>
      <c r="G155" s="235"/>
      <c r="H155" s="235"/>
      <c r="I155" s="235"/>
    </row>
    <row r="158" spans="1:9">
      <c r="A158" s="198" t="s">
        <v>0</v>
      </c>
      <c r="B158" s="198"/>
      <c r="C158" s="199" t="s">
        <v>1</v>
      </c>
      <c r="D158" s="199"/>
      <c r="E158" s="199"/>
      <c r="F158" s="199"/>
      <c r="G158" s="199"/>
      <c r="H158" s="199"/>
      <c r="I158" s="199"/>
    </row>
    <row r="159" spans="1:9">
      <c r="A159" s="198" t="s">
        <v>2</v>
      </c>
      <c r="B159" s="198"/>
      <c r="C159" s="199" t="s">
        <v>75</v>
      </c>
      <c r="D159" s="199"/>
      <c r="E159" s="199"/>
      <c r="F159" s="199"/>
      <c r="G159" s="199"/>
      <c r="H159" s="199"/>
      <c r="I159" s="199"/>
    </row>
    <row r="160" spans="1:9">
      <c r="A160" s="198" t="s">
        <v>4</v>
      </c>
      <c r="B160" s="198"/>
      <c r="C160" s="199" t="s">
        <v>76</v>
      </c>
      <c r="D160" s="199"/>
      <c r="E160" s="199"/>
      <c r="F160" s="199"/>
      <c r="G160" s="199"/>
      <c r="H160" s="199"/>
      <c r="I160" s="199"/>
    </row>
    <row r="161" spans="1:9">
      <c r="A161" s="198" t="s">
        <v>6</v>
      </c>
      <c r="B161" s="198"/>
      <c r="C161" s="199" t="s">
        <v>77</v>
      </c>
      <c r="D161" s="199"/>
      <c r="E161" s="199"/>
      <c r="F161" s="199"/>
      <c r="G161" s="199"/>
      <c r="H161" s="199"/>
      <c r="I161" s="199"/>
    </row>
    <row r="162" spans="1:9">
      <c r="A162" s="231" t="s">
        <v>8</v>
      </c>
      <c r="B162" s="231"/>
      <c r="C162" s="231"/>
      <c r="D162" s="231" t="s">
        <v>9</v>
      </c>
      <c r="E162" s="236"/>
      <c r="F162" s="236"/>
      <c r="G162" s="236"/>
      <c r="H162" s="236"/>
      <c r="I162" s="85"/>
    </row>
    <row r="163" spans="1:9">
      <c r="A163" s="242"/>
      <c r="B163" s="242"/>
      <c r="C163" s="7" t="s">
        <v>58</v>
      </c>
      <c r="D163" s="7" t="s">
        <v>78</v>
      </c>
      <c r="E163" s="7" t="s">
        <v>79</v>
      </c>
      <c r="F163" s="7" t="s">
        <v>80</v>
      </c>
      <c r="G163" s="7" t="s">
        <v>81</v>
      </c>
      <c r="H163" s="7" t="s">
        <v>82</v>
      </c>
      <c r="I163" s="7" t="s">
        <v>83</v>
      </c>
    </row>
    <row r="164" spans="1:9" ht="25.5">
      <c r="A164" s="209" t="s">
        <v>84</v>
      </c>
      <c r="B164" s="209"/>
      <c r="C164" s="59" t="s">
        <v>85</v>
      </c>
      <c r="D164" s="242" t="s">
        <v>86</v>
      </c>
      <c r="E164" s="59" t="s">
        <v>87</v>
      </c>
      <c r="F164" s="59" t="s">
        <v>89</v>
      </c>
      <c r="G164" s="242" t="s">
        <v>91</v>
      </c>
      <c r="H164" s="242" t="s">
        <v>38</v>
      </c>
      <c r="I164" s="242" t="s">
        <v>92</v>
      </c>
    </row>
    <row r="165" spans="1:9" ht="14.25">
      <c r="A165" s="209"/>
      <c r="B165" s="209"/>
      <c r="C165" s="76" t="s">
        <v>37</v>
      </c>
      <c r="D165" s="232"/>
      <c r="E165" s="76" t="s">
        <v>88</v>
      </c>
      <c r="F165" s="76" t="s">
        <v>90</v>
      </c>
      <c r="G165" s="232"/>
      <c r="H165" s="232"/>
      <c r="I165" s="232"/>
    </row>
    <row r="166" spans="1:9">
      <c r="A166" s="210"/>
      <c r="B166" s="210"/>
      <c r="C166" s="76"/>
      <c r="D166" s="76" t="s">
        <v>39</v>
      </c>
      <c r="E166" s="76" t="s">
        <v>40</v>
      </c>
      <c r="F166" s="76" t="s">
        <v>41</v>
      </c>
      <c r="G166" s="76" t="s">
        <v>42</v>
      </c>
      <c r="H166" s="76"/>
      <c r="I166" s="76"/>
    </row>
    <row r="167" spans="1:9" ht="15.75">
      <c r="A167" s="210"/>
      <c r="B167" s="210"/>
      <c r="C167" s="8" t="s">
        <v>43</v>
      </c>
      <c r="D167" s="8" t="s">
        <v>44</v>
      </c>
      <c r="E167" s="8" t="s">
        <v>44</v>
      </c>
      <c r="F167" s="8" t="s">
        <v>44</v>
      </c>
      <c r="G167" s="8" t="s">
        <v>44</v>
      </c>
      <c r="H167" s="8" t="s">
        <v>45</v>
      </c>
      <c r="I167" s="8" t="s">
        <v>46</v>
      </c>
    </row>
    <row r="168" spans="1:9" ht="15" thickBot="1">
      <c r="A168" s="244"/>
      <c r="B168" s="244"/>
      <c r="C168" s="5" t="s">
        <v>93</v>
      </c>
      <c r="D168" s="5"/>
      <c r="E168" s="5"/>
      <c r="F168" s="5"/>
      <c r="G168" s="5"/>
      <c r="H168" s="5"/>
      <c r="I168" s="5" t="s">
        <v>94</v>
      </c>
    </row>
    <row r="169" spans="1:9" ht="13.5" thickTop="1">
      <c r="A169" s="241" t="s">
        <v>95</v>
      </c>
      <c r="B169" s="53" t="s">
        <v>203</v>
      </c>
      <c r="C169" s="86">
        <f>'4A_DOC'!$B$39*$L$18</f>
        <v>5.8399401309480004</v>
      </c>
      <c r="D169" s="87">
        <v>0.4</v>
      </c>
      <c r="E169" s="87">
        <v>0.38</v>
      </c>
      <c r="F169" s="34">
        <v>0</v>
      </c>
      <c r="G169" s="88">
        <v>0.57999999999999996</v>
      </c>
      <c r="H169" s="87">
        <f>44/12</f>
        <v>3.6666666666666665</v>
      </c>
      <c r="I169" s="53">
        <f>C169*D169*E169*F169*G169*H169</f>
        <v>0</v>
      </c>
    </row>
    <row r="170" spans="1:9">
      <c r="A170" s="241"/>
      <c r="B170" s="53" t="s">
        <v>204</v>
      </c>
      <c r="C170" s="86">
        <f>'4A_DOC'!$B$40*$L$18</f>
        <v>1.1303393686200001</v>
      </c>
      <c r="D170" s="87">
        <v>0.9</v>
      </c>
      <c r="E170" s="87">
        <v>0.46</v>
      </c>
      <c r="F170" s="34">
        <f>1/100</f>
        <v>0.01</v>
      </c>
      <c r="G170" s="88">
        <v>0.57999999999999996</v>
      </c>
      <c r="H170" s="87">
        <f t="shared" ref="H170:H177" si="10">44/12</f>
        <v>3.6666666666666665</v>
      </c>
      <c r="I170" s="53">
        <f t="shared" ref="I170:I177" si="11">C170*D170*E170*F170*G170*H170</f>
        <v>9.9519599370779289E-3</v>
      </c>
    </row>
    <row r="171" spans="1:9">
      <c r="A171" s="241"/>
      <c r="B171" s="53" t="s">
        <v>205</v>
      </c>
      <c r="C171" s="86">
        <f>'4A_DOC'!$B$41*$L$18</f>
        <v>0</v>
      </c>
      <c r="D171" s="87">
        <v>0.85</v>
      </c>
      <c r="E171" s="87">
        <v>0.5</v>
      </c>
      <c r="F171" s="34">
        <v>0</v>
      </c>
      <c r="G171" s="88">
        <v>0.57999999999999996</v>
      </c>
      <c r="H171" s="87">
        <f t="shared" si="10"/>
        <v>3.6666666666666665</v>
      </c>
      <c r="I171" s="53">
        <f t="shared" si="11"/>
        <v>0</v>
      </c>
    </row>
    <row r="172" spans="1:9">
      <c r="A172" s="241"/>
      <c r="B172" s="53" t="s">
        <v>47</v>
      </c>
      <c r="C172" s="86">
        <f>'4A_DOC'!$B$42*$L$18</f>
        <v>7.1250964092000005E-2</v>
      </c>
      <c r="D172" s="87">
        <v>0.8</v>
      </c>
      <c r="E172" s="87">
        <v>0.5</v>
      </c>
      <c r="F172" s="34">
        <f>20/100</f>
        <v>0.2</v>
      </c>
      <c r="G172" s="88">
        <v>0.57999999999999996</v>
      </c>
      <c r="H172" s="87">
        <f t="shared" si="10"/>
        <v>3.6666666666666665</v>
      </c>
      <c r="I172" s="53">
        <f t="shared" si="11"/>
        <v>1.2122164024185601E-2</v>
      </c>
    </row>
    <row r="173" spans="1:9">
      <c r="A173" s="241"/>
      <c r="B173" s="53" t="s">
        <v>206</v>
      </c>
      <c r="C173" s="86">
        <f>'4A_DOC'!$B$43*$L$18</f>
        <v>0</v>
      </c>
      <c r="D173" s="87">
        <v>0.84</v>
      </c>
      <c r="E173" s="87">
        <v>0.67</v>
      </c>
      <c r="F173" s="34">
        <f>20/100</f>
        <v>0.2</v>
      </c>
      <c r="G173" s="88">
        <v>0.57999999999999996</v>
      </c>
      <c r="H173" s="87">
        <f t="shared" si="10"/>
        <v>3.6666666666666665</v>
      </c>
      <c r="I173" s="53">
        <f t="shared" si="11"/>
        <v>0</v>
      </c>
    </row>
    <row r="174" spans="1:9">
      <c r="A174" s="241"/>
      <c r="B174" s="53" t="s">
        <v>207</v>
      </c>
      <c r="C174" s="86">
        <f>'4A_DOC'!$B$44*$L$18</f>
        <v>0.94209608077200002</v>
      </c>
      <c r="D174" s="87">
        <v>1</v>
      </c>
      <c r="E174" s="87">
        <v>0.75</v>
      </c>
      <c r="F174" s="34">
        <f>100/100</f>
        <v>1</v>
      </c>
      <c r="G174" s="88">
        <v>0.57999999999999996</v>
      </c>
      <c r="H174" s="87">
        <f t="shared" si="10"/>
        <v>3.6666666666666665</v>
      </c>
      <c r="I174" s="53">
        <f t="shared" si="11"/>
        <v>1.5026432488313399</v>
      </c>
    </row>
    <row r="175" spans="1:9">
      <c r="A175" s="241"/>
      <c r="B175" s="53" t="s">
        <v>208</v>
      </c>
      <c r="C175" s="86">
        <f>'4A_DOC'!$B$45*$L$18</f>
        <v>0.155696551164</v>
      </c>
      <c r="D175" s="87">
        <v>1</v>
      </c>
      <c r="E175" s="87">
        <v>0</v>
      </c>
      <c r="F175" s="34">
        <v>0</v>
      </c>
      <c r="G175" s="88">
        <v>0.57999999999999996</v>
      </c>
      <c r="H175" s="87">
        <f t="shared" si="10"/>
        <v>3.6666666666666665</v>
      </c>
      <c r="I175" s="53">
        <f t="shared" si="11"/>
        <v>0</v>
      </c>
    </row>
    <row r="176" spans="1:9">
      <c r="A176" s="241"/>
      <c r="B176" s="53" t="s">
        <v>209</v>
      </c>
      <c r="C176" s="86">
        <f>'4A_DOC'!$B$46*$L$18</f>
        <v>0.11699232375600001</v>
      </c>
      <c r="D176" s="87">
        <v>1</v>
      </c>
      <c r="E176" s="87">
        <v>0</v>
      </c>
      <c r="F176" s="34">
        <v>0</v>
      </c>
      <c r="G176" s="88">
        <v>0.57999999999999996</v>
      </c>
      <c r="H176" s="87">
        <f t="shared" si="10"/>
        <v>3.6666666666666665</v>
      </c>
      <c r="I176" s="53">
        <f t="shared" si="11"/>
        <v>0</v>
      </c>
    </row>
    <row r="177" spans="1:9">
      <c r="A177" s="241"/>
      <c r="B177" s="53" t="s">
        <v>210</v>
      </c>
      <c r="C177" s="86">
        <f>'4A_DOC'!$B$47*$L$18</f>
        <v>0.54625739137200002</v>
      </c>
      <c r="D177" s="87">
        <v>0.9</v>
      </c>
      <c r="E177" s="87">
        <v>0</v>
      </c>
      <c r="F177" s="34">
        <v>0</v>
      </c>
      <c r="G177" s="88">
        <v>0.57999999999999996</v>
      </c>
      <c r="H177" s="87">
        <f t="shared" si="10"/>
        <v>3.6666666666666665</v>
      </c>
      <c r="I177" s="53">
        <f t="shared" si="11"/>
        <v>0</v>
      </c>
    </row>
    <row r="178" spans="1:9">
      <c r="A178" s="241" t="s">
        <v>48</v>
      </c>
      <c r="B178" s="241"/>
      <c r="C178" s="7"/>
      <c r="D178" s="53"/>
      <c r="E178" s="53"/>
      <c r="F178" s="53"/>
      <c r="G178" s="53"/>
      <c r="H178" s="53"/>
      <c r="I178" s="53"/>
    </row>
    <row r="179" spans="1:9">
      <c r="A179" s="200" t="s">
        <v>275</v>
      </c>
      <c r="B179" s="201"/>
      <c r="C179" s="201"/>
      <c r="D179" s="201"/>
      <c r="E179" s="201"/>
      <c r="F179" s="201"/>
      <c r="G179" s="201"/>
      <c r="H179" s="202"/>
      <c r="I179" s="93">
        <f>SUM(I169:I178)</f>
        <v>1.5247173727926036</v>
      </c>
    </row>
    <row r="180" spans="1:9">
      <c r="A180" s="237" t="s">
        <v>53</v>
      </c>
      <c r="B180" s="238"/>
      <c r="C180" s="238"/>
      <c r="D180" s="238"/>
      <c r="E180" s="238"/>
      <c r="F180" s="238"/>
      <c r="G180" s="238"/>
      <c r="H180" s="238"/>
      <c r="I180" s="238"/>
    </row>
    <row r="181" spans="1:9">
      <c r="A181" s="239" t="s">
        <v>54</v>
      </c>
      <c r="B181" s="240"/>
      <c r="C181" s="240"/>
      <c r="D181" s="240"/>
      <c r="E181" s="240"/>
      <c r="F181" s="240"/>
      <c r="G181" s="240"/>
      <c r="H181" s="240"/>
      <c r="I181" s="240"/>
    </row>
    <row r="182" spans="1:9">
      <c r="A182" s="239" t="s">
        <v>55</v>
      </c>
      <c r="B182" s="240"/>
      <c r="C182" s="240"/>
      <c r="D182" s="240"/>
      <c r="E182" s="240"/>
      <c r="F182" s="240"/>
      <c r="G182" s="240"/>
      <c r="H182" s="240"/>
      <c r="I182" s="240"/>
    </row>
    <row r="183" spans="1:9">
      <c r="A183" s="239" t="s">
        <v>96</v>
      </c>
      <c r="B183" s="240"/>
      <c r="C183" s="240"/>
      <c r="D183" s="240"/>
      <c r="E183" s="240"/>
      <c r="F183" s="240"/>
      <c r="G183" s="240"/>
      <c r="H183" s="240"/>
      <c r="I183" s="240"/>
    </row>
    <row r="184" spans="1:9">
      <c r="A184" s="239" t="s">
        <v>97</v>
      </c>
      <c r="B184" s="240"/>
      <c r="C184" s="240"/>
      <c r="D184" s="240"/>
      <c r="E184" s="240"/>
      <c r="F184" s="240"/>
      <c r="G184" s="240"/>
      <c r="H184" s="240"/>
      <c r="I184" s="240"/>
    </row>
    <row r="185" spans="1:9">
      <c r="A185" s="234" t="s">
        <v>200</v>
      </c>
      <c r="B185" s="235"/>
      <c r="C185" s="235"/>
      <c r="D185" s="235"/>
      <c r="E185" s="235"/>
      <c r="F185" s="235"/>
      <c r="G185" s="235"/>
      <c r="H185" s="235"/>
      <c r="I185" s="235"/>
    </row>
    <row r="188" spans="1:9">
      <c r="A188" s="198" t="s">
        <v>0</v>
      </c>
      <c r="B188" s="198"/>
      <c r="C188" s="199" t="s">
        <v>1</v>
      </c>
      <c r="D188" s="199"/>
      <c r="E188" s="199"/>
      <c r="F188" s="199"/>
      <c r="G188" s="199"/>
      <c r="H188" s="199"/>
      <c r="I188" s="199"/>
    </row>
    <row r="189" spans="1:9">
      <c r="A189" s="198" t="s">
        <v>2</v>
      </c>
      <c r="B189" s="198"/>
      <c r="C189" s="199" t="s">
        <v>75</v>
      </c>
      <c r="D189" s="199"/>
      <c r="E189" s="199"/>
      <c r="F189" s="199"/>
      <c r="G189" s="199"/>
      <c r="H189" s="199"/>
      <c r="I189" s="199"/>
    </row>
    <row r="190" spans="1:9">
      <c r="A190" s="198" t="s">
        <v>4</v>
      </c>
      <c r="B190" s="198"/>
      <c r="C190" s="199" t="s">
        <v>76</v>
      </c>
      <c r="D190" s="199"/>
      <c r="E190" s="199"/>
      <c r="F190" s="199"/>
      <c r="G190" s="199"/>
      <c r="H190" s="199"/>
      <c r="I190" s="199"/>
    </row>
    <row r="191" spans="1:9">
      <c r="A191" s="198" t="s">
        <v>6</v>
      </c>
      <c r="B191" s="198"/>
      <c r="C191" s="199" t="s">
        <v>77</v>
      </c>
      <c r="D191" s="199"/>
      <c r="E191" s="199"/>
      <c r="F191" s="199"/>
      <c r="G191" s="199"/>
      <c r="H191" s="199"/>
      <c r="I191" s="199"/>
    </row>
    <row r="192" spans="1:9">
      <c r="A192" s="231" t="s">
        <v>8</v>
      </c>
      <c r="B192" s="231"/>
      <c r="C192" s="231"/>
      <c r="D192" s="231" t="s">
        <v>9</v>
      </c>
      <c r="E192" s="236"/>
      <c r="F192" s="236"/>
      <c r="G192" s="236"/>
      <c r="H192" s="236"/>
      <c r="I192" s="85"/>
    </row>
    <row r="193" spans="1:9">
      <c r="A193" s="242"/>
      <c r="B193" s="242"/>
      <c r="C193" s="7" t="s">
        <v>58</v>
      </c>
      <c r="D193" s="7" t="s">
        <v>78</v>
      </c>
      <c r="E193" s="7" t="s">
        <v>79</v>
      </c>
      <c r="F193" s="7" t="s">
        <v>80</v>
      </c>
      <c r="G193" s="7" t="s">
        <v>81</v>
      </c>
      <c r="H193" s="7" t="s">
        <v>82</v>
      </c>
      <c r="I193" s="7" t="s">
        <v>83</v>
      </c>
    </row>
    <row r="194" spans="1:9" ht="25.5">
      <c r="A194" s="209" t="s">
        <v>84</v>
      </c>
      <c r="B194" s="209"/>
      <c r="C194" s="59" t="s">
        <v>85</v>
      </c>
      <c r="D194" s="242" t="s">
        <v>86</v>
      </c>
      <c r="E194" s="59" t="s">
        <v>87</v>
      </c>
      <c r="F194" s="59" t="s">
        <v>89</v>
      </c>
      <c r="G194" s="242" t="s">
        <v>91</v>
      </c>
      <c r="H194" s="242" t="s">
        <v>38</v>
      </c>
      <c r="I194" s="242" t="s">
        <v>92</v>
      </c>
    </row>
    <row r="195" spans="1:9" ht="14.25">
      <c r="A195" s="209"/>
      <c r="B195" s="209"/>
      <c r="C195" s="76" t="s">
        <v>37</v>
      </c>
      <c r="D195" s="232"/>
      <c r="E195" s="76" t="s">
        <v>88</v>
      </c>
      <c r="F195" s="76" t="s">
        <v>90</v>
      </c>
      <c r="G195" s="232"/>
      <c r="H195" s="232"/>
      <c r="I195" s="232"/>
    </row>
    <row r="196" spans="1:9">
      <c r="A196" s="210"/>
      <c r="B196" s="210"/>
      <c r="C196" s="76"/>
      <c r="D196" s="76" t="s">
        <v>39</v>
      </c>
      <c r="E196" s="76" t="s">
        <v>40</v>
      </c>
      <c r="F196" s="76" t="s">
        <v>41</v>
      </c>
      <c r="G196" s="76" t="s">
        <v>42</v>
      </c>
      <c r="H196" s="76"/>
      <c r="I196" s="76"/>
    </row>
    <row r="197" spans="1:9" ht="15.75">
      <c r="A197" s="210"/>
      <c r="B197" s="210"/>
      <c r="C197" s="8" t="s">
        <v>43</v>
      </c>
      <c r="D197" s="8" t="s">
        <v>44</v>
      </c>
      <c r="E197" s="8" t="s">
        <v>44</v>
      </c>
      <c r="F197" s="8" t="s">
        <v>44</v>
      </c>
      <c r="G197" s="8" t="s">
        <v>44</v>
      </c>
      <c r="H197" s="8" t="s">
        <v>45</v>
      </c>
      <c r="I197" s="8" t="s">
        <v>46</v>
      </c>
    </row>
    <row r="198" spans="1:9" ht="15" thickBot="1">
      <c r="A198" s="244"/>
      <c r="B198" s="244"/>
      <c r="C198" s="5" t="s">
        <v>93</v>
      </c>
      <c r="D198" s="5"/>
      <c r="E198" s="5"/>
      <c r="F198" s="5"/>
      <c r="G198" s="5"/>
      <c r="H198" s="5"/>
      <c r="I198" s="5" t="s">
        <v>94</v>
      </c>
    </row>
    <row r="199" spans="1:9" ht="13.5" thickTop="1">
      <c r="A199" s="241" t="s">
        <v>95</v>
      </c>
      <c r="B199" s="53" t="s">
        <v>203</v>
      </c>
      <c r="C199" s="86">
        <f>'4A_DOC'!$B$39*$L$19</f>
        <v>6.0640429634977497</v>
      </c>
      <c r="D199" s="87">
        <v>0.4</v>
      </c>
      <c r="E199" s="87">
        <v>0.38</v>
      </c>
      <c r="F199" s="34">
        <v>0</v>
      </c>
      <c r="G199" s="88">
        <v>0.57999999999999996</v>
      </c>
      <c r="H199" s="87">
        <f>44/12</f>
        <v>3.6666666666666665</v>
      </c>
      <c r="I199" s="53">
        <f>C199*D199*E199*F199*G199*H199</f>
        <v>0</v>
      </c>
    </row>
    <row r="200" spans="1:9">
      <c r="A200" s="241"/>
      <c r="B200" s="53" t="s">
        <v>204</v>
      </c>
      <c r="C200" s="86">
        <f>'4A_DOC'!$B$40*$L$19</f>
        <v>1.17371519929125</v>
      </c>
      <c r="D200" s="87">
        <v>0.9</v>
      </c>
      <c r="E200" s="87">
        <v>0.46</v>
      </c>
      <c r="F200" s="34">
        <f>1/100</f>
        <v>0.01</v>
      </c>
      <c r="G200" s="88">
        <v>0.57999999999999996</v>
      </c>
      <c r="H200" s="87">
        <f t="shared" ref="H200:H207" si="12">44/12</f>
        <v>3.6666666666666665</v>
      </c>
      <c r="I200" s="53">
        <f t="shared" ref="I200:I207" si="13">C200*D200*E200*F200*G200*H200</f>
        <v>1.033385810063988E-2</v>
      </c>
    </row>
    <row r="201" spans="1:9">
      <c r="A201" s="241"/>
      <c r="B201" s="53" t="s">
        <v>205</v>
      </c>
      <c r="C201" s="86">
        <f>'4A_DOC'!$B$41*$L$19</f>
        <v>0</v>
      </c>
      <c r="D201" s="87">
        <v>0.85</v>
      </c>
      <c r="E201" s="87">
        <v>0.5</v>
      </c>
      <c r="F201" s="34">
        <v>0</v>
      </c>
      <c r="G201" s="88">
        <v>0.57999999999999996</v>
      </c>
      <c r="H201" s="87">
        <f t="shared" si="12"/>
        <v>3.6666666666666665</v>
      </c>
      <c r="I201" s="53">
        <f t="shared" si="13"/>
        <v>0</v>
      </c>
    </row>
    <row r="202" spans="1:9">
      <c r="A202" s="241"/>
      <c r="B202" s="53" t="s">
        <v>47</v>
      </c>
      <c r="C202" s="86">
        <f>'4A_DOC'!$B$42*$L$19</f>
        <v>7.3985160422250007E-2</v>
      </c>
      <c r="D202" s="87">
        <v>0.8</v>
      </c>
      <c r="E202" s="87">
        <v>0.5</v>
      </c>
      <c r="F202" s="34">
        <f>20/100</f>
        <v>0.2</v>
      </c>
      <c r="G202" s="88">
        <v>0.57999999999999996</v>
      </c>
      <c r="H202" s="87">
        <f t="shared" si="12"/>
        <v>3.6666666666666665</v>
      </c>
      <c r="I202" s="53">
        <f t="shared" si="13"/>
        <v>1.2587341959838801E-2</v>
      </c>
    </row>
    <row r="203" spans="1:9">
      <c r="A203" s="241"/>
      <c r="B203" s="53" t="s">
        <v>206</v>
      </c>
      <c r="C203" s="86">
        <f>'4A_DOC'!$B$43*$L$19</f>
        <v>0</v>
      </c>
      <c r="D203" s="87">
        <v>0.84</v>
      </c>
      <c r="E203" s="87">
        <v>0.67</v>
      </c>
      <c r="F203" s="34">
        <f>20/100</f>
        <v>0.2</v>
      </c>
      <c r="G203" s="88">
        <v>0.57999999999999996</v>
      </c>
      <c r="H203" s="87">
        <f t="shared" si="12"/>
        <v>3.6666666666666665</v>
      </c>
      <c r="I203" s="53">
        <f t="shared" si="13"/>
        <v>0</v>
      </c>
    </row>
    <row r="204" spans="1:9">
      <c r="A204" s="241"/>
      <c r="B204" s="53" t="s">
        <v>207</v>
      </c>
      <c r="C204" s="86">
        <f>'4A_DOC'!$B$44*$L$19</f>
        <v>0.97824823224974999</v>
      </c>
      <c r="D204" s="87">
        <v>1</v>
      </c>
      <c r="E204" s="87">
        <v>0.75</v>
      </c>
      <c r="F204" s="34">
        <f>100/100</f>
        <v>1</v>
      </c>
      <c r="G204" s="88">
        <v>0.57999999999999996</v>
      </c>
      <c r="H204" s="87">
        <f t="shared" si="12"/>
        <v>3.6666666666666665</v>
      </c>
      <c r="I204" s="53">
        <f t="shared" si="13"/>
        <v>1.5603059304383511</v>
      </c>
    </row>
    <row r="205" spans="1:9">
      <c r="A205" s="241"/>
      <c r="B205" s="53" t="s">
        <v>208</v>
      </c>
      <c r="C205" s="86">
        <f>'4A_DOC'!$B$45*$L$19</f>
        <v>0.16167127647825</v>
      </c>
      <c r="D205" s="87">
        <v>1</v>
      </c>
      <c r="E205" s="87">
        <v>0</v>
      </c>
      <c r="F205" s="34">
        <v>0</v>
      </c>
      <c r="G205" s="88">
        <v>0.57999999999999996</v>
      </c>
      <c r="H205" s="87">
        <f t="shared" si="12"/>
        <v>3.6666666666666665</v>
      </c>
      <c r="I205" s="53">
        <f t="shared" si="13"/>
        <v>0</v>
      </c>
    </row>
    <row r="206" spans="1:9">
      <c r="A206" s="241"/>
      <c r="B206" s="53" t="s">
        <v>209</v>
      </c>
      <c r="C206" s="86">
        <f>'4A_DOC'!$B$46*$L$19</f>
        <v>0.12148180661925</v>
      </c>
      <c r="D206" s="87">
        <v>1</v>
      </c>
      <c r="E206" s="87">
        <v>0</v>
      </c>
      <c r="F206" s="34">
        <v>0</v>
      </c>
      <c r="G206" s="88">
        <v>0.57999999999999996</v>
      </c>
      <c r="H206" s="87">
        <f t="shared" si="12"/>
        <v>3.6666666666666665</v>
      </c>
      <c r="I206" s="53">
        <f t="shared" si="13"/>
        <v>0</v>
      </c>
    </row>
    <row r="207" spans="1:9">
      <c r="A207" s="241"/>
      <c r="B207" s="53" t="s">
        <v>210</v>
      </c>
      <c r="C207" s="86">
        <f>'4A_DOC'!$B$47*$L$19</f>
        <v>0.56721956323724998</v>
      </c>
      <c r="D207" s="87">
        <v>0.9</v>
      </c>
      <c r="E207" s="87">
        <v>0</v>
      </c>
      <c r="F207" s="34">
        <v>0</v>
      </c>
      <c r="G207" s="88">
        <v>0.57999999999999996</v>
      </c>
      <c r="H207" s="87">
        <f t="shared" si="12"/>
        <v>3.6666666666666665</v>
      </c>
      <c r="I207" s="53">
        <f t="shared" si="13"/>
        <v>0</v>
      </c>
    </row>
    <row r="208" spans="1:9">
      <c r="A208" s="241" t="s">
        <v>48</v>
      </c>
      <c r="B208" s="241"/>
      <c r="C208" s="7"/>
      <c r="D208" s="53"/>
      <c r="E208" s="53"/>
      <c r="F208" s="53"/>
      <c r="G208" s="53"/>
      <c r="H208" s="53"/>
      <c r="I208" s="53"/>
    </row>
    <row r="209" spans="1:9">
      <c r="A209" s="200" t="s">
        <v>276</v>
      </c>
      <c r="B209" s="201"/>
      <c r="C209" s="201"/>
      <c r="D209" s="201"/>
      <c r="E209" s="201"/>
      <c r="F209" s="201"/>
      <c r="G209" s="201"/>
      <c r="H209" s="202"/>
      <c r="I209" s="93">
        <f>SUM(I199:I208)</f>
        <v>1.5832271304988297</v>
      </c>
    </row>
    <row r="210" spans="1:9">
      <c r="A210" s="237" t="s">
        <v>53</v>
      </c>
      <c r="B210" s="238"/>
      <c r="C210" s="238"/>
      <c r="D210" s="238"/>
      <c r="E210" s="238"/>
      <c r="F210" s="238"/>
      <c r="G210" s="238"/>
      <c r="H210" s="238"/>
      <c r="I210" s="238"/>
    </row>
    <row r="211" spans="1:9">
      <c r="A211" s="239" t="s">
        <v>54</v>
      </c>
      <c r="B211" s="240"/>
      <c r="C211" s="240"/>
      <c r="D211" s="240"/>
      <c r="E211" s="240"/>
      <c r="F211" s="240"/>
      <c r="G211" s="240"/>
      <c r="H211" s="240"/>
      <c r="I211" s="240"/>
    </row>
    <row r="212" spans="1:9">
      <c r="A212" s="239" t="s">
        <v>55</v>
      </c>
      <c r="B212" s="240"/>
      <c r="C212" s="240"/>
      <c r="D212" s="240"/>
      <c r="E212" s="240"/>
      <c r="F212" s="240"/>
      <c r="G212" s="240"/>
      <c r="H212" s="240"/>
      <c r="I212" s="240"/>
    </row>
    <row r="213" spans="1:9">
      <c r="A213" s="239" t="s">
        <v>96</v>
      </c>
      <c r="B213" s="240"/>
      <c r="C213" s="240"/>
      <c r="D213" s="240"/>
      <c r="E213" s="240"/>
      <c r="F213" s="240"/>
      <c r="G213" s="240"/>
      <c r="H213" s="240"/>
      <c r="I213" s="240"/>
    </row>
    <row r="214" spans="1:9">
      <c r="A214" s="239" t="s">
        <v>97</v>
      </c>
      <c r="B214" s="240"/>
      <c r="C214" s="240"/>
      <c r="D214" s="240"/>
      <c r="E214" s="240"/>
      <c r="F214" s="240"/>
      <c r="G214" s="240"/>
      <c r="H214" s="240"/>
      <c r="I214" s="240"/>
    </row>
    <row r="215" spans="1:9">
      <c r="A215" s="234" t="s">
        <v>200</v>
      </c>
      <c r="B215" s="235"/>
      <c r="C215" s="235"/>
      <c r="D215" s="235"/>
      <c r="E215" s="235"/>
      <c r="F215" s="235"/>
      <c r="G215" s="235"/>
      <c r="H215" s="235"/>
      <c r="I215" s="235"/>
    </row>
    <row r="218" spans="1:9">
      <c r="A218" s="198" t="s">
        <v>0</v>
      </c>
      <c r="B218" s="198"/>
      <c r="C218" s="199" t="s">
        <v>1</v>
      </c>
      <c r="D218" s="199"/>
      <c r="E218" s="199"/>
      <c r="F218" s="199"/>
      <c r="G218" s="199"/>
      <c r="H218" s="199"/>
      <c r="I218" s="199"/>
    </row>
    <row r="219" spans="1:9">
      <c r="A219" s="198" t="s">
        <v>2</v>
      </c>
      <c r="B219" s="198"/>
      <c r="C219" s="199" t="s">
        <v>75</v>
      </c>
      <c r="D219" s="199"/>
      <c r="E219" s="199"/>
      <c r="F219" s="199"/>
      <c r="G219" s="199"/>
      <c r="H219" s="199"/>
      <c r="I219" s="199"/>
    </row>
    <row r="220" spans="1:9">
      <c r="A220" s="198" t="s">
        <v>4</v>
      </c>
      <c r="B220" s="198"/>
      <c r="C220" s="199" t="s">
        <v>76</v>
      </c>
      <c r="D220" s="199"/>
      <c r="E220" s="199"/>
      <c r="F220" s="199"/>
      <c r="G220" s="199"/>
      <c r="H220" s="199"/>
      <c r="I220" s="199"/>
    </row>
    <row r="221" spans="1:9">
      <c r="A221" s="198" t="s">
        <v>6</v>
      </c>
      <c r="B221" s="198"/>
      <c r="C221" s="199" t="s">
        <v>77</v>
      </c>
      <c r="D221" s="199"/>
      <c r="E221" s="199"/>
      <c r="F221" s="199"/>
      <c r="G221" s="199"/>
      <c r="H221" s="199"/>
      <c r="I221" s="199"/>
    </row>
    <row r="222" spans="1:9">
      <c r="A222" s="231" t="s">
        <v>8</v>
      </c>
      <c r="B222" s="231"/>
      <c r="C222" s="231"/>
      <c r="D222" s="231" t="s">
        <v>9</v>
      </c>
      <c r="E222" s="236"/>
      <c r="F222" s="236"/>
      <c r="G222" s="236"/>
      <c r="H222" s="236"/>
      <c r="I222" s="85"/>
    </row>
    <row r="223" spans="1:9">
      <c r="A223" s="242"/>
      <c r="B223" s="242"/>
      <c r="C223" s="7" t="s">
        <v>58</v>
      </c>
      <c r="D223" s="7" t="s">
        <v>78</v>
      </c>
      <c r="E223" s="7" t="s">
        <v>79</v>
      </c>
      <c r="F223" s="7" t="s">
        <v>80</v>
      </c>
      <c r="G223" s="7" t="s">
        <v>81</v>
      </c>
      <c r="H223" s="7" t="s">
        <v>82</v>
      </c>
      <c r="I223" s="7" t="s">
        <v>83</v>
      </c>
    </row>
    <row r="224" spans="1:9" ht="25.5">
      <c r="A224" s="209" t="s">
        <v>84</v>
      </c>
      <c r="B224" s="209"/>
      <c r="C224" s="59" t="s">
        <v>85</v>
      </c>
      <c r="D224" s="242" t="s">
        <v>86</v>
      </c>
      <c r="E224" s="59" t="s">
        <v>87</v>
      </c>
      <c r="F224" s="59" t="s">
        <v>89</v>
      </c>
      <c r="G224" s="242" t="s">
        <v>91</v>
      </c>
      <c r="H224" s="242" t="s">
        <v>38</v>
      </c>
      <c r="I224" s="242" t="s">
        <v>92</v>
      </c>
    </row>
    <row r="225" spans="1:9" ht="14.25">
      <c r="A225" s="209"/>
      <c r="B225" s="209"/>
      <c r="C225" s="76" t="s">
        <v>37</v>
      </c>
      <c r="D225" s="232"/>
      <c r="E225" s="76" t="s">
        <v>88</v>
      </c>
      <c r="F225" s="76" t="s">
        <v>90</v>
      </c>
      <c r="G225" s="232"/>
      <c r="H225" s="232"/>
      <c r="I225" s="232"/>
    </row>
    <row r="226" spans="1:9">
      <c r="A226" s="210"/>
      <c r="B226" s="210"/>
      <c r="C226" s="76"/>
      <c r="D226" s="76" t="s">
        <v>39</v>
      </c>
      <c r="E226" s="76" t="s">
        <v>40</v>
      </c>
      <c r="F226" s="76" t="s">
        <v>41</v>
      </c>
      <c r="G226" s="76" t="s">
        <v>42</v>
      </c>
      <c r="H226" s="76"/>
      <c r="I226" s="76"/>
    </row>
    <row r="227" spans="1:9" ht="15.75">
      <c r="A227" s="210"/>
      <c r="B227" s="210"/>
      <c r="C227" s="8" t="s">
        <v>43</v>
      </c>
      <c r="D227" s="8" t="s">
        <v>44</v>
      </c>
      <c r="E227" s="8" t="s">
        <v>44</v>
      </c>
      <c r="F227" s="8" t="s">
        <v>44</v>
      </c>
      <c r="G227" s="8" t="s">
        <v>44</v>
      </c>
      <c r="H227" s="8" t="s">
        <v>45</v>
      </c>
      <c r="I227" s="8" t="s">
        <v>46</v>
      </c>
    </row>
    <row r="228" spans="1:9" ht="15" thickBot="1">
      <c r="A228" s="244"/>
      <c r="B228" s="244"/>
      <c r="C228" s="5" t="s">
        <v>93</v>
      </c>
      <c r="D228" s="5"/>
      <c r="E228" s="5"/>
      <c r="F228" s="5"/>
      <c r="G228" s="5"/>
      <c r="H228" s="5"/>
      <c r="I228" s="5" t="s">
        <v>94</v>
      </c>
    </row>
    <row r="229" spans="1:9" ht="13.5" thickTop="1">
      <c r="A229" s="241" t="s">
        <v>95</v>
      </c>
      <c r="B229" s="53" t="s">
        <v>203</v>
      </c>
      <c r="C229" s="86">
        <f>'4A_DOC'!$B$39*$L$20</f>
        <v>6.2049084007680007</v>
      </c>
      <c r="D229" s="87">
        <v>0.4</v>
      </c>
      <c r="E229" s="87">
        <v>0.38</v>
      </c>
      <c r="F229" s="34">
        <v>0</v>
      </c>
      <c r="G229" s="88">
        <v>0.57999999999999996</v>
      </c>
      <c r="H229" s="87">
        <f>44/12</f>
        <v>3.6666666666666665</v>
      </c>
      <c r="I229" s="53">
        <f>C229*D229*E229*F229*G229*H229</f>
        <v>0</v>
      </c>
    </row>
    <row r="230" spans="1:9">
      <c r="A230" s="241"/>
      <c r="B230" s="53" t="s">
        <v>204</v>
      </c>
      <c r="C230" s="86">
        <f>'4A_DOC'!$B$40*$L$20</f>
        <v>1.20098016192</v>
      </c>
      <c r="D230" s="87">
        <v>0.9</v>
      </c>
      <c r="E230" s="87">
        <v>0.46</v>
      </c>
      <c r="F230" s="34">
        <f>1/100</f>
        <v>0.01</v>
      </c>
      <c r="G230" s="88">
        <v>0.57999999999999996</v>
      </c>
      <c r="H230" s="87">
        <f t="shared" ref="H230:H237" si="14">44/12</f>
        <v>3.6666666666666665</v>
      </c>
      <c r="I230" s="53">
        <f t="shared" ref="I230:I237" si="15">C230*D230*E230*F230*G230*H230</f>
        <v>1.0573909737608449E-2</v>
      </c>
    </row>
    <row r="231" spans="1:9">
      <c r="A231" s="241"/>
      <c r="B231" s="53" t="s">
        <v>205</v>
      </c>
      <c r="C231" s="86">
        <f>'4A_DOC'!$B$41*$L$20</f>
        <v>0</v>
      </c>
      <c r="D231" s="87">
        <v>0.85</v>
      </c>
      <c r="E231" s="87">
        <v>0.5</v>
      </c>
      <c r="F231" s="34">
        <v>0</v>
      </c>
      <c r="G231" s="88">
        <v>0.57999999999999996</v>
      </c>
      <c r="H231" s="87">
        <f t="shared" si="14"/>
        <v>3.6666666666666665</v>
      </c>
      <c r="I231" s="53">
        <f t="shared" si="15"/>
        <v>0</v>
      </c>
    </row>
    <row r="232" spans="1:9">
      <c r="A232" s="241"/>
      <c r="B232" s="53" t="s">
        <v>47</v>
      </c>
      <c r="C232" s="86">
        <f>'4A_DOC'!$B$42*$L$20</f>
        <v>7.5703807872000012E-2</v>
      </c>
      <c r="D232" s="87">
        <v>0.8</v>
      </c>
      <c r="E232" s="87">
        <v>0.5</v>
      </c>
      <c r="F232" s="34">
        <f>20/100</f>
        <v>0.2</v>
      </c>
      <c r="G232" s="88">
        <v>0.57999999999999996</v>
      </c>
      <c r="H232" s="87">
        <f t="shared" si="14"/>
        <v>3.6666666666666665</v>
      </c>
      <c r="I232" s="53">
        <f t="shared" si="15"/>
        <v>1.2879741179289602E-2</v>
      </c>
    </row>
    <row r="233" spans="1:9">
      <c r="A233" s="241"/>
      <c r="B233" s="53" t="s">
        <v>206</v>
      </c>
      <c r="C233" s="86">
        <f>'4A_DOC'!$B$43*$L$20</f>
        <v>0</v>
      </c>
      <c r="D233" s="87">
        <v>0.84</v>
      </c>
      <c r="E233" s="87">
        <v>0.67</v>
      </c>
      <c r="F233" s="34">
        <f>20/100</f>
        <v>0.2</v>
      </c>
      <c r="G233" s="88">
        <v>0.57999999999999996</v>
      </c>
      <c r="H233" s="87">
        <f t="shared" si="14"/>
        <v>3.6666666666666665</v>
      </c>
      <c r="I233" s="53">
        <f t="shared" si="15"/>
        <v>0</v>
      </c>
    </row>
    <row r="234" spans="1:9">
      <c r="A234" s="241"/>
      <c r="B234" s="53" t="s">
        <v>207</v>
      </c>
      <c r="C234" s="86">
        <f>'4A_DOC'!$B$44*$L$20</f>
        <v>1.0009725707520001</v>
      </c>
      <c r="D234" s="87">
        <v>1</v>
      </c>
      <c r="E234" s="87">
        <v>0.75</v>
      </c>
      <c r="F234" s="34">
        <f>100/100</f>
        <v>1</v>
      </c>
      <c r="G234" s="88">
        <v>0.57999999999999996</v>
      </c>
      <c r="H234" s="87">
        <f t="shared" si="14"/>
        <v>3.6666666666666665</v>
      </c>
      <c r="I234" s="53">
        <f t="shared" si="15"/>
        <v>1.5965512503494399</v>
      </c>
    </row>
    <row r="235" spans="1:9">
      <c r="A235" s="241"/>
      <c r="B235" s="53" t="s">
        <v>208</v>
      </c>
      <c r="C235" s="86">
        <f>'4A_DOC'!$B$45*$L$20</f>
        <v>0.16542683942399999</v>
      </c>
      <c r="D235" s="87">
        <v>1</v>
      </c>
      <c r="E235" s="87">
        <v>0</v>
      </c>
      <c r="F235" s="34">
        <v>0</v>
      </c>
      <c r="G235" s="88">
        <v>0.57999999999999996</v>
      </c>
      <c r="H235" s="87">
        <f t="shared" si="14"/>
        <v>3.6666666666666665</v>
      </c>
      <c r="I235" s="53">
        <f t="shared" si="15"/>
        <v>0</v>
      </c>
    </row>
    <row r="236" spans="1:9">
      <c r="A236" s="241"/>
      <c r="B236" s="53" t="s">
        <v>209</v>
      </c>
      <c r="C236" s="86">
        <f>'4A_DOC'!$B$46*$L$20</f>
        <v>0.124303783296</v>
      </c>
      <c r="D236" s="87">
        <v>1</v>
      </c>
      <c r="E236" s="87">
        <v>0</v>
      </c>
      <c r="F236" s="34">
        <v>0</v>
      </c>
      <c r="G236" s="88">
        <v>0.57999999999999996</v>
      </c>
      <c r="H236" s="87">
        <f t="shared" si="14"/>
        <v>3.6666666666666665</v>
      </c>
      <c r="I236" s="53">
        <f t="shared" si="15"/>
        <v>0</v>
      </c>
    </row>
    <row r="237" spans="1:9">
      <c r="A237" s="241"/>
      <c r="B237" s="53" t="s">
        <v>210</v>
      </c>
      <c r="C237" s="86">
        <f>'4A_DOC'!$B$47*$L$20</f>
        <v>0.58039586035199997</v>
      </c>
      <c r="D237" s="87">
        <v>0.9</v>
      </c>
      <c r="E237" s="87">
        <v>0</v>
      </c>
      <c r="F237" s="34">
        <v>0</v>
      </c>
      <c r="G237" s="88">
        <v>0.57999999999999996</v>
      </c>
      <c r="H237" s="87">
        <f t="shared" si="14"/>
        <v>3.6666666666666665</v>
      </c>
      <c r="I237" s="53">
        <f t="shared" si="15"/>
        <v>0</v>
      </c>
    </row>
    <row r="238" spans="1:9">
      <c r="A238" s="241" t="s">
        <v>48</v>
      </c>
      <c r="B238" s="241"/>
      <c r="C238" s="7"/>
      <c r="D238" s="53"/>
      <c r="E238" s="53"/>
      <c r="F238" s="53"/>
      <c r="G238" s="53"/>
      <c r="H238" s="53"/>
      <c r="I238" s="53"/>
    </row>
    <row r="239" spans="1:9">
      <c r="A239" s="200" t="s">
        <v>277</v>
      </c>
      <c r="B239" s="201"/>
      <c r="C239" s="201"/>
      <c r="D239" s="201"/>
      <c r="E239" s="201"/>
      <c r="F239" s="201"/>
      <c r="G239" s="201"/>
      <c r="H239" s="202"/>
      <c r="I239" s="93">
        <f>SUM(I229:I238)</f>
        <v>1.620004901266338</v>
      </c>
    </row>
    <row r="240" spans="1:9">
      <c r="A240" s="237" t="s">
        <v>53</v>
      </c>
      <c r="B240" s="238"/>
      <c r="C240" s="238"/>
      <c r="D240" s="238"/>
      <c r="E240" s="238"/>
      <c r="F240" s="238"/>
      <c r="G240" s="238"/>
      <c r="H240" s="238"/>
      <c r="I240" s="238"/>
    </row>
    <row r="241" spans="1:9">
      <c r="A241" s="239" t="s">
        <v>54</v>
      </c>
      <c r="B241" s="240"/>
      <c r="C241" s="240"/>
      <c r="D241" s="240"/>
      <c r="E241" s="240"/>
      <c r="F241" s="240"/>
      <c r="G241" s="240"/>
      <c r="H241" s="240"/>
      <c r="I241" s="240"/>
    </row>
    <row r="242" spans="1:9">
      <c r="A242" s="239" t="s">
        <v>55</v>
      </c>
      <c r="B242" s="240"/>
      <c r="C242" s="240"/>
      <c r="D242" s="240"/>
      <c r="E242" s="240"/>
      <c r="F242" s="240"/>
      <c r="G242" s="240"/>
      <c r="H242" s="240"/>
      <c r="I242" s="240"/>
    </row>
    <row r="243" spans="1:9">
      <c r="A243" s="239" t="s">
        <v>96</v>
      </c>
      <c r="B243" s="240"/>
      <c r="C243" s="240"/>
      <c r="D243" s="240"/>
      <c r="E243" s="240"/>
      <c r="F243" s="240"/>
      <c r="G243" s="240"/>
      <c r="H243" s="240"/>
      <c r="I243" s="240"/>
    </row>
    <row r="244" spans="1:9">
      <c r="A244" s="239" t="s">
        <v>97</v>
      </c>
      <c r="B244" s="240"/>
      <c r="C244" s="240"/>
      <c r="D244" s="240"/>
      <c r="E244" s="240"/>
      <c r="F244" s="240"/>
      <c r="G244" s="240"/>
      <c r="H244" s="240"/>
      <c r="I244" s="240"/>
    </row>
    <row r="245" spans="1:9">
      <c r="A245" s="234" t="s">
        <v>200</v>
      </c>
      <c r="B245" s="235"/>
      <c r="C245" s="235"/>
      <c r="D245" s="235"/>
      <c r="E245" s="235"/>
      <c r="F245" s="235"/>
      <c r="G245" s="235"/>
      <c r="H245" s="235"/>
      <c r="I245" s="235"/>
    </row>
    <row r="248" spans="1:9">
      <c r="A248" s="198" t="s">
        <v>0</v>
      </c>
      <c r="B248" s="198"/>
      <c r="C248" s="199" t="s">
        <v>1</v>
      </c>
      <c r="D248" s="199"/>
      <c r="E248" s="199"/>
      <c r="F248" s="199"/>
      <c r="G248" s="199"/>
      <c r="H248" s="199"/>
      <c r="I248" s="199"/>
    </row>
    <row r="249" spans="1:9">
      <c r="A249" s="198" t="s">
        <v>2</v>
      </c>
      <c r="B249" s="198"/>
      <c r="C249" s="199" t="s">
        <v>75</v>
      </c>
      <c r="D249" s="199"/>
      <c r="E249" s="199"/>
      <c r="F249" s="199"/>
      <c r="G249" s="199"/>
      <c r="H249" s="199"/>
      <c r="I249" s="199"/>
    </row>
    <row r="250" spans="1:9">
      <c r="A250" s="198" t="s">
        <v>4</v>
      </c>
      <c r="B250" s="198"/>
      <c r="C250" s="199" t="s">
        <v>76</v>
      </c>
      <c r="D250" s="199"/>
      <c r="E250" s="199"/>
      <c r="F250" s="199"/>
      <c r="G250" s="199"/>
      <c r="H250" s="199"/>
      <c r="I250" s="199"/>
    </row>
    <row r="251" spans="1:9">
      <c r="A251" s="198" t="s">
        <v>6</v>
      </c>
      <c r="B251" s="198"/>
      <c r="C251" s="199" t="s">
        <v>77</v>
      </c>
      <c r="D251" s="199"/>
      <c r="E251" s="199"/>
      <c r="F251" s="199"/>
      <c r="G251" s="199"/>
      <c r="H251" s="199"/>
      <c r="I251" s="199"/>
    </row>
    <row r="252" spans="1:9">
      <c r="A252" s="231" t="s">
        <v>8</v>
      </c>
      <c r="B252" s="231"/>
      <c r="C252" s="231"/>
      <c r="D252" s="231" t="s">
        <v>9</v>
      </c>
      <c r="E252" s="236"/>
      <c r="F252" s="236"/>
      <c r="G252" s="236"/>
      <c r="H252" s="236"/>
      <c r="I252" s="85"/>
    </row>
    <row r="253" spans="1:9">
      <c r="A253" s="242"/>
      <c r="B253" s="242"/>
      <c r="C253" s="7" t="s">
        <v>58</v>
      </c>
      <c r="D253" s="7" t="s">
        <v>78</v>
      </c>
      <c r="E253" s="7" t="s">
        <v>79</v>
      </c>
      <c r="F253" s="7" t="s">
        <v>80</v>
      </c>
      <c r="G253" s="7" t="s">
        <v>81</v>
      </c>
      <c r="H253" s="7" t="s">
        <v>82</v>
      </c>
      <c r="I253" s="7" t="s">
        <v>83</v>
      </c>
    </row>
    <row r="254" spans="1:9" ht="25.5">
      <c r="A254" s="209" t="s">
        <v>84</v>
      </c>
      <c r="B254" s="209"/>
      <c r="C254" s="59" t="s">
        <v>85</v>
      </c>
      <c r="D254" s="242" t="s">
        <v>86</v>
      </c>
      <c r="E254" s="59" t="s">
        <v>87</v>
      </c>
      <c r="F254" s="59" t="s">
        <v>89</v>
      </c>
      <c r="G254" s="242" t="s">
        <v>91</v>
      </c>
      <c r="H254" s="242" t="s">
        <v>38</v>
      </c>
      <c r="I254" s="242" t="s">
        <v>92</v>
      </c>
    </row>
    <row r="255" spans="1:9" ht="14.25">
      <c r="A255" s="209"/>
      <c r="B255" s="209"/>
      <c r="C255" s="76" t="s">
        <v>37</v>
      </c>
      <c r="D255" s="232"/>
      <c r="E255" s="76" t="s">
        <v>88</v>
      </c>
      <c r="F255" s="76" t="s">
        <v>90</v>
      </c>
      <c r="G255" s="232"/>
      <c r="H255" s="232"/>
      <c r="I255" s="232"/>
    </row>
    <row r="256" spans="1:9">
      <c r="A256" s="210"/>
      <c r="B256" s="210"/>
      <c r="C256" s="76"/>
      <c r="D256" s="76" t="s">
        <v>39</v>
      </c>
      <c r="E256" s="76" t="s">
        <v>40</v>
      </c>
      <c r="F256" s="76" t="s">
        <v>41</v>
      </c>
      <c r="G256" s="76" t="s">
        <v>42</v>
      </c>
      <c r="H256" s="76"/>
      <c r="I256" s="76"/>
    </row>
    <row r="257" spans="1:9" ht="15.75">
      <c r="A257" s="210"/>
      <c r="B257" s="210"/>
      <c r="C257" s="8" t="s">
        <v>43</v>
      </c>
      <c r="D257" s="8" t="s">
        <v>44</v>
      </c>
      <c r="E257" s="8" t="s">
        <v>44</v>
      </c>
      <c r="F257" s="8" t="s">
        <v>44</v>
      </c>
      <c r="G257" s="8" t="s">
        <v>44</v>
      </c>
      <c r="H257" s="8" t="s">
        <v>45</v>
      </c>
      <c r="I257" s="8" t="s">
        <v>46</v>
      </c>
    </row>
    <row r="258" spans="1:9" ht="15" thickBot="1">
      <c r="A258" s="244"/>
      <c r="B258" s="244"/>
      <c r="C258" s="5" t="s">
        <v>93</v>
      </c>
      <c r="D258" s="5"/>
      <c r="E258" s="5"/>
      <c r="F258" s="5"/>
      <c r="G258" s="5"/>
      <c r="H258" s="5"/>
      <c r="I258" s="5" t="s">
        <v>94</v>
      </c>
    </row>
    <row r="259" spans="1:9" ht="13.5" thickTop="1">
      <c r="A259" s="241" t="s">
        <v>95</v>
      </c>
      <c r="B259" s="53" t="s">
        <v>203</v>
      </c>
      <c r="C259" s="86">
        <f>'4A_DOC'!$B$39*$L$21</f>
        <v>6.3457738380382498</v>
      </c>
      <c r="D259" s="87">
        <v>0.4</v>
      </c>
      <c r="E259" s="87">
        <v>0.38</v>
      </c>
      <c r="F259" s="34">
        <v>0</v>
      </c>
      <c r="G259" s="88">
        <v>0.57999999999999996</v>
      </c>
      <c r="H259" s="87">
        <f>44/12</f>
        <v>3.6666666666666665</v>
      </c>
      <c r="I259" s="53">
        <f>C259*D259*E259*F259*G259*H259</f>
        <v>0</v>
      </c>
    </row>
    <row r="260" spans="1:9">
      <c r="A260" s="241"/>
      <c r="B260" s="53" t="s">
        <v>204</v>
      </c>
      <c r="C260" s="86">
        <f>'4A_DOC'!$B$40*$L$21</f>
        <v>1.2282451245487498</v>
      </c>
      <c r="D260" s="87">
        <v>0.9</v>
      </c>
      <c r="E260" s="87">
        <v>0.46</v>
      </c>
      <c r="F260" s="34">
        <f>1/100</f>
        <v>0.01</v>
      </c>
      <c r="G260" s="88">
        <v>0.57999999999999996</v>
      </c>
      <c r="H260" s="87">
        <f t="shared" ref="H260:H267" si="16">44/12</f>
        <v>3.6666666666666665</v>
      </c>
      <c r="I260" s="53">
        <f t="shared" ref="I260:I267" si="17">C260*D260*E260*F260*G260*H260</f>
        <v>1.0813961374577012E-2</v>
      </c>
    </row>
    <row r="261" spans="1:9">
      <c r="A261" s="241"/>
      <c r="B261" s="53" t="s">
        <v>205</v>
      </c>
      <c r="C261" s="86">
        <f>'4A_DOC'!$B$41*$L$21</f>
        <v>0</v>
      </c>
      <c r="D261" s="87">
        <v>0.85</v>
      </c>
      <c r="E261" s="87">
        <v>0.5</v>
      </c>
      <c r="F261" s="34">
        <v>0</v>
      </c>
      <c r="G261" s="88">
        <v>0.57999999999999996</v>
      </c>
      <c r="H261" s="87">
        <f t="shared" si="16"/>
        <v>3.6666666666666665</v>
      </c>
      <c r="I261" s="53">
        <f t="shared" si="17"/>
        <v>0</v>
      </c>
    </row>
    <row r="262" spans="1:9">
      <c r="A262" s="241"/>
      <c r="B262" s="53" t="s">
        <v>47</v>
      </c>
      <c r="C262" s="86">
        <f>'4A_DOC'!$B$42*$L$21</f>
        <v>7.7422455321750003E-2</v>
      </c>
      <c r="D262" s="87">
        <v>0.8</v>
      </c>
      <c r="E262" s="87">
        <v>0.5</v>
      </c>
      <c r="F262" s="34">
        <f>20/100</f>
        <v>0.2</v>
      </c>
      <c r="G262" s="88">
        <v>0.57999999999999996</v>
      </c>
      <c r="H262" s="87">
        <f t="shared" si="16"/>
        <v>3.6666666666666665</v>
      </c>
      <c r="I262" s="53">
        <f t="shared" si="17"/>
        <v>1.3172140398740399E-2</v>
      </c>
    </row>
    <row r="263" spans="1:9">
      <c r="A263" s="241"/>
      <c r="B263" s="53" t="s">
        <v>206</v>
      </c>
      <c r="C263" s="86">
        <f>'4A_DOC'!$B$43*$L$21</f>
        <v>0</v>
      </c>
      <c r="D263" s="87">
        <v>0.84</v>
      </c>
      <c r="E263" s="87">
        <v>0.67</v>
      </c>
      <c r="F263" s="34">
        <f>20/100</f>
        <v>0.2</v>
      </c>
      <c r="G263" s="88">
        <v>0.57999999999999996</v>
      </c>
      <c r="H263" s="87">
        <f t="shared" si="16"/>
        <v>3.6666666666666665</v>
      </c>
      <c r="I263" s="53">
        <f t="shared" si="17"/>
        <v>0</v>
      </c>
    </row>
    <row r="264" spans="1:9">
      <c r="A264" s="241"/>
      <c r="B264" s="53" t="s">
        <v>207</v>
      </c>
      <c r="C264" s="86">
        <f>'4A_DOC'!$B$44*$L$21</f>
        <v>1.0236969092542501</v>
      </c>
      <c r="D264" s="87">
        <v>1</v>
      </c>
      <c r="E264" s="87">
        <v>0.75</v>
      </c>
      <c r="F264" s="34">
        <f>100/100</f>
        <v>1</v>
      </c>
      <c r="G264" s="88">
        <v>0.57999999999999996</v>
      </c>
      <c r="H264" s="87">
        <f t="shared" si="16"/>
        <v>3.6666666666666665</v>
      </c>
      <c r="I264" s="53">
        <f t="shared" si="17"/>
        <v>1.6327965702605287</v>
      </c>
    </row>
    <row r="265" spans="1:9">
      <c r="A265" s="241"/>
      <c r="B265" s="53" t="s">
        <v>208</v>
      </c>
      <c r="C265" s="86">
        <f>'4A_DOC'!$B$45*$L$21</f>
        <v>0.16918240236974999</v>
      </c>
      <c r="D265" s="87">
        <v>1</v>
      </c>
      <c r="E265" s="87">
        <v>0</v>
      </c>
      <c r="F265" s="34">
        <v>0</v>
      </c>
      <c r="G265" s="88">
        <v>0.57999999999999996</v>
      </c>
      <c r="H265" s="87">
        <f t="shared" si="16"/>
        <v>3.6666666666666665</v>
      </c>
      <c r="I265" s="53">
        <f t="shared" si="17"/>
        <v>0</v>
      </c>
    </row>
    <row r="266" spans="1:9">
      <c r="A266" s="241"/>
      <c r="B266" s="53" t="s">
        <v>209</v>
      </c>
      <c r="C266" s="86">
        <f>'4A_DOC'!$B$46*$L$21</f>
        <v>0.12712575997275</v>
      </c>
      <c r="D266" s="87">
        <v>1</v>
      </c>
      <c r="E266" s="87">
        <v>0</v>
      </c>
      <c r="F266" s="34">
        <v>0</v>
      </c>
      <c r="G266" s="88">
        <v>0.57999999999999996</v>
      </c>
      <c r="H266" s="87">
        <f t="shared" si="16"/>
        <v>3.6666666666666665</v>
      </c>
      <c r="I266" s="53">
        <f t="shared" si="17"/>
        <v>0</v>
      </c>
    </row>
    <row r="267" spans="1:9">
      <c r="A267" s="241"/>
      <c r="B267" s="53" t="s">
        <v>210</v>
      </c>
      <c r="C267" s="86">
        <f>'4A_DOC'!$B$47*$L$21</f>
        <v>0.59357215746674996</v>
      </c>
      <c r="D267" s="87">
        <v>0.9</v>
      </c>
      <c r="E267" s="87">
        <v>0</v>
      </c>
      <c r="F267" s="34">
        <v>0</v>
      </c>
      <c r="G267" s="88">
        <v>0.57999999999999996</v>
      </c>
      <c r="H267" s="87">
        <f t="shared" si="16"/>
        <v>3.6666666666666665</v>
      </c>
      <c r="I267" s="53">
        <f t="shared" si="17"/>
        <v>0</v>
      </c>
    </row>
    <row r="268" spans="1:9">
      <c r="A268" s="241" t="s">
        <v>48</v>
      </c>
      <c r="B268" s="241"/>
      <c r="C268" s="7"/>
      <c r="D268" s="53"/>
      <c r="E268" s="53"/>
      <c r="F268" s="53"/>
      <c r="G268" s="53"/>
      <c r="H268" s="53"/>
      <c r="I268" s="53"/>
    </row>
    <row r="269" spans="1:9">
      <c r="A269" s="200" t="s">
        <v>278</v>
      </c>
      <c r="B269" s="201"/>
      <c r="C269" s="201"/>
      <c r="D269" s="201"/>
      <c r="E269" s="201"/>
      <c r="F269" s="201"/>
      <c r="G269" s="201"/>
      <c r="H269" s="202"/>
      <c r="I269" s="93">
        <f>SUM(I259:I268)</f>
        <v>1.6567826720338461</v>
      </c>
    </row>
    <row r="270" spans="1:9">
      <c r="A270" s="237" t="s">
        <v>53</v>
      </c>
      <c r="B270" s="238"/>
      <c r="C270" s="238"/>
      <c r="D270" s="238"/>
      <c r="E270" s="238"/>
      <c r="F270" s="238"/>
      <c r="G270" s="238"/>
      <c r="H270" s="238"/>
      <c r="I270" s="238"/>
    </row>
    <row r="271" spans="1:9">
      <c r="A271" s="239" t="s">
        <v>54</v>
      </c>
      <c r="B271" s="240"/>
      <c r="C271" s="240"/>
      <c r="D271" s="240"/>
      <c r="E271" s="240"/>
      <c r="F271" s="240"/>
      <c r="G271" s="240"/>
      <c r="H271" s="240"/>
      <c r="I271" s="240"/>
    </row>
    <row r="272" spans="1:9">
      <c r="A272" s="239" t="s">
        <v>55</v>
      </c>
      <c r="B272" s="240"/>
      <c r="C272" s="240"/>
      <c r="D272" s="240"/>
      <c r="E272" s="240"/>
      <c r="F272" s="240"/>
      <c r="G272" s="240"/>
      <c r="H272" s="240"/>
      <c r="I272" s="240"/>
    </row>
    <row r="273" spans="1:9">
      <c r="A273" s="239" t="s">
        <v>96</v>
      </c>
      <c r="B273" s="240"/>
      <c r="C273" s="240"/>
      <c r="D273" s="240"/>
      <c r="E273" s="240"/>
      <c r="F273" s="240"/>
      <c r="G273" s="240"/>
      <c r="H273" s="240"/>
      <c r="I273" s="240"/>
    </row>
    <row r="274" spans="1:9">
      <c r="A274" s="239" t="s">
        <v>97</v>
      </c>
      <c r="B274" s="240"/>
      <c r="C274" s="240"/>
      <c r="D274" s="240"/>
      <c r="E274" s="240"/>
      <c r="F274" s="240"/>
      <c r="G274" s="240"/>
      <c r="H274" s="240"/>
      <c r="I274" s="240"/>
    </row>
    <row r="275" spans="1:9">
      <c r="A275" s="234" t="s">
        <v>200</v>
      </c>
      <c r="B275" s="235"/>
      <c r="C275" s="235"/>
      <c r="D275" s="235"/>
      <c r="E275" s="235"/>
      <c r="F275" s="235"/>
      <c r="G275" s="235"/>
      <c r="H275" s="235"/>
      <c r="I275" s="235"/>
    </row>
    <row r="278" spans="1:9">
      <c r="A278" s="198" t="s">
        <v>0</v>
      </c>
      <c r="B278" s="198"/>
      <c r="C278" s="199" t="s">
        <v>1</v>
      </c>
      <c r="D278" s="199"/>
      <c r="E278" s="199"/>
      <c r="F278" s="199"/>
      <c r="G278" s="199"/>
      <c r="H278" s="199"/>
      <c r="I278" s="199"/>
    </row>
    <row r="279" spans="1:9">
      <c r="A279" s="198" t="s">
        <v>2</v>
      </c>
      <c r="B279" s="198"/>
      <c r="C279" s="199" t="s">
        <v>75</v>
      </c>
      <c r="D279" s="199"/>
      <c r="E279" s="199"/>
      <c r="F279" s="199"/>
      <c r="G279" s="199"/>
      <c r="H279" s="199"/>
      <c r="I279" s="199"/>
    </row>
    <row r="280" spans="1:9">
      <c r="A280" s="198" t="s">
        <v>4</v>
      </c>
      <c r="B280" s="198"/>
      <c r="C280" s="199" t="s">
        <v>76</v>
      </c>
      <c r="D280" s="199"/>
      <c r="E280" s="199"/>
      <c r="F280" s="199"/>
      <c r="G280" s="199"/>
      <c r="H280" s="199"/>
      <c r="I280" s="199"/>
    </row>
    <row r="281" spans="1:9">
      <c r="A281" s="198" t="s">
        <v>6</v>
      </c>
      <c r="B281" s="198"/>
      <c r="C281" s="199" t="s">
        <v>77</v>
      </c>
      <c r="D281" s="199"/>
      <c r="E281" s="199"/>
      <c r="F281" s="199"/>
      <c r="G281" s="199"/>
      <c r="H281" s="199"/>
      <c r="I281" s="199"/>
    </row>
    <row r="282" spans="1:9">
      <c r="A282" s="231" t="s">
        <v>8</v>
      </c>
      <c r="B282" s="231"/>
      <c r="C282" s="231"/>
      <c r="D282" s="231" t="s">
        <v>9</v>
      </c>
      <c r="E282" s="236"/>
      <c r="F282" s="236"/>
      <c r="G282" s="236"/>
      <c r="H282" s="236"/>
      <c r="I282" s="85"/>
    </row>
    <row r="283" spans="1:9">
      <c r="A283" s="242"/>
      <c r="B283" s="242"/>
      <c r="C283" s="7" t="s">
        <v>58</v>
      </c>
      <c r="D283" s="7" t="s">
        <v>78</v>
      </c>
      <c r="E283" s="7" t="s">
        <v>79</v>
      </c>
      <c r="F283" s="7" t="s">
        <v>80</v>
      </c>
      <c r="G283" s="7" t="s">
        <v>81</v>
      </c>
      <c r="H283" s="7" t="s">
        <v>82</v>
      </c>
      <c r="I283" s="7" t="s">
        <v>83</v>
      </c>
    </row>
    <row r="284" spans="1:9" ht="25.5">
      <c r="A284" s="209" t="s">
        <v>84</v>
      </c>
      <c r="B284" s="209"/>
      <c r="C284" s="59" t="s">
        <v>85</v>
      </c>
      <c r="D284" s="242" t="s">
        <v>86</v>
      </c>
      <c r="E284" s="59" t="s">
        <v>87</v>
      </c>
      <c r="F284" s="59" t="s">
        <v>89</v>
      </c>
      <c r="G284" s="242" t="s">
        <v>91</v>
      </c>
      <c r="H284" s="242" t="s">
        <v>38</v>
      </c>
      <c r="I284" s="242" t="s">
        <v>92</v>
      </c>
    </row>
    <row r="285" spans="1:9" ht="14.25">
      <c r="A285" s="209"/>
      <c r="B285" s="209"/>
      <c r="C285" s="76" t="s">
        <v>37</v>
      </c>
      <c r="D285" s="232"/>
      <c r="E285" s="76" t="s">
        <v>88</v>
      </c>
      <c r="F285" s="76" t="s">
        <v>90</v>
      </c>
      <c r="G285" s="232"/>
      <c r="H285" s="232"/>
      <c r="I285" s="232"/>
    </row>
    <row r="286" spans="1:9">
      <c r="A286" s="210"/>
      <c r="B286" s="210"/>
      <c r="C286" s="76"/>
      <c r="D286" s="76" t="s">
        <v>39</v>
      </c>
      <c r="E286" s="76" t="s">
        <v>40</v>
      </c>
      <c r="F286" s="76" t="s">
        <v>41</v>
      </c>
      <c r="G286" s="76" t="s">
        <v>42</v>
      </c>
      <c r="H286" s="76"/>
      <c r="I286" s="76"/>
    </row>
    <row r="287" spans="1:9" ht="15.75">
      <c r="A287" s="210"/>
      <c r="B287" s="210"/>
      <c r="C287" s="8" t="s">
        <v>43</v>
      </c>
      <c r="D287" s="8" t="s">
        <v>44</v>
      </c>
      <c r="E287" s="8" t="s">
        <v>44</v>
      </c>
      <c r="F287" s="8" t="s">
        <v>44</v>
      </c>
      <c r="G287" s="8" t="s">
        <v>44</v>
      </c>
      <c r="H287" s="8" t="s">
        <v>45</v>
      </c>
      <c r="I287" s="8" t="s">
        <v>46</v>
      </c>
    </row>
    <row r="288" spans="1:9" ht="15" thickBot="1">
      <c r="A288" s="244"/>
      <c r="B288" s="244"/>
      <c r="C288" s="5" t="s">
        <v>93</v>
      </c>
      <c r="D288" s="5"/>
      <c r="E288" s="5"/>
      <c r="F288" s="5"/>
      <c r="G288" s="5"/>
      <c r="H288" s="5"/>
      <c r="I288" s="5" t="s">
        <v>94</v>
      </c>
    </row>
    <row r="289" spans="1:9" ht="13.5" thickTop="1">
      <c r="A289" s="241" t="s">
        <v>95</v>
      </c>
      <c r="B289" s="53" t="s">
        <v>203</v>
      </c>
      <c r="C289" s="86">
        <f>'4A_DOC'!$B$39*$L$22</f>
        <v>6.4866392753084989</v>
      </c>
      <c r="D289" s="87">
        <v>0.4</v>
      </c>
      <c r="E289" s="87">
        <v>0.38</v>
      </c>
      <c r="F289" s="34">
        <v>0</v>
      </c>
      <c r="G289" s="88">
        <v>0.57999999999999996</v>
      </c>
      <c r="H289" s="87">
        <f>44/12</f>
        <v>3.6666666666666665</v>
      </c>
      <c r="I289" s="53">
        <f>C289*D289*E289*F289*G289*H289</f>
        <v>0</v>
      </c>
    </row>
    <row r="290" spans="1:9">
      <c r="A290" s="241"/>
      <c r="B290" s="53" t="s">
        <v>204</v>
      </c>
      <c r="C290" s="86">
        <f>'4A_DOC'!$B$40*$L$22</f>
        <v>1.2555100871774998</v>
      </c>
      <c r="D290" s="87">
        <v>0.9</v>
      </c>
      <c r="E290" s="87">
        <v>0.46</v>
      </c>
      <c r="F290" s="34">
        <f>1/100</f>
        <v>0.01</v>
      </c>
      <c r="G290" s="88">
        <v>0.57999999999999996</v>
      </c>
      <c r="H290" s="87">
        <f t="shared" ref="H290:H297" si="18">44/12</f>
        <v>3.6666666666666665</v>
      </c>
      <c r="I290" s="53">
        <f t="shared" ref="I290:I297" si="19">C290*D290*E290*F290*G290*H290</f>
        <v>1.1054013011545577E-2</v>
      </c>
    </row>
    <row r="291" spans="1:9">
      <c r="A291" s="241"/>
      <c r="B291" s="53" t="s">
        <v>205</v>
      </c>
      <c r="C291" s="86">
        <f>'4A_DOC'!$B$41*$L$22</f>
        <v>0</v>
      </c>
      <c r="D291" s="87">
        <v>0.85</v>
      </c>
      <c r="E291" s="87">
        <v>0.5</v>
      </c>
      <c r="F291" s="34">
        <v>0</v>
      </c>
      <c r="G291" s="88">
        <v>0.57999999999999996</v>
      </c>
      <c r="H291" s="87">
        <f t="shared" si="18"/>
        <v>3.6666666666666665</v>
      </c>
      <c r="I291" s="53">
        <f t="shared" si="19"/>
        <v>0</v>
      </c>
    </row>
    <row r="292" spans="1:9">
      <c r="A292" s="241"/>
      <c r="B292" s="53" t="s">
        <v>47</v>
      </c>
      <c r="C292" s="86">
        <f>'4A_DOC'!$B$42*$L$22</f>
        <v>7.9141102771499994E-2</v>
      </c>
      <c r="D292" s="87">
        <v>0.8</v>
      </c>
      <c r="E292" s="87">
        <v>0.5</v>
      </c>
      <c r="F292" s="34">
        <f>20/100</f>
        <v>0.2</v>
      </c>
      <c r="G292" s="88">
        <v>0.57999999999999996</v>
      </c>
      <c r="H292" s="87">
        <f t="shared" si="18"/>
        <v>3.6666666666666665</v>
      </c>
      <c r="I292" s="53">
        <f t="shared" si="19"/>
        <v>1.3464539618191197E-2</v>
      </c>
    </row>
    <row r="293" spans="1:9">
      <c r="A293" s="241"/>
      <c r="B293" s="53" t="s">
        <v>206</v>
      </c>
      <c r="C293" s="86">
        <f>'4A_DOC'!$B$43*$L$22</f>
        <v>0</v>
      </c>
      <c r="D293" s="87">
        <v>0.84</v>
      </c>
      <c r="E293" s="87">
        <v>0.67</v>
      </c>
      <c r="F293" s="34">
        <f>20/100</f>
        <v>0.2</v>
      </c>
      <c r="G293" s="88">
        <v>0.57999999999999996</v>
      </c>
      <c r="H293" s="87">
        <f t="shared" si="18"/>
        <v>3.6666666666666665</v>
      </c>
      <c r="I293" s="53">
        <f t="shared" si="19"/>
        <v>0</v>
      </c>
    </row>
    <row r="294" spans="1:9">
      <c r="A294" s="241"/>
      <c r="B294" s="53" t="s">
        <v>207</v>
      </c>
      <c r="C294" s="86">
        <f>'4A_DOC'!$B$44*$L$22</f>
        <v>1.0464212477564998</v>
      </c>
      <c r="D294" s="87">
        <v>1</v>
      </c>
      <c r="E294" s="87">
        <v>0.75</v>
      </c>
      <c r="F294" s="34">
        <f>100/100</f>
        <v>1</v>
      </c>
      <c r="G294" s="88">
        <v>0.57999999999999996</v>
      </c>
      <c r="H294" s="87">
        <f t="shared" si="18"/>
        <v>3.6666666666666665</v>
      </c>
      <c r="I294" s="53">
        <f t="shared" si="19"/>
        <v>1.6690418901716171</v>
      </c>
    </row>
    <row r="295" spans="1:9">
      <c r="A295" s="241"/>
      <c r="B295" s="53" t="s">
        <v>208</v>
      </c>
      <c r="C295" s="86">
        <f>'4A_DOC'!$B$45*$L$22</f>
        <v>0.17293796531549996</v>
      </c>
      <c r="D295" s="87">
        <v>1</v>
      </c>
      <c r="E295" s="87">
        <v>0</v>
      </c>
      <c r="F295" s="34">
        <v>0</v>
      </c>
      <c r="G295" s="88">
        <v>0.57999999999999996</v>
      </c>
      <c r="H295" s="87">
        <f t="shared" si="18"/>
        <v>3.6666666666666665</v>
      </c>
      <c r="I295" s="53">
        <f t="shared" si="19"/>
        <v>0</v>
      </c>
    </row>
    <row r="296" spans="1:9">
      <c r="A296" s="241"/>
      <c r="B296" s="53" t="s">
        <v>209</v>
      </c>
      <c r="C296" s="86">
        <f>'4A_DOC'!$B$46*$L$22</f>
        <v>0.12994773664949999</v>
      </c>
      <c r="D296" s="87">
        <v>1</v>
      </c>
      <c r="E296" s="87">
        <v>0</v>
      </c>
      <c r="F296" s="34">
        <v>0</v>
      </c>
      <c r="G296" s="88">
        <v>0.57999999999999996</v>
      </c>
      <c r="H296" s="87">
        <f t="shared" si="18"/>
        <v>3.6666666666666665</v>
      </c>
      <c r="I296" s="53">
        <f t="shared" si="19"/>
        <v>0</v>
      </c>
    </row>
    <row r="297" spans="1:9">
      <c r="A297" s="241"/>
      <c r="B297" s="53" t="s">
        <v>210</v>
      </c>
      <c r="C297" s="86">
        <f>'4A_DOC'!$B$47*$L$22</f>
        <v>0.60674845458149984</v>
      </c>
      <c r="D297" s="87">
        <v>0.9</v>
      </c>
      <c r="E297" s="87">
        <v>0</v>
      </c>
      <c r="F297" s="34">
        <v>0</v>
      </c>
      <c r="G297" s="88">
        <v>0.57999999999999996</v>
      </c>
      <c r="H297" s="87">
        <f t="shared" si="18"/>
        <v>3.6666666666666665</v>
      </c>
      <c r="I297" s="53">
        <f t="shared" si="19"/>
        <v>0</v>
      </c>
    </row>
    <row r="298" spans="1:9">
      <c r="A298" s="241" t="s">
        <v>48</v>
      </c>
      <c r="B298" s="241"/>
      <c r="C298" s="7"/>
      <c r="D298" s="53"/>
      <c r="E298" s="53"/>
      <c r="F298" s="53"/>
      <c r="G298" s="53"/>
      <c r="H298" s="53"/>
      <c r="I298" s="53"/>
    </row>
    <row r="299" spans="1:9">
      <c r="A299" s="200" t="s">
        <v>279</v>
      </c>
      <c r="B299" s="201"/>
      <c r="C299" s="201"/>
      <c r="D299" s="201"/>
      <c r="E299" s="201"/>
      <c r="F299" s="201"/>
      <c r="G299" s="201"/>
      <c r="H299" s="202"/>
      <c r="I299" s="93">
        <f>SUM(I289:I298)</f>
        <v>1.6935604428013538</v>
      </c>
    </row>
    <row r="300" spans="1:9">
      <c r="A300" s="237" t="s">
        <v>53</v>
      </c>
      <c r="B300" s="238"/>
      <c r="C300" s="238"/>
      <c r="D300" s="238"/>
      <c r="E300" s="238"/>
      <c r="F300" s="238"/>
      <c r="G300" s="238"/>
      <c r="H300" s="238"/>
      <c r="I300" s="238"/>
    </row>
    <row r="301" spans="1:9">
      <c r="A301" s="239" t="s">
        <v>54</v>
      </c>
      <c r="B301" s="240"/>
      <c r="C301" s="240"/>
      <c r="D301" s="240"/>
      <c r="E301" s="240"/>
      <c r="F301" s="240"/>
      <c r="G301" s="240"/>
      <c r="H301" s="240"/>
      <c r="I301" s="240"/>
    </row>
    <row r="302" spans="1:9">
      <c r="A302" s="239" t="s">
        <v>55</v>
      </c>
      <c r="B302" s="240"/>
      <c r="C302" s="240"/>
      <c r="D302" s="240"/>
      <c r="E302" s="240"/>
      <c r="F302" s="240"/>
      <c r="G302" s="240"/>
      <c r="H302" s="240"/>
      <c r="I302" s="240"/>
    </row>
    <row r="303" spans="1:9">
      <c r="A303" s="239" t="s">
        <v>96</v>
      </c>
      <c r="B303" s="240"/>
      <c r="C303" s="240"/>
      <c r="D303" s="240"/>
      <c r="E303" s="240"/>
      <c r="F303" s="240"/>
      <c r="G303" s="240"/>
      <c r="H303" s="240"/>
      <c r="I303" s="240"/>
    </row>
    <row r="304" spans="1:9">
      <c r="A304" s="239" t="s">
        <v>97</v>
      </c>
      <c r="B304" s="240"/>
      <c r="C304" s="240"/>
      <c r="D304" s="240"/>
      <c r="E304" s="240"/>
      <c r="F304" s="240"/>
      <c r="G304" s="240"/>
      <c r="H304" s="240"/>
      <c r="I304" s="240"/>
    </row>
    <row r="305" spans="1:9">
      <c r="A305" s="234" t="s">
        <v>200</v>
      </c>
      <c r="B305" s="235"/>
      <c r="C305" s="235"/>
      <c r="D305" s="235"/>
      <c r="E305" s="235"/>
      <c r="F305" s="235"/>
      <c r="G305" s="235"/>
      <c r="H305" s="235"/>
      <c r="I305" s="235"/>
    </row>
    <row r="308" spans="1:9">
      <c r="A308" s="198" t="s">
        <v>0</v>
      </c>
      <c r="B308" s="198"/>
      <c r="C308" s="199" t="s">
        <v>1</v>
      </c>
      <c r="D308" s="199"/>
      <c r="E308" s="199"/>
      <c r="F308" s="199"/>
      <c r="G308" s="199"/>
      <c r="H308" s="199"/>
      <c r="I308" s="199"/>
    </row>
    <row r="309" spans="1:9">
      <c r="A309" s="198" t="s">
        <v>2</v>
      </c>
      <c r="B309" s="198"/>
      <c r="C309" s="199" t="s">
        <v>75</v>
      </c>
      <c r="D309" s="199"/>
      <c r="E309" s="199"/>
      <c r="F309" s="199"/>
      <c r="G309" s="199"/>
      <c r="H309" s="199"/>
      <c r="I309" s="199"/>
    </row>
    <row r="310" spans="1:9">
      <c r="A310" s="198" t="s">
        <v>4</v>
      </c>
      <c r="B310" s="198"/>
      <c r="C310" s="199" t="s">
        <v>76</v>
      </c>
      <c r="D310" s="199"/>
      <c r="E310" s="199"/>
      <c r="F310" s="199"/>
      <c r="G310" s="199"/>
      <c r="H310" s="199"/>
      <c r="I310" s="199"/>
    </row>
    <row r="311" spans="1:9">
      <c r="A311" s="198" t="s">
        <v>6</v>
      </c>
      <c r="B311" s="198"/>
      <c r="C311" s="199" t="s">
        <v>77</v>
      </c>
      <c r="D311" s="199"/>
      <c r="E311" s="199"/>
      <c r="F311" s="199"/>
      <c r="G311" s="199"/>
      <c r="H311" s="199"/>
      <c r="I311" s="199"/>
    </row>
    <row r="312" spans="1:9">
      <c r="A312" s="231" t="s">
        <v>8</v>
      </c>
      <c r="B312" s="231"/>
      <c r="C312" s="231"/>
      <c r="D312" s="231" t="s">
        <v>9</v>
      </c>
      <c r="E312" s="236"/>
      <c r="F312" s="236"/>
      <c r="G312" s="236"/>
      <c r="H312" s="236"/>
      <c r="I312" s="85"/>
    </row>
    <row r="313" spans="1:9">
      <c r="A313" s="242"/>
      <c r="B313" s="242"/>
      <c r="C313" s="7" t="s">
        <v>58</v>
      </c>
      <c r="D313" s="7" t="s">
        <v>78</v>
      </c>
      <c r="E313" s="7" t="s">
        <v>79</v>
      </c>
      <c r="F313" s="7" t="s">
        <v>80</v>
      </c>
      <c r="G313" s="7" t="s">
        <v>81</v>
      </c>
      <c r="H313" s="7" t="s">
        <v>82</v>
      </c>
      <c r="I313" s="7" t="s">
        <v>83</v>
      </c>
    </row>
    <row r="314" spans="1:9" ht="25.5">
      <c r="A314" s="209" t="s">
        <v>84</v>
      </c>
      <c r="B314" s="209"/>
      <c r="C314" s="59" t="s">
        <v>85</v>
      </c>
      <c r="D314" s="242" t="s">
        <v>86</v>
      </c>
      <c r="E314" s="59" t="s">
        <v>87</v>
      </c>
      <c r="F314" s="59" t="s">
        <v>89</v>
      </c>
      <c r="G314" s="242" t="s">
        <v>91</v>
      </c>
      <c r="H314" s="242" t="s">
        <v>38</v>
      </c>
      <c r="I314" s="242" t="s">
        <v>92</v>
      </c>
    </row>
    <row r="315" spans="1:9" ht="14.25">
      <c r="A315" s="209"/>
      <c r="B315" s="209"/>
      <c r="C315" s="76" t="s">
        <v>37</v>
      </c>
      <c r="D315" s="232"/>
      <c r="E315" s="76" t="s">
        <v>88</v>
      </c>
      <c r="F315" s="76" t="s">
        <v>90</v>
      </c>
      <c r="G315" s="232"/>
      <c r="H315" s="232"/>
      <c r="I315" s="232"/>
    </row>
    <row r="316" spans="1:9">
      <c r="A316" s="210"/>
      <c r="B316" s="210"/>
      <c r="C316" s="76"/>
      <c r="D316" s="76" t="s">
        <v>39</v>
      </c>
      <c r="E316" s="76" t="s">
        <v>40</v>
      </c>
      <c r="F316" s="76" t="s">
        <v>41</v>
      </c>
      <c r="G316" s="76" t="s">
        <v>42</v>
      </c>
      <c r="H316" s="76"/>
      <c r="I316" s="76"/>
    </row>
    <row r="317" spans="1:9" ht="15.75">
      <c r="A317" s="210"/>
      <c r="B317" s="210"/>
      <c r="C317" s="8" t="s">
        <v>43</v>
      </c>
      <c r="D317" s="8" t="s">
        <v>44</v>
      </c>
      <c r="E317" s="8" t="s">
        <v>44</v>
      </c>
      <c r="F317" s="8" t="s">
        <v>44</v>
      </c>
      <c r="G317" s="8" t="s">
        <v>44</v>
      </c>
      <c r="H317" s="8" t="s">
        <v>45</v>
      </c>
      <c r="I317" s="8" t="s">
        <v>46</v>
      </c>
    </row>
    <row r="318" spans="1:9" ht="15" thickBot="1">
      <c r="A318" s="244"/>
      <c r="B318" s="244"/>
      <c r="C318" s="5" t="s">
        <v>93</v>
      </c>
      <c r="D318" s="5"/>
      <c r="E318" s="5"/>
      <c r="F318" s="5"/>
      <c r="G318" s="5"/>
      <c r="H318" s="5"/>
      <c r="I318" s="5" t="s">
        <v>94</v>
      </c>
    </row>
    <row r="319" spans="1:9" ht="13.5" thickTop="1">
      <c r="A319" s="241" t="s">
        <v>95</v>
      </c>
      <c r="B319" s="53" t="s">
        <v>203</v>
      </c>
      <c r="C319" s="86">
        <f>'4A_DOC'!$B$39*$L$23</f>
        <v>6.627504712578749</v>
      </c>
      <c r="D319" s="87">
        <v>0.4</v>
      </c>
      <c r="E319" s="87">
        <v>0.38</v>
      </c>
      <c r="F319" s="34">
        <v>0</v>
      </c>
      <c r="G319" s="88">
        <v>0.57999999999999996</v>
      </c>
      <c r="H319" s="87">
        <f>44/12</f>
        <v>3.6666666666666665</v>
      </c>
      <c r="I319" s="53">
        <f>C319*D319*E319*F319*G319*H319</f>
        <v>0</v>
      </c>
    </row>
    <row r="320" spans="1:9">
      <c r="A320" s="241"/>
      <c r="B320" s="53" t="s">
        <v>204</v>
      </c>
      <c r="C320" s="86">
        <f>'4A_DOC'!$B$40*$L$23</f>
        <v>1.2827750498062498</v>
      </c>
      <c r="D320" s="87">
        <v>0.9</v>
      </c>
      <c r="E320" s="87">
        <v>0.46</v>
      </c>
      <c r="F320" s="34">
        <f>1/100</f>
        <v>0.01</v>
      </c>
      <c r="G320" s="88">
        <v>0.57999999999999996</v>
      </c>
      <c r="H320" s="87">
        <f t="shared" ref="H320:H327" si="20">44/12</f>
        <v>3.6666666666666665</v>
      </c>
      <c r="I320" s="53">
        <f t="shared" ref="I320:I327" si="21">C320*D320*E320*F320*G320*H320</f>
        <v>1.1294064648514145E-2</v>
      </c>
    </row>
    <row r="321" spans="1:9">
      <c r="A321" s="241"/>
      <c r="B321" s="53" t="s">
        <v>205</v>
      </c>
      <c r="C321" s="86">
        <f>'4A_DOC'!$B$41*$L$23</f>
        <v>0</v>
      </c>
      <c r="D321" s="87">
        <v>0.85</v>
      </c>
      <c r="E321" s="87">
        <v>0.5</v>
      </c>
      <c r="F321" s="34">
        <v>0</v>
      </c>
      <c r="G321" s="88">
        <v>0.57999999999999996</v>
      </c>
      <c r="H321" s="87">
        <f t="shared" si="20"/>
        <v>3.6666666666666665</v>
      </c>
      <c r="I321" s="53">
        <f t="shared" si="21"/>
        <v>0</v>
      </c>
    </row>
    <row r="322" spans="1:9">
      <c r="A322" s="241"/>
      <c r="B322" s="53" t="s">
        <v>47</v>
      </c>
      <c r="C322" s="86">
        <f>'4A_DOC'!$B$42*$L$23</f>
        <v>8.0859750221249999E-2</v>
      </c>
      <c r="D322" s="87">
        <v>0.8</v>
      </c>
      <c r="E322" s="87">
        <v>0.5</v>
      </c>
      <c r="F322" s="34">
        <f>20/100</f>
        <v>0.2</v>
      </c>
      <c r="G322" s="88">
        <v>0.57999999999999996</v>
      </c>
      <c r="H322" s="87">
        <f t="shared" si="20"/>
        <v>3.6666666666666665</v>
      </c>
      <c r="I322" s="53">
        <f t="shared" si="21"/>
        <v>1.3756938837642001E-2</v>
      </c>
    </row>
    <row r="323" spans="1:9">
      <c r="A323" s="241"/>
      <c r="B323" s="53" t="s">
        <v>206</v>
      </c>
      <c r="C323" s="86">
        <f>'4A_DOC'!$B$43*$L$23</f>
        <v>0</v>
      </c>
      <c r="D323" s="87">
        <v>0.84</v>
      </c>
      <c r="E323" s="87">
        <v>0.67</v>
      </c>
      <c r="F323" s="34">
        <f>20/100</f>
        <v>0.2</v>
      </c>
      <c r="G323" s="88">
        <v>0.57999999999999996</v>
      </c>
      <c r="H323" s="87">
        <f t="shared" si="20"/>
        <v>3.6666666666666665</v>
      </c>
      <c r="I323" s="53">
        <f t="shared" si="21"/>
        <v>0</v>
      </c>
    </row>
    <row r="324" spans="1:9">
      <c r="A324" s="241"/>
      <c r="B324" s="53" t="s">
        <v>207</v>
      </c>
      <c r="C324" s="86">
        <f>'4A_DOC'!$B$44*$L$23</f>
        <v>1.06914558625875</v>
      </c>
      <c r="D324" s="87">
        <v>1</v>
      </c>
      <c r="E324" s="87">
        <v>0.75</v>
      </c>
      <c r="F324" s="34">
        <f>100/100</f>
        <v>1</v>
      </c>
      <c r="G324" s="88">
        <v>0.57999999999999996</v>
      </c>
      <c r="H324" s="87">
        <f t="shared" si="20"/>
        <v>3.6666666666666665</v>
      </c>
      <c r="I324" s="53">
        <f t="shared" si="21"/>
        <v>1.7052872100827063</v>
      </c>
    </row>
    <row r="325" spans="1:9">
      <c r="A325" s="241"/>
      <c r="B325" s="53" t="s">
        <v>208</v>
      </c>
      <c r="C325" s="86">
        <f>'4A_DOC'!$B$45*$L$23</f>
        <v>0.17669352826124998</v>
      </c>
      <c r="D325" s="87">
        <v>1</v>
      </c>
      <c r="E325" s="87">
        <v>0</v>
      </c>
      <c r="F325" s="34">
        <v>0</v>
      </c>
      <c r="G325" s="88">
        <v>0.57999999999999996</v>
      </c>
      <c r="H325" s="87">
        <f t="shared" si="20"/>
        <v>3.6666666666666665</v>
      </c>
      <c r="I325" s="53">
        <f t="shared" si="21"/>
        <v>0</v>
      </c>
    </row>
    <row r="326" spans="1:9">
      <c r="A326" s="241"/>
      <c r="B326" s="53" t="s">
        <v>209</v>
      </c>
      <c r="C326" s="86">
        <f>'4A_DOC'!$B$46*$L$23</f>
        <v>0.13276971332624998</v>
      </c>
      <c r="D326" s="87">
        <v>1</v>
      </c>
      <c r="E326" s="87">
        <v>0</v>
      </c>
      <c r="F326" s="34">
        <v>0</v>
      </c>
      <c r="G326" s="88">
        <v>0.57999999999999996</v>
      </c>
      <c r="H326" s="87">
        <f t="shared" si="20"/>
        <v>3.6666666666666665</v>
      </c>
      <c r="I326" s="53">
        <f t="shared" si="21"/>
        <v>0</v>
      </c>
    </row>
    <row r="327" spans="1:9">
      <c r="A327" s="241"/>
      <c r="B327" s="53" t="s">
        <v>210</v>
      </c>
      <c r="C327" s="86">
        <f>'4A_DOC'!$B$47*$L$23</f>
        <v>0.61992475169624994</v>
      </c>
      <c r="D327" s="87">
        <v>0.9</v>
      </c>
      <c r="E327" s="87">
        <v>0</v>
      </c>
      <c r="F327" s="34">
        <v>0</v>
      </c>
      <c r="G327" s="88">
        <v>0.57999999999999996</v>
      </c>
      <c r="H327" s="87">
        <f t="shared" si="20"/>
        <v>3.6666666666666665</v>
      </c>
      <c r="I327" s="53">
        <f t="shared" si="21"/>
        <v>0</v>
      </c>
    </row>
    <row r="328" spans="1:9">
      <c r="A328" s="241" t="s">
        <v>48</v>
      </c>
      <c r="B328" s="241"/>
      <c r="C328" s="7"/>
      <c r="D328" s="53"/>
      <c r="E328" s="53"/>
      <c r="F328" s="53"/>
      <c r="G328" s="53"/>
      <c r="H328" s="53"/>
      <c r="I328" s="53"/>
    </row>
    <row r="329" spans="1:9">
      <c r="A329" s="200" t="s">
        <v>280</v>
      </c>
      <c r="B329" s="201"/>
      <c r="C329" s="201"/>
      <c r="D329" s="201"/>
      <c r="E329" s="201"/>
      <c r="F329" s="201"/>
      <c r="G329" s="201"/>
      <c r="H329" s="202"/>
      <c r="I329" s="93">
        <f>SUM(I319:I328)</f>
        <v>1.7303382135688625</v>
      </c>
    </row>
    <row r="330" spans="1:9">
      <c r="A330" s="237" t="s">
        <v>53</v>
      </c>
      <c r="B330" s="238"/>
      <c r="C330" s="238"/>
      <c r="D330" s="238"/>
      <c r="E330" s="238"/>
      <c r="F330" s="238"/>
      <c r="G330" s="238"/>
      <c r="H330" s="238"/>
      <c r="I330" s="238"/>
    </row>
    <row r="331" spans="1:9">
      <c r="A331" s="239" t="s">
        <v>54</v>
      </c>
      <c r="B331" s="240"/>
      <c r="C331" s="240"/>
      <c r="D331" s="240"/>
      <c r="E331" s="240"/>
      <c r="F331" s="240"/>
      <c r="G331" s="240"/>
      <c r="H331" s="240"/>
      <c r="I331" s="240"/>
    </row>
    <row r="332" spans="1:9">
      <c r="A332" s="239" t="s">
        <v>55</v>
      </c>
      <c r="B332" s="240"/>
      <c r="C332" s="240"/>
      <c r="D332" s="240"/>
      <c r="E332" s="240"/>
      <c r="F332" s="240"/>
      <c r="G332" s="240"/>
      <c r="H332" s="240"/>
      <c r="I332" s="240"/>
    </row>
    <row r="333" spans="1:9">
      <c r="A333" s="239" t="s">
        <v>96</v>
      </c>
      <c r="B333" s="240"/>
      <c r="C333" s="240"/>
      <c r="D333" s="240"/>
      <c r="E333" s="240"/>
      <c r="F333" s="240"/>
      <c r="G333" s="240"/>
      <c r="H333" s="240"/>
      <c r="I333" s="240"/>
    </row>
    <row r="334" spans="1:9">
      <c r="A334" s="239" t="s">
        <v>97</v>
      </c>
      <c r="B334" s="240"/>
      <c r="C334" s="240"/>
      <c r="D334" s="240"/>
      <c r="E334" s="240"/>
      <c r="F334" s="240"/>
      <c r="G334" s="240"/>
      <c r="H334" s="240"/>
      <c r="I334" s="240"/>
    </row>
    <row r="335" spans="1:9">
      <c r="A335" s="234" t="s">
        <v>200</v>
      </c>
      <c r="B335" s="235"/>
      <c r="C335" s="235"/>
      <c r="D335" s="235"/>
      <c r="E335" s="235"/>
      <c r="F335" s="235"/>
      <c r="G335" s="235"/>
      <c r="H335" s="235"/>
      <c r="I335" s="235"/>
    </row>
    <row r="338" spans="1:9">
      <c r="A338" s="198" t="s">
        <v>0</v>
      </c>
      <c r="B338" s="198"/>
      <c r="C338" s="199" t="s">
        <v>1</v>
      </c>
      <c r="D338" s="199"/>
      <c r="E338" s="199"/>
      <c r="F338" s="199"/>
      <c r="G338" s="199"/>
      <c r="H338" s="199"/>
      <c r="I338" s="199"/>
    </row>
    <row r="339" spans="1:9">
      <c r="A339" s="198" t="s">
        <v>2</v>
      </c>
      <c r="B339" s="198"/>
      <c r="C339" s="199" t="s">
        <v>75</v>
      </c>
      <c r="D339" s="199"/>
      <c r="E339" s="199"/>
      <c r="F339" s="199"/>
      <c r="G339" s="199"/>
      <c r="H339" s="199"/>
      <c r="I339" s="199"/>
    </row>
    <row r="340" spans="1:9">
      <c r="A340" s="198" t="s">
        <v>4</v>
      </c>
      <c r="B340" s="198"/>
      <c r="C340" s="199" t="s">
        <v>76</v>
      </c>
      <c r="D340" s="199"/>
      <c r="E340" s="199"/>
      <c r="F340" s="199"/>
      <c r="G340" s="199"/>
      <c r="H340" s="199"/>
      <c r="I340" s="199"/>
    </row>
    <row r="341" spans="1:9">
      <c r="A341" s="198" t="s">
        <v>6</v>
      </c>
      <c r="B341" s="198"/>
      <c r="C341" s="199" t="s">
        <v>77</v>
      </c>
      <c r="D341" s="199"/>
      <c r="E341" s="199"/>
      <c r="F341" s="199"/>
      <c r="G341" s="199"/>
      <c r="H341" s="199"/>
      <c r="I341" s="199"/>
    </row>
    <row r="342" spans="1:9">
      <c r="A342" s="231" t="s">
        <v>8</v>
      </c>
      <c r="B342" s="231"/>
      <c r="C342" s="231"/>
      <c r="D342" s="231" t="s">
        <v>9</v>
      </c>
      <c r="E342" s="236"/>
      <c r="F342" s="236"/>
      <c r="G342" s="236"/>
      <c r="H342" s="236"/>
      <c r="I342" s="136"/>
    </row>
    <row r="343" spans="1:9">
      <c r="A343" s="242"/>
      <c r="B343" s="242"/>
      <c r="C343" s="7" t="s">
        <v>58</v>
      </c>
      <c r="D343" s="7" t="s">
        <v>78</v>
      </c>
      <c r="E343" s="7" t="s">
        <v>79</v>
      </c>
      <c r="F343" s="7" t="s">
        <v>80</v>
      </c>
      <c r="G343" s="7" t="s">
        <v>81</v>
      </c>
      <c r="H343" s="7" t="s">
        <v>82</v>
      </c>
      <c r="I343" s="7" t="s">
        <v>83</v>
      </c>
    </row>
    <row r="344" spans="1:9" ht="25.5">
      <c r="A344" s="209" t="s">
        <v>84</v>
      </c>
      <c r="B344" s="209"/>
      <c r="C344" s="140" t="s">
        <v>85</v>
      </c>
      <c r="D344" s="242" t="s">
        <v>86</v>
      </c>
      <c r="E344" s="140" t="s">
        <v>87</v>
      </c>
      <c r="F344" s="140" t="s">
        <v>89</v>
      </c>
      <c r="G344" s="242" t="s">
        <v>91</v>
      </c>
      <c r="H344" s="242" t="s">
        <v>38</v>
      </c>
      <c r="I344" s="242" t="s">
        <v>92</v>
      </c>
    </row>
    <row r="345" spans="1:9" ht="14.25">
      <c r="A345" s="209"/>
      <c r="B345" s="209"/>
      <c r="C345" s="137" t="s">
        <v>37</v>
      </c>
      <c r="D345" s="232"/>
      <c r="E345" s="137" t="s">
        <v>88</v>
      </c>
      <c r="F345" s="137" t="s">
        <v>90</v>
      </c>
      <c r="G345" s="232"/>
      <c r="H345" s="232"/>
      <c r="I345" s="232"/>
    </row>
    <row r="346" spans="1:9">
      <c r="A346" s="210"/>
      <c r="B346" s="210"/>
      <c r="C346" s="137"/>
      <c r="D346" s="137" t="s">
        <v>39</v>
      </c>
      <c r="E346" s="137" t="s">
        <v>40</v>
      </c>
      <c r="F346" s="137" t="s">
        <v>41</v>
      </c>
      <c r="G346" s="137" t="s">
        <v>42</v>
      </c>
      <c r="H346" s="137"/>
      <c r="I346" s="137"/>
    </row>
    <row r="347" spans="1:9" ht="15.75">
      <c r="A347" s="210"/>
      <c r="B347" s="210"/>
      <c r="C347" s="8" t="s">
        <v>43</v>
      </c>
      <c r="D347" s="8" t="s">
        <v>44</v>
      </c>
      <c r="E347" s="8" t="s">
        <v>44</v>
      </c>
      <c r="F347" s="8" t="s">
        <v>44</v>
      </c>
      <c r="G347" s="8" t="s">
        <v>44</v>
      </c>
      <c r="H347" s="8" t="s">
        <v>45</v>
      </c>
      <c r="I347" s="8" t="s">
        <v>46</v>
      </c>
    </row>
    <row r="348" spans="1:9" ht="15" thickBot="1">
      <c r="A348" s="244"/>
      <c r="B348" s="244"/>
      <c r="C348" s="5" t="s">
        <v>93</v>
      </c>
      <c r="D348" s="5"/>
      <c r="E348" s="5"/>
      <c r="F348" s="5"/>
      <c r="G348" s="5"/>
      <c r="H348" s="5"/>
      <c r="I348" s="5" t="s">
        <v>94</v>
      </c>
    </row>
    <row r="349" spans="1:9" ht="13.5" thickTop="1">
      <c r="A349" s="241" t="s">
        <v>95</v>
      </c>
      <c r="B349" s="139" t="s">
        <v>203</v>
      </c>
      <c r="C349" s="86">
        <f>'4A_DOC'!$B$39*$L$24</f>
        <v>6.7683701498490008</v>
      </c>
      <c r="D349" s="87">
        <v>0.4</v>
      </c>
      <c r="E349" s="87">
        <v>0.38</v>
      </c>
      <c r="F349" s="34">
        <v>0</v>
      </c>
      <c r="G349" s="88">
        <v>0.57999999999999996</v>
      </c>
      <c r="H349" s="87">
        <f>44/12</f>
        <v>3.6666666666666665</v>
      </c>
      <c r="I349" s="139">
        <f>C349*D349*E349*F349*G349*H349</f>
        <v>0</v>
      </c>
    </row>
    <row r="350" spans="1:9">
      <c r="A350" s="241"/>
      <c r="B350" s="139" t="s">
        <v>204</v>
      </c>
      <c r="C350" s="86">
        <f>'4A_DOC'!$B$40*$L$24</f>
        <v>1.310040012435</v>
      </c>
      <c r="D350" s="87">
        <v>0.9</v>
      </c>
      <c r="E350" s="87">
        <v>0.46</v>
      </c>
      <c r="F350" s="34">
        <f>1/100</f>
        <v>0.01</v>
      </c>
      <c r="G350" s="88">
        <v>0.57999999999999996</v>
      </c>
      <c r="H350" s="87">
        <f t="shared" ref="H350:H357" si="22">44/12</f>
        <v>3.6666666666666665</v>
      </c>
      <c r="I350" s="139">
        <f t="shared" ref="I350:I357" si="23">C350*D350*E350*F350*G350*H350</f>
        <v>1.1534116285482713E-2</v>
      </c>
    </row>
    <row r="351" spans="1:9">
      <c r="A351" s="241"/>
      <c r="B351" s="139" t="s">
        <v>205</v>
      </c>
      <c r="C351" s="86">
        <f>'4A_DOC'!$B$41*$L$24</f>
        <v>0</v>
      </c>
      <c r="D351" s="87">
        <v>0.85</v>
      </c>
      <c r="E351" s="87">
        <v>0.5</v>
      </c>
      <c r="F351" s="34">
        <v>0</v>
      </c>
      <c r="G351" s="88">
        <v>0.57999999999999996</v>
      </c>
      <c r="H351" s="87">
        <f t="shared" si="22"/>
        <v>3.6666666666666665</v>
      </c>
      <c r="I351" s="139">
        <f t="shared" si="23"/>
        <v>0</v>
      </c>
    </row>
    <row r="352" spans="1:9">
      <c r="A352" s="241"/>
      <c r="B352" s="139" t="s">
        <v>47</v>
      </c>
      <c r="C352" s="86">
        <f>'4A_DOC'!$B$42*$L$24</f>
        <v>8.2578397671000017E-2</v>
      </c>
      <c r="D352" s="87">
        <v>0.8</v>
      </c>
      <c r="E352" s="87">
        <v>0.5</v>
      </c>
      <c r="F352" s="34">
        <f>20/100</f>
        <v>0.2</v>
      </c>
      <c r="G352" s="88">
        <v>0.57999999999999996</v>
      </c>
      <c r="H352" s="87">
        <f t="shared" si="22"/>
        <v>3.6666666666666665</v>
      </c>
      <c r="I352" s="139">
        <f t="shared" si="23"/>
        <v>1.4049338057092804E-2</v>
      </c>
    </row>
    <row r="353" spans="1:9">
      <c r="A353" s="241"/>
      <c r="B353" s="139" t="s">
        <v>206</v>
      </c>
      <c r="C353" s="86">
        <f>'4A_DOC'!$B$43*$L$24</f>
        <v>0</v>
      </c>
      <c r="D353" s="87">
        <v>0.84</v>
      </c>
      <c r="E353" s="87">
        <v>0.67</v>
      </c>
      <c r="F353" s="34">
        <f>20/100</f>
        <v>0.2</v>
      </c>
      <c r="G353" s="88">
        <v>0.57999999999999996</v>
      </c>
      <c r="H353" s="87">
        <f t="shared" si="22"/>
        <v>3.6666666666666665</v>
      </c>
      <c r="I353" s="139">
        <f t="shared" si="23"/>
        <v>0</v>
      </c>
    </row>
    <row r="354" spans="1:9">
      <c r="A354" s="241"/>
      <c r="B354" s="139" t="s">
        <v>207</v>
      </c>
      <c r="C354" s="86">
        <f>'4A_DOC'!$B$44*$L$24</f>
        <v>1.0918699247610002</v>
      </c>
      <c r="D354" s="87">
        <v>1</v>
      </c>
      <c r="E354" s="87">
        <v>0.75</v>
      </c>
      <c r="F354" s="34">
        <f>100/100</f>
        <v>1</v>
      </c>
      <c r="G354" s="88">
        <v>0.57999999999999996</v>
      </c>
      <c r="H354" s="87">
        <f t="shared" si="22"/>
        <v>3.6666666666666665</v>
      </c>
      <c r="I354" s="139">
        <f t="shared" si="23"/>
        <v>1.7415325299937949</v>
      </c>
    </row>
    <row r="355" spans="1:9">
      <c r="A355" s="241"/>
      <c r="B355" s="139" t="s">
        <v>208</v>
      </c>
      <c r="C355" s="86">
        <f>'4A_DOC'!$B$45*$L$24</f>
        <v>0.18044909120700001</v>
      </c>
      <c r="D355" s="87">
        <v>1</v>
      </c>
      <c r="E355" s="87">
        <v>0</v>
      </c>
      <c r="F355" s="34">
        <v>0</v>
      </c>
      <c r="G355" s="88">
        <v>0.57999999999999996</v>
      </c>
      <c r="H355" s="87">
        <f t="shared" si="22"/>
        <v>3.6666666666666665</v>
      </c>
      <c r="I355" s="139">
        <f t="shared" si="23"/>
        <v>0</v>
      </c>
    </row>
    <row r="356" spans="1:9">
      <c r="A356" s="241"/>
      <c r="B356" s="139" t="s">
        <v>209</v>
      </c>
      <c r="C356" s="86">
        <f>'4A_DOC'!$B$46*$L$24</f>
        <v>0.135591690003</v>
      </c>
      <c r="D356" s="87">
        <v>1</v>
      </c>
      <c r="E356" s="87">
        <v>0</v>
      </c>
      <c r="F356" s="34">
        <v>0</v>
      </c>
      <c r="G356" s="88">
        <v>0.57999999999999996</v>
      </c>
      <c r="H356" s="87">
        <f t="shared" si="22"/>
        <v>3.6666666666666665</v>
      </c>
      <c r="I356" s="139">
        <f t="shared" si="23"/>
        <v>0</v>
      </c>
    </row>
    <row r="357" spans="1:9">
      <c r="A357" s="241"/>
      <c r="B357" s="139" t="s">
        <v>210</v>
      </c>
      <c r="C357" s="86">
        <f>'4A_DOC'!$B$47*$L$24</f>
        <v>0.63310104881100004</v>
      </c>
      <c r="D357" s="87">
        <v>0.9</v>
      </c>
      <c r="E357" s="87">
        <v>0</v>
      </c>
      <c r="F357" s="34">
        <v>0</v>
      </c>
      <c r="G357" s="88">
        <v>0.57999999999999996</v>
      </c>
      <c r="H357" s="87">
        <f t="shared" si="22"/>
        <v>3.6666666666666665</v>
      </c>
      <c r="I357" s="139">
        <f t="shared" si="23"/>
        <v>0</v>
      </c>
    </row>
    <row r="358" spans="1:9">
      <c r="A358" s="241" t="s">
        <v>48</v>
      </c>
      <c r="B358" s="241"/>
      <c r="C358" s="7"/>
      <c r="D358" s="139"/>
      <c r="E358" s="139"/>
      <c r="F358" s="139"/>
      <c r="G358" s="139"/>
      <c r="H358" s="139"/>
      <c r="I358" s="139"/>
    </row>
    <row r="359" spans="1:9">
      <c r="A359" s="200" t="s">
        <v>281</v>
      </c>
      <c r="B359" s="201"/>
      <c r="C359" s="201"/>
      <c r="D359" s="201"/>
      <c r="E359" s="201"/>
      <c r="F359" s="201"/>
      <c r="G359" s="201"/>
      <c r="H359" s="202"/>
      <c r="I359" s="93">
        <f>SUM(I349:I358)</f>
        <v>1.7671159843363704</v>
      </c>
    </row>
    <row r="360" spans="1:9">
      <c r="A360" s="237" t="s">
        <v>53</v>
      </c>
      <c r="B360" s="238"/>
      <c r="C360" s="238"/>
      <c r="D360" s="238"/>
      <c r="E360" s="238"/>
      <c r="F360" s="238"/>
      <c r="G360" s="238"/>
      <c r="H360" s="238"/>
      <c r="I360" s="238"/>
    </row>
    <row r="361" spans="1:9">
      <c r="A361" s="239" t="s">
        <v>54</v>
      </c>
      <c r="B361" s="240"/>
      <c r="C361" s="240"/>
      <c r="D361" s="240"/>
      <c r="E361" s="240"/>
      <c r="F361" s="240"/>
      <c r="G361" s="240"/>
      <c r="H361" s="240"/>
      <c r="I361" s="240"/>
    </row>
    <row r="362" spans="1:9">
      <c r="A362" s="239" t="s">
        <v>55</v>
      </c>
      <c r="B362" s="240"/>
      <c r="C362" s="240"/>
      <c r="D362" s="240"/>
      <c r="E362" s="240"/>
      <c r="F362" s="240"/>
      <c r="G362" s="240"/>
      <c r="H362" s="240"/>
      <c r="I362" s="240"/>
    </row>
    <row r="363" spans="1:9">
      <c r="A363" s="239" t="s">
        <v>96</v>
      </c>
      <c r="B363" s="240"/>
      <c r="C363" s="240"/>
      <c r="D363" s="240"/>
      <c r="E363" s="240"/>
      <c r="F363" s="240"/>
      <c r="G363" s="240"/>
      <c r="H363" s="240"/>
      <c r="I363" s="240"/>
    </row>
    <row r="364" spans="1:9">
      <c r="A364" s="239" t="s">
        <v>97</v>
      </c>
      <c r="B364" s="240"/>
      <c r="C364" s="240"/>
      <c r="D364" s="240"/>
      <c r="E364" s="240"/>
      <c r="F364" s="240"/>
      <c r="G364" s="240"/>
      <c r="H364" s="240"/>
      <c r="I364" s="240"/>
    </row>
    <row r="365" spans="1:9">
      <c r="A365" s="234" t="s">
        <v>200</v>
      </c>
      <c r="B365" s="235"/>
      <c r="C365" s="235"/>
      <c r="D365" s="235"/>
      <c r="E365" s="235"/>
      <c r="F365" s="235"/>
      <c r="G365" s="235"/>
      <c r="H365" s="235"/>
      <c r="I365" s="235"/>
    </row>
    <row r="368" spans="1:9">
      <c r="A368" s="198" t="s">
        <v>0</v>
      </c>
      <c r="B368" s="198"/>
      <c r="C368" s="199" t="s">
        <v>1</v>
      </c>
      <c r="D368" s="199"/>
      <c r="E368" s="199"/>
      <c r="F368" s="199"/>
      <c r="G368" s="199"/>
      <c r="H368" s="199"/>
      <c r="I368" s="199"/>
    </row>
    <row r="369" spans="1:9">
      <c r="A369" s="198" t="s">
        <v>2</v>
      </c>
      <c r="B369" s="198"/>
      <c r="C369" s="199" t="s">
        <v>75</v>
      </c>
      <c r="D369" s="199"/>
      <c r="E369" s="199"/>
      <c r="F369" s="199"/>
      <c r="G369" s="199"/>
      <c r="H369" s="199"/>
      <c r="I369" s="199"/>
    </row>
    <row r="370" spans="1:9">
      <c r="A370" s="198" t="s">
        <v>4</v>
      </c>
      <c r="B370" s="198"/>
      <c r="C370" s="199" t="s">
        <v>76</v>
      </c>
      <c r="D370" s="199"/>
      <c r="E370" s="199"/>
      <c r="F370" s="199"/>
      <c r="G370" s="199"/>
      <c r="H370" s="199"/>
      <c r="I370" s="199"/>
    </row>
    <row r="371" spans="1:9">
      <c r="A371" s="198" t="s">
        <v>6</v>
      </c>
      <c r="B371" s="198"/>
      <c r="C371" s="199" t="s">
        <v>77</v>
      </c>
      <c r="D371" s="199"/>
      <c r="E371" s="199"/>
      <c r="F371" s="199"/>
      <c r="G371" s="199"/>
      <c r="H371" s="199"/>
      <c r="I371" s="199"/>
    </row>
    <row r="372" spans="1:9">
      <c r="A372" s="231" t="s">
        <v>8</v>
      </c>
      <c r="B372" s="231"/>
      <c r="C372" s="231"/>
      <c r="D372" s="231" t="s">
        <v>9</v>
      </c>
      <c r="E372" s="236"/>
      <c r="F372" s="236"/>
      <c r="G372" s="236"/>
      <c r="H372" s="236"/>
      <c r="I372" s="136"/>
    </row>
    <row r="373" spans="1:9">
      <c r="A373" s="242"/>
      <c r="B373" s="242"/>
      <c r="C373" s="7" t="s">
        <v>58</v>
      </c>
      <c r="D373" s="7" t="s">
        <v>78</v>
      </c>
      <c r="E373" s="7" t="s">
        <v>79</v>
      </c>
      <c r="F373" s="7" t="s">
        <v>80</v>
      </c>
      <c r="G373" s="7" t="s">
        <v>81</v>
      </c>
      <c r="H373" s="7" t="s">
        <v>82</v>
      </c>
      <c r="I373" s="7" t="s">
        <v>83</v>
      </c>
    </row>
    <row r="374" spans="1:9" ht="25.5">
      <c r="A374" s="209" t="s">
        <v>84</v>
      </c>
      <c r="B374" s="209"/>
      <c r="C374" s="140" t="s">
        <v>85</v>
      </c>
      <c r="D374" s="242" t="s">
        <v>86</v>
      </c>
      <c r="E374" s="140" t="s">
        <v>87</v>
      </c>
      <c r="F374" s="140" t="s">
        <v>89</v>
      </c>
      <c r="G374" s="242" t="s">
        <v>91</v>
      </c>
      <c r="H374" s="242" t="s">
        <v>38</v>
      </c>
      <c r="I374" s="242" t="s">
        <v>92</v>
      </c>
    </row>
    <row r="375" spans="1:9" ht="14.25">
      <c r="A375" s="209"/>
      <c r="B375" s="209"/>
      <c r="C375" s="137" t="s">
        <v>37</v>
      </c>
      <c r="D375" s="232"/>
      <c r="E375" s="137" t="s">
        <v>88</v>
      </c>
      <c r="F375" s="137" t="s">
        <v>90</v>
      </c>
      <c r="G375" s="232"/>
      <c r="H375" s="232"/>
      <c r="I375" s="232"/>
    </row>
    <row r="376" spans="1:9">
      <c r="A376" s="210"/>
      <c r="B376" s="210"/>
      <c r="C376" s="137"/>
      <c r="D376" s="137" t="s">
        <v>39</v>
      </c>
      <c r="E376" s="137" t="s">
        <v>40</v>
      </c>
      <c r="F376" s="137" t="s">
        <v>41</v>
      </c>
      <c r="G376" s="137" t="s">
        <v>42</v>
      </c>
      <c r="H376" s="137"/>
      <c r="I376" s="137"/>
    </row>
    <row r="377" spans="1:9" ht="15.75">
      <c r="A377" s="210"/>
      <c r="B377" s="210"/>
      <c r="C377" s="8" t="s">
        <v>43</v>
      </c>
      <c r="D377" s="8" t="s">
        <v>44</v>
      </c>
      <c r="E377" s="8" t="s">
        <v>44</v>
      </c>
      <c r="F377" s="8" t="s">
        <v>44</v>
      </c>
      <c r="G377" s="8" t="s">
        <v>44</v>
      </c>
      <c r="H377" s="8" t="s">
        <v>45</v>
      </c>
      <c r="I377" s="8" t="s">
        <v>46</v>
      </c>
    </row>
    <row r="378" spans="1:9" ht="15" thickBot="1">
      <c r="A378" s="244"/>
      <c r="B378" s="244"/>
      <c r="C378" s="5" t="s">
        <v>93</v>
      </c>
      <c r="D378" s="5"/>
      <c r="E378" s="5"/>
      <c r="F378" s="5"/>
      <c r="G378" s="5"/>
      <c r="H378" s="5"/>
      <c r="I378" s="5" t="s">
        <v>94</v>
      </c>
    </row>
    <row r="379" spans="1:9" ht="13.5" thickTop="1">
      <c r="A379" s="241" t="s">
        <v>95</v>
      </c>
      <c r="B379" s="139" t="s">
        <v>203</v>
      </c>
      <c r="C379" s="86">
        <f>'4A_DOC'!$B$39*$L$25</f>
        <v>6.9092355871192499</v>
      </c>
      <c r="D379" s="87">
        <v>0.4</v>
      </c>
      <c r="E379" s="87">
        <v>0.38</v>
      </c>
      <c r="F379" s="34">
        <v>0</v>
      </c>
      <c r="G379" s="88">
        <v>0.57999999999999996</v>
      </c>
      <c r="H379" s="87">
        <f>44/12</f>
        <v>3.6666666666666665</v>
      </c>
      <c r="I379" s="139">
        <f>C379*D379*E379*F379*G379*H379</f>
        <v>0</v>
      </c>
    </row>
    <row r="380" spans="1:9">
      <c r="A380" s="241"/>
      <c r="B380" s="139" t="s">
        <v>204</v>
      </c>
      <c r="C380" s="86">
        <f>'4A_DOC'!$B$40*$L$25</f>
        <v>1.33730497506375</v>
      </c>
      <c r="D380" s="87">
        <v>0.9</v>
      </c>
      <c r="E380" s="87">
        <v>0.46</v>
      </c>
      <c r="F380" s="34">
        <f>1/100</f>
        <v>0.01</v>
      </c>
      <c r="G380" s="88">
        <v>0.57999999999999996</v>
      </c>
      <c r="H380" s="87">
        <f t="shared" ref="H380:H387" si="24">44/12</f>
        <v>3.6666666666666665</v>
      </c>
      <c r="I380" s="139">
        <f t="shared" ref="I380:I387" si="25">C380*D380*E380*F380*G380*H380</f>
        <v>1.1774167922451281E-2</v>
      </c>
    </row>
    <row r="381" spans="1:9">
      <c r="A381" s="241"/>
      <c r="B381" s="139" t="s">
        <v>205</v>
      </c>
      <c r="C381" s="86">
        <f>'4A_DOC'!$B$41*$L$25</f>
        <v>0</v>
      </c>
      <c r="D381" s="87">
        <v>0.85</v>
      </c>
      <c r="E381" s="87">
        <v>0.5</v>
      </c>
      <c r="F381" s="34">
        <v>0</v>
      </c>
      <c r="G381" s="88">
        <v>0.57999999999999996</v>
      </c>
      <c r="H381" s="87">
        <f t="shared" si="24"/>
        <v>3.6666666666666665</v>
      </c>
      <c r="I381" s="139">
        <f t="shared" si="25"/>
        <v>0</v>
      </c>
    </row>
    <row r="382" spans="1:9">
      <c r="A382" s="241"/>
      <c r="B382" s="139" t="s">
        <v>47</v>
      </c>
      <c r="C382" s="86">
        <f>'4A_DOC'!$B$42*$L$25</f>
        <v>8.4297045120750008E-2</v>
      </c>
      <c r="D382" s="87">
        <v>0.8</v>
      </c>
      <c r="E382" s="87">
        <v>0.5</v>
      </c>
      <c r="F382" s="34">
        <f>20/100</f>
        <v>0.2</v>
      </c>
      <c r="G382" s="88">
        <v>0.57999999999999996</v>
      </c>
      <c r="H382" s="87">
        <f t="shared" si="24"/>
        <v>3.6666666666666665</v>
      </c>
      <c r="I382" s="139">
        <f t="shared" si="25"/>
        <v>1.4341737276543602E-2</v>
      </c>
    </row>
    <row r="383" spans="1:9">
      <c r="A383" s="241"/>
      <c r="B383" s="139" t="s">
        <v>206</v>
      </c>
      <c r="C383" s="86">
        <f>'4A_DOC'!$B$43*$L$25</f>
        <v>0</v>
      </c>
      <c r="D383" s="87">
        <v>0.84</v>
      </c>
      <c r="E383" s="87">
        <v>0.67</v>
      </c>
      <c r="F383" s="34">
        <f>20/100</f>
        <v>0.2</v>
      </c>
      <c r="G383" s="88">
        <v>0.57999999999999996</v>
      </c>
      <c r="H383" s="87">
        <f t="shared" si="24"/>
        <v>3.6666666666666665</v>
      </c>
      <c r="I383" s="139">
        <f t="shared" si="25"/>
        <v>0</v>
      </c>
    </row>
    <row r="384" spans="1:9">
      <c r="A384" s="241"/>
      <c r="B384" s="139" t="s">
        <v>207</v>
      </c>
      <c r="C384" s="86">
        <f>'4A_DOC'!$B$44*$L$25</f>
        <v>1.1145942632632502</v>
      </c>
      <c r="D384" s="87">
        <v>1</v>
      </c>
      <c r="E384" s="87">
        <v>0.75</v>
      </c>
      <c r="F384" s="34">
        <f>100/100</f>
        <v>1</v>
      </c>
      <c r="G384" s="88">
        <v>0.57999999999999996</v>
      </c>
      <c r="H384" s="87">
        <f t="shared" si="24"/>
        <v>3.6666666666666665</v>
      </c>
      <c r="I384" s="139">
        <f t="shared" si="25"/>
        <v>1.7777778499048837</v>
      </c>
    </row>
    <row r="385" spans="1:9">
      <c r="A385" s="241"/>
      <c r="B385" s="139" t="s">
        <v>208</v>
      </c>
      <c r="C385" s="86">
        <f>'4A_DOC'!$B$45*$L$25</f>
        <v>0.18420465415275</v>
      </c>
      <c r="D385" s="87">
        <v>1</v>
      </c>
      <c r="E385" s="87">
        <v>0</v>
      </c>
      <c r="F385" s="34">
        <v>0</v>
      </c>
      <c r="G385" s="88">
        <v>0.57999999999999996</v>
      </c>
      <c r="H385" s="87">
        <f t="shared" si="24"/>
        <v>3.6666666666666665</v>
      </c>
      <c r="I385" s="139">
        <f t="shared" si="25"/>
        <v>0</v>
      </c>
    </row>
    <row r="386" spans="1:9">
      <c r="A386" s="241"/>
      <c r="B386" s="139" t="s">
        <v>209</v>
      </c>
      <c r="C386" s="86">
        <f>'4A_DOC'!$B$46*$L$25</f>
        <v>0.13841366667975</v>
      </c>
      <c r="D386" s="87">
        <v>1</v>
      </c>
      <c r="E386" s="87">
        <v>0</v>
      </c>
      <c r="F386" s="34">
        <v>0</v>
      </c>
      <c r="G386" s="88">
        <v>0.57999999999999996</v>
      </c>
      <c r="H386" s="87">
        <f t="shared" si="24"/>
        <v>3.6666666666666665</v>
      </c>
      <c r="I386" s="139">
        <f t="shared" si="25"/>
        <v>0</v>
      </c>
    </row>
    <row r="387" spans="1:9">
      <c r="A387" s="241"/>
      <c r="B387" s="139" t="s">
        <v>210</v>
      </c>
      <c r="C387" s="86">
        <f>'4A_DOC'!$B$47*$L$25</f>
        <v>0.64627734592575004</v>
      </c>
      <c r="D387" s="87">
        <v>0.9</v>
      </c>
      <c r="E387" s="87">
        <v>0</v>
      </c>
      <c r="F387" s="34">
        <v>0</v>
      </c>
      <c r="G387" s="88">
        <v>0.57999999999999996</v>
      </c>
      <c r="H387" s="87">
        <f t="shared" si="24"/>
        <v>3.6666666666666665</v>
      </c>
      <c r="I387" s="139">
        <f t="shared" si="25"/>
        <v>0</v>
      </c>
    </row>
    <row r="388" spans="1:9">
      <c r="A388" s="241" t="s">
        <v>48</v>
      </c>
      <c r="B388" s="241"/>
      <c r="C388" s="7"/>
      <c r="D388" s="139"/>
      <c r="E388" s="139"/>
      <c r="F388" s="139"/>
      <c r="G388" s="139"/>
      <c r="H388" s="139"/>
      <c r="I388" s="139"/>
    </row>
    <row r="389" spans="1:9">
      <c r="A389" s="200" t="s">
        <v>282</v>
      </c>
      <c r="B389" s="201"/>
      <c r="C389" s="201"/>
      <c r="D389" s="201"/>
      <c r="E389" s="201"/>
      <c r="F389" s="201"/>
      <c r="G389" s="201"/>
      <c r="H389" s="202"/>
      <c r="I389" s="93">
        <f>SUM(I379:I388)</f>
        <v>1.8038937551038787</v>
      </c>
    </row>
    <row r="390" spans="1:9">
      <c r="A390" s="237" t="s">
        <v>53</v>
      </c>
      <c r="B390" s="238"/>
      <c r="C390" s="238"/>
      <c r="D390" s="238"/>
      <c r="E390" s="238"/>
      <c r="F390" s="238"/>
      <c r="G390" s="238"/>
      <c r="H390" s="238"/>
      <c r="I390" s="238"/>
    </row>
    <row r="391" spans="1:9">
      <c r="A391" s="239" t="s">
        <v>54</v>
      </c>
      <c r="B391" s="240"/>
      <c r="C391" s="240"/>
      <c r="D391" s="240"/>
      <c r="E391" s="240"/>
      <c r="F391" s="240"/>
      <c r="G391" s="240"/>
      <c r="H391" s="240"/>
      <c r="I391" s="240"/>
    </row>
    <row r="392" spans="1:9">
      <c r="A392" s="239" t="s">
        <v>55</v>
      </c>
      <c r="B392" s="240"/>
      <c r="C392" s="240"/>
      <c r="D392" s="240"/>
      <c r="E392" s="240"/>
      <c r="F392" s="240"/>
      <c r="G392" s="240"/>
      <c r="H392" s="240"/>
      <c r="I392" s="240"/>
    </row>
    <row r="393" spans="1:9">
      <c r="A393" s="239" t="s">
        <v>96</v>
      </c>
      <c r="B393" s="240"/>
      <c r="C393" s="240"/>
      <c r="D393" s="240"/>
      <c r="E393" s="240"/>
      <c r="F393" s="240"/>
      <c r="G393" s="240"/>
      <c r="H393" s="240"/>
      <c r="I393" s="240"/>
    </row>
    <row r="394" spans="1:9">
      <c r="A394" s="239" t="s">
        <v>97</v>
      </c>
      <c r="B394" s="240"/>
      <c r="C394" s="240"/>
      <c r="D394" s="240"/>
      <c r="E394" s="240"/>
      <c r="F394" s="240"/>
      <c r="G394" s="240"/>
      <c r="H394" s="240"/>
      <c r="I394" s="240"/>
    </row>
    <row r="395" spans="1:9">
      <c r="A395" s="234" t="s">
        <v>200</v>
      </c>
      <c r="B395" s="235"/>
      <c r="C395" s="235"/>
      <c r="D395" s="235"/>
      <c r="E395" s="235"/>
      <c r="F395" s="235"/>
      <c r="G395" s="235"/>
      <c r="H395" s="235"/>
      <c r="I395" s="235"/>
    </row>
    <row r="398" spans="1:9">
      <c r="A398" s="198" t="s">
        <v>0</v>
      </c>
      <c r="B398" s="198"/>
      <c r="C398" s="199" t="s">
        <v>1</v>
      </c>
      <c r="D398" s="199"/>
      <c r="E398" s="199"/>
      <c r="F398" s="199"/>
      <c r="G398" s="199"/>
      <c r="H398" s="199"/>
      <c r="I398" s="199"/>
    </row>
    <row r="399" spans="1:9">
      <c r="A399" s="198" t="s">
        <v>2</v>
      </c>
      <c r="B399" s="198"/>
      <c r="C399" s="199" t="s">
        <v>75</v>
      </c>
      <c r="D399" s="199"/>
      <c r="E399" s="199"/>
      <c r="F399" s="199"/>
      <c r="G399" s="199"/>
      <c r="H399" s="199"/>
      <c r="I399" s="199"/>
    </row>
    <row r="400" spans="1:9">
      <c r="A400" s="198" t="s">
        <v>4</v>
      </c>
      <c r="B400" s="198"/>
      <c r="C400" s="199" t="s">
        <v>76</v>
      </c>
      <c r="D400" s="199"/>
      <c r="E400" s="199"/>
      <c r="F400" s="199"/>
      <c r="G400" s="199"/>
      <c r="H400" s="199"/>
      <c r="I400" s="199"/>
    </row>
    <row r="401" spans="1:9">
      <c r="A401" s="198" t="s">
        <v>6</v>
      </c>
      <c r="B401" s="198"/>
      <c r="C401" s="199" t="s">
        <v>77</v>
      </c>
      <c r="D401" s="199"/>
      <c r="E401" s="199"/>
      <c r="F401" s="199"/>
      <c r="G401" s="199"/>
      <c r="H401" s="199"/>
      <c r="I401" s="199"/>
    </row>
    <row r="402" spans="1:9">
      <c r="A402" s="231" t="s">
        <v>8</v>
      </c>
      <c r="B402" s="231"/>
      <c r="C402" s="231"/>
      <c r="D402" s="231" t="s">
        <v>9</v>
      </c>
      <c r="E402" s="236"/>
      <c r="F402" s="236"/>
      <c r="G402" s="236"/>
      <c r="H402" s="236"/>
      <c r="I402" s="136"/>
    </row>
    <row r="403" spans="1:9">
      <c r="A403" s="242"/>
      <c r="B403" s="242"/>
      <c r="C403" s="7" t="s">
        <v>58</v>
      </c>
      <c r="D403" s="7" t="s">
        <v>78</v>
      </c>
      <c r="E403" s="7" t="s">
        <v>79</v>
      </c>
      <c r="F403" s="7" t="s">
        <v>80</v>
      </c>
      <c r="G403" s="7" t="s">
        <v>81</v>
      </c>
      <c r="H403" s="7" t="s">
        <v>82</v>
      </c>
      <c r="I403" s="7" t="s">
        <v>83</v>
      </c>
    </row>
    <row r="404" spans="1:9" ht="25.5">
      <c r="A404" s="209" t="s">
        <v>84</v>
      </c>
      <c r="B404" s="209"/>
      <c r="C404" s="140" t="s">
        <v>85</v>
      </c>
      <c r="D404" s="242" t="s">
        <v>86</v>
      </c>
      <c r="E404" s="140" t="s">
        <v>87</v>
      </c>
      <c r="F404" s="140" t="s">
        <v>89</v>
      </c>
      <c r="G404" s="242" t="s">
        <v>91</v>
      </c>
      <c r="H404" s="242" t="s">
        <v>38</v>
      </c>
      <c r="I404" s="242" t="s">
        <v>92</v>
      </c>
    </row>
    <row r="405" spans="1:9" ht="14.25">
      <c r="A405" s="209"/>
      <c r="B405" s="209"/>
      <c r="C405" s="137" t="s">
        <v>37</v>
      </c>
      <c r="D405" s="232"/>
      <c r="E405" s="137" t="s">
        <v>88</v>
      </c>
      <c r="F405" s="137" t="s">
        <v>90</v>
      </c>
      <c r="G405" s="232"/>
      <c r="H405" s="232"/>
      <c r="I405" s="232"/>
    </row>
    <row r="406" spans="1:9">
      <c r="A406" s="210"/>
      <c r="B406" s="210"/>
      <c r="C406" s="137"/>
      <c r="D406" s="137" t="s">
        <v>39</v>
      </c>
      <c r="E406" s="137" t="s">
        <v>40</v>
      </c>
      <c r="F406" s="137" t="s">
        <v>41</v>
      </c>
      <c r="G406" s="137" t="s">
        <v>42</v>
      </c>
      <c r="H406" s="137"/>
      <c r="I406" s="137"/>
    </row>
    <row r="407" spans="1:9" ht="15.75">
      <c r="A407" s="210"/>
      <c r="B407" s="210"/>
      <c r="C407" s="8" t="s">
        <v>43</v>
      </c>
      <c r="D407" s="8" t="s">
        <v>44</v>
      </c>
      <c r="E407" s="8" t="s">
        <v>44</v>
      </c>
      <c r="F407" s="8" t="s">
        <v>44</v>
      </c>
      <c r="G407" s="8" t="s">
        <v>44</v>
      </c>
      <c r="H407" s="8" t="s">
        <v>45</v>
      </c>
      <c r="I407" s="8" t="s">
        <v>46</v>
      </c>
    </row>
    <row r="408" spans="1:9" ht="15" thickBot="1">
      <c r="A408" s="244"/>
      <c r="B408" s="244"/>
      <c r="C408" s="5" t="s">
        <v>93</v>
      </c>
      <c r="D408" s="5"/>
      <c r="E408" s="5"/>
      <c r="F408" s="5"/>
      <c r="G408" s="5"/>
      <c r="H408" s="5"/>
      <c r="I408" s="5" t="s">
        <v>94</v>
      </c>
    </row>
    <row r="409" spans="1:9" ht="13.5" thickTop="1">
      <c r="A409" s="241" t="s">
        <v>95</v>
      </c>
      <c r="B409" s="139" t="s">
        <v>203</v>
      </c>
      <c r="C409" s="86">
        <f>'4A_DOC'!$B$39*$L$26</f>
        <v>7.0501010243895008</v>
      </c>
      <c r="D409" s="87">
        <v>0.4</v>
      </c>
      <c r="E409" s="87">
        <v>0.38</v>
      </c>
      <c r="F409" s="34">
        <v>0</v>
      </c>
      <c r="G409" s="88">
        <v>0.57999999999999996</v>
      </c>
      <c r="H409" s="87">
        <f>44/12</f>
        <v>3.6666666666666665</v>
      </c>
      <c r="I409" s="139">
        <f>C409*D409*E409*F409*G409*H409</f>
        <v>0</v>
      </c>
    </row>
    <row r="410" spans="1:9">
      <c r="A410" s="241"/>
      <c r="B410" s="139" t="s">
        <v>204</v>
      </c>
      <c r="C410" s="86">
        <f>'4A_DOC'!$B$40*$L$26</f>
        <v>1.3645699376925</v>
      </c>
      <c r="D410" s="87">
        <v>0.9</v>
      </c>
      <c r="E410" s="87">
        <v>0.46</v>
      </c>
      <c r="F410" s="34">
        <f>1/100</f>
        <v>0.01</v>
      </c>
      <c r="G410" s="88">
        <v>0.57999999999999996</v>
      </c>
      <c r="H410" s="87">
        <f t="shared" ref="H410:H417" si="26">44/12</f>
        <v>3.6666666666666665</v>
      </c>
      <c r="I410" s="139">
        <f t="shared" ref="I410:I417" si="27">C410*D410*E410*F410*G410*H410</f>
        <v>1.2014219559419849E-2</v>
      </c>
    </row>
    <row r="411" spans="1:9">
      <c r="A411" s="241"/>
      <c r="B411" s="139" t="s">
        <v>205</v>
      </c>
      <c r="C411" s="86">
        <f>'4A_DOC'!$B$41*$L$26</f>
        <v>0</v>
      </c>
      <c r="D411" s="87">
        <v>0.85</v>
      </c>
      <c r="E411" s="87">
        <v>0.5</v>
      </c>
      <c r="F411" s="34">
        <v>0</v>
      </c>
      <c r="G411" s="88">
        <v>0.57999999999999996</v>
      </c>
      <c r="H411" s="87">
        <f t="shared" si="26"/>
        <v>3.6666666666666665</v>
      </c>
      <c r="I411" s="139">
        <f t="shared" si="27"/>
        <v>0</v>
      </c>
    </row>
    <row r="412" spans="1:9">
      <c r="A412" s="241"/>
      <c r="B412" s="139" t="s">
        <v>47</v>
      </c>
      <c r="C412" s="86">
        <f>'4A_DOC'!$B$42*$L$26</f>
        <v>8.6015692570500013E-2</v>
      </c>
      <c r="D412" s="87">
        <v>0.8</v>
      </c>
      <c r="E412" s="87">
        <v>0.5</v>
      </c>
      <c r="F412" s="34">
        <f>20/100</f>
        <v>0.2</v>
      </c>
      <c r="G412" s="88">
        <v>0.57999999999999996</v>
      </c>
      <c r="H412" s="87">
        <f t="shared" si="26"/>
        <v>3.6666666666666665</v>
      </c>
      <c r="I412" s="139">
        <f t="shared" si="27"/>
        <v>1.4634136495994401E-2</v>
      </c>
    </row>
    <row r="413" spans="1:9">
      <c r="A413" s="241"/>
      <c r="B413" s="139" t="s">
        <v>206</v>
      </c>
      <c r="C413" s="86">
        <f>'4A_DOC'!$B$43*$L$26</f>
        <v>0</v>
      </c>
      <c r="D413" s="87">
        <v>0.84</v>
      </c>
      <c r="E413" s="87">
        <v>0.67</v>
      </c>
      <c r="F413" s="34">
        <f>20/100</f>
        <v>0.2</v>
      </c>
      <c r="G413" s="88">
        <v>0.57999999999999996</v>
      </c>
      <c r="H413" s="87">
        <f t="shared" si="26"/>
        <v>3.6666666666666665</v>
      </c>
      <c r="I413" s="139">
        <f t="shared" si="27"/>
        <v>0</v>
      </c>
    </row>
    <row r="414" spans="1:9">
      <c r="A414" s="241"/>
      <c r="B414" s="139" t="s">
        <v>207</v>
      </c>
      <c r="C414" s="86">
        <f>'4A_DOC'!$B$44*$L$26</f>
        <v>1.1373186017655001</v>
      </c>
      <c r="D414" s="87">
        <v>1</v>
      </c>
      <c r="E414" s="87">
        <v>0.75</v>
      </c>
      <c r="F414" s="34">
        <f>100/100</f>
        <v>1</v>
      </c>
      <c r="G414" s="88">
        <v>0.57999999999999996</v>
      </c>
      <c r="H414" s="87">
        <f t="shared" si="26"/>
        <v>3.6666666666666665</v>
      </c>
      <c r="I414" s="139">
        <f t="shared" si="27"/>
        <v>1.8140231698159726</v>
      </c>
    </row>
    <row r="415" spans="1:9">
      <c r="A415" s="241"/>
      <c r="B415" s="139" t="s">
        <v>208</v>
      </c>
      <c r="C415" s="86">
        <f>'4A_DOC'!$B$45*$L$26</f>
        <v>0.1879602170985</v>
      </c>
      <c r="D415" s="87">
        <v>1</v>
      </c>
      <c r="E415" s="87">
        <v>0</v>
      </c>
      <c r="F415" s="34">
        <v>0</v>
      </c>
      <c r="G415" s="88">
        <v>0.57999999999999996</v>
      </c>
      <c r="H415" s="87">
        <f t="shared" si="26"/>
        <v>3.6666666666666665</v>
      </c>
      <c r="I415" s="139">
        <f t="shared" si="27"/>
        <v>0</v>
      </c>
    </row>
    <row r="416" spans="1:9">
      <c r="A416" s="241"/>
      <c r="B416" s="139" t="s">
        <v>209</v>
      </c>
      <c r="C416" s="86">
        <f>'4A_DOC'!$B$46*$L$26</f>
        <v>0.14123564335650002</v>
      </c>
      <c r="D416" s="87">
        <v>1</v>
      </c>
      <c r="E416" s="87">
        <v>0</v>
      </c>
      <c r="F416" s="34">
        <v>0</v>
      </c>
      <c r="G416" s="88">
        <v>0.57999999999999996</v>
      </c>
      <c r="H416" s="87">
        <f t="shared" si="26"/>
        <v>3.6666666666666665</v>
      </c>
      <c r="I416" s="139">
        <f t="shared" si="27"/>
        <v>0</v>
      </c>
    </row>
    <row r="417" spans="1:9">
      <c r="A417" s="241"/>
      <c r="B417" s="139" t="s">
        <v>210</v>
      </c>
      <c r="C417" s="86">
        <f>'4A_DOC'!$B$47*$L$26</f>
        <v>0.65945364304050003</v>
      </c>
      <c r="D417" s="87">
        <v>0.9</v>
      </c>
      <c r="E417" s="87">
        <v>0</v>
      </c>
      <c r="F417" s="34">
        <v>0</v>
      </c>
      <c r="G417" s="88">
        <v>0.57999999999999996</v>
      </c>
      <c r="H417" s="87">
        <f t="shared" si="26"/>
        <v>3.6666666666666665</v>
      </c>
      <c r="I417" s="139">
        <f t="shared" si="27"/>
        <v>0</v>
      </c>
    </row>
    <row r="418" spans="1:9">
      <c r="A418" s="241" t="s">
        <v>48</v>
      </c>
      <c r="B418" s="241"/>
      <c r="C418" s="7"/>
      <c r="D418" s="139"/>
      <c r="E418" s="139"/>
      <c r="F418" s="139"/>
      <c r="G418" s="139"/>
      <c r="H418" s="139"/>
      <c r="I418" s="139"/>
    </row>
    <row r="419" spans="1:9">
      <c r="A419" s="200" t="s">
        <v>283</v>
      </c>
      <c r="B419" s="201"/>
      <c r="C419" s="201"/>
      <c r="D419" s="201"/>
      <c r="E419" s="201"/>
      <c r="F419" s="201"/>
      <c r="G419" s="201"/>
      <c r="H419" s="202"/>
      <c r="I419" s="93">
        <f>SUM(I409:I418)</f>
        <v>1.8406715258713868</v>
      </c>
    </row>
    <row r="420" spans="1:9">
      <c r="A420" s="237" t="s">
        <v>53</v>
      </c>
      <c r="B420" s="238"/>
      <c r="C420" s="238"/>
      <c r="D420" s="238"/>
      <c r="E420" s="238"/>
      <c r="F420" s="238"/>
      <c r="G420" s="238"/>
      <c r="H420" s="238"/>
      <c r="I420" s="238"/>
    </row>
    <row r="421" spans="1:9">
      <c r="A421" s="239" t="s">
        <v>54</v>
      </c>
      <c r="B421" s="240"/>
      <c r="C421" s="240"/>
      <c r="D421" s="240"/>
      <c r="E421" s="240"/>
      <c r="F421" s="240"/>
      <c r="G421" s="240"/>
      <c r="H421" s="240"/>
      <c r="I421" s="240"/>
    </row>
    <row r="422" spans="1:9">
      <c r="A422" s="239" t="s">
        <v>55</v>
      </c>
      <c r="B422" s="240"/>
      <c r="C422" s="240"/>
      <c r="D422" s="240"/>
      <c r="E422" s="240"/>
      <c r="F422" s="240"/>
      <c r="G422" s="240"/>
      <c r="H422" s="240"/>
      <c r="I422" s="240"/>
    </row>
    <row r="423" spans="1:9">
      <c r="A423" s="239" t="s">
        <v>96</v>
      </c>
      <c r="B423" s="240"/>
      <c r="C423" s="240"/>
      <c r="D423" s="240"/>
      <c r="E423" s="240"/>
      <c r="F423" s="240"/>
      <c r="G423" s="240"/>
      <c r="H423" s="240"/>
      <c r="I423" s="240"/>
    </row>
    <row r="424" spans="1:9">
      <c r="A424" s="239" t="s">
        <v>97</v>
      </c>
      <c r="B424" s="240"/>
      <c r="C424" s="240"/>
      <c r="D424" s="240"/>
      <c r="E424" s="240"/>
      <c r="F424" s="240"/>
      <c r="G424" s="240"/>
      <c r="H424" s="240"/>
      <c r="I424" s="240"/>
    </row>
    <row r="425" spans="1:9">
      <c r="A425" s="234" t="s">
        <v>200</v>
      </c>
      <c r="B425" s="235"/>
      <c r="C425" s="235"/>
      <c r="D425" s="235"/>
      <c r="E425" s="235"/>
      <c r="F425" s="235"/>
      <c r="G425" s="235"/>
      <c r="H425" s="235"/>
      <c r="I425" s="235"/>
    </row>
    <row r="428" spans="1:9">
      <c r="A428" s="198" t="s">
        <v>0</v>
      </c>
      <c r="B428" s="198"/>
      <c r="C428" s="199" t="s">
        <v>1</v>
      </c>
      <c r="D428" s="199"/>
      <c r="E428" s="199"/>
      <c r="F428" s="199"/>
      <c r="G428" s="199"/>
      <c r="H428" s="199"/>
      <c r="I428" s="199"/>
    </row>
    <row r="429" spans="1:9">
      <c r="A429" s="198" t="s">
        <v>2</v>
      </c>
      <c r="B429" s="198"/>
      <c r="C429" s="199" t="s">
        <v>75</v>
      </c>
      <c r="D429" s="199"/>
      <c r="E429" s="199"/>
      <c r="F429" s="199"/>
      <c r="G429" s="199"/>
      <c r="H429" s="199"/>
      <c r="I429" s="199"/>
    </row>
    <row r="430" spans="1:9">
      <c r="A430" s="198" t="s">
        <v>4</v>
      </c>
      <c r="B430" s="198"/>
      <c r="C430" s="199" t="s">
        <v>76</v>
      </c>
      <c r="D430" s="199"/>
      <c r="E430" s="199"/>
      <c r="F430" s="199"/>
      <c r="G430" s="199"/>
      <c r="H430" s="199"/>
      <c r="I430" s="199"/>
    </row>
    <row r="431" spans="1:9">
      <c r="A431" s="198" t="s">
        <v>6</v>
      </c>
      <c r="B431" s="198"/>
      <c r="C431" s="199" t="s">
        <v>77</v>
      </c>
      <c r="D431" s="199"/>
      <c r="E431" s="199"/>
      <c r="F431" s="199"/>
      <c r="G431" s="199"/>
      <c r="H431" s="199"/>
      <c r="I431" s="199"/>
    </row>
    <row r="432" spans="1:9">
      <c r="A432" s="231" t="s">
        <v>8</v>
      </c>
      <c r="B432" s="231"/>
      <c r="C432" s="231"/>
      <c r="D432" s="231" t="s">
        <v>9</v>
      </c>
      <c r="E432" s="236"/>
      <c r="F432" s="236"/>
      <c r="G432" s="236"/>
      <c r="H432" s="236"/>
      <c r="I432" s="136"/>
    </row>
    <row r="433" spans="1:9">
      <c r="A433" s="242"/>
      <c r="B433" s="242"/>
      <c r="C433" s="7" t="s">
        <v>58</v>
      </c>
      <c r="D433" s="7" t="s">
        <v>78</v>
      </c>
      <c r="E433" s="7" t="s">
        <v>79</v>
      </c>
      <c r="F433" s="7" t="s">
        <v>80</v>
      </c>
      <c r="G433" s="7" t="s">
        <v>81</v>
      </c>
      <c r="H433" s="7" t="s">
        <v>82</v>
      </c>
      <c r="I433" s="7" t="s">
        <v>83</v>
      </c>
    </row>
    <row r="434" spans="1:9" ht="25.5">
      <c r="A434" s="209" t="s">
        <v>84</v>
      </c>
      <c r="B434" s="209"/>
      <c r="C434" s="140" t="s">
        <v>85</v>
      </c>
      <c r="D434" s="242" t="s">
        <v>86</v>
      </c>
      <c r="E434" s="140" t="s">
        <v>87</v>
      </c>
      <c r="F434" s="140" t="s">
        <v>89</v>
      </c>
      <c r="G434" s="242" t="s">
        <v>91</v>
      </c>
      <c r="H434" s="242" t="s">
        <v>38</v>
      </c>
      <c r="I434" s="242" t="s">
        <v>92</v>
      </c>
    </row>
    <row r="435" spans="1:9" ht="14.25">
      <c r="A435" s="209"/>
      <c r="B435" s="209"/>
      <c r="C435" s="137" t="s">
        <v>37</v>
      </c>
      <c r="D435" s="232"/>
      <c r="E435" s="137" t="s">
        <v>88</v>
      </c>
      <c r="F435" s="137" t="s">
        <v>90</v>
      </c>
      <c r="G435" s="232"/>
      <c r="H435" s="232"/>
      <c r="I435" s="232"/>
    </row>
    <row r="436" spans="1:9">
      <c r="A436" s="210"/>
      <c r="B436" s="210"/>
      <c r="C436" s="137"/>
      <c r="D436" s="137" t="s">
        <v>39</v>
      </c>
      <c r="E436" s="137" t="s">
        <v>40</v>
      </c>
      <c r="F436" s="137" t="s">
        <v>41</v>
      </c>
      <c r="G436" s="137" t="s">
        <v>42</v>
      </c>
      <c r="H436" s="137"/>
      <c r="I436" s="137"/>
    </row>
    <row r="437" spans="1:9" ht="15.75">
      <c r="A437" s="210"/>
      <c r="B437" s="210"/>
      <c r="C437" s="8" t="s">
        <v>43</v>
      </c>
      <c r="D437" s="8" t="s">
        <v>44</v>
      </c>
      <c r="E437" s="8" t="s">
        <v>44</v>
      </c>
      <c r="F437" s="8" t="s">
        <v>44</v>
      </c>
      <c r="G437" s="8" t="s">
        <v>44</v>
      </c>
      <c r="H437" s="8" t="s">
        <v>45</v>
      </c>
      <c r="I437" s="8" t="s">
        <v>46</v>
      </c>
    </row>
    <row r="438" spans="1:9" ht="15" thickBot="1">
      <c r="A438" s="244"/>
      <c r="B438" s="244"/>
      <c r="C438" s="5" t="s">
        <v>93</v>
      </c>
      <c r="D438" s="5"/>
      <c r="E438" s="5"/>
      <c r="F438" s="5"/>
      <c r="G438" s="5"/>
      <c r="H438" s="5"/>
      <c r="I438" s="5" t="s">
        <v>94</v>
      </c>
    </row>
    <row r="439" spans="1:9" ht="13.5" thickTop="1">
      <c r="A439" s="241" t="s">
        <v>95</v>
      </c>
      <c r="B439" s="139" t="s">
        <v>203</v>
      </c>
      <c r="C439" s="86">
        <f>'4A_DOC'!$B$39*$L$27</f>
        <v>7.1909664616597508</v>
      </c>
      <c r="D439" s="87">
        <v>0.4</v>
      </c>
      <c r="E439" s="87">
        <v>0.38</v>
      </c>
      <c r="F439" s="34">
        <v>0</v>
      </c>
      <c r="G439" s="88">
        <v>0.57999999999999996</v>
      </c>
      <c r="H439" s="87">
        <f>44/12</f>
        <v>3.6666666666666665</v>
      </c>
      <c r="I439" s="139">
        <f>C439*D439*E439*F439*G439*H439</f>
        <v>0</v>
      </c>
    </row>
    <row r="440" spans="1:9">
      <c r="A440" s="241"/>
      <c r="B440" s="139" t="s">
        <v>204</v>
      </c>
      <c r="C440" s="86">
        <f>'4A_DOC'!$B$40*$L$27</f>
        <v>1.39183490032125</v>
      </c>
      <c r="D440" s="87">
        <v>0.9</v>
      </c>
      <c r="E440" s="87">
        <v>0.46</v>
      </c>
      <c r="F440" s="34">
        <f>1/100</f>
        <v>0.01</v>
      </c>
      <c r="G440" s="88">
        <v>0.57999999999999996</v>
      </c>
      <c r="H440" s="87">
        <f t="shared" ref="H440:H447" si="28">44/12</f>
        <v>3.6666666666666665</v>
      </c>
      <c r="I440" s="139">
        <f t="shared" ref="I440:I447" si="29">C440*D440*E440*F440*G440*H440</f>
        <v>1.2254271196388415E-2</v>
      </c>
    </row>
    <row r="441" spans="1:9">
      <c r="A441" s="241"/>
      <c r="B441" s="139" t="s">
        <v>205</v>
      </c>
      <c r="C441" s="86">
        <f>'4A_DOC'!$B$41*$L$27</f>
        <v>0</v>
      </c>
      <c r="D441" s="87">
        <v>0.85</v>
      </c>
      <c r="E441" s="87">
        <v>0.5</v>
      </c>
      <c r="F441" s="34">
        <v>0</v>
      </c>
      <c r="G441" s="88">
        <v>0.57999999999999996</v>
      </c>
      <c r="H441" s="87">
        <f t="shared" si="28"/>
        <v>3.6666666666666665</v>
      </c>
      <c r="I441" s="139">
        <f t="shared" si="29"/>
        <v>0</v>
      </c>
    </row>
    <row r="442" spans="1:9">
      <c r="A442" s="241"/>
      <c r="B442" s="139" t="s">
        <v>47</v>
      </c>
      <c r="C442" s="86">
        <f>'4A_DOC'!$B$42*$L$27</f>
        <v>8.7734340020250018E-2</v>
      </c>
      <c r="D442" s="87">
        <v>0.8</v>
      </c>
      <c r="E442" s="87">
        <v>0.5</v>
      </c>
      <c r="F442" s="34">
        <f>20/100</f>
        <v>0.2</v>
      </c>
      <c r="G442" s="88">
        <v>0.57999999999999996</v>
      </c>
      <c r="H442" s="87">
        <f t="shared" si="28"/>
        <v>3.6666666666666665</v>
      </c>
      <c r="I442" s="139">
        <f t="shared" si="29"/>
        <v>1.4926535715445201E-2</v>
      </c>
    </row>
    <row r="443" spans="1:9">
      <c r="A443" s="241"/>
      <c r="B443" s="139" t="s">
        <v>206</v>
      </c>
      <c r="C443" s="86">
        <f>'4A_DOC'!$B$43*$L$27</f>
        <v>0</v>
      </c>
      <c r="D443" s="87">
        <v>0.84</v>
      </c>
      <c r="E443" s="87">
        <v>0.67</v>
      </c>
      <c r="F443" s="34">
        <f>20/100</f>
        <v>0.2</v>
      </c>
      <c r="G443" s="88">
        <v>0.57999999999999996</v>
      </c>
      <c r="H443" s="87">
        <f t="shared" si="28"/>
        <v>3.6666666666666665</v>
      </c>
      <c r="I443" s="139">
        <f t="shared" si="29"/>
        <v>0</v>
      </c>
    </row>
    <row r="444" spans="1:9">
      <c r="A444" s="241"/>
      <c r="B444" s="139" t="s">
        <v>207</v>
      </c>
      <c r="C444" s="86">
        <f>'4A_DOC'!$B$44*$L$27</f>
        <v>1.1600429402677501</v>
      </c>
      <c r="D444" s="87">
        <v>1</v>
      </c>
      <c r="E444" s="87">
        <v>0.75</v>
      </c>
      <c r="F444" s="34">
        <f>100/100</f>
        <v>1</v>
      </c>
      <c r="G444" s="88">
        <v>0.57999999999999996</v>
      </c>
      <c r="H444" s="87">
        <f t="shared" si="28"/>
        <v>3.6666666666666665</v>
      </c>
      <c r="I444" s="139">
        <f t="shared" si="29"/>
        <v>1.8502684897270614</v>
      </c>
    </row>
    <row r="445" spans="1:9">
      <c r="A445" s="241"/>
      <c r="B445" s="139" t="s">
        <v>208</v>
      </c>
      <c r="C445" s="86">
        <f>'4A_DOC'!$B$45*$L$27</f>
        <v>0.19171578004425002</v>
      </c>
      <c r="D445" s="87">
        <v>1</v>
      </c>
      <c r="E445" s="87">
        <v>0</v>
      </c>
      <c r="F445" s="34">
        <v>0</v>
      </c>
      <c r="G445" s="88">
        <v>0.57999999999999996</v>
      </c>
      <c r="H445" s="87">
        <f t="shared" si="28"/>
        <v>3.6666666666666665</v>
      </c>
      <c r="I445" s="139">
        <f t="shared" si="29"/>
        <v>0</v>
      </c>
    </row>
    <row r="446" spans="1:9">
      <c r="A446" s="241"/>
      <c r="B446" s="139" t="s">
        <v>209</v>
      </c>
      <c r="C446" s="86">
        <f>'4A_DOC'!$B$46*$L$27</f>
        <v>0.14405762003325001</v>
      </c>
      <c r="D446" s="87">
        <v>1</v>
      </c>
      <c r="E446" s="87">
        <v>0</v>
      </c>
      <c r="F446" s="34">
        <v>0</v>
      </c>
      <c r="G446" s="88">
        <v>0.57999999999999996</v>
      </c>
      <c r="H446" s="87">
        <f t="shared" si="28"/>
        <v>3.6666666666666665</v>
      </c>
      <c r="I446" s="139">
        <f t="shared" si="29"/>
        <v>0</v>
      </c>
    </row>
    <row r="447" spans="1:9">
      <c r="A447" s="241"/>
      <c r="B447" s="139" t="s">
        <v>210</v>
      </c>
      <c r="C447" s="86">
        <f>'4A_DOC'!$B$47*$L$27</f>
        <v>0.67262994015525002</v>
      </c>
      <c r="D447" s="87">
        <v>0.9</v>
      </c>
      <c r="E447" s="87">
        <v>0</v>
      </c>
      <c r="F447" s="34">
        <v>0</v>
      </c>
      <c r="G447" s="88">
        <v>0.57999999999999996</v>
      </c>
      <c r="H447" s="87">
        <f t="shared" si="28"/>
        <v>3.6666666666666665</v>
      </c>
      <c r="I447" s="139">
        <f t="shared" si="29"/>
        <v>0</v>
      </c>
    </row>
    <row r="448" spans="1:9">
      <c r="A448" s="241" t="s">
        <v>48</v>
      </c>
      <c r="B448" s="241"/>
      <c r="C448" s="7"/>
      <c r="D448" s="139"/>
      <c r="E448" s="139"/>
      <c r="F448" s="139"/>
      <c r="G448" s="139"/>
      <c r="H448" s="139"/>
      <c r="I448" s="139"/>
    </row>
    <row r="449" spans="1:9">
      <c r="A449" s="200" t="s">
        <v>284</v>
      </c>
      <c r="B449" s="201"/>
      <c r="C449" s="201"/>
      <c r="D449" s="201"/>
      <c r="E449" s="201"/>
      <c r="F449" s="201"/>
      <c r="G449" s="201"/>
      <c r="H449" s="202"/>
      <c r="I449" s="93">
        <f>SUM(I439:I448)</f>
        <v>1.8774492966388949</v>
      </c>
    </row>
    <row r="450" spans="1:9">
      <c r="A450" s="237" t="s">
        <v>53</v>
      </c>
      <c r="B450" s="238"/>
      <c r="C450" s="238"/>
      <c r="D450" s="238"/>
      <c r="E450" s="238"/>
      <c r="F450" s="238"/>
      <c r="G450" s="238"/>
      <c r="H450" s="238"/>
      <c r="I450" s="238"/>
    </row>
    <row r="451" spans="1:9">
      <c r="A451" s="239" t="s">
        <v>54</v>
      </c>
      <c r="B451" s="240"/>
      <c r="C451" s="240"/>
      <c r="D451" s="240"/>
      <c r="E451" s="240"/>
      <c r="F451" s="240"/>
      <c r="G451" s="240"/>
      <c r="H451" s="240"/>
      <c r="I451" s="240"/>
    </row>
    <row r="452" spans="1:9">
      <c r="A452" s="239" t="s">
        <v>55</v>
      </c>
      <c r="B452" s="240"/>
      <c r="C452" s="240"/>
      <c r="D452" s="240"/>
      <c r="E452" s="240"/>
      <c r="F452" s="240"/>
      <c r="G452" s="240"/>
      <c r="H452" s="240"/>
      <c r="I452" s="240"/>
    </row>
    <row r="453" spans="1:9">
      <c r="A453" s="239" t="s">
        <v>96</v>
      </c>
      <c r="B453" s="240"/>
      <c r="C453" s="240"/>
      <c r="D453" s="240"/>
      <c r="E453" s="240"/>
      <c r="F453" s="240"/>
      <c r="G453" s="240"/>
      <c r="H453" s="240"/>
      <c r="I453" s="240"/>
    </row>
    <row r="454" spans="1:9">
      <c r="A454" s="239" t="s">
        <v>97</v>
      </c>
      <c r="B454" s="240"/>
      <c r="C454" s="240"/>
      <c r="D454" s="240"/>
      <c r="E454" s="240"/>
      <c r="F454" s="240"/>
      <c r="G454" s="240"/>
      <c r="H454" s="240"/>
      <c r="I454" s="240"/>
    </row>
    <row r="455" spans="1:9">
      <c r="A455" s="234" t="s">
        <v>200</v>
      </c>
      <c r="B455" s="235"/>
      <c r="C455" s="235"/>
      <c r="D455" s="235"/>
      <c r="E455" s="235"/>
      <c r="F455" s="235"/>
      <c r="G455" s="235"/>
      <c r="H455" s="235"/>
      <c r="I455" s="235"/>
    </row>
    <row r="458" spans="1:9">
      <c r="A458" s="198" t="s">
        <v>0</v>
      </c>
      <c r="B458" s="198"/>
      <c r="C458" s="199" t="s">
        <v>1</v>
      </c>
      <c r="D458" s="199"/>
      <c r="E458" s="199"/>
      <c r="F458" s="199"/>
      <c r="G458" s="199"/>
      <c r="H458" s="199"/>
      <c r="I458" s="199"/>
    </row>
    <row r="459" spans="1:9">
      <c r="A459" s="198" t="s">
        <v>2</v>
      </c>
      <c r="B459" s="198"/>
      <c r="C459" s="199" t="s">
        <v>75</v>
      </c>
      <c r="D459" s="199"/>
      <c r="E459" s="199"/>
      <c r="F459" s="199"/>
      <c r="G459" s="199"/>
      <c r="H459" s="199"/>
      <c r="I459" s="199"/>
    </row>
    <row r="460" spans="1:9">
      <c r="A460" s="198" t="s">
        <v>4</v>
      </c>
      <c r="B460" s="198"/>
      <c r="C460" s="199" t="s">
        <v>76</v>
      </c>
      <c r="D460" s="199"/>
      <c r="E460" s="199"/>
      <c r="F460" s="199"/>
      <c r="G460" s="199"/>
      <c r="H460" s="199"/>
      <c r="I460" s="199"/>
    </row>
    <row r="461" spans="1:9">
      <c r="A461" s="198" t="s">
        <v>6</v>
      </c>
      <c r="B461" s="198"/>
      <c r="C461" s="199" t="s">
        <v>77</v>
      </c>
      <c r="D461" s="199"/>
      <c r="E461" s="199"/>
      <c r="F461" s="199"/>
      <c r="G461" s="199"/>
      <c r="H461" s="199"/>
      <c r="I461" s="199"/>
    </row>
    <row r="462" spans="1:9">
      <c r="A462" s="231" t="s">
        <v>8</v>
      </c>
      <c r="B462" s="231"/>
      <c r="C462" s="231"/>
      <c r="D462" s="231" t="s">
        <v>9</v>
      </c>
      <c r="E462" s="236"/>
      <c r="F462" s="236"/>
      <c r="G462" s="236"/>
      <c r="H462" s="236"/>
      <c r="I462" s="136"/>
    </row>
    <row r="463" spans="1:9">
      <c r="A463" s="242"/>
      <c r="B463" s="242"/>
      <c r="C463" s="7" t="s">
        <v>58</v>
      </c>
      <c r="D463" s="7" t="s">
        <v>78</v>
      </c>
      <c r="E463" s="7" t="s">
        <v>79</v>
      </c>
      <c r="F463" s="7" t="s">
        <v>80</v>
      </c>
      <c r="G463" s="7" t="s">
        <v>81</v>
      </c>
      <c r="H463" s="7" t="s">
        <v>82</v>
      </c>
      <c r="I463" s="7" t="s">
        <v>83</v>
      </c>
    </row>
    <row r="464" spans="1:9" ht="25.5">
      <c r="A464" s="209" t="s">
        <v>84</v>
      </c>
      <c r="B464" s="209"/>
      <c r="C464" s="140" t="s">
        <v>85</v>
      </c>
      <c r="D464" s="242" t="s">
        <v>86</v>
      </c>
      <c r="E464" s="140" t="s">
        <v>87</v>
      </c>
      <c r="F464" s="140" t="s">
        <v>89</v>
      </c>
      <c r="G464" s="242" t="s">
        <v>91</v>
      </c>
      <c r="H464" s="242" t="s">
        <v>38</v>
      </c>
      <c r="I464" s="242" t="s">
        <v>92</v>
      </c>
    </row>
    <row r="465" spans="1:9" ht="14.25">
      <c r="A465" s="209"/>
      <c r="B465" s="209"/>
      <c r="C465" s="137" t="s">
        <v>37</v>
      </c>
      <c r="D465" s="232"/>
      <c r="E465" s="137" t="s">
        <v>88</v>
      </c>
      <c r="F465" s="137" t="s">
        <v>90</v>
      </c>
      <c r="G465" s="232"/>
      <c r="H465" s="232"/>
      <c r="I465" s="232"/>
    </row>
    <row r="466" spans="1:9">
      <c r="A466" s="210"/>
      <c r="B466" s="210"/>
      <c r="C466" s="137"/>
      <c r="D466" s="137" t="s">
        <v>39</v>
      </c>
      <c r="E466" s="137" t="s">
        <v>40</v>
      </c>
      <c r="F466" s="137" t="s">
        <v>41</v>
      </c>
      <c r="G466" s="137" t="s">
        <v>42</v>
      </c>
      <c r="H466" s="137"/>
      <c r="I466" s="137"/>
    </row>
    <row r="467" spans="1:9" ht="15.75">
      <c r="A467" s="210"/>
      <c r="B467" s="210"/>
      <c r="C467" s="8" t="s">
        <v>43</v>
      </c>
      <c r="D467" s="8" t="s">
        <v>44</v>
      </c>
      <c r="E467" s="8" t="s">
        <v>44</v>
      </c>
      <c r="F467" s="8" t="s">
        <v>44</v>
      </c>
      <c r="G467" s="8" t="s">
        <v>44</v>
      </c>
      <c r="H467" s="8" t="s">
        <v>45</v>
      </c>
      <c r="I467" s="8" t="s">
        <v>46</v>
      </c>
    </row>
    <row r="468" spans="1:9" ht="15" thickBot="1">
      <c r="A468" s="244"/>
      <c r="B468" s="244"/>
      <c r="C468" s="5" t="s">
        <v>93</v>
      </c>
      <c r="D468" s="5"/>
      <c r="E468" s="5"/>
      <c r="F468" s="5"/>
      <c r="G468" s="5"/>
      <c r="H468" s="5"/>
      <c r="I468" s="5" t="s">
        <v>94</v>
      </c>
    </row>
    <row r="469" spans="1:9" ht="13.5" thickTop="1">
      <c r="A469" s="241" t="s">
        <v>95</v>
      </c>
      <c r="B469" s="139" t="s">
        <v>203</v>
      </c>
      <c r="C469" s="86">
        <f>'4A_DOC'!$B$39*$L$28</f>
        <v>7.3318318989300009</v>
      </c>
      <c r="D469" s="87">
        <v>0.4</v>
      </c>
      <c r="E469" s="87">
        <v>0.38</v>
      </c>
      <c r="F469" s="34">
        <v>0</v>
      </c>
      <c r="G469" s="88">
        <v>0.57999999999999996</v>
      </c>
      <c r="H469" s="87">
        <f>44/12</f>
        <v>3.6666666666666665</v>
      </c>
      <c r="I469" s="139">
        <f>C469*D469*E469*F469*G469*H469</f>
        <v>0</v>
      </c>
    </row>
    <row r="470" spans="1:9">
      <c r="A470" s="241"/>
      <c r="B470" s="139" t="s">
        <v>204</v>
      </c>
      <c r="C470" s="86">
        <f>'4A_DOC'!$B$40*$L$28</f>
        <v>1.4190998629500002</v>
      </c>
      <c r="D470" s="87">
        <v>0.9</v>
      </c>
      <c r="E470" s="87">
        <v>0.46</v>
      </c>
      <c r="F470" s="34">
        <f>1/100</f>
        <v>0.01</v>
      </c>
      <c r="G470" s="88">
        <v>0.57999999999999996</v>
      </c>
      <c r="H470" s="87">
        <f t="shared" ref="H470:H477" si="30">44/12</f>
        <v>3.6666666666666665</v>
      </c>
      <c r="I470" s="139">
        <f t="shared" ref="I470:I477" si="31">C470*D470*E470*F470*G470*H470</f>
        <v>1.2494322833356983E-2</v>
      </c>
    </row>
    <row r="471" spans="1:9">
      <c r="A471" s="241"/>
      <c r="B471" s="139" t="s">
        <v>205</v>
      </c>
      <c r="C471" s="86">
        <f>'4A_DOC'!$B$41*$L$28</f>
        <v>0</v>
      </c>
      <c r="D471" s="87">
        <v>0.85</v>
      </c>
      <c r="E471" s="87">
        <v>0.5</v>
      </c>
      <c r="F471" s="34">
        <v>0</v>
      </c>
      <c r="G471" s="88">
        <v>0.57999999999999996</v>
      </c>
      <c r="H471" s="87">
        <f t="shared" si="30"/>
        <v>3.6666666666666665</v>
      </c>
      <c r="I471" s="139">
        <f t="shared" si="31"/>
        <v>0</v>
      </c>
    </row>
    <row r="472" spans="1:9">
      <c r="A472" s="241"/>
      <c r="B472" s="139" t="s">
        <v>47</v>
      </c>
      <c r="C472" s="86">
        <f>'4A_DOC'!$B$42*$L$28</f>
        <v>8.9452987470000023E-2</v>
      </c>
      <c r="D472" s="87">
        <v>0.8</v>
      </c>
      <c r="E472" s="87">
        <v>0.5</v>
      </c>
      <c r="F472" s="34">
        <f>20/100</f>
        <v>0.2</v>
      </c>
      <c r="G472" s="88">
        <v>0.57999999999999996</v>
      </c>
      <c r="H472" s="87">
        <f t="shared" si="30"/>
        <v>3.6666666666666665</v>
      </c>
      <c r="I472" s="139">
        <f t="shared" si="31"/>
        <v>1.5218934934896003E-2</v>
      </c>
    </row>
    <row r="473" spans="1:9">
      <c r="A473" s="241"/>
      <c r="B473" s="139" t="s">
        <v>206</v>
      </c>
      <c r="C473" s="86">
        <f>'4A_DOC'!$B$43*$L$28</f>
        <v>0</v>
      </c>
      <c r="D473" s="87">
        <v>0.84</v>
      </c>
      <c r="E473" s="87">
        <v>0.67</v>
      </c>
      <c r="F473" s="34">
        <f>20/100</f>
        <v>0.2</v>
      </c>
      <c r="G473" s="88">
        <v>0.57999999999999996</v>
      </c>
      <c r="H473" s="87">
        <f t="shared" si="30"/>
        <v>3.6666666666666665</v>
      </c>
      <c r="I473" s="139">
        <f t="shared" si="31"/>
        <v>0</v>
      </c>
    </row>
    <row r="474" spans="1:9">
      <c r="A474" s="241"/>
      <c r="B474" s="139" t="s">
        <v>207</v>
      </c>
      <c r="C474" s="86">
        <f>'4A_DOC'!$B$44*$L$28</f>
        <v>1.1827672787700003</v>
      </c>
      <c r="D474" s="87">
        <v>1</v>
      </c>
      <c r="E474" s="87">
        <v>0.75</v>
      </c>
      <c r="F474" s="34">
        <f>100/100</f>
        <v>1</v>
      </c>
      <c r="G474" s="88">
        <v>0.57999999999999996</v>
      </c>
      <c r="H474" s="87">
        <f t="shared" si="30"/>
        <v>3.6666666666666665</v>
      </c>
      <c r="I474" s="139">
        <f t="shared" si="31"/>
        <v>1.8865138096381502</v>
      </c>
    </row>
    <row r="475" spans="1:9">
      <c r="A475" s="241"/>
      <c r="B475" s="139" t="s">
        <v>208</v>
      </c>
      <c r="C475" s="86">
        <f>'4A_DOC'!$B$45*$L$28</f>
        <v>0.19547134299000002</v>
      </c>
      <c r="D475" s="87">
        <v>1</v>
      </c>
      <c r="E475" s="87">
        <v>0</v>
      </c>
      <c r="F475" s="34">
        <v>0</v>
      </c>
      <c r="G475" s="88">
        <v>0.57999999999999996</v>
      </c>
      <c r="H475" s="87">
        <f t="shared" si="30"/>
        <v>3.6666666666666665</v>
      </c>
      <c r="I475" s="139">
        <f t="shared" si="31"/>
        <v>0</v>
      </c>
    </row>
    <row r="476" spans="1:9">
      <c r="A476" s="241"/>
      <c r="B476" s="139" t="s">
        <v>209</v>
      </c>
      <c r="C476" s="86">
        <f>'4A_DOC'!$B$46*$L$28</f>
        <v>0.14687959671000003</v>
      </c>
      <c r="D476" s="87">
        <v>1</v>
      </c>
      <c r="E476" s="87">
        <v>0</v>
      </c>
      <c r="F476" s="34">
        <v>0</v>
      </c>
      <c r="G476" s="88">
        <v>0.57999999999999996</v>
      </c>
      <c r="H476" s="87">
        <f t="shared" si="30"/>
        <v>3.6666666666666665</v>
      </c>
      <c r="I476" s="139">
        <f t="shared" si="31"/>
        <v>0</v>
      </c>
    </row>
    <row r="477" spans="1:9">
      <c r="A477" s="241"/>
      <c r="B477" s="139" t="s">
        <v>210</v>
      </c>
      <c r="C477" s="86">
        <f>'4A_DOC'!$B$47*$L$28</f>
        <v>0.68580623727000012</v>
      </c>
      <c r="D477" s="87">
        <v>0.9</v>
      </c>
      <c r="E477" s="87">
        <v>0</v>
      </c>
      <c r="F477" s="34">
        <v>0</v>
      </c>
      <c r="G477" s="88">
        <v>0.57999999999999996</v>
      </c>
      <c r="H477" s="87">
        <f t="shared" si="30"/>
        <v>3.6666666666666665</v>
      </c>
      <c r="I477" s="139">
        <f t="shared" si="31"/>
        <v>0</v>
      </c>
    </row>
    <row r="478" spans="1:9">
      <c r="A478" s="241" t="s">
        <v>48</v>
      </c>
      <c r="B478" s="241"/>
      <c r="C478" s="7"/>
      <c r="D478" s="139"/>
      <c r="E478" s="139"/>
      <c r="F478" s="139"/>
      <c r="G478" s="139"/>
      <c r="H478" s="139"/>
      <c r="I478" s="139"/>
    </row>
    <row r="479" spans="1:9">
      <c r="A479" s="200" t="s">
        <v>285</v>
      </c>
      <c r="B479" s="201"/>
      <c r="C479" s="201"/>
      <c r="D479" s="201"/>
      <c r="E479" s="201"/>
      <c r="F479" s="201"/>
      <c r="G479" s="201"/>
      <c r="H479" s="202"/>
      <c r="I479" s="93">
        <f>SUM(I469:I478)</f>
        <v>1.9142270674064032</v>
      </c>
    </row>
    <row r="480" spans="1:9">
      <c r="A480" s="237" t="s">
        <v>53</v>
      </c>
      <c r="B480" s="238"/>
      <c r="C480" s="238"/>
      <c r="D480" s="238"/>
      <c r="E480" s="238"/>
      <c r="F480" s="238"/>
      <c r="G480" s="238"/>
      <c r="H480" s="238"/>
      <c r="I480" s="238"/>
    </row>
    <row r="481" spans="1:9">
      <c r="A481" s="239" t="s">
        <v>54</v>
      </c>
      <c r="B481" s="240"/>
      <c r="C481" s="240"/>
      <c r="D481" s="240"/>
      <c r="E481" s="240"/>
      <c r="F481" s="240"/>
      <c r="G481" s="240"/>
      <c r="H481" s="240"/>
      <c r="I481" s="240"/>
    </row>
    <row r="482" spans="1:9">
      <c r="A482" s="239" t="s">
        <v>55</v>
      </c>
      <c r="B482" s="240"/>
      <c r="C482" s="240"/>
      <c r="D482" s="240"/>
      <c r="E482" s="240"/>
      <c r="F482" s="240"/>
      <c r="G482" s="240"/>
      <c r="H482" s="240"/>
      <c r="I482" s="240"/>
    </row>
    <row r="483" spans="1:9">
      <c r="A483" s="239" t="s">
        <v>96</v>
      </c>
      <c r="B483" s="240"/>
      <c r="C483" s="240"/>
      <c r="D483" s="240"/>
      <c r="E483" s="240"/>
      <c r="F483" s="240"/>
      <c r="G483" s="240"/>
      <c r="H483" s="240"/>
      <c r="I483" s="240"/>
    </row>
    <row r="484" spans="1:9">
      <c r="A484" s="239" t="s">
        <v>97</v>
      </c>
      <c r="B484" s="240"/>
      <c r="C484" s="240"/>
      <c r="D484" s="240"/>
      <c r="E484" s="240"/>
      <c r="F484" s="240"/>
      <c r="G484" s="240"/>
      <c r="H484" s="240"/>
      <c r="I484" s="240"/>
    </row>
    <row r="485" spans="1:9">
      <c r="A485" s="234" t="s">
        <v>200</v>
      </c>
      <c r="B485" s="235"/>
      <c r="C485" s="235"/>
      <c r="D485" s="235"/>
      <c r="E485" s="235"/>
      <c r="F485" s="235"/>
      <c r="G485" s="235"/>
      <c r="H485" s="235"/>
      <c r="I485" s="235"/>
    </row>
    <row r="488" spans="1:9">
      <c r="A488" s="198" t="s">
        <v>0</v>
      </c>
      <c r="B488" s="198"/>
      <c r="C488" s="199" t="s">
        <v>1</v>
      </c>
      <c r="D488" s="199"/>
      <c r="E488" s="199"/>
      <c r="F488" s="199"/>
      <c r="G488" s="199"/>
      <c r="H488" s="199"/>
      <c r="I488" s="199"/>
    </row>
    <row r="489" spans="1:9">
      <c r="A489" s="198" t="s">
        <v>2</v>
      </c>
      <c r="B489" s="198"/>
      <c r="C489" s="199" t="s">
        <v>75</v>
      </c>
      <c r="D489" s="199"/>
      <c r="E489" s="199"/>
      <c r="F489" s="199"/>
      <c r="G489" s="199"/>
      <c r="H489" s="199"/>
      <c r="I489" s="199"/>
    </row>
    <row r="490" spans="1:9">
      <c r="A490" s="198" t="s">
        <v>4</v>
      </c>
      <c r="B490" s="198"/>
      <c r="C490" s="199" t="s">
        <v>76</v>
      </c>
      <c r="D490" s="199"/>
      <c r="E490" s="199"/>
      <c r="F490" s="199"/>
      <c r="G490" s="199"/>
      <c r="H490" s="199"/>
      <c r="I490" s="199"/>
    </row>
    <row r="491" spans="1:9">
      <c r="A491" s="198" t="s">
        <v>6</v>
      </c>
      <c r="B491" s="198"/>
      <c r="C491" s="199" t="s">
        <v>77</v>
      </c>
      <c r="D491" s="199"/>
      <c r="E491" s="199"/>
      <c r="F491" s="199"/>
      <c r="G491" s="199"/>
      <c r="H491" s="199"/>
      <c r="I491" s="199"/>
    </row>
    <row r="492" spans="1:9">
      <c r="A492" s="231" t="s">
        <v>8</v>
      </c>
      <c r="B492" s="231"/>
      <c r="C492" s="231"/>
      <c r="D492" s="231" t="s">
        <v>9</v>
      </c>
      <c r="E492" s="236"/>
      <c r="F492" s="236"/>
      <c r="G492" s="236"/>
      <c r="H492" s="236"/>
      <c r="I492" s="136"/>
    </row>
    <row r="493" spans="1:9">
      <c r="A493" s="242"/>
      <c r="B493" s="242"/>
      <c r="C493" s="7" t="s">
        <v>58</v>
      </c>
      <c r="D493" s="7" t="s">
        <v>78</v>
      </c>
      <c r="E493" s="7" t="s">
        <v>79</v>
      </c>
      <c r="F493" s="7" t="s">
        <v>80</v>
      </c>
      <c r="G493" s="7" t="s">
        <v>81</v>
      </c>
      <c r="H493" s="7" t="s">
        <v>82</v>
      </c>
      <c r="I493" s="7" t="s">
        <v>83</v>
      </c>
    </row>
    <row r="494" spans="1:9" ht="25.5">
      <c r="A494" s="209" t="s">
        <v>84</v>
      </c>
      <c r="B494" s="209"/>
      <c r="C494" s="140" t="s">
        <v>85</v>
      </c>
      <c r="D494" s="242" t="s">
        <v>86</v>
      </c>
      <c r="E494" s="140" t="s">
        <v>87</v>
      </c>
      <c r="F494" s="140" t="s">
        <v>89</v>
      </c>
      <c r="G494" s="242" t="s">
        <v>91</v>
      </c>
      <c r="H494" s="242" t="s">
        <v>38</v>
      </c>
      <c r="I494" s="242" t="s">
        <v>92</v>
      </c>
    </row>
    <row r="495" spans="1:9" ht="14.25">
      <c r="A495" s="209"/>
      <c r="B495" s="209"/>
      <c r="C495" s="137" t="s">
        <v>37</v>
      </c>
      <c r="D495" s="232"/>
      <c r="E495" s="137" t="s">
        <v>88</v>
      </c>
      <c r="F495" s="137" t="s">
        <v>90</v>
      </c>
      <c r="G495" s="232"/>
      <c r="H495" s="232"/>
      <c r="I495" s="232"/>
    </row>
    <row r="496" spans="1:9">
      <c r="A496" s="210"/>
      <c r="B496" s="210"/>
      <c r="C496" s="137"/>
      <c r="D496" s="137" t="s">
        <v>39</v>
      </c>
      <c r="E496" s="137" t="s">
        <v>40</v>
      </c>
      <c r="F496" s="137" t="s">
        <v>41</v>
      </c>
      <c r="G496" s="137" t="s">
        <v>42</v>
      </c>
      <c r="H496" s="137"/>
      <c r="I496" s="137"/>
    </row>
    <row r="497" spans="1:9" ht="15.75">
      <c r="A497" s="210"/>
      <c r="B497" s="210"/>
      <c r="C497" s="8" t="s">
        <v>43</v>
      </c>
      <c r="D497" s="8" t="s">
        <v>44</v>
      </c>
      <c r="E497" s="8" t="s">
        <v>44</v>
      </c>
      <c r="F497" s="8" t="s">
        <v>44</v>
      </c>
      <c r="G497" s="8" t="s">
        <v>44</v>
      </c>
      <c r="H497" s="8" t="s">
        <v>45</v>
      </c>
      <c r="I497" s="8" t="s">
        <v>46</v>
      </c>
    </row>
    <row r="498" spans="1:9" ht="15" thickBot="1">
      <c r="A498" s="244"/>
      <c r="B498" s="244"/>
      <c r="C498" s="5" t="s">
        <v>93</v>
      </c>
      <c r="D498" s="5"/>
      <c r="E498" s="5"/>
      <c r="F498" s="5"/>
      <c r="G498" s="5"/>
      <c r="H498" s="5"/>
      <c r="I498" s="5" t="s">
        <v>94</v>
      </c>
    </row>
    <row r="499" spans="1:9" ht="13.5" thickTop="1">
      <c r="A499" s="241" t="s">
        <v>95</v>
      </c>
      <c r="B499" s="139" t="s">
        <v>203</v>
      </c>
      <c r="C499" s="86">
        <f>'4A_DOC'!$B$39*$L$29</f>
        <v>7.4726973362002491</v>
      </c>
      <c r="D499" s="87">
        <v>0.4</v>
      </c>
      <c r="E499" s="87">
        <v>0.38</v>
      </c>
      <c r="F499" s="34">
        <v>0</v>
      </c>
      <c r="G499" s="88">
        <v>0.57999999999999996</v>
      </c>
      <c r="H499" s="87">
        <f>44/12</f>
        <v>3.6666666666666665</v>
      </c>
      <c r="I499" s="139">
        <f>C499*D499*E499*F499*G499*H499</f>
        <v>0</v>
      </c>
    </row>
    <row r="500" spans="1:9">
      <c r="A500" s="241"/>
      <c r="B500" s="139" t="s">
        <v>204</v>
      </c>
      <c r="C500" s="86">
        <f>'4A_DOC'!$B$40*$L$29</f>
        <v>1.4463648255787498</v>
      </c>
      <c r="D500" s="87">
        <v>0.9</v>
      </c>
      <c r="E500" s="87">
        <v>0.46</v>
      </c>
      <c r="F500" s="34">
        <f>1/100</f>
        <v>0.01</v>
      </c>
      <c r="G500" s="88">
        <v>0.57999999999999996</v>
      </c>
      <c r="H500" s="87">
        <f t="shared" ref="H500:H507" si="32">44/12</f>
        <v>3.6666666666666665</v>
      </c>
      <c r="I500" s="139">
        <f t="shared" ref="I500:I507" si="33">C500*D500*E500*F500*G500*H500</f>
        <v>1.2734374470325544E-2</v>
      </c>
    </row>
    <row r="501" spans="1:9">
      <c r="A501" s="241"/>
      <c r="B501" s="139" t="s">
        <v>205</v>
      </c>
      <c r="C501" s="86">
        <f>'4A_DOC'!$B$41*$L$29</f>
        <v>0</v>
      </c>
      <c r="D501" s="87">
        <v>0.85</v>
      </c>
      <c r="E501" s="87">
        <v>0.5</v>
      </c>
      <c r="F501" s="34">
        <v>0</v>
      </c>
      <c r="G501" s="88">
        <v>0.57999999999999996</v>
      </c>
      <c r="H501" s="87">
        <f t="shared" si="32"/>
        <v>3.6666666666666665</v>
      </c>
      <c r="I501" s="139">
        <f t="shared" si="33"/>
        <v>0</v>
      </c>
    </row>
    <row r="502" spans="1:9">
      <c r="A502" s="241"/>
      <c r="B502" s="139" t="s">
        <v>47</v>
      </c>
      <c r="C502" s="86">
        <f>'4A_DOC'!$B$42*$L$29</f>
        <v>9.117163491975E-2</v>
      </c>
      <c r="D502" s="87">
        <v>0.8</v>
      </c>
      <c r="E502" s="87">
        <v>0.5</v>
      </c>
      <c r="F502" s="34">
        <f>20/100</f>
        <v>0.2</v>
      </c>
      <c r="G502" s="88">
        <v>0.57999999999999996</v>
      </c>
      <c r="H502" s="87">
        <f t="shared" si="32"/>
        <v>3.6666666666666665</v>
      </c>
      <c r="I502" s="139">
        <f t="shared" si="33"/>
        <v>1.5511334154346797E-2</v>
      </c>
    </row>
    <row r="503" spans="1:9">
      <c r="A503" s="241"/>
      <c r="B503" s="139" t="s">
        <v>206</v>
      </c>
      <c r="C503" s="86">
        <f>'4A_DOC'!$B$43*$L$29</f>
        <v>0</v>
      </c>
      <c r="D503" s="87">
        <v>0.84</v>
      </c>
      <c r="E503" s="87">
        <v>0.67</v>
      </c>
      <c r="F503" s="34">
        <f>20/100</f>
        <v>0.2</v>
      </c>
      <c r="G503" s="88">
        <v>0.57999999999999996</v>
      </c>
      <c r="H503" s="87">
        <f t="shared" si="32"/>
        <v>3.6666666666666665</v>
      </c>
      <c r="I503" s="139">
        <f t="shared" si="33"/>
        <v>0</v>
      </c>
    </row>
    <row r="504" spans="1:9">
      <c r="A504" s="241"/>
      <c r="B504" s="139" t="s">
        <v>207</v>
      </c>
      <c r="C504" s="86">
        <f>'4A_DOC'!$B$44*$L$29</f>
        <v>1.2054916172722501</v>
      </c>
      <c r="D504" s="87">
        <v>1</v>
      </c>
      <c r="E504" s="87">
        <v>0.75</v>
      </c>
      <c r="F504" s="34">
        <f>100/100</f>
        <v>1</v>
      </c>
      <c r="G504" s="88">
        <v>0.57999999999999996</v>
      </c>
      <c r="H504" s="87">
        <f t="shared" si="32"/>
        <v>3.6666666666666665</v>
      </c>
      <c r="I504" s="139">
        <f t="shared" si="33"/>
        <v>1.9227591295492388</v>
      </c>
    </row>
    <row r="505" spans="1:9">
      <c r="A505" s="241"/>
      <c r="B505" s="139" t="s">
        <v>208</v>
      </c>
      <c r="C505" s="86">
        <f>'4A_DOC'!$B$45*$L$29</f>
        <v>0.19922690593574999</v>
      </c>
      <c r="D505" s="87">
        <v>1</v>
      </c>
      <c r="E505" s="87">
        <v>0</v>
      </c>
      <c r="F505" s="34">
        <v>0</v>
      </c>
      <c r="G505" s="88">
        <v>0.57999999999999996</v>
      </c>
      <c r="H505" s="87">
        <f t="shared" si="32"/>
        <v>3.6666666666666665</v>
      </c>
      <c r="I505" s="139">
        <f t="shared" si="33"/>
        <v>0</v>
      </c>
    </row>
    <row r="506" spans="1:9">
      <c r="A506" s="241"/>
      <c r="B506" s="139" t="s">
        <v>209</v>
      </c>
      <c r="C506" s="86">
        <f>'4A_DOC'!$B$46*$L$29</f>
        <v>0.14970157338675</v>
      </c>
      <c r="D506" s="87">
        <v>1</v>
      </c>
      <c r="E506" s="87">
        <v>0</v>
      </c>
      <c r="F506" s="34">
        <v>0</v>
      </c>
      <c r="G506" s="88">
        <v>0.57999999999999996</v>
      </c>
      <c r="H506" s="87">
        <f t="shared" si="32"/>
        <v>3.6666666666666665</v>
      </c>
      <c r="I506" s="139">
        <f t="shared" si="33"/>
        <v>0</v>
      </c>
    </row>
    <row r="507" spans="1:9">
      <c r="A507" s="241"/>
      <c r="B507" s="139" t="s">
        <v>210</v>
      </c>
      <c r="C507" s="86">
        <f>'4A_DOC'!$B$47*$L$29</f>
        <v>0.69898253438474989</v>
      </c>
      <c r="D507" s="87">
        <v>0.9</v>
      </c>
      <c r="E507" s="87">
        <v>0</v>
      </c>
      <c r="F507" s="34">
        <v>0</v>
      </c>
      <c r="G507" s="88">
        <v>0.57999999999999996</v>
      </c>
      <c r="H507" s="87">
        <f t="shared" si="32"/>
        <v>3.6666666666666665</v>
      </c>
      <c r="I507" s="139">
        <f t="shared" si="33"/>
        <v>0</v>
      </c>
    </row>
    <row r="508" spans="1:9">
      <c r="A508" s="241" t="s">
        <v>48</v>
      </c>
      <c r="B508" s="241"/>
      <c r="C508" s="7"/>
      <c r="D508" s="139"/>
      <c r="E508" s="139"/>
      <c r="F508" s="139"/>
      <c r="G508" s="139"/>
      <c r="H508" s="139"/>
      <c r="I508" s="139"/>
    </row>
    <row r="509" spans="1:9">
      <c r="A509" s="200" t="s">
        <v>286</v>
      </c>
      <c r="B509" s="201"/>
      <c r="C509" s="201"/>
      <c r="D509" s="201"/>
      <c r="E509" s="201"/>
      <c r="F509" s="201"/>
      <c r="G509" s="201"/>
      <c r="H509" s="202"/>
      <c r="I509" s="93">
        <f>SUM(I499:I508)</f>
        <v>1.9510048381739111</v>
      </c>
    </row>
    <row r="510" spans="1:9">
      <c r="A510" s="237" t="s">
        <v>53</v>
      </c>
      <c r="B510" s="238"/>
      <c r="C510" s="238"/>
      <c r="D510" s="238"/>
      <c r="E510" s="238"/>
      <c r="F510" s="238"/>
      <c r="G510" s="238"/>
      <c r="H510" s="238"/>
      <c r="I510" s="238"/>
    </row>
    <row r="511" spans="1:9">
      <c r="A511" s="239" t="s">
        <v>54</v>
      </c>
      <c r="B511" s="240"/>
      <c r="C511" s="240"/>
      <c r="D511" s="240"/>
      <c r="E511" s="240"/>
      <c r="F511" s="240"/>
      <c r="G511" s="240"/>
      <c r="H511" s="240"/>
      <c r="I511" s="240"/>
    </row>
    <row r="512" spans="1:9">
      <c r="A512" s="239" t="s">
        <v>55</v>
      </c>
      <c r="B512" s="240"/>
      <c r="C512" s="240"/>
      <c r="D512" s="240"/>
      <c r="E512" s="240"/>
      <c r="F512" s="240"/>
      <c r="G512" s="240"/>
      <c r="H512" s="240"/>
      <c r="I512" s="240"/>
    </row>
    <row r="513" spans="1:9">
      <c r="A513" s="239" t="s">
        <v>96</v>
      </c>
      <c r="B513" s="240"/>
      <c r="C513" s="240"/>
      <c r="D513" s="240"/>
      <c r="E513" s="240"/>
      <c r="F513" s="240"/>
      <c r="G513" s="240"/>
      <c r="H513" s="240"/>
      <c r="I513" s="240"/>
    </row>
    <row r="514" spans="1:9">
      <c r="A514" s="239" t="s">
        <v>97</v>
      </c>
      <c r="B514" s="240"/>
      <c r="C514" s="240"/>
      <c r="D514" s="240"/>
      <c r="E514" s="240"/>
      <c r="F514" s="240"/>
      <c r="G514" s="240"/>
      <c r="H514" s="240"/>
      <c r="I514" s="240"/>
    </row>
    <row r="515" spans="1:9">
      <c r="A515" s="234" t="s">
        <v>200</v>
      </c>
      <c r="B515" s="235"/>
      <c r="C515" s="235"/>
      <c r="D515" s="235"/>
      <c r="E515" s="235"/>
      <c r="F515" s="235"/>
      <c r="G515" s="235"/>
      <c r="H515" s="235"/>
      <c r="I515" s="235"/>
    </row>
    <row r="518" spans="1:9">
      <c r="A518" s="198" t="s">
        <v>0</v>
      </c>
      <c r="B518" s="198"/>
      <c r="C518" s="199" t="s">
        <v>1</v>
      </c>
      <c r="D518" s="199"/>
      <c r="E518" s="199"/>
      <c r="F518" s="199"/>
      <c r="G518" s="199"/>
      <c r="H518" s="199"/>
      <c r="I518" s="199"/>
    </row>
    <row r="519" spans="1:9">
      <c r="A519" s="198" t="s">
        <v>2</v>
      </c>
      <c r="B519" s="198"/>
      <c r="C519" s="199" t="s">
        <v>75</v>
      </c>
      <c r="D519" s="199"/>
      <c r="E519" s="199"/>
      <c r="F519" s="199"/>
      <c r="G519" s="199"/>
      <c r="H519" s="199"/>
      <c r="I519" s="199"/>
    </row>
    <row r="520" spans="1:9">
      <c r="A520" s="198" t="s">
        <v>4</v>
      </c>
      <c r="B520" s="198"/>
      <c r="C520" s="199" t="s">
        <v>76</v>
      </c>
      <c r="D520" s="199"/>
      <c r="E520" s="199"/>
      <c r="F520" s="199"/>
      <c r="G520" s="199"/>
      <c r="H520" s="199"/>
      <c r="I520" s="199"/>
    </row>
    <row r="521" spans="1:9">
      <c r="A521" s="198" t="s">
        <v>6</v>
      </c>
      <c r="B521" s="198"/>
      <c r="C521" s="199" t="s">
        <v>77</v>
      </c>
      <c r="D521" s="199"/>
      <c r="E521" s="199"/>
      <c r="F521" s="199"/>
      <c r="G521" s="199"/>
      <c r="H521" s="199"/>
      <c r="I521" s="199"/>
    </row>
    <row r="522" spans="1:9">
      <c r="A522" s="231" t="s">
        <v>8</v>
      </c>
      <c r="B522" s="231"/>
      <c r="C522" s="231"/>
      <c r="D522" s="231" t="s">
        <v>9</v>
      </c>
      <c r="E522" s="236"/>
      <c r="F522" s="236"/>
      <c r="G522" s="236"/>
      <c r="H522" s="236"/>
      <c r="I522" s="136"/>
    </row>
    <row r="523" spans="1:9">
      <c r="A523" s="242"/>
      <c r="B523" s="242"/>
      <c r="C523" s="7" t="s">
        <v>58</v>
      </c>
      <c r="D523" s="7" t="s">
        <v>78</v>
      </c>
      <c r="E523" s="7" t="s">
        <v>79</v>
      </c>
      <c r="F523" s="7" t="s">
        <v>80</v>
      </c>
      <c r="G523" s="7" t="s">
        <v>81</v>
      </c>
      <c r="H523" s="7" t="s">
        <v>82</v>
      </c>
      <c r="I523" s="7" t="s">
        <v>83</v>
      </c>
    </row>
    <row r="524" spans="1:9" ht="25.5">
      <c r="A524" s="209" t="s">
        <v>84</v>
      </c>
      <c r="B524" s="209"/>
      <c r="C524" s="140" t="s">
        <v>85</v>
      </c>
      <c r="D524" s="242" t="s">
        <v>86</v>
      </c>
      <c r="E524" s="140" t="s">
        <v>87</v>
      </c>
      <c r="F524" s="140" t="s">
        <v>89</v>
      </c>
      <c r="G524" s="242" t="s">
        <v>91</v>
      </c>
      <c r="H524" s="242" t="s">
        <v>38</v>
      </c>
      <c r="I524" s="242" t="s">
        <v>92</v>
      </c>
    </row>
    <row r="525" spans="1:9" ht="14.25">
      <c r="A525" s="209"/>
      <c r="B525" s="209"/>
      <c r="C525" s="137" t="s">
        <v>37</v>
      </c>
      <c r="D525" s="232"/>
      <c r="E525" s="137" t="s">
        <v>88</v>
      </c>
      <c r="F525" s="137" t="s">
        <v>90</v>
      </c>
      <c r="G525" s="232"/>
      <c r="H525" s="232"/>
      <c r="I525" s="232"/>
    </row>
    <row r="526" spans="1:9">
      <c r="A526" s="210"/>
      <c r="B526" s="210"/>
      <c r="C526" s="137"/>
      <c r="D526" s="137" t="s">
        <v>39</v>
      </c>
      <c r="E526" s="137" t="s">
        <v>40</v>
      </c>
      <c r="F526" s="137" t="s">
        <v>41</v>
      </c>
      <c r="G526" s="137" t="s">
        <v>42</v>
      </c>
      <c r="H526" s="137"/>
      <c r="I526" s="137"/>
    </row>
    <row r="527" spans="1:9" ht="15.75">
      <c r="A527" s="210"/>
      <c r="B527" s="210"/>
      <c r="C527" s="8" t="s">
        <v>43</v>
      </c>
      <c r="D527" s="8" t="s">
        <v>44</v>
      </c>
      <c r="E527" s="8" t="s">
        <v>44</v>
      </c>
      <c r="F527" s="8" t="s">
        <v>44</v>
      </c>
      <c r="G527" s="8" t="s">
        <v>44</v>
      </c>
      <c r="H527" s="8" t="s">
        <v>45</v>
      </c>
      <c r="I527" s="8" t="s">
        <v>46</v>
      </c>
    </row>
    <row r="528" spans="1:9" ht="15" thickBot="1">
      <c r="A528" s="244"/>
      <c r="B528" s="244"/>
      <c r="C528" s="5" t="s">
        <v>93</v>
      </c>
      <c r="D528" s="5"/>
      <c r="E528" s="5"/>
      <c r="F528" s="5"/>
      <c r="G528" s="5"/>
      <c r="H528" s="5"/>
      <c r="I528" s="5" t="s">
        <v>94</v>
      </c>
    </row>
    <row r="529" spans="1:9" ht="13.5" thickTop="1">
      <c r="A529" s="241" t="s">
        <v>95</v>
      </c>
      <c r="B529" s="139" t="s">
        <v>203</v>
      </c>
      <c r="C529" s="86">
        <f>'4A_DOC'!$B$39*$L$30</f>
        <v>7.6135627734705009</v>
      </c>
      <c r="D529" s="87">
        <v>0.4</v>
      </c>
      <c r="E529" s="87">
        <v>0.38</v>
      </c>
      <c r="F529" s="34">
        <v>0</v>
      </c>
      <c r="G529" s="88">
        <v>0.57999999999999996</v>
      </c>
      <c r="H529" s="87">
        <f>44/12</f>
        <v>3.6666666666666665</v>
      </c>
      <c r="I529" s="139">
        <f>C529*D529*E529*F529*G529*H529</f>
        <v>0</v>
      </c>
    </row>
    <row r="530" spans="1:9">
      <c r="A530" s="241"/>
      <c r="B530" s="139" t="s">
        <v>204</v>
      </c>
      <c r="C530" s="86">
        <f>'4A_DOC'!$B$40*$L$30</f>
        <v>1.4736297882075</v>
      </c>
      <c r="D530" s="87">
        <v>0.9</v>
      </c>
      <c r="E530" s="87">
        <v>0.46</v>
      </c>
      <c r="F530" s="34">
        <f>1/100</f>
        <v>0.01</v>
      </c>
      <c r="G530" s="88">
        <v>0.57999999999999996</v>
      </c>
      <c r="H530" s="87">
        <f t="shared" ref="H530:H537" si="34">44/12</f>
        <v>3.6666666666666665</v>
      </c>
      <c r="I530" s="139">
        <f t="shared" ref="I530:I537" si="35">C530*D530*E530*F530*G530*H530</f>
        <v>1.2974426107294112E-2</v>
      </c>
    </row>
    <row r="531" spans="1:9">
      <c r="A531" s="241"/>
      <c r="B531" s="139" t="s">
        <v>205</v>
      </c>
      <c r="C531" s="86">
        <f>'4A_DOC'!$B$41*$L$30</f>
        <v>0</v>
      </c>
      <c r="D531" s="87">
        <v>0.85</v>
      </c>
      <c r="E531" s="87">
        <v>0.5</v>
      </c>
      <c r="F531" s="34">
        <v>0</v>
      </c>
      <c r="G531" s="88">
        <v>0.57999999999999996</v>
      </c>
      <c r="H531" s="87">
        <f t="shared" si="34"/>
        <v>3.6666666666666665</v>
      </c>
      <c r="I531" s="139">
        <f t="shared" si="35"/>
        <v>0</v>
      </c>
    </row>
    <row r="532" spans="1:9">
      <c r="A532" s="241"/>
      <c r="B532" s="139" t="s">
        <v>47</v>
      </c>
      <c r="C532" s="86">
        <f>'4A_DOC'!$B$42*$L$30</f>
        <v>9.2890282369500018E-2</v>
      </c>
      <c r="D532" s="87">
        <v>0.8</v>
      </c>
      <c r="E532" s="87">
        <v>0.5</v>
      </c>
      <c r="F532" s="34">
        <f>20/100</f>
        <v>0.2</v>
      </c>
      <c r="G532" s="88">
        <v>0.57999999999999996</v>
      </c>
      <c r="H532" s="87">
        <f t="shared" si="34"/>
        <v>3.6666666666666665</v>
      </c>
      <c r="I532" s="139">
        <f t="shared" si="35"/>
        <v>1.5803733373797604E-2</v>
      </c>
    </row>
    <row r="533" spans="1:9">
      <c r="A533" s="241"/>
      <c r="B533" s="139" t="s">
        <v>206</v>
      </c>
      <c r="C533" s="86">
        <f>'4A_DOC'!$B$43*$L$30</f>
        <v>0</v>
      </c>
      <c r="D533" s="87">
        <v>0.84</v>
      </c>
      <c r="E533" s="87">
        <v>0.67</v>
      </c>
      <c r="F533" s="34">
        <f>20/100</f>
        <v>0.2</v>
      </c>
      <c r="G533" s="88">
        <v>0.57999999999999996</v>
      </c>
      <c r="H533" s="87">
        <f t="shared" si="34"/>
        <v>3.6666666666666665</v>
      </c>
      <c r="I533" s="139">
        <f t="shared" si="35"/>
        <v>0</v>
      </c>
    </row>
    <row r="534" spans="1:9">
      <c r="A534" s="241"/>
      <c r="B534" s="139" t="s">
        <v>207</v>
      </c>
      <c r="C534" s="86">
        <f>'4A_DOC'!$B$44*$L$30</f>
        <v>1.2282159557745003</v>
      </c>
      <c r="D534" s="87">
        <v>1</v>
      </c>
      <c r="E534" s="87">
        <v>0.75</v>
      </c>
      <c r="F534" s="34">
        <f>100/100</f>
        <v>1</v>
      </c>
      <c r="G534" s="88">
        <v>0.57999999999999996</v>
      </c>
      <c r="H534" s="87">
        <f t="shared" si="34"/>
        <v>3.6666666666666665</v>
      </c>
      <c r="I534" s="139">
        <f t="shared" si="35"/>
        <v>1.9590044494603278</v>
      </c>
    </row>
    <row r="535" spans="1:9">
      <c r="A535" s="241"/>
      <c r="B535" s="139" t="s">
        <v>208</v>
      </c>
      <c r="C535" s="86">
        <f>'4A_DOC'!$B$45*$L$30</f>
        <v>0.20298246888150001</v>
      </c>
      <c r="D535" s="87">
        <v>1</v>
      </c>
      <c r="E535" s="87">
        <v>0</v>
      </c>
      <c r="F535" s="34">
        <v>0</v>
      </c>
      <c r="G535" s="88">
        <v>0.57999999999999996</v>
      </c>
      <c r="H535" s="87">
        <f t="shared" si="34"/>
        <v>3.6666666666666665</v>
      </c>
      <c r="I535" s="139">
        <f t="shared" si="35"/>
        <v>0</v>
      </c>
    </row>
    <row r="536" spans="1:9">
      <c r="A536" s="241"/>
      <c r="B536" s="139" t="s">
        <v>209</v>
      </c>
      <c r="C536" s="86">
        <f>'4A_DOC'!$B$46*$L$30</f>
        <v>0.15252355006350002</v>
      </c>
      <c r="D536" s="87">
        <v>1</v>
      </c>
      <c r="E536" s="87">
        <v>0</v>
      </c>
      <c r="F536" s="34">
        <v>0</v>
      </c>
      <c r="G536" s="88">
        <v>0.57999999999999996</v>
      </c>
      <c r="H536" s="87">
        <f t="shared" si="34"/>
        <v>3.6666666666666665</v>
      </c>
      <c r="I536" s="139">
        <f t="shared" si="35"/>
        <v>0</v>
      </c>
    </row>
    <row r="537" spans="1:9">
      <c r="A537" s="241"/>
      <c r="B537" s="139" t="s">
        <v>210</v>
      </c>
      <c r="C537" s="86">
        <f>'4A_DOC'!$B$47*$L$30</f>
        <v>0.7121588314995001</v>
      </c>
      <c r="D537" s="87">
        <v>0.9</v>
      </c>
      <c r="E537" s="87">
        <v>0</v>
      </c>
      <c r="F537" s="34">
        <v>0</v>
      </c>
      <c r="G537" s="88">
        <v>0.57999999999999996</v>
      </c>
      <c r="H537" s="87">
        <f t="shared" si="34"/>
        <v>3.6666666666666665</v>
      </c>
      <c r="I537" s="139">
        <f t="shared" si="35"/>
        <v>0</v>
      </c>
    </row>
    <row r="538" spans="1:9">
      <c r="A538" s="241" t="s">
        <v>48</v>
      </c>
      <c r="B538" s="241"/>
      <c r="C538" s="7"/>
      <c r="D538" s="139"/>
      <c r="E538" s="139"/>
      <c r="F538" s="139"/>
      <c r="G538" s="139"/>
      <c r="H538" s="139"/>
      <c r="I538" s="139"/>
    </row>
    <row r="539" spans="1:9">
      <c r="A539" s="200" t="s">
        <v>287</v>
      </c>
      <c r="B539" s="201"/>
      <c r="C539" s="201"/>
      <c r="D539" s="201"/>
      <c r="E539" s="201"/>
      <c r="F539" s="201"/>
      <c r="G539" s="201"/>
      <c r="H539" s="202"/>
      <c r="I539" s="93">
        <f>SUM(I529:I538)</f>
        <v>1.9877826089414194</v>
      </c>
    </row>
    <row r="540" spans="1:9">
      <c r="A540" s="237" t="s">
        <v>53</v>
      </c>
      <c r="B540" s="238"/>
      <c r="C540" s="238"/>
      <c r="D540" s="238"/>
      <c r="E540" s="238"/>
      <c r="F540" s="238"/>
      <c r="G540" s="238"/>
      <c r="H540" s="238"/>
      <c r="I540" s="238"/>
    </row>
    <row r="541" spans="1:9">
      <c r="A541" s="239" t="s">
        <v>54</v>
      </c>
      <c r="B541" s="240"/>
      <c r="C541" s="240"/>
      <c r="D541" s="240"/>
      <c r="E541" s="240"/>
      <c r="F541" s="240"/>
      <c r="G541" s="240"/>
      <c r="H541" s="240"/>
      <c r="I541" s="240"/>
    </row>
    <row r="542" spans="1:9">
      <c r="A542" s="239" t="s">
        <v>55</v>
      </c>
      <c r="B542" s="240"/>
      <c r="C542" s="240"/>
      <c r="D542" s="240"/>
      <c r="E542" s="240"/>
      <c r="F542" s="240"/>
      <c r="G542" s="240"/>
      <c r="H542" s="240"/>
      <c r="I542" s="240"/>
    </row>
    <row r="543" spans="1:9">
      <c r="A543" s="239" t="s">
        <v>96</v>
      </c>
      <c r="B543" s="240"/>
      <c r="C543" s="240"/>
      <c r="D543" s="240"/>
      <c r="E543" s="240"/>
      <c r="F543" s="240"/>
      <c r="G543" s="240"/>
      <c r="H543" s="240"/>
      <c r="I543" s="240"/>
    </row>
    <row r="544" spans="1:9">
      <c r="A544" s="239" t="s">
        <v>97</v>
      </c>
      <c r="B544" s="240"/>
      <c r="C544" s="240"/>
      <c r="D544" s="240"/>
      <c r="E544" s="240"/>
      <c r="F544" s="240"/>
      <c r="G544" s="240"/>
      <c r="H544" s="240"/>
      <c r="I544" s="240"/>
    </row>
    <row r="545" spans="1:9">
      <c r="A545" s="234" t="s">
        <v>200</v>
      </c>
      <c r="B545" s="235"/>
      <c r="C545" s="235"/>
      <c r="D545" s="235"/>
      <c r="E545" s="235"/>
      <c r="F545" s="235"/>
      <c r="G545" s="235"/>
      <c r="H545" s="235"/>
      <c r="I545" s="235"/>
    </row>
    <row r="548" spans="1:9">
      <c r="A548" s="198" t="s">
        <v>0</v>
      </c>
      <c r="B548" s="198"/>
      <c r="C548" s="199" t="s">
        <v>1</v>
      </c>
      <c r="D548" s="199"/>
      <c r="E548" s="199"/>
      <c r="F548" s="199"/>
      <c r="G548" s="199"/>
      <c r="H548" s="199"/>
      <c r="I548" s="199"/>
    </row>
    <row r="549" spans="1:9">
      <c r="A549" s="198" t="s">
        <v>2</v>
      </c>
      <c r="B549" s="198"/>
      <c r="C549" s="199" t="s">
        <v>75</v>
      </c>
      <c r="D549" s="199"/>
      <c r="E549" s="199"/>
      <c r="F549" s="199"/>
      <c r="G549" s="199"/>
      <c r="H549" s="199"/>
      <c r="I549" s="199"/>
    </row>
    <row r="550" spans="1:9">
      <c r="A550" s="198" t="s">
        <v>4</v>
      </c>
      <c r="B550" s="198"/>
      <c r="C550" s="199" t="s">
        <v>76</v>
      </c>
      <c r="D550" s="199"/>
      <c r="E550" s="199"/>
      <c r="F550" s="199"/>
      <c r="G550" s="199"/>
      <c r="H550" s="199"/>
      <c r="I550" s="199"/>
    </row>
    <row r="551" spans="1:9">
      <c r="A551" s="198" t="s">
        <v>6</v>
      </c>
      <c r="B551" s="198"/>
      <c r="C551" s="199" t="s">
        <v>77</v>
      </c>
      <c r="D551" s="199"/>
      <c r="E551" s="199"/>
      <c r="F551" s="199"/>
      <c r="G551" s="199"/>
      <c r="H551" s="199"/>
      <c r="I551" s="199"/>
    </row>
    <row r="552" spans="1:9">
      <c r="A552" s="231" t="s">
        <v>8</v>
      </c>
      <c r="B552" s="231"/>
      <c r="C552" s="231"/>
      <c r="D552" s="231" t="s">
        <v>9</v>
      </c>
      <c r="E552" s="236"/>
      <c r="F552" s="236"/>
      <c r="G552" s="236"/>
      <c r="H552" s="236"/>
      <c r="I552" s="136"/>
    </row>
    <row r="553" spans="1:9">
      <c r="A553" s="242"/>
      <c r="B553" s="242"/>
      <c r="C553" s="7" t="s">
        <v>58</v>
      </c>
      <c r="D553" s="7" t="s">
        <v>78</v>
      </c>
      <c r="E553" s="7" t="s">
        <v>79</v>
      </c>
      <c r="F553" s="7" t="s">
        <v>80</v>
      </c>
      <c r="G553" s="7" t="s">
        <v>81</v>
      </c>
      <c r="H553" s="7" t="s">
        <v>82</v>
      </c>
      <c r="I553" s="7" t="s">
        <v>83</v>
      </c>
    </row>
    <row r="554" spans="1:9" ht="25.5">
      <c r="A554" s="209" t="s">
        <v>84</v>
      </c>
      <c r="B554" s="209"/>
      <c r="C554" s="140" t="s">
        <v>85</v>
      </c>
      <c r="D554" s="242" t="s">
        <v>86</v>
      </c>
      <c r="E554" s="140" t="s">
        <v>87</v>
      </c>
      <c r="F554" s="140" t="s">
        <v>89</v>
      </c>
      <c r="G554" s="242" t="s">
        <v>91</v>
      </c>
      <c r="H554" s="242" t="s">
        <v>38</v>
      </c>
      <c r="I554" s="242" t="s">
        <v>92</v>
      </c>
    </row>
    <row r="555" spans="1:9" ht="14.25">
      <c r="A555" s="209"/>
      <c r="B555" s="209"/>
      <c r="C555" s="137" t="s">
        <v>37</v>
      </c>
      <c r="D555" s="232"/>
      <c r="E555" s="137" t="s">
        <v>88</v>
      </c>
      <c r="F555" s="137" t="s">
        <v>90</v>
      </c>
      <c r="G555" s="232"/>
      <c r="H555" s="232"/>
      <c r="I555" s="232"/>
    </row>
    <row r="556" spans="1:9">
      <c r="A556" s="210"/>
      <c r="B556" s="210"/>
      <c r="C556" s="137"/>
      <c r="D556" s="137" t="s">
        <v>39</v>
      </c>
      <c r="E556" s="137" t="s">
        <v>40</v>
      </c>
      <c r="F556" s="137" t="s">
        <v>41</v>
      </c>
      <c r="G556" s="137" t="s">
        <v>42</v>
      </c>
      <c r="H556" s="137"/>
      <c r="I556" s="137"/>
    </row>
    <row r="557" spans="1:9" ht="15.75">
      <c r="A557" s="210"/>
      <c r="B557" s="210"/>
      <c r="C557" s="8" t="s">
        <v>43</v>
      </c>
      <c r="D557" s="8" t="s">
        <v>44</v>
      </c>
      <c r="E557" s="8" t="s">
        <v>44</v>
      </c>
      <c r="F557" s="8" t="s">
        <v>44</v>
      </c>
      <c r="G557" s="8" t="s">
        <v>44</v>
      </c>
      <c r="H557" s="8" t="s">
        <v>45</v>
      </c>
      <c r="I557" s="8" t="s">
        <v>46</v>
      </c>
    </row>
    <row r="558" spans="1:9" ht="15" thickBot="1">
      <c r="A558" s="244"/>
      <c r="B558" s="244"/>
      <c r="C558" s="5" t="s">
        <v>93</v>
      </c>
      <c r="D558" s="5"/>
      <c r="E558" s="5"/>
      <c r="F558" s="5"/>
      <c r="G558" s="5"/>
      <c r="H558" s="5"/>
      <c r="I558" s="5" t="s">
        <v>94</v>
      </c>
    </row>
    <row r="559" spans="1:9" ht="13.5" thickTop="1">
      <c r="A559" s="241" t="s">
        <v>95</v>
      </c>
      <c r="B559" s="139" t="s">
        <v>203</v>
      </c>
      <c r="C559" s="86">
        <f>'4A_DOC'!$B$39*$L$31</f>
        <v>7.7544282107407492</v>
      </c>
      <c r="D559" s="87">
        <v>0.4</v>
      </c>
      <c r="E559" s="87">
        <v>0.38</v>
      </c>
      <c r="F559" s="34">
        <v>0</v>
      </c>
      <c r="G559" s="88">
        <v>0.57999999999999996</v>
      </c>
      <c r="H559" s="87">
        <f>44/12</f>
        <v>3.6666666666666665</v>
      </c>
      <c r="I559" s="139">
        <f>C559*D559*E559*F559*G559*H559</f>
        <v>0</v>
      </c>
    </row>
    <row r="560" spans="1:9">
      <c r="A560" s="241"/>
      <c r="B560" s="139" t="s">
        <v>204</v>
      </c>
      <c r="C560" s="86">
        <f>'4A_DOC'!$B$40*$L$31</f>
        <v>1.5008947508362498</v>
      </c>
      <c r="D560" s="87">
        <v>0.9</v>
      </c>
      <c r="E560" s="87">
        <v>0.46</v>
      </c>
      <c r="F560" s="34">
        <f>1/100</f>
        <v>0.01</v>
      </c>
      <c r="G560" s="88">
        <v>0.57999999999999996</v>
      </c>
      <c r="H560" s="87">
        <f t="shared" ref="H560:H567" si="36">44/12</f>
        <v>3.6666666666666665</v>
      </c>
      <c r="I560" s="139">
        <f t="shared" ref="I560:I567" si="37">C560*D560*E560*F560*G560*H560</f>
        <v>1.3214477744262678E-2</v>
      </c>
    </row>
    <row r="561" spans="1:9">
      <c r="A561" s="241"/>
      <c r="B561" s="139" t="s">
        <v>205</v>
      </c>
      <c r="C561" s="86">
        <f>'4A_DOC'!$B$41*$L$31</f>
        <v>0</v>
      </c>
      <c r="D561" s="87">
        <v>0.85</v>
      </c>
      <c r="E561" s="87">
        <v>0.5</v>
      </c>
      <c r="F561" s="34">
        <v>0</v>
      </c>
      <c r="G561" s="88">
        <v>0.57999999999999996</v>
      </c>
      <c r="H561" s="87">
        <f t="shared" si="36"/>
        <v>3.6666666666666665</v>
      </c>
      <c r="I561" s="139">
        <f t="shared" si="37"/>
        <v>0</v>
      </c>
    </row>
    <row r="562" spans="1:9">
      <c r="A562" s="241"/>
      <c r="B562" s="139" t="s">
        <v>47</v>
      </c>
      <c r="C562" s="86">
        <f>'4A_DOC'!$B$42*$L$31</f>
        <v>9.4608929819249996E-2</v>
      </c>
      <c r="D562" s="87">
        <v>0.8</v>
      </c>
      <c r="E562" s="87">
        <v>0.5</v>
      </c>
      <c r="F562" s="34">
        <f>20/100</f>
        <v>0.2</v>
      </c>
      <c r="G562" s="88">
        <v>0.57999999999999996</v>
      </c>
      <c r="H562" s="87">
        <f t="shared" si="36"/>
        <v>3.6666666666666665</v>
      </c>
      <c r="I562" s="139">
        <f t="shared" si="37"/>
        <v>1.6096132593248397E-2</v>
      </c>
    </row>
    <row r="563" spans="1:9">
      <c r="A563" s="241"/>
      <c r="B563" s="139" t="s">
        <v>206</v>
      </c>
      <c r="C563" s="86">
        <f>'4A_DOC'!$B$43*$L$31</f>
        <v>0</v>
      </c>
      <c r="D563" s="87">
        <v>0.84</v>
      </c>
      <c r="E563" s="87">
        <v>0.67</v>
      </c>
      <c r="F563" s="34">
        <f>20/100</f>
        <v>0.2</v>
      </c>
      <c r="G563" s="88">
        <v>0.57999999999999996</v>
      </c>
      <c r="H563" s="87">
        <f t="shared" si="36"/>
        <v>3.6666666666666665</v>
      </c>
      <c r="I563" s="139">
        <f t="shared" si="37"/>
        <v>0</v>
      </c>
    </row>
    <row r="564" spans="1:9">
      <c r="A564" s="241"/>
      <c r="B564" s="139" t="s">
        <v>207</v>
      </c>
      <c r="C564" s="86">
        <f>'4A_DOC'!$B$44*$L$31</f>
        <v>1.25094029427675</v>
      </c>
      <c r="D564" s="87">
        <v>1</v>
      </c>
      <c r="E564" s="87">
        <v>0.75</v>
      </c>
      <c r="F564" s="34">
        <f>100/100</f>
        <v>1</v>
      </c>
      <c r="G564" s="88">
        <v>0.57999999999999996</v>
      </c>
      <c r="H564" s="87">
        <f t="shared" si="36"/>
        <v>3.6666666666666665</v>
      </c>
      <c r="I564" s="139">
        <f t="shared" si="37"/>
        <v>1.995249769371416</v>
      </c>
    </row>
    <row r="565" spans="1:9">
      <c r="A565" s="241"/>
      <c r="B565" s="139" t="s">
        <v>208</v>
      </c>
      <c r="C565" s="86">
        <f>'4A_DOC'!$B$45*$L$31</f>
        <v>0.20673803182724995</v>
      </c>
      <c r="D565" s="87">
        <v>1</v>
      </c>
      <c r="E565" s="87">
        <v>0</v>
      </c>
      <c r="F565" s="34">
        <v>0</v>
      </c>
      <c r="G565" s="88">
        <v>0.57999999999999996</v>
      </c>
      <c r="H565" s="87">
        <f t="shared" si="36"/>
        <v>3.6666666666666665</v>
      </c>
      <c r="I565" s="139">
        <f t="shared" si="37"/>
        <v>0</v>
      </c>
    </row>
    <row r="566" spans="1:9">
      <c r="A566" s="241"/>
      <c r="B566" s="139" t="s">
        <v>209</v>
      </c>
      <c r="C566" s="86">
        <f>'4A_DOC'!$B$46*$L$31</f>
        <v>0.15534552674024998</v>
      </c>
      <c r="D566" s="87">
        <v>1</v>
      </c>
      <c r="E566" s="87">
        <v>0</v>
      </c>
      <c r="F566" s="34">
        <v>0</v>
      </c>
      <c r="G566" s="88">
        <v>0.57999999999999996</v>
      </c>
      <c r="H566" s="87">
        <f t="shared" si="36"/>
        <v>3.6666666666666665</v>
      </c>
      <c r="I566" s="139">
        <f t="shared" si="37"/>
        <v>0</v>
      </c>
    </row>
    <row r="567" spans="1:9">
      <c r="A567" s="241"/>
      <c r="B567" s="139" t="s">
        <v>210</v>
      </c>
      <c r="C567" s="86">
        <f>'4A_DOC'!$B$47*$L$31</f>
        <v>0.72533512861424987</v>
      </c>
      <c r="D567" s="87">
        <v>0.9</v>
      </c>
      <c r="E567" s="87">
        <v>0</v>
      </c>
      <c r="F567" s="34">
        <v>0</v>
      </c>
      <c r="G567" s="88">
        <v>0.57999999999999996</v>
      </c>
      <c r="H567" s="87">
        <f t="shared" si="36"/>
        <v>3.6666666666666665</v>
      </c>
      <c r="I567" s="139">
        <f t="shared" si="37"/>
        <v>0</v>
      </c>
    </row>
    <row r="568" spans="1:9">
      <c r="A568" s="241" t="s">
        <v>48</v>
      </c>
      <c r="B568" s="241"/>
      <c r="C568" s="7"/>
      <c r="D568" s="139"/>
      <c r="E568" s="139"/>
      <c r="F568" s="139"/>
      <c r="G568" s="139"/>
      <c r="H568" s="139"/>
      <c r="I568" s="139"/>
    </row>
    <row r="569" spans="1:9">
      <c r="A569" s="200" t="s">
        <v>288</v>
      </c>
      <c r="B569" s="201"/>
      <c r="C569" s="201"/>
      <c r="D569" s="201"/>
      <c r="E569" s="201"/>
      <c r="F569" s="201"/>
      <c r="G569" s="201"/>
      <c r="H569" s="202"/>
      <c r="I569" s="93">
        <f>SUM(I559:I568)</f>
        <v>2.0245603797089271</v>
      </c>
    </row>
    <row r="570" spans="1:9">
      <c r="A570" s="237" t="s">
        <v>53</v>
      </c>
      <c r="B570" s="238"/>
      <c r="C570" s="238"/>
      <c r="D570" s="238"/>
      <c r="E570" s="238"/>
      <c r="F570" s="238"/>
      <c r="G570" s="238"/>
      <c r="H570" s="238"/>
      <c r="I570" s="238"/>
    </row>
    <row r="571" spans="1:9">
      <c r="A571" s="239" t="s">
        <v>54</v>
      </c>
      <c r="B571" s="240"/>
      <c r="C571" s="240"/>
      <c r="D571" s="240"/>
      <c r="E571" s="240"/>
      <c r="F571" s="240"/>
      <c r="G571" s="240"/>
      <c r="H571" s="240"/>
      <c r="I571" s="240"/>
    </row>
    <row r="572" spans="1:9">
      <c r="A572" s="239" t="s">
        <v>55</v>
      </c>
      <c r="B572" s="240"/>
      <c r="C572" s="240"/>
      <c r="D572" s="240"/>
      <c r="E572" s="240"/>
      <c r="F572" s="240"/>
      <c r="G572" s="240"/>
      <c r="H572" s="240"/>
      <c r="I572" s="240"/>
    </row>
    <row r="573" spans="1:9">
      <c r="A573" s="239" t="s">
        <v>96</v>
      </c>
      <c r="B573" s="240"/>
      <c r="C573" s="240"/>
      <c r="D573" s="240"/>
      <c r="E573" s="240"/>
      <c r="F573" s="240"/>
      <c r="G573" s="240"/>
      <c r="H573" s="240"/>
      <c r="I573" s="240"/>
    </row>
    <row r="574" spans="1:9">
      <c r="A574" s="239" t="s">
        <v>97</v>
      </c>
      <c r="B574" s="240"/>
      <c r="C574" s="240"/>
      <c r="D574" s="240"/>
      <c r="E574" s="240"/>
      <c r="F574" s="240"/>
      <c r="G574" s="240"/>
      <c r="H574" s="240"/>
      <c r="I574" s="240"/>
    </row>
    <row r="575" spans="1:9">
      <c r="A575" s="234" t="s">
        <v>200</v>
      </c>
      <c r="B575" s="235"/>
      <c r="C575" s="235"/>
      <c r="D575" s="235"/>
      <c r="E575" s="235"/>
      <c r="F575" s="235"/>
      <c r="G575" s="235"/>
      <c r="H575" s="235"/>
      <c r="I575" s="235"/>
    </row>
    <row r="578" spans="1:9">
      <c r="A578" s="198" t="s">
        <v>0</v>
      </c>
      <c r="B578" s="198"/>
      <c r="C578" s="199" t="s">
        <v>1</v>
      </c>
      <c r="D578" s="199"/>
      <c r="E578" s="199"/>
      <c r="F578" s="199"/>
      <c r="G578" s="199"/>
      <c r="H578" s="199"/>
      <c r="I578" s="199"/>
    </row>
    <row r="579" spans="1:9">
      <c r="A579" s="198" t="s">
        <v>2</v>
      </c>
      <c r="B579" s="198"/>
      <c r="C579" s="199" t="s">
        <v>75</v>
      </c>
      <c r="D579" s="199"/>
      <c r="E579" s="199"/>
      <c r="F579" s="199"/>
      <c r="G579" s="199"/>
      <c r="H579" s="199"/>
      <c r="I579" s="199"/>
    </row>
    <row r="580" spans="1:9">
      <c r="A580" s="198" t="s">
        <v>4</v>
      </c>
      <c r="B580" s="198"/>
      <c r="C580" s="199" t="s">
        <v>76</v>
      </c>
      <c r="D580" s="199"/>
      <c r="E580" s="199"/>
      <c r="F580" s="199"/>
      <c r="G580" s="199"/>
      <c r="H580" s="199"/>
      <c r="I580" s="199"/>
    </row>
    <row r="581" spans="1:9">
      <c r="A581" s="198" t="s">
        <v>6</v>
      </c>
      <c r="B581" s="198"/>
      <c r="C581" s="199" t="s">
        <v>77</v>
      </c>
      <c r="D581" s="199"/>
      <c r="E581" s="199"/>
      <c r="F581" s="199"/>
      <c r="G581" s="199"/>
      <c r="H581" s="199"/>
      <c r="I581" s="199"/>
    </row>
    <row r="582" spans="1:9">
      <c r="A582" s="231" t="s">
        <v>8</v>
      </c>
      <c r="B582" s="231"/>
      <c r="C582" s="231"/>
      <c r="D582" s="231" t="s">
        <v>9</v>
      </c>
      <c r="E582" s="236"/>
      <c r="F582" s="236"/>
      <c r="G582" s="236"/>
      <c r="H582" s="236"/>
      <c r="I582" s="136"/>
    </row>
    <row r="583" spans="1:9">
      <c r="A583" s="242"/>
      <c r="B583" s="242"/>
      <c r="C583" s="7" t="s">
        <v>58</v>
      </c>
      <c r="D583" s="7" t="s">
        <v>78</v>
      </c>
      <c r="E583" s="7" t="s">
        <v>79</v>
      </c>
      <c r="F583" s="7" t="s">
        <v>80</v>
      </c>
      <c r="G583" s="7" t="s">
        <v>81</v>
      </c>
      <c r="H583" s="7" t="s">
        <v>82</v>
      </c>
      <c r="I583" s="7" t="s">
        <v>83</v>
      </c>
    </row>
    <row r="584" spans="1:9" ht="25.5">
      <c r="A584" s="209" t="s">
        <v>84</v>
      </c>
      <c r="B584" s="209"/>
      <c r="C584" s="140" t="s">
        <v>85</v>
      </c>
      <c r="D584" s="242" t="s">
        <v>86</v>
      </c>
      <c r="E584" s="140" t="s">
        <v>87</v>
      </c>
      <c r="F584" s="140" t="s">
        <v>89</v>
      </c>
      <c r="G584" s="242" t="s">
        <v>91</v>
      </c>
      <c r="H584" s="242" t="s">
        <v>38</v>
      </c>
      <c r="I584" s="242" t="s">
        <v>92</v>
      </c>
    </row>
    <row r="585" spans="1:9" ht="14.25">
      <c r="A585" s="209"/>
      <c r="B585" s="209"/>
      <c r="C585" s="137" t="s">
        <v>37</v>
      </c>
      <c r="D585" s="232"/>
      <c r="E585" s="137" t="s">
        <v>88</v>
      </c>
      <c r="F585" s="137" t="s">
        <v>90</v>
      </c>
      <c r="G585" s="232"/>
      <c r="H585" s="232"/>
      <c r="I585" s="232"/>
    </row>
    <row r="586" spans="1:9">
      <c r="A586" s="210"/>
      <c r="B586" s="210"/>
      <c r="C586" s="137"/>
      <c r="D586" s="137" t="s">
        <v>39</v>
      </c>
      <c r="E586" s="137" t="s">
        <v>40</v>
      </c>
      <c r="F586" s="137" t="s">
        <v>41</v>
      </c>
      <c r="G586" s="137" t="s">
        <v>42</v>
      </c>
      <c r="H586" s="137"/>
      <c r="I586" s="137"/>
    </row>
    <row r="587" spans="1:9" ht="15.75">
      <c r="A587" s="210"/>
      <c r="B587" s="210"/>
      <c r="C587" s="8" t="s">
        <v>43</v>
      </c>
      <c r="D587" s="8" t="s">
        <v>44</v>
      </c>
      <c r="E587" s="8" t="s">
        <v>44</v>
      </c>
      <c r="F587" s="8" t="s">
        <v>44</v>
      </c>
      <c r="G587" s="8" t="s">
        <v>44</v>
      </c>
      <c r="H587" s="8" t="s">
        <v>45</v>
      </c>
      <c r="I587" s="8" t="s">
        <v>46</v>
      </c>
    </row>
    <row r="588" spans="1:9" ht="15" thickBot="1">
      <c r="A588" s="244"/>
      <c r="B588" s="244"/>
      <c r="C588" s="5" t="s">
        <v>93</v>
      </c>
      <c r="D588" s="5"/>
      <c r="E588" s="5"/>
      <c r="F588" s="5"/>
      <c r="G588" s="5"/>
      <c r="H588" s="5"/>
      <c r="I588" s="5" t="s">
        <v>94</v>
      </c>
    </row>
    <row r="589" spans="1:9" ht="13.5" thickTop="1">
      <c r="A589" s="241" t="s">
        <v>95</v>
      </c>
      <c r="B589" s="139" t="s">
        <v>203</v>
      </c>
      <c r="C589" s="86">
        <f>'4A_DOC'!$B$39*$L$32</f>
        <v>7.8952936480109992</v>
      </c>
      <c r="D589" s="87">
        <v>0.4</v>
      </c>
      <c r="E589" s="87">
        <v>0.38</v>
      </c>
      <c r="F589" s="34">
        <v>0</v>
      </c>
      <c r="G589" s="88">
        <v>0.57999999999999996</v>
      </c>
      <c r="H589" s="87">
        <f>44/12</f>
        <v>3.6666666666666665</v>
      </c>
      <c r="I589" s="139">
        <f>C589*D589*E589*F589*G589*H589</f>
        <v>0</v>
      </c>
    </row>
    <row r="590" spans="1:9">
      <c r="A590" s="241"/>
      <c r="B590" s="139" t="s">
        <v>204</v>
      </c>
      <c r="C590" s="86">
        <f>'4A_DOC'!$B$40*$L$32</f>
        <v>1.5281597134649998</v>
      </c>
      <c r="D590" s="87">
        <v>0.9</v>
      </c>
      <c r="E590" s="87">
        <v>0.46</v>
      </c>
      <c r="F590" s="34">
        <f>1/100</f>
        <v>0.01</v>
      </c>
      <c r="G590" s="88">
        <v>0.57999999999999996</v>
      </c>
      <c r="H590" s="87">
        <f t="shared" ref="H590:H597" si="38">44/12</f>
        <v>3.6666666666666665</v>
      </c>
      <c r="I590" s="139">
        <f t="shared" ref="I590:I597" si="39">C590*D590*E590*F590*G590*H590</f>
        <v>1.3454529381231243E-2</v>
      </c>
    </row>
    <row r="591" spans="1:9">
      <c r="A591" s="241"/>
      <c r="B591" s="139" t="s">
        <v>205</v>
      </c>
      <c r="C591" s="86">
        <f>'4A_DOC'!$B$41*$L$32</f>
        <v>0</v>
      </c>
      <c r="D591" s="87">
        <v>0.85</v>
      </c>
      <c r="E591" s="87">
        <v>0.5</v>
      </c>
      <c r="F591" s="34">
        <v>0</v>
      </c>
      <c r="G591" s="88">
        <v>0.57999999999999996</v>
      </c>
      <c r="H591" s="87">
        <f t="shared" si="38"/>
        <v>3.6666666666666665</v>
      </c>
      <c r="I591" s="139">
        <f t="shared" si="39"/>
        <v>0</v>
      </c>
    </row>
    <row r="592" spans="1:9">
      <c r="A592" s="241"/>
      <c r="B592" s="139" t="s">
        <v>47</v>
      </c>
      <c r="C592" s="86">
        <f>'4A_DOC'!$B$42*$L$32</f>
        <v>9.6327577269E-2</v>
      </c>
      <c r="D592" s="87">
        <v>0.8</v>
      </c>
      <c r="E592" s="87">
        <v>0.5</v>
      </c>
      <c r="F592" s="34">
        <f>20/100</f>
        <v>0.2</v>
      </c>
      <c r="G592" s="88">
        <v>0.57999999999999996</v>
      </c>
      <c r="H592" s="87">
        <f t="shared" si="38"/>
        <v>3.6666666666666665</v>
      </c>
      <c r="I592" s="139">
        <f t="shared" si="39"/>
        <v>1.6388531812699201E-2</v>
      </c>
    </row>
    <row r="593" spans="1:9">
      <c r="A593" s="241"/>
      <c r="B593" s="139" t="s">
        <v>206</v>
      </c>
      <c r="C593" s="86">
        <f>'4A_DOC'!$B$43*$L$32</f>
        <v>0</v>
      </c>
      <c r="D593" s="87">
        <v>0.84</v>
      </c>
      <c r="E593" s="87">
        <v>0.67</v>
      </c>
      <c r="F593" s="34">
        <f>20/100</f>
        <v>0.2</v>
      </c>
      <c r="G593" s="88">
        <v>0.57999999999999996</v>
      </c>
      <c r="H593" s="87">
        <f t="shared" si="38"/>
        <v>3.6666666666666665</v>
      </c>
      <c r="I593" s="139">
        <f t="shared" si="39"/>
        <v>0</v>
      </c>
    </row>
    <row r="594" spans="1:9">
      <c r="A594" s="241"/>
      <c r="B594" s="139" t="s">
        <v>207</v>
      </c>
      <c r="C594" s="86">
        <f>'4A_DOC'!$B$44*$L$32</f>
        <v>1.273664632779</v>
      </c>
      <c r="D594" s="87">
        <v>1</v>
      </c>
      <c r="E594" s="87">
        <v>0.75</v>
      </c>
      <c r="F594" s="34">
        <f>100/100</f>
        <v>1</v>
      </c>
      <c r="G594" s="88">
        <v>0.57999999999999996</v>
      </c>
      <c r="H594" s="87">
        <f t="shared" si="38"/>
        <v>3.6666666666666665</v>
      </c>
      <c r="I594" s="139">
        <f t="shared" si="39"/>
        <v>2.031495089282505</v>
      </c>
    </row>
    <row r="595" spans="1:9">
      <c r="A595" s="241"/>
      <c r="B595" s="139" t="s">
        <v>208</v>
      </c>
      <c r="C595" s="86">
        <f>'4A_DOC'!$B$45*$L$32</f>
        <v>0.21049359477299998</v>
      </c>
      <c r="D595" s="87">
        <v>1</v>
      </c>
      <c r="E595" s="87">
        <v>0</v>
      </c>
      <c r="F595" s="34">
        <v>0</v>
      </c>
      <c r="G595" s="88">
        <v>0.57999999999999996</v>
      </c>
      <c r="H595" s="87">
        <f t="shared" si="38"/>
        <v>3.6666666666666665</v>
      </c>
      <c r="I595" s="139">
        <f t="shared" si="39"/>
        <v>0</v>
      </c>
    </row>
    <row r="596" spans="1:9">
      <c r="A596" s="241"/>
      <c r="B596" s="139" t="s">
        <v>209</v>
      </c>
      <c r="C596" s="86">
        <f>'4A_DOC'!$B$46*$L$32</f>
        <v>0.15816750341699998</v>
      </c>
      <c r="D596" s="87">
        <v>1</v>
      </c>
      <c r="E596" s="87">
        <v>0</v>
      </c>
      <c r="F596" s="34">
        <v>0</v>
      </c>
      <c r="G596" s="88">
        <v>0.57999999999999996</v>
      </c>
      <c r="H596" s="87">
        <f t="shared" si="38"/>
        <v>3.6666666666666665</v>
      </c>
      <c r="I596" s="139">
        <f t="shared" si="39"/>
        <v>0</v>
      </c>
    </row>
    <row r="597" spans="1:9">
      <c r="A597" s="241"/>
      <c r="B597" s="139" t="s">
        <v>210</v>
      </c>
      <c r="C597" s="86">
        <f>'4A_DOC'!$B$47*$L$32</f>
        <v>0.73851142572899997</v>
      </c>
      <c r="D597" s="87">
        <v>0.9</v>
      </c>
      <c r="E597" s="87">
        <v>0</v>
      </c>
      <c r="F597" s="34">
        <v>0</v>
      </c>
      <c r="G597" s="88">
        <v>0.57999999999999996</v>
      </c>
      <c r="H597" s="87">
        <f t="shared" si="38"/>
        <v>3.6666666666666665</v>
      </c>
      <c r="I597" s="139">
        <f t="shared" si="39"/>
        <v>0</v>
      </c>
    </row>
    <row r="598" spans="1:9">
      <c r="A598" s="241" t="s">
        <v>48</v>
      </c>
      <c r="B598" s="241"/>
      <c r="C598" s="7"/>
      <c r="D598" s="139"/>
      <c r="E598" s="139"/>
      <c r="F598" s="139"/>
      <c r="G598" s="139"/>
      <c r="H598" s="139"/>
      <c r="I598" s="139"/>
    </row>
    <row r="599" spans="1:9">
      <c r="A599" s="200" t="s">
        <v>289</v>
      </c>
      <c r="B599" s="201"/>
      <c r="C599" s="201"/>
      <c r="D599" s="201"/>
      <c r="E599" s="201"/>
      <c r="F599" s="201"/>
      <c r="G599" s="201"/>
      <c r="H599" s="202"/>
      <c r="I599" s="93">
        <f>SUM(I589:I598)</f>
        <v>2.0613381504764354</v>
      </c>
    </row>
    <row r="600" spans="1:9">
      <c r="A600" s="237" t="s">
        <v>53</v>
      </c>
      <c r="B600" s="238"/>
      <c r="C600" s="238"/>
      <c r="D600" s="238"/>
      <c r="E600" s="238"/>
      <c r="F600" s="238"/>
      <c r="G600" s="238"/>
      <c r="H600" s="238"/>
      <c r="I600" s="238"/>
    </row>
    <row r="601" spans="1:9">
      <c r="A601" s="239" t="s">
        <v>54</v>
      </c>
      <c r="B601" s="240"/>
      <c r="C601" s="240"/>
      <c r="D601" s="240"/>
      <c r="E601" s="240"/>
      <c r="F601" s="240"/>
      <c r="G601" s="240"/>
      <c r="H601" s="240"/>
      <c r="I601" s="240"/>
    </row>
    <row r="602" spans="1:9">
      <c r="A602" s="239" t="s">
        <v>55</v>
      </c>
      <c r="B602" s="240"/>
      <c r="C602" s="240"/>
      <c r="D602" s="240"/>
      <c r="E602" s="240"/>
      <c r="F602" s="240"/>
      <c r="G602" s="240"/>
      <c r="H602" s="240"/>
      <c r="I602" s="240"/>
    </row>
    <row r="603" spans="1:9">
      <c r="A603" s="239" t="s">
        <v>96</v>
      </c>
      <c r="B603" s="240"/>
      <c r="C603" s="240"/>
      <c r="D603" s="240"/>
      <c r="E603" s="240"/>
      <c r="F603" s="240"/>
      <c r="G603" s="240"/>
      <c r="H603" s="240"/>
      <c r="I603" s="240"/>
    </row>
    <row r="604" spans="1:9">
      <c r="A604" s="239" t="s">
        <v>97</v>
      </c>
      <c r="B604" s="240"/>
      <c r="C604" s="240"/>
      <c r="D604" s="240"/>
      <c r="E604" s="240"/>
      <c r="F604" s="240"/>
      <c r="G604" s="240"/>
      <c r="H604" s="240"/>
      <c r="I604" s="240"/>
    </row>
    <row r="605" spans="1:9">
      <c r="A605" s="234" t="s">
        <v>200</v>
      </c>
      <c r="B605" s="235"/>
      <c r="C605" s="235"/>
      <c r="D605" s="235"/>
      <c r="E605" s="235"/>
      <c r="F605" s="235"/>
      <c r="G605" s="235"/>
      <c r="H605" s="235"/>
      <c r="I605" s="235"/>
    </row>
  </sheetData>
  <mergeCells count="523">
    <mergeCell ref="A599:H599"/>
    <mergeCell ref="A600:I600"/>
    <mergeCell ref="A601:I601"/>
    <mergeCell ref="A602:I602"/>
    <mergeCell ref="A603:I603"/>
    <mergeCell ref="A604:I604"/>
    <mergeCell ref="A605:I605"/>
    <mergeCell ref="A583:B583"/>
    <mergeCell ref="A584:B587"/>
    <mergeCell ref="D584:D585"/>
    <mergeCell ref="G584:G585"/>
    <mergeCell ref="H584:H585"/>
    <mergeCell ref="I584:I585"/>
    <mergeCell ref="A588:B588"/>
    <mergeCell ref="A589:A597"/>
    <mergeCell ref="A598:B598"/>
    <mergeCell ref="A578:B578"/>
    <mergeCell ref="C578:I578"/>
    <mergeCell ref="A579:B579"/>
    <mergeCell ref="C579:I579"/>
    <mergeCell ref="A580:B580"/>
    <mergeCell ref="C580:I580"/>
    <mergeCell ref="A581:B581"/>
    <mergeCell ref="C581:I581"/>
    <mergeCell ref="A582:C582"/>
    <mergeCell ref="D582:H582"/>
    <mergeCell ref="A559:A567"/>
    <mergeCell ref="A568:B568"/>
    <mergeCell ref="A569:H569"/>
    <mergeCell ref="A570:I570"/>
    <mergeCell ref="A571:I571"/>
    <mergeCell ref="A572:I572"/>
    <mergeCell ref="A573:I573"/>
    <mergeCell ref="A574:I574"/>
    <mergeCell ref="A575:I575"/>
    <mergeCell ref="A552:C552"/>
    <mergeCell ref="D552:H552"/>
    <mergeCell ref="A553:B553"/>
    <mergeCell ref="A554:B557"/>
    <mergeCell ref="D554:D555"/>
    <mergeCell ref="G554:G555"/>
    <mergeCell ref="H554:H555"/>
    <mergeCell ref="I554:I555"/>
    <mergeCell ref="A558:B558"/>
    <mergeCell ref="A545:I545"/>
    <mergeCell ref="A548:B548"/>
    <mergeCell ref="C548:I548"/>
    <mergeCell ref="A549:B549"/>
    <mergeCell ref="C549:I549"/>
    <mergeCell ref="A550:B550"/>
    <mergeCell ref="C550:I550"/>
    <mergeCell ref="A551:B551"/>
    <mergeCell ref="C551:I551"/>
    <mergeCell ref="A528:B528"/>
    <mergeCell ref="A529:A537"/>
    <mergeCell ref="A538:B538"/>
    <mergeCell ref="A539:H539"/>
    <mergeCell ref="A540:I540"/>
    <mergeCell ref="A541:I541"/>
    <mergeCell ref="A542:I542"/>
    <mergeCell ref="A543:I543"/>
    <mergeCell ref="A544:I544"/>
    <mergeCell ref="A520:B520"/>
    <mergeCell ref="C520:I520"/>
    <mergeCell ref="A521:B521"/>
    <mergeCell ref="C521:I521"/>
    <mergeCell ref="A522:C522"/>
    <mergeCell ref="D522:H522"/>
    <mergeCell ref="A523:B523"/>
    <mergeCell ref="A524:B527"/>
    <mergeCell ref="D524:D525"/>
    <mergeCell ref="G524:G525"/>
    <mergeCell ref="H524:H525"/>
    <mergeCell ref="I524:I525"/>
    <mergeCell ref="A510:I510"/>
    <mergeCell ref="A511:I511"/>
    <mergeCell ref="A512:I512"/>
    <mergeCell ref="A513:I513"/>
    <mergeCell ref="A514:I514"/>
    <mergeCell ref="A515:I515"/>
    <mergeCell ref="A518:B518"/>
    <mergeCell ref="C518:I518"/>
    <mergeCell ref="A519:B519"/>
    <mergeCell ref="C519:I519"/>
    <mergeCell ref="A494:B497"/>
    <mergeCell ref="D494:D495"/>
    <mergeCell ref="G494:G495"/>
    <mergeCell ref="H494:H495"/>
    <mergeCell ref="I494:I495"/>
    <mergeCell ref="A498:B498"/>
    <mergeCell ref="A499:A507"/>
    <mergeCell ref="A508:B508"/>
    <mergeCell ref="A509:H509"/>
    <mergeCell ref="A489:B489"/>
    <mergeCell ref="C489:I489"/>
    <mergeCell ref="A490:B490"/>
    <mergeCell ref="C490:I490"/>
    <mergeCell ref="A491:B491"/>
    <mergeCell ref="C491:I491"/>
    <mergeCell ref="A492:C492"/>
    <mergeCell ref="D492:H492"/>
    <mergeCell ref="A493:B493"/>
    <mergeCell ref="A479:H479"/>
    <mergeCell ref="A480:I480"/>
    <mergeCell ref="A481:I481"/>
    <mergeCell ref="A482:I482"/>
    <mergeCell ref="A483:I483"/>
    <mergeCell ref="A484:I484"/>
    <mergeCell ref="A485:I485"/>
    <mergeCell ref="A488:B488"/>
    <mergeCell ref="C488:I488"/>
    <mergeCell ref="A463:B463"/>
    <mergeCell ref="A464:B467"/>
    <mergeCell ref="D464:D465"/>
    <mergeCell ref="G464:G465"/>
    <mergeCell ref="H464:H465"/>
    <mergeCell ref="I464:I465"/>
    <mergeCell ref="A468:B468"/>
    <mergeCell ref="A469:A477"/>
    <mergeCell ref="A478:B478"/>
    <mergeCell ref="A458:B458"/>
    <mergeCell ref="C458:I458"/>
    <mergeCell ref="A459:B459"/>
    <mergeCell ref="C459:I459"/>
    <mergeCell ref="A460:B460"/>
    <mergeCell ref="C460:I460"/>
    <mergeCell ref="A461:B461"/>
    <mergeCell ref="C461:I461"/>
    <mergeCell ref="A462:C462"/>
    <mergeCell ref="D462:H462"/>
    <mergeCell ref="A439:A447"/>
    <mergeCell ref="A448:B448"/>
    <mergeCell ref="A449:H449"/>
    <mergeCell ref="A450:I450"/>
    <mergeCell ref="A451:I451"/>
    <mergeCell ref="A452:I452"/>
    <mergeCell ref="A453:I453"/>
    <mergeCell ref="A454:I454"/>
    <mergeCell ref="A455:I455"/>
    <mergeCell ref="A432:C432"/>
    <mergeCell ref="D432:H432"/>
    <mergeCell ref="A433:B433"/>
    <mergeCell ref="A434:B437"/>
    <mergeCell ref="D434:D435"/>
    <mergeCell ref="G434:G435"/>
    <mergeCell ref="H434:H435"/>
    <mergeCell ref="I434:I435"/>
    <mergeCell ref="A438:B438"/>
    <mergeCell ref="A425:I425"/>
    <mergeCell ref="A428:B428"/>
    <mergeCell ref="C428:I428"/>
    <mergeCell ref="A429:B429"/>
    <mergeCell ref="C429:I429"/>
    <mergeCell ref="A430:B430"/>
    <mergeCell ref="C430:I430"/>
    <mergeCell ref="A431:B431"/>
    <mergeCell ref="C431:I431"/>
    <mergeCell ref="A408:B408"/>
    <mergeCell ref="A409:A417"/>
    <mergeCell ref="A418:B418"/>
    <mergeCell ref="A419:H419"/>
    <mergeCell ref="A420:I420"/>
    <mergeCell ref="A421:I421"/>
    <mergeCell ref="A422:I422"/>
    <mergeCell ref="A423:I423"/>
    <mergeCell ref="A424:I424"/>
    <mergeCell ref="A400:B400"/>
    <mergeCell ref="C400:I400"/>
    <mergeCell ref="A401:B401"/>
    <mergeCell ref="C401:I401"/>
    <mergeCell ref="A402:C402"/>
    <mergeCell ref="D402:H402"/>
    <mergeCell ref="A403:B403"/>
    <mergeCell ref="A404:B407"/>
    <mergeCell ref="D404:D405"/>
    <mergeCell ref="G404:G405"/>
    <mergeCell ref="H404:H405"/>
    <mergeCell ref="I404:I405"/>
    <mergeCell ref="A390:I390"/>
    <mergeCell ref="A391:I391"/>
    <mergeCell ref="A392:I392"/>
    <mergeCell ref="A393:I393"/>
    <mergeCell ref="A394:I394"/>
    <mergeCell ref="A395:I395"/>
    <mergeCell ref="A398:B398"/>
    <mergeCell ref="C398:I398"/>
    <mergeCell ref="A399:B399"/>
    <mergeCell ref="C399:I399"/>
    <mergeCell ref="A374:B377"/>
    <mergeCell ref="D374:D375"/>
    <mergeCell ref="G374:G375"/>
    <mergeCell ref="H374:H375"/>
    <mergeCell ref="I374:I375"/>
    <mergeCell ref="A378:B378"/>
    <mergeCell ref="A379:A387"/>
    <mergeCell ref="A388:B388"/>
    <mergeCell ref="A389:H389"/>
    <mergeCell ref="A369:B369"/>
    <mergeCell ref="C369:I369"/>
    <mergeCell ref="A370:B370"/>
    <mergeCell ref="C370:I370"/>
    <mergeCell ref="A371:B371"/>
    <mergeCell ref="C371:I371"/>
    <mergeCell ref="A372:C372"/>
    <mergeCell ref="D372:H372"/>
    <mergeCell ref="A373:B373"/>
    <mergeCell ref="A359:H359"/>
    <mergeCell ref="A360:I360"/>
    <mergeCell ref="A361:I361"/>
    <mergeCell ref="A362:I362"/>
    <mergeCell ref="A363:I363"/>
    <mergeCell ref="A364:I364"/>
    <mergeCell ref="A365:I365"/>
    <mergeCell ref="A368:B368"/>
    <mergeCell ref="C368:I368"/>
    <mergeCell ref="A343:B343"/>
    <mergeCell ref="A344:B347"/>
    <mergeCell ref="D344:D345"/>
    <mergeCell ref="G344:G345"/>
    <mergeCell ref="H344:H345"/>
    <mergeCell ref="I344:I345"/>
    <mergeCell ref="A348:B348"/>
    <mergeCell ref="A349:A357"/>
    <mergeCell ref="A358:B358"/>
    <mergeCell ref="A338:B338"/>
    <mergeCell ref="C338:I338"/>
    <mergeCell ref="A339:B339"/>
    <mergeCell ref="C339:I339"/>
    <mergeCell ref="A340:B340"/>
    <mergeCell ref="C340:I340"/>
    <mergeCell ref="A341:B341"/>
    <mergeCell ref="C341:I341"/>
    <mergeCell ref="A342:C342"/>
    <mergeCell ref="D342:H342"/>
    <mergeCell ref="A331:I331"/>
    <mergeCell ref="A332:I332"/>
    <mergeCell ref="A333:I333"/>
    <mergeCell ref="A334:I334"/>
    <mergeCell ref="A335:I335"/>
    <mergeCell ref="A318:B318"/>
    <mergeCell ref="A319:A327"/>
    <mergeCell ref="A328:B328"/>
    <mergeCell ref="A329:H329"/>
    <mergeCell ref="A330:I330"/>
    <mergeCell ref="A314:B317"/>
    <mergeCell ref="D314:D315"/>
    <mergeCell ref="G314:G315"/>
    <mergeCell ref="H314:H315"/>
    <mergeCell ref="I314:I315"/>
    <mergeCell ref="A311:B311"/>
    <mergeCell ref="C311:I311"/>
    <mergeCell ref="A312:C312"/>
    <mergeCell ref="D312:H312"/>
    <mergeCell ref="A313:B313"/>
    <mergeCell ref="A308:B308"/>
    <mergeCell ref="C308:I308"/>
    <mergeCell ref="A309:B309"/>
    <mergeCell ref="C309:I309"/>
    <mergeCell ref="A310:B310"/>
    <mergeCell ref="C310:I310"/>
    <mergeCell ref="A301:I301"/>
    <mergeCell ref="A302:I302"/>
    <mergeCell ref="A303:I303"/>
    <mergeCell ref="A304:I304"/>
    <mergeCell ref="A305:I305"/>
    <mergeCell ref="A288:B288"/>
    <mergeCell ref="A289:A297"/>
    <mergeCell ref="A298:B298"/>
    <mergeCell ref="A299:H299"/>
    <mergeCell ref="A300:I300"/>
    <mergeCell ref="A284:B287"/>
    <mergeCell ref="D284:D285"/>
    <mergeCell ref="G284:G285"/>
    <mergeCell ref="H284:H285"/>
    <mergeCell ref="I284:I285"/>
    <mergeCell ref="A281:B281"/>
    <mergeCell ref="C281:I281"/>
    <mergeCell ref="A282:C282"/>
    <mergeCell ref="D282:H282"/>
    <mergeCell ref="A283:B283"/>
    <mergeCell ref="A278:B278"/>
    <mergeCell ref="C278:I278"/>
    <mergeCell ref="A279:B279"/>
    <mergeCell ref="C279:I279"/>
    <mergeCell ref="A280:B280"/>
    <mergeCell ref="C280:I280"/>
    <mergeCell ref="A271:I271"/>
    <mergeCell ref="A272:I272"/>
    <mergeCell ref="A273:I273"/>
    <mergeCell ref="A274:I274"/>
    <mergeCell ref="A275:I275"/>
    <mergeCell ref="A258:B258"/>
    <mergeCell ref="A259:A267"/>
    <mergeCell ref="A268:B268"/>
    <mergeCell ref="A269:H269"/>
    <mergeCell ref="A270:I270"/>
    <mergeCell ref="A254:B257"/>
    <mergeCell ref="D254:D255"/>
    <mergeCell ref="G254:G255"/>
    <mergeCell ref="H254:H255"/>
    <mergeCell ref="I254:I255"/>
    <mergeCell ref="A251:B251"/>
    <mergeCell ref="C251:I251"/>
    <mergeCell ref="A252:C252"/>
    <mergeCell ref="D252:H252"/>
    <mergeCell ref="A253:B253"/>
    <mergeCell ref="A248:B248"/>
    <mergeCell ref="C248:I248"/>
    <mergeCell ref="A249:B249"/>
    <mergeCell ref="C249:I249"/>
    <mergeCell ref="A250:B250"/>
    <mergeCell ref="C250:I250"/>
    <mergeCell ref="A241:I241"/>
    <mergeCell ref="A242:I242"/>
    <mergeCell ref="A243:I243"/>
    <mergeCell ref="A244:I244"/>
    <mergeCell ref="A245:I245"/>
    <mergeCell ref="A228:B228"/>
    <mergeCell ref="A229:A237"/>
    <mergeCell ref="A238:B238"/>
    <mergeCell ref="A239:H239"/>
    <mergeCell ref="A240:I240"/>
    <mergeCell ref="A224:B227"/>
    <mergeCell ref="D224:D225"/>
    <mergeCell ref="G224:G225"/>
    <mergeCell ref="H224:H225"/>
    <mergeCell ref="I224:I225"/>
    <mergeCell ref="A221:B221"/>
    <mergeCell ref="C221:I221"/>
    <mergeCell ref="A222:C222"/>
    <mergeCell ref="D222:H222"/>
    <mergeCell ref="A223:B223"/>
    <mergeCell ref="A218:B218"/>
    <mergeCell ref="C218:I218"/>
    <mergeCell ref="A219:B219"/>
    <mergeCell ref="C219:I219"/>
    <mergeCell ref="A220:B220"/>
    <mergeCell ref="C220:I220"/>
    <mergeCell ref="A211:I211"/>
    <mergeCell ref="A212:I212"/>
    <mergeCell ref="A213:I213"/>
    <mergeCell ref="A214:I214"/>
    <mergeCell ref="A215:I215"/>
    <mergeCell ref="A198:B198"/>
    <mergeCell ref="A199:A207"/>
    <mergeCell ref="A208:B208"/>
    <mergeCell ref="A209:H209"/>
    <mergeCell ref="A210:I210"/>
    <mergeCell ref="A194:B197"/>
    <mergeCell ref="D194:D195"/>
    <mergeCell ref="G194:G195"/>
    <mergeCell ref="H194:H195"/>
    <mergeCell ref="I194:I195"/>
    <mergeCell ref="A191:B191"/>
    <mergeCell ref="C191:I191"/>
    <mergeCell ref="A192:C192"/>
    <mergeCell ref="D192:H192"/>
    <mergeCell ref="A193:B193"/>
    <mergeCell ref="A188:B188"/>
    <mergeCell ref="C188:I188"/>
    <mergeCell ref="A189:B189"/>
    <mergeCell ref="C189:I189"/>
    <mergeCell ref="A190:B190"/>
    <mergeCell ref="C190:I190"/>
    <mergeCell ref="A181:I181"/>
    <mergeCell ref="A182:I182"/>
    <mergeCell ref="A183:I183"/>
    <mergeCell ref="A184:I184"/>
    <mergeCell ref="A185:I185"/>
    <mergeCell ref="A168:B168"/>
    <mergeCell ref="A169:A177"/>
    <mergeCell ref="A178:B178"/>
    <mergeCell ref="A179:H179"/>
    <mergeCell ref="A180:I180"/>
    <mergeCell ref="A164:B167"/>
    <mergeCell ref="D164:D165"/>
    <mergeCell ref="G164:G165"/>
    <mergeCell ref="H164:H165"/>
    <mergeCell ref="I164:I165"/>
    <mergeCell ref="A161:B161"/>
    <mergeCell ref="C161:I161"/>
    <mergeCell ref="A162:C162"/>
    <mergeCell ref="D162:H162"/>
    <mergeCell ref="A163:B163"/>
    <mergeCell ref="A158:B158"/>
    <mergeCell ref="C158:I158"/>
    <mergeCell ref="A159:B159"/>
    <mergeCell ref="C159:I159"/>
    <mergeCell ref="A160:B160"/>
    <mergeCell ref="C160:I160"/>
    <mergeCell ref="A151:I151"/>
    <mergeCell ref="A152:I152"/>
    <mergeCell ref="A153:I153"/>
    <mergeCell ref="A154:I154"/>
    <mergeCell ref="A155:I155"/>
    <mergeCell ref="A138:B138"/>
    <mergeCell ref="A139:A147"/>
    <mergeCell ref="A148:B148"/>
    <mergeCell ref="A149:H149"/>
    <mergeCell ref="A150:I150"/>
    <mergeCell ref="A134:B137"/>
    <mergeCell ref="D134:D135"/>
    <mergeCell ref="G134:G135"/>
    <mergeCell ref="H134:H135"/>
    <mergeCell ref="I134:I135"/>
    <mergeCell ref="A131:B131"/>
    <mergeCell ref="C131:I131"/>
    <mergeCell ref="A132:C132"/>
    <mergeCell ref="D132:H132"/>
    <mergeCell ref="A133:B133"/>
    <mergeCell ref="A128:B128"/>
    <mergeCell ref="C128:I128"/>
    <mergeCell ref="A129:B129"/>
    <mergeCell ref="C129:I129"/>
    <mergeCell ref="A130:B130"/>
    <mergeCell ref="C130:I130"/>
    <mergeCell ref="A120:I120"/>
    <mergeCell ref="A121:I121"/>
    <mergeCell ref="A122:I122"/>
    <mergeCell ref="A123:I123"/>
    <mergeCell ref="A124:I124"/>
    <mergeCell ref="A107:B107"/>
    <mergeCell ref="A108:A116"/>
    <mergeCell ref="A117:B117"/>
    <mergeCell ref="A118:H118"/>
    <mergeCell ref="A119:I119"/>
    <mergeCell ref="A103:B106"/>
    <mergeCell ref="D103:D104"/>
    <mergeCell ref="G103:G104"/>
    <mergeCell ref="H103:H104"/>
    <mergeCell ref="I103:I104"/>
    <mergeCell ref="A100:B100"/>
    <mergeCell ref="C100:I100"/>
    <mergeCell ref="A101:C101"/>
    <mergeCell ref="D101:H101"/>
    <mergeCell ref="A102:B102"/>
    <mergeCell ref="A97:B97"/>
    <mergeCell ref="C97:I97"/>
    <mergeCell ref="A98:B98"/>
    <mergeCell ref="C98:I98"/>
    <mergeCell ref="A99:B99"/>
    <mergeCell ref="C99:I99"/>
    <mergeCell ref="A89:I89"/>
    <mergeCell ref="A90:I90"/>
    <mergeCell ref="A91:I91"/>
    <mergeCell ref="A92:I92"/>
    <mergeCell ref="A93:I93"/>
    <mergeCell ref="A76:B76"/>
    <mergeCell ref="A77:A85"/>
    <mergeCell ref="A86:B86"/>
    <mergeCell ref="A87:H87"/>
    <mergeCell ref="A88:I88"/>
    <mergeCell ref="H72:H73"/>
    <mergeCell ref="I72:I73"/>
    <mergeCell ref="A72:B75"/>
    <mergeCell ref="D72:D73"/>
    <mergeCell ref="G72:G73"/>
    <mergeCell ref="A69:B69"/>
    <mergeCell ref="C69:I69"/>
    <mergeCell ref="A70:C70"/>
    <mergeCell ref="D70:H70"/>
    <mergeCell ref="A71:B71"/>
    <mergeCell ref="A66:B66"/>
    <mergeCell ref="C66:I66"/>
    <mergeCell ref="A67:B67"/>
    <mergeCell ref="C67:I67"/>
    <mergeCell ref="A68:B68"/>
    <mergeCell ref="C68:I68"/>
    <mergeCell ref="A59:I59"/>
    <mergeCell ref="A60:I60"/>
    <mergeCell ref="A61:I61"/>
    <mergeCell ref="A62:I62"/>
    <mergeCell ref="A63:I63"/>
    <mergeCell ref="A46:B46"/>
    <mergeCell ref="A47:A55"/>
    <mergeCell ref="A56:B56"/>
    <mergeCell ref="A57:H57"/>
    <mergeCell ref="A58:I58"/>
    <mergeCell ref="A42:B45"/>
    <mergeCell ref="D42:D43"/>
    <mergeCell ref="G42:G43"/>
    <mergeCell ref="H42:H43"/>
    <mergeCell ref="I42:I43"/>
    <mergeCell ref="A39:B39"/>
    <mergeCell ref="C39:I39"/>
    <mergeCell ref="A40:C40"/>
    <mergeCell ref="D40:H40"/>
    <mergeCell ref="A41:B41"/>
    <mergeCell ref="A36:B36"/>
    <mergeCell ref="C36:I36"/>
    <mergeCell ref="A37:B37"/>
    <mergeCell ref="C37:I37"/>
    <mergeCell ref="A38:B38"/>
    <mergeCell ref="C38:I38"/>
    <mergeCell ref="K8:K12"/>
    <mergeCell ref="L8:L12"/>
    <mergeCell ref="M8:M12"/>
    <mergeCell ref="A12:B12"/>
    <mergeCell ref="A22:B22"/>
    <mergeCell ref="A2:B2"/>
    <mergeCell ref="C2:I2"/>
    <mergeCell ref="A3:B3"/>
    <mergeCell ref="C3:I3"/>
    <mergeCell ref="C5:I5"/>
    <mergeCell ref="A4:B4"/>
    <mergeCell ref="C4:I4"/>
    <mergeCell ref="A5:B5"/>
    <mergeCell ref="A29:I29"/>
    <mergeCell ref="D6:H6"/>
    <mergeCell ref="A6:C6"/>
    <mergeCell ref="A8:B11"/>
    <mergeCell ref="A24:I24"/>
    <mergeCell ref="A25:I25"/>
    <mergeCell ref="A26:I26"/>
    <mergeCell ref="A27:I27"/>
    <mergeCell ref="A23:H23"/>
    <mergeCell ref="A13:A21"/>
    <mergeCell ref="A7:B7"/>
    <mergeCell ref="H8:H9"/>
    <mergeCell ref="I8:I9"/>
    <mergeCell ref="D8:D9"/>
    <mergeCell ref="A28:I28"/>
    <mergeCell ref="G8:G9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rgb="FFC00000"/>
  </sheetPr>
  <dimension ref="A2:I34"/>
  <sheetViews>
    <sheetView topLeftCell="A8" zoomScaleNormal="100" workbookViewId="0">
      <selection activeCell="B11" sqref="B11"/>
    </sheetView>
  </sheetViews>
  <sheetFormatPr defaultRowHeight="12.75"/>
  <cols>
    <col min="1" max="1" width="24.140625" style="6" customWidth="1"/>
    <col min="2" max="2" width="24.85546875" style="6" customWidth="1"/>
    <col min="3" max="3" width="21.85546875" style="6" customWidth="1"/>
    <col min="4" max="4" width="19.42578125" style="6" customWidth="1"/>
    <col min="5" max="16384" width="9.140625" style="6"/>
  </cols>
  <sheetData>
    <row r="2" spans="1:9">
      <c r="A2" s="75" t="s">
        <v>0</v>
      </c>
      <c r="B2" s="199" t="s">
        <v>1</v>
      </c>
      <c r="C2" s="199"/>
      <c r="D2" s="199"/>
    </row>
    <row r="3" spans="1:9">
      <c r="A3" s="75" t="s">
        <v>2</v>
      </c>
      <c r="B3" s="199" t="s">
        <v>75</v>
      </c>
      <c r="C3" s="199"/>
      <c r="D3" s="199"/>
    </row>
    <row r="4" spans="1:9">
      <c r="A4" s="75" t="s">
        <v>4</v>
      </c>
      <c r="B4" s="199" t="s">
        <v>76</v>
      </c>
      <c r="C4" s="199"/>
      <c r="D4" s="199"/>
    </row>
    <row r="5" spans="1:9">
      <c r="A5" s="75" t="s">
        <v>6</v>
      </c>
      <c r="B5" s="199" t="s">
        <v>100</v>
      </c>
      <c r="C5" s="199"/>
      <c r="D5" s="199"/>
    </row>
    <row r="6" spans="1:9">
      <c r="A6" s="231"/>
      <c r="B6" s="231"/>
      <c r="C6" s="85"/>
      <c r="D6" s="85"/>
    </row>
    <row r="7" spans="1:9">
      <c r="A7" s="59"/>
      <c r="B7" s="7" t="s">
        <v>58</v>
      </c>
      <c r="C7" s="7" t="s">
        <v>78</v>
      </c>
      <c r="D7" s="7" t="s">
        <v>79</v>
      </c>
    </row>
    <row r="8" spans="1:9" ht="39.75">
      <c r="A8" s="209" t="s">
        <v>84</v>
      </c>
      <c r="B8" s="59" t="s">
        <v>107</v>
      </c>
      <c r="C8" s="59" t="s">
        <v>101</v>
      </c>
      <c r="D8" s="59" t="s">
        <v>98</v>
      </c>
    </row>
    <row r="9" spans="1:9" ht="30">
      <c r="A9" s="210"/>
      <c r="B9" s="8" t="s">
        <v>43</v>
      </c>
      <c r="C9" s="8" t="s">
        <v>102</v>
      </c>
      <c r="D9" s="8" t="s">
        <v>99</v>
      </c>
    </row>
    <row r="10" spans="1:9" ht="15" thickBot="1">
      <c r="A10" s="210"/>
      <c r="B10" s="77"/>
      <c r="C10" s="77"/>
      <c r="D10" s="5" t="s">
        <v>103</v>
      </c>
    </row>
    <row r="11" spans="1:9" ht="13.5" thickTop="1">
      <c r="A11" s="7">
        <f>'4B_N2O emission'!B12</f>
        <v>2011</v>
      </c>
      <c r="B11" s="99">
        <f>'4C1_Amount_Waste_OpenBurned'!G12</f>
        <v>8.0406156599999985</v>
      </c>
      <c r="C11" s="79">
        <f>$H$11</f>
        <v>6500</v>
      </c>
      <c r="D11" s="97">
        <f>B11*C11/(10^6)</f>
        <v>5.2264001789999986E-2</v>
      </c>
      <c r="E11" s="6" t="s">
        <v>250</v>
      </c>
      <c r="H11" s="6">
        <v>6500</v>
      </c>
      <c r="I11" s="6" t="s">
        <v>251</v>
      </c>
    </row>
    <row r="12" spans="1:9">
      <c r="A12" s="7">
        <f>'4B_N2O emission'!B13</f>
        <v>2012</v>
      </c>
      <c r="B12" s="100">
        <f>'4C1_Amount_Waste_OpenBurned'!G13</f>
        <v>8.196429779999999</v>
      </c>
      <c r="C12" s="53">
        <f t="shared" ref="C12:C31" si="0">$H$11</f>
        <v>6500</v>
      </c>
      <c r="D12" s="87">
        <f t="shared" ref="D12:D31" si="1">B12*C12/(10^6)</f>
        <v>5.3276793569999994E-2</v>
      </c>
    </row>
    <row r="13" spans="1:9">
      <c r="A13" s="7">
        <f>'4B_N2O emission'!B14</f>
        <v>2013</v>
      </c>
      <c r="B13" s="100">
        <f>'4C1_Amount_Waste_OpenBurned'!G14</f>
        <v>8.3517099049999999</v>
      </c>
      <c r="C13" s="53">
        <f t="shared" si="0"/>
        <v>6500</v>
      </c>
      <c r="D13" s="87">
        <f t="shared" si="1"/>
        <v>5.4286114382499993E-2</v>
      </c>
    </row>
    <row r="14" spans="1:9">
      <c r="A14" s="7">
        <f>'4B_N2O emission'!B15</f>
        <v>2014</v>
      </c>
      <c r="B14" s="100">
        <f>'4C1_Amount_Waste_OpenBurned'!G15</f>
        <v>8.503111539999999</v>
      </c>
      <c r="C14" s="53">
        <f t="shared" si="0"/>
        <v>6500</v>
      </c>
      <c r="D14" s="87">
        <f t="shared" si="1"/>
        <v>5.5270225009999993E-2</v>
      </c>
    </row>
    <row r="15" spans="1:9">
      <c r="A15" s="7">
        <f>'4B_N2O emission'!B16</f>
        <v>2015</v>
      </c>
      <c r="B15" s="100">
        <f>'4C1_Amount_Waste_OpenBurned'!G16</f>
        <v>8.6503536350000001</v>
      </c>
      <c r="C15" s="53">
        <f t="shared" si="0"/>
        <v>6500</v>
      </c>
      <c r="D15" s="87">
        <f t="shared" si="1"/>
        <v>5.6227298627499998E-2</v>
      </c>
    </row>
    <row r="16" spans="1:9">
      <c r="A16" s="7">
        <f>'4B_N2O emission'!B17</f>
        <v>2016</v>
      </c>
      <c r="B16" s="100">
        <f>'4C1_Amount_Waste_OpenBurned'!G17</f>
        <v>8.7964153199999995</v>
      </c>
      <c r="C16" s="53">
        <f t="shared" si="0"/>
        <v>6500</v>
      </c>
      <c r="D16" s="87">
        <f t="shared" si="1"/>
        <v>5.717669957999999E-2</v>
      </c>
    </row>
    <row r="17" spans="1:4">
      <c r="A17" s="7">
        <f>'4B_N2O emission'!B18</f>
        <v>2017</v>
      </c>
      <c r="B17" s="100">
        <f>'4C1_Amount_Waste_OpenBurned'!G18</f>
        <v>9.1339704224999991</v>
      </c>
      <c r="C17" s="53">
        <f t="shared" si="0"/>
        <v>6500</v>
      </c>
      <c r="D17" s="87">
        <f t="shared" si="1"/>
        <v>5.937080774624999E-2</v>
      </c>
    </row>
    <row r="18" spans="1:4">
      <c r="A18" s="7">
        <f>'4B_N2O emission'!B19</f>
        <v>2018</v>
      </c>
      <c r="B18" s="100">
        <f>'4C1_Amount_Waste_OpenBurned'!G19</f>
        <v>9.3461491199999998</v>
      </c>
      <c r="C18" s="53">
        <f t="shared" si="0"/>
        <v>6500</v>
      </c>
      <c r="D18" s="87">
        <f t="shared" si="1"/>
        <v>6.0749969279999996E-2</v>
      </c>
    </row>
    <row r="19" spans="1:4">
      <c r="A19" s="7">
        <f>'4B_N2O emission'!B20</f>
        <v>2019</v>
      </c>
      <c r="B19" s="100">
        <f>'4C1_Amount_Waste_OpenBurned'!G20</f>
        <v>9.5583278174999986</v>
      </c>
      <c r="C19" s="53">
        <f t="shared" si="0"/>
        <v>6500</v>
      </c>
      <c r="D19" s="87">
        <f t="shared" si="1"/>
        <v>6.2129130813749989E-2</v>
      </c>
    </row>
    <row r="20" spans="1:4">
      <c r="A20" s="7">
        <f>'4B_N2O emission'!B21</f>
        <v>2020</v>
      </c>
      <c r="B20" s="100">
        <f>'4C1_Amount_Waste_OpenBurned'!G21</f>
        <v>9.7705065149999974</v>
      </c>
      <c r="C20" s="53">
        <f>$H$11</f>
        <v>6500</v>
      </c>
      <c r="D20" s="87">
        <f t="shared" si="1"/>
        <v>6.3508292347499981E-2</v>
      </c>
    </row>
    <row r="21" spans="1:4">
      <c r="A21" s="7">
        <f>'4B_N2O emission'!B22</f>
        <v>2021</v>
      </c>
      <c r="B21" s="100">
        <f>'4C1_Amount_Waste_OpenBurned'!G22</f>
        <v>9.9826852124999981</v>
      </c>
      <c r="C21" s="53">
        <f t="shared" si="0"/>
        <v>6500</v>
      </c>
      <c r="D21" s="87">
        <f t="shared" si="1"/>
        <v>6.4887453881249987E-2</v>
      </c>
    </row>
    <row r="22" spans="1:4">
      <c r="A22" s="7">
        <f>'4B_N2O emission'!B23</f>
        <v>2022</v>
      </c>
      <c r="B22" s="100">
        <f>'4C1_Amount_Waste_OpenBurned'!G23</f>
        <v>10.19486391</v>
      </c>
      <c r="C22" s="53">
        <f t="shared" si="0"/>
        <v>6500</v>
      </c>
      <c r="D22" s="87">
        <f t="shared" si="1"/>
        <v>6.6266615415000008E-2</v>
      </c>
    </row>
    <row r="23" spans="1:4">
      <c r="A23" s="7">
        <f>'4B_N2O emission'!B24</f>
        <v>2023</v>
      </c>
      <c r="B23" s="100">
        <f>'4C1_Amount_Waste_OpenBurned'!G24</f>
        <v>10.407042607499999</v>
      </c>
      <c r="C23" s="53">
        <f t="shared" si="0"/>
        <v>6500</v>
      </c>
      <c r="D23" s="87">
        <f t="shared" si="1"/>
        <v>6.7645776948749986E-2</v>
      </c>
    </row>
    <row r="24" spans="1:4">
      <c r="A24" s="7">
        <f>'4B_N2O emission'!B25</f>
        <v>2024</v>
      </c>
      <c r="B24" s="100">
        <f>'4C1_Amount_Waste_OpenBurned'!G25</f>
        <v>10.619221305</v>
      </c>
      <c r="C24" s="53">
        <f t="shared" si="0"/>
        <v>6500</v>
      </c>
      <c r="D24" s="87">
        <f t="shared" si="1"/>
        <v>6.9024938482500006E-2</v>
      </c>
    </row>
    <row r="25" spans="1:4">
      <c r="A25" s="7">
        <f>'4B_N2O emission'!B26</f>
        <v>2025</v>
      </c>
      <c r="B25" s="100">
        <f>'4C1_Amount_Waste_OpenBurned'!G26</f>
        <v>10.831400002500001</v>
      </c>
      <c r="C25" s="53">
        <f t="shared" si="0"/>
        <v>6500</v>
      </c>
      <c r="D25" s="87">
        <f t="shared" si="1"/>
        <v>7.0404100016249999E-2</v>
      </c>
    </row>
    <row r="26" spans="1:4">
      <c r="A26" s="7">
        <f>'4B_N2O emission'!B27</f>
        <v>2026</v>
      </c>
      <c r="B26" s="100">
        <f>'4C1_Amount_Waste_OpenBurned'!G27</f>
        <v>11.043578700000001</v>
      </c>
      <c r="C26" s="53">
        <f t="shared" si="0"/>
        <v>6500</v>
      </c>
      <c r="D26" s="87">
        <f t="shared" si="1"/>
        <v>7.1783261550000005E-2</v>
      </c>
    </row>
    <row r="27" spans="1:4">
      <c r="A27" s="7">
        <f>'4B_N2O emission'!B28</f>
        <v>2027</v>
      </c>
      <c r="B27" s="100">
        <f>'4C1_Amount_Waste_OpenBurned'!G28</f>
        <v>11.255757397499998</v>
      </c>
      <c r="C27" s="53">
        <f t="shared" si="0"/>
        <v>6500</v>
      </c>
      <c r="D27" s="87">
        <f t="shared" si="1"/>
        <v>7.3162423083749997E-2</v>
      </c>
    </row>
    <row r="28" spans="1:4">
      <c r="A28" s="7">
        <f>'4B_N2O emission'!B29</f>
        <v>2028</v>
      </c>
      <c r="B28" s="100">
        <f>'4C1_Amount_Waste_OpenBurned'!G29</f>
        <v>11.467936095000001</v>
      </c>
      <c r="C28" s="53">
        <f t="shared" si="0"/>
        <v>6500</v>
      </c>
      <c r="D28" s="87">
        <f t="shared" si="1"/>
        <v>7.4541584617500004E-2</v>
      </c>
    </row>
    <row r="29" spans="1:4">
      <c r="A29" s="7">
        <f>'4B_N2O emission'!B30</f>
        <v>2029</v>
      </c>
      <c r="B29" s="100">
        <f>'4C1_Amount_Waste_OpenBurned'!G30</f>
        <v>11.680114792499998</v>
      </c>
      <c r="C29" s="53">
        <f t="shared" si="0"/>
        <v>6500</v>
      </c>
      <c r="D29" s="87">
        <f t="shared" si="1"/>
        <v>7.5920746151249982E-2</v>
      </c>
    </row>
    <row r="30" spans="1:4">
      <c r="A30" s="7">
        <f>'4B_N2O emission'!B31</f>
        <v>2030</v>
      </c>
      <c r="B30" s="100">
        <f>'4C1_Amount_Waste_OpenBurned'!G31</f>
        <v>11.892293489999998</v>
      </c>
      <c r="C30" s="53">
        <f t="shared" si="0"/>
        <v>6500</v>
      </c>
      <c r="D30" s="87">
        <f t="shared" si="1"/>
        <v>7.7299907684999988E-2</v>
      </c>
    </row>
    <row r="31" spans="1:4">
      <c r="A31" s="7">
        <f>'4B_N2O emission'!B32</f>
        <v>2031</v>
      </c>
      <c r="B31" s="101">
        <f>'4C1_Amount_Waste_OpenBurned'!G32</f>
        <v>0</v>
      </c>
      <c r="C31" s="55">
        <f t="shared" si="0"/>
        <v>6500</v>
      </c>
      <c r="D31" s="98">
        <f t="shared" si="1"/>
        <v>0</v>
      </c>
    </row>
    <row r="32" spans="1:4">
      <c r="A32" s="237" t="s">
        <v>104</v>
      </c>
      <c r="B32" s="238"/>
      <c r="C32" s="238"/>
      <c r="D32" s="238"/>
    </row>
    <row r="33" spans="1:4">
      <c r="A33" s="239" t="s">
        <v>105</v>
      </c>
      <c r="B33" s="240"/>
      <c r="C33" s="240"/>
      <c r="D33" s="240"/>
    </row>
    <row r="34" spans="1:4">
      <c r="A34" s="234" t="s">
        <v>106</v>
      </c>
      <c r="B34" s="235"/>
      <c r="C34" s="235"/>
      <c r="D34" s="235"/>
    </row>
  </sheetData>
  <mergeCells count="9">
    <mergeCell ref="A32:D32"/>
    <mergeCell ref="A33:D33"/>
    <mergeCell ref="A34:D34"/>
    <mergeCell ref="B2:D2"/>
    <mergeCell ref="B3:D3"/>
    <mergeCell ref="A8:A10"/>
    <mergeCell ref="A6:B6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rgb="FFC00000"/>
  </sheetPr>
  <dimension ref="A2:I35"/>
  <sheetViews>
    <sheetView topLeftCell="A8" zoomScaleNormal="100" workbookViewId="0">
      <selection activeCell="B12" sqref="B12"/>
    </sheetView>
  </sheetViews>
  <sheetFormatPr defaultRowHeight="12.75"/>
  <cols>
    <col min="1" max="1" width="28" style="6" customWidth="1"/>
    <col min="2" max="4" width="29.28515625" style="6" customWidth="1"/>
    <col min="5" max="6" width="9.140625" style="6"/>
    <col min="7" max="7" width="14.42578125" style="6" customWidth="1"/>
    <col min="8" max="16384" width="9.140625" style="6"/>
  </cols>
  <sheetData>
    <row r="2" spans="1:9" ht="14.25" customHeight="1">
      <c r="A2" s="75" t="s">
        <v>0</v>
      </c>
      <c r="B2" s="199" t="s">
        <v>1</v>
      </c>
      <c r="C2" s="199"/>
      <c r="D2" s="199"/>
    </row>
    <row r="3" spans="1:9" ht="14.25" customHeight="1">
      <c r="A3" s="75" t="s">
        <v>2</v>
      </c>
      <c r="B3" s="199" t="s">
        <v>75</v>
      </c>
      <c r="C3" s="199"/>
      <c r="D3" s="199"/>
    </row>
    <row r="4" spans="1:9" ht="14.25" customHeight="1">
      <c r="A4" s="75" t="s">
        <v>4</v>
      </c>
      <c r="B4" s="199" t="s">
        <v>76</v>
      </c>
      <c r="C4" s="199"/>
      <c r="D4" s="199"/>
    </row>
    <row r="5" spans="1:9" ht="14.25" customHeight="1">
      <c r="A5" s="75" t="s">
        <v>6</v>
      </c>
      <c r="B5" s="199" t="s">
        <v>111</v>
      </c>
      <c r="C5" s="199"/>
      <c r="D5" s="199"/>
    </row>
    <row r="6" spans="1:9">
      <c r="A6" s="231"/>
      <c r="B6" s="231"/>
      <c r="C6" s="85"/>
      <c r="D6" s="85"/>
    </row>
    <row r="7" spans="1:9">
      <c r="A7" s="59"/>
      <c r="B7" s="7" t="s">
        <v>58</v>
      </c>
      <c r="C7" s="7" t="s">
        <v>78</v>
      </c>
      <c r="D7" s="7" t="s">
        <v>79</v>
      </c>
    </row>
    <row r="8" spans="1:9" ht="39.75">
      <c r="A8" s="209" t="s">
        <v>84</v>
      </c>
      <c r="B8" s="59" t="s">
        <v>116</v>
      </c>
      <c r="C8" s="59" t="s">
        <v>108</v>
      </c>
      <c r="D8" s="59" t="s">
        <v>109</v>
      </c>
    </row>
    <row r="9" spans="1:9" ht="16.5" customHeight="1">
      <c r="A9" s="210"/>
      <c r="B9" s="8" t="s">
        <v>112</v>
      </c>
      <c r="C9" s="8" t="s">
        <v>113</v>
      </c>
      <c r="D9" s="8" t="s">
        <v>110</v>
      </c>
    </row>
    <row r="10" spans="1:9" ht="15" thickBot="1">
      <c r="A10" s="52"/>
      <c r="B10" s="77"/>
      <c r="C10" s="77"/>
      <c r="D10" s="5" t="s">
        <v>114</v>
      </c>
    </row>
    <row r="11" spans="1:9" ht="13.5" customHeight="1" thickTop="1">
      <c r="A11" s="54" t="s">
        <v>201</v>
      </c>
      <c r="E11" s="91" t="s">
        <v>253</v>
      </c>
      <c r="H11" s="6">
        <v>0.15</v>
      </c>
      <c r="I11" s="6" t="s">
        <v>252</v>
      </c>
    </row>
    <row r="12" spans="1:9" ht="13.5" customHeight="1">
      <c r="A12" s="8">
        <f>'4B_N2O emission'!B12</f>
        <v>2011</v>
      </c>
      <c r="B12" s="100">
        <f>'4C1_Amount_Waste_OpenBurned'!G12</f>
        <v>8.0406156599999985</v>
      </c>
      <c r="C12" s="53">
        <f>$H$11*1000</f>
        <v>150</v>
      </c>
      <c r="D12" s="143">
        <f>B12*C12/(10^6)</f>
        <v>1.2060923489999999E-3</v>
      </c>
    </row>
    <row r="13" spans="1:9" ht="13.5" customHeight="1">
      <c r="A13" s="8">
        <f>'4B_N2O emission'!B13</f>
        <v>2012</v>
      </c>
      <c r="B13" s="100">
        <f>'4C1_Amount_Waste_OpenBurned'!G13</f>
        <v>8.196429779999999</v>
      </c>
      <c r="C13" s="53">
        <f t="shared" ref="C13:C32" si="0">$H$11*1000</f>
        <v>150</v>
      </c>
      <c r="D13" s="143">
        <f t="shared" ref="D13:D32" si="1">B13*C13/(10^6)</f>
        <v>1.2294644669999999E-3</v>
      </c>
    </row>
    <row r="14" spans="1:9" ht="13.5" customHeight="1">
      <c r="A14" s="8">
        <f>'4B_N2O emission'!B14</f>
        <v>2013</v>
      </c>
      <c r="B14" s="100">
        <f>'4C1_Amount_Waste_OpenBurned'!G14</f>
        <v>8.3517099049999999</v>
      </c>
      <c r="C14" s="53">
        <f t="shared" si="0"/>
        <v>150</v>
      </c>
      <c r="D14" s="143">
        <f t="shared" si="1"/>
        <v>1.25275648575E-3</v>
      </c>
    </row>
    <row r="15" spans="1:9" ht="13.5" customHeight="1">
      <c r="A15" s="8">
        <f>'4B_N2O emission'!B15</f>
        <v>2014</v>
      </c>
      <c r="B15" s="100">
        <f>'4C1_Amount_Waste_OpenBurned'!G15</f>
        <v>8.503111539999999</v>
      </c>
      <c r="C15" s="53">
        <f t="shared" si="0"/>
        <v>150</v>
      </c>
      <c r="D15" s="143">
        <f t="shared" si="1"/>
        <v>1.2754667309999997E-3</v>
      </c>
    </row>
    <row r="16" spans="1:9" ht="13.5" customHeight="1">
      <c r="A16" s="8">
        <f>'4B_N2O emission'!B16</f>
        <v>2015</v>
      </c>
      <c r="B16" s="100">
        <f>'4C1_Amount_Waste_OpenBurned'!G16</f>
        <v>8.6503536350000001</v>
      </c>
      <c r="C16" s="53">
        <f t="shared" si="0"/>
        <v>150</v>
      </c>
      <c r="D16" s="143">
        <f t="shared" si="1"/>
        <v>1.29755304525E-3</v>
      </c>
    </row>
    <row r="17" spans="1:4" ht="13.5" customHeight="1">
      <c r="A17" s="8">
        <f>'4B_N2O emission'!B17</f>
        <v>2016</v>
      </c>
      <c r="B17" s="100">
        <f>'4C1_Amount_Waste_OpenBurned'!G17</f>
        <v>8.7964153199999995</v>
      </c>
      <c r="C17" s="53">
        <f t="shared" si="0"/>
        <v>150</v>
      </c>
      <c r="D17" s="143">
        <f t="shared" si="1"/>
        <v>1.3194622979999999E-3</v>
      </c>
    </row>
    <row r="18" spans="1:4" ht="13.5" customHeight="1">
      <c r="A18" s="8">
        <f>'4B_N2O emission'!B18</f>
        <v>2017</v>
      </c>
      <c r="B18" s="100">
        <f>'4C1_Amount_Waste_OpenBurned'!G18</f>
        <v>9.1339704224999991</v>
      </c>
      <c r="C18" s="53">
        <f t="shared" si="0"/>
        <v>150</v>
      </c>
      <c r="D18" s="143">
        <f t="shared" si="1"/>
        <v>1.3700955633750001E-3</v>
      </c>
    </row>
    <row r="19" spans="1:4" ht="13.5" customHeight="1">
      <c r="A19" s="8">
        <f>'4B_N2O emission'!B19</f>
        <v>2018</v>
      </c>
      <c r="B19" s="100">
        <f>'4C1_Amount_Waste_OpenBurned'!G19</f>
        <v>9.3461491199999998</v>
      </c>
      <c r="C19" s="53">
        <f t="shared" si="0"/>
        <v>150</v>
      </c>
      <c r="D19" s="143">
        <f t="shared" si="1"/>
        <v>1.4019223679999999E-3</v>
      </c>
    </row>
    <row r="20" spans="1:4" ht="13.5" customHeight="1">
      <c r="A20" s="8">
        <f>'4B_N2O emission'!B20</f>
        <v>2019</v>
      </c>
      <c r="B20" s="100">
        <f>'4C1_Amount_Waste_OpenBurned'!G20</f>
        <v>9.5583278174999986</v>
      </c>
      <c r="C20" s="53">
        <f t="shared" si="0"/>
        <v>150</v>
      </c>
      <c r="D20" s="143">
        <f t="shared" si="1"/>
        <v>1.4337491726249998E-3</v>
      </c>
    </row>
    <row r="21" spans="1:4" ht="13.5" customHeight="1">
      <c r="A21" s="8">
        <f>'4B_N2O emission'!B21</f>
        <v>2020</v>
      </c>
      <c r="B21" s="100">
        <f>'4C1_Amount_Waste_OpenBurned'!G21</f>
        <v>9.7705065149999974</v>
      </c>
      <c r="C21" s="53">
        <f t="shared" si="0"/>
        <v>150</v>
      </c>
      <c r="D21" s="143">
        <f t="shared" si="1"/>
        <v>1.4655759772499997E-3</v>
      </c>
    </row>
    <row r="22" spans="1:4" ht="13.5" customHeight="1">
      <c r="A22" s="8">
        <f>'4B_N2O emission'!B22</f>
        <v>2021</v>
      </c>
      <c r="B22" s="100">
        <f>'4C1_Amount_Waste_OpenBurned'!G22</f>
        <v>9.9826852124999981</v>
      </c>
      <c r="C22" s="53">
        <f t="shared" si="0"/>
        <v>150</v>
      </c>
      <c r="D22" s="143">
        <f t="shared" si="1"/>
        <v>1.4974027818749995E-3</v>
      </c>
    </row>
    <row r="23" spans="1:4" ht="13.5" customHeight="1">
      <c r="A23" s="8">
        <f>'4B_N2O emission'!B23</f>
        <v>2022</v>
      </c>
      <c r="B23" s="100">
        <f>'4C1_Amount_Waste_OpenBurned'!G23</f>
        <v>10.19486391</v>
      </c>
      <c r="C23" s="53">
        <f t="shared" si="0"/>
        <v>150</v>
      </c>
      <c r="D23" s="143">
        <f t="shared" si="1"/>
        <v>1.5292295865E-3</v>
      </c>
    </row>
    <row r="24" spans="1:4" ht="13.5" customHeight="1">
      <c r="A24" s="8">
        <f>'4B_N2O emission'!B24</f>
        <v>2023</v>
      </c>
      <c r="B24" s="100">
        <f>'4C1_Amount_Waste_OpenBurned'!G24</f>
        <v>10.407042607499999</v>
      </c>
      <c r="C24" s="53">
        <f t="shared" si="0"/>
        <v>150</v>
      </c>
      <c r="D24" s="143">
        <f t="shared" si="1"/>
        <v>1.5610563911249999E-3</v>
      </c>
    </row>
    <row r="25" spans="1:4" ht="13.5" customHeight="1">
      <c r="A25" s="8">
        <f>'4B_N2O emission'!B25</f>
        <v>2024</v>
      </c>
      <c r="B25" s="100">
        <f>'4C1_Amount_Waste_OpenBurned'!G25</f>
        <v>10.619221305</v>
      </c>
      <c r="C25" s="53">
        <f t="shared" si="0"/>
        <v>150</v>
      </c>
      <c r="D25" s="143">
        <f t="shared" si="1"/>
        <v>1.59288319575E-3</v>
      </c>
    </row>
    <row r="26" spans="1:4" ht="13.5" customHeight="1">
      <c r="A26" s="8">
        <f>'4B_N2O emission'!B26</f>
        <v>2025</v>
      </c>
      <c r="B26" s="100">
        <f>'4C1_Amount_Waste_OpenBurned'!G26</f>
        <v>10.831400002500001</v>
      </c>
      <c r="C26" s="53">
        <f t="shared" si="0"/>
        <v>150</v>
      </c>
      <c r="D26" s="143">
        <f t="shared" si="1"/>
        <v>1.6247100003750001E-3</v>
      </c>
    </row>
    <row r="27" spans="1:4" ht="13.5" customHeight="1">
      <c r="A27" s="8">
        <f>'4B_N2O emission'!B27</f>
        <v>2026</v>
      </c>
      <c r="B27" s="100">
        <f>'4C1_Amount_Waste_OpenBurned'!G27</f>
        <v>11.043578700000001</v>
      </c>
      <c r="C27" s="53">
        <f t="shared" si="0"/>
        <v>150</v>
      </c>
      <c r="D27" s="143">
        <f t="shared" si="1"/>
        <v>1.6565368050000002E-3</v>
      </c>
    </row>
    <row r="28" spans="1:4" ht="13.5" customHeight="1">
      <c r="A28" s="8">
        <f>'4B_N2O emission'!B28</f>
        <v>2027</v>
      </c>
      <c r="B28" s="100">
        <f>'4C1_Amount_Waste_OpenBurned'!G28</f>
        <v>11.255757397499998</v>
      </c>
      <c r="C28" s="53">
        <f t="shared" si="0"/>
        <v>150</v>
      </c>
      <c r="D28" s="143">
        <f t="shared" si="1"/>
        <v>1.6883636096249998E-3</v>
      </c>
    </row>
    <row r="29" spans="1:4" ht="13.5" customHeight="1">
      <c r="A29" s="8">
        <f>'4B_N2O emission'!B29</f>
        <v>2028</v>
      </c>
      <c r="B29" s="100">
        <f>'4C1_Amount_Waste_OpenBurned'!G29</f>
        <v>11.467936095000001</v>
      </c>
      <c r="C29" s="53">
        <f t="shared" si="0"/>
        <v>150</v>
      </c>
      <c r="D29" s="143">
        <f t="shared" si="1"/>
        <v>1.7201904142500001E-3</v>
      </c>
    </row>
    <row r="30" spans="1:4" ht="13.5" customHeight="1">
      <c r="A30" s="8">
        <f>'4B_N2O emission'!B30</f>
        <v>2029</v>
      </c>
      <c r="B30" s="100">
        <f>'4C1_Amount_Waste_OpenBurned'!G30</f>
        <v>11.680114792499998</v>
      </c>
      <c r="C30" s="53">
        <f t="shared" si="0"/>
        <v>150</v>
      </c>
      <c r="D30" s="143">
        <f t="shared" si="1"/>
        <v>1.7520172188749995E-3</v>
      </c>
    </row>
    <row r="31" spans="1:4" ht="13.5" customHeight="1">
      <c r="A31" s="8">
        <f>'4B_N2O emission'!B31</f>
        <v>2030</v>
      </c>
      <c r="B31" s="100">
        <f>'4C1_Amount_Waste_OpenBurned'!G31</f>
        <v>11.892293489999998</v>
      </c>
      <c r="C31" s="53">
        <f t="shared" si="0"/>
        <v>150</v>
      </c>
      <c r="D31" s="143">
        <f t="shared" si="1"/>
        <v>1.7838440234999998E-3</v>
      </c>
    </row>
    <row r="32" spans="1:4" ht="13.5" customHeight="1">
      <c r="A32" s="8">
        <f>'4B_N2O emission'!B32</f>
        <v>2031</v>
      </c>
      <c r="B32" s="101">
        <f>'4C1_Amount_Waste_OpenBurned'!G32</f>
        <v>0</v>
      </c>
      <c r="C32" s="55">
        <f t="shared" si="0"/>
        <v>150</v>
      </c>
      <c r="D32" s="144">
        <f t="shared" si="1"/>
        <v>0</v>
      </c>
    </row>
    <row r="33" spans="1:4" ht="15" customHeight="1">
      <c r="A33" s="237" t="s">
        <v>104</v>
      </c>
      <c r="B33" s="238"/>
      <c r="C33" s="238"/>
      <c r="D33" s="238"/>
    </row>
    <row r="34" spans="1:4" ht="15" customHeight="1">
      <c r="A34" s="239" t="s">
        <v>115</v>
      </c>
      <c r="B34" s="240"/>
      <c r="C34" s="240"/>
      <c r="D34" s="240"/>
    </row>
    <row r="35" spans="1:4" ht="12.75" customHeight="1">
      <c r="A35" s="234" t="s">
        <v>106</v>
      </c>
      <c r="B35" s="235"/>
      <c r="C35" s="235"/>
      <c r="D35" s="235"/>
    </row>
  </sheetData>
  <mergeCells count="9">
    <mergeCell ref="A33:D33"/>
    <mergeCell ref="A34:D34"/>
    <mergeCell ref="A35:D35"/>
    <mergeCell ref="B2:D2"/>
    <mergeCell ref="B3:D3"/>
    <mergeCell ref="A6:B6"/>
    <mergeCell ref="A8:A9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9"/>
  <sheetViews>
    <sheetView zoomScaleNormal="100" workbookViewId="0">
      <selection activeCell="B59" sqref="B59"/>
    </sheetView>
  </sheetViews>
  <sheetFormatPr defaultRowHeight="12.75"/>
  <cols>
    <col min="1" max="1" width="9.140625" style="145"/>
    <col min="2" max="2" width="11.42578125" style="145" bestFit="1" customWidth="1"/>
    <col min="3" max="3" width="17.85546875" style="145" customWidth="1"/>
    <col min="4" max="4" width="12.28515625" style="145" bestFit="1" customWidth="1"/>
    <col min="5" max="5" width="19.140625" style="145" customWidth="1"/>
    <col min="6" max="6" width="16.140625" style="145" customWidth="1"/>
    <col min="7" max="16384" width="9.140625" style="145"/>
  </cols>
  <sheetData>
    <row r="2" spans="1:6" ht="13.5" thickBot="1">
      <c r="A2" s="127" t="s">
        <v>265</v>
      </c>
    </row>
    <row r="3" spans="1:6" ht="16.5" customHeight="1" thickBot="1">
      <c r="A3" s="255" t="s">
        <v>259</v>
      </c>
      <c r="B3" s="257" t="s">
        <v>264</v>
      </c>
      <c r="C3" s="258"/>
      <c r="D3" s="258"/>
      <c r="E3" s="258"/>
      <c r="F3" s="259"/>
    </row>
    <row r="4" spans="1:6" ht="16.5" thickBot="1">
      <c r="A4" s="256"/>
      <c r="B4" s="257" t="s">
        <v>310</v>
      </c>
      <c r="C4" s="259"/>
      <c r="D4" s="257" t="s">
        <v>311</v>
      </c>
      <c r="E4" s="259"/>
      <c r="F4" s="251" t="s">
        <v>312</v>
      </c>
    </row>
    <row r="5" spans="1:6" ht="15.75">
      <c r="A5" s="256"/>
      <c r="B5" s="158" t="s">
        <v>313</v>
      </c>
      <c r="C5" s="158" t="s">
        <v>314</v>
      </c>
      <c r="D5" s="158" t="s">
        <v>315</v>
      </c>
      <c r="E5" s="158" t="s">
        <v>314</v>
      </c>
      <c r="F5" s="252"/>
    </row>
    <row r="6" spans="1:6">
      <c r="A6" s="159">
        <f>'4B_N2O emission'!B12</f>
        <v>2011</v>
      </c>
      <c r="B6" s="146">
        <f>'4B_CH4 emissions'!G12</f>
        <v>6.7975459199999992E-3</v>
      </c>
      <c r="C6" s="147">
        <f>B6*21</f>
        <v>0.14274846431999999</v>
      </c>
      <c r="D6" s="148">
        <f>'4B_N2O emission'!E12</f>
        <v>5.0981594399999997E-4</v>
      </c>
      <c r="E6" s="147">
        <f>D6*310</f>
        <v>0.15804294263999999</v>
      </c>
      <c r="F6" s="149">
        <f>E6+C6</f>
        <v>0.30079140695999995</v>
      </c>
    </row>
    <row r="7" spans="1:6">
      <c r="A7" s="159">
        <f>'4B_N2O emission'!B13</f>
        <v>2012</v>
      </c>
      <c r="B7" s="146">
        <f>'4B_CH4 emissions'!G13</f>
        <v>6.9292713599999993E-3</v>
      </c>
      <c r="C7" s="147">
        <f t="shared" ref="C7:C25" si="0">B7*21</f>
        <v>0.14551469855999999</v>
      </c>
      <c r="D7" s="148">
        <f>'4B_N2O emission'!E13</f>
        <v>5.1969535199999993E-4</v>
      </c>
      <c r="E7" s="147">
        <f t="shared" ref="E7:E25" si="1">D7*310</f>
        <v>0.16110555911999996</v>
      </c>
      <c r="F7" s="149">
        <f t="shared" ref="F7:F25" si="2">E7+C7</f>
        <v>0.30662025767999995</v>
      </c>
    </row>
    <row r="8" spans="1:6">
      <c r="A8" s="159">
        <f>'4B_N2O emission'!B14</f>
        <v>2013</v>
      </c>
      <c r="B8" s="146">
        <f>'4B_CH4 emissions'!G14</f>
        <v>7.0605453599999991E-3</v>
      </c>
      <c r="C8" s="147">
        <f t="shared" si="0"/>
        <v>0.14827145255999999</v>
      </c>
      <c r="D8" s="148">
        <f>'4B_N2O emission'!E14</f>
        <v>5.2954090199999998E-4</v>
      </c>
      <c r="E8" s="147">
        <f t="shared" si="1"/>
        <v>0.16415767962</v>
      </c>
      <c r="F8" s="149">
        <f t="shared" si="2"/>
        <v>0.31242913218000001</v>
      </c>
    </row>
    <row r="9" spans="1:6">
      <c r="A9" s="159">
        <f>'4B_N2O emission'!B15</f>
        <v>2014</v>
      </c>
      <c r="B9" s="146">
        <f>'4B_CH4 emissions'!G15</f>
        <v>7.1885404799999992E-3</v>
      </c>
      <c r="C9" s="147">
        <f t="shared" si="0"/>
        <v>0.15095935007999997</v>
      </c>
      <c r="D9" s="148">
        <f>'4B_N2O emission'!E15</f>
        <v>5.3914053599999994E-4</v>
      </c>
      <c r="E9" s="147">
        <f t="shared" si="1"/>
        <v>0.16713356615999997</v>
      </c>
      <c r="F9" s="149">
        <f t="shared" si="2"/>
        <v>0.31809291623999991</v>
      </c>
    </row>
    <row r="10" spans="1:6">
      <c r="A10" s="159">
        <f>'4B_N2O emission'!B16</f>
        <v>2015</v>
      </c>
      <c r="B10" s="146">
        <f>'4B_CH4 emissions'!G16</f>
        <v>7.31301912E-3</v>
      </c>
      <c r="C10" s="147">
        <f t="shared" si="0"/>
        <v>0.15357340151999999</v>
      </c>
      <c r="D10" s="148">
        <f>'4B_N2O emission'!E16</f>
        <v>5.48476434E-4</v>
      </c>
      <c r="E10" s="147">
        <f t="shared" si="1"/>
        <v>0.17002769454</v>
      </c>
      <c r="F10" s="149">
        <f t="shared" si="2"/>
        <v>0.32360109605999998</v>
      </c>
    </row>
    <row r="11" spans="1:6">
      <c r="A11" s="159">
        <f>'4B_N2O emission'!B17</f>
        <v>2016</v>
      </c>
      <c r="B11" s="146">
        <f>'4B_CH4 emissions'!G17</f>
        <v>7.4364998399999984E-3</v>
      </c>
      <c r="C11" s="147">
        <f t="shared" si="0"/>
        <v>0.15616649663999996</v>
      </c>
      <c r="D11" s="148">
        <f>'4B_N2O emission'!E17</f>
        <v>5.5773748799999988E-4</v>
      </c>
      <c r="E11" s="147">
        <f t="shared" si="1"/>
        <v>0.17289862127999997</v>
      </c>
      <c r="F11" s="149">
        <f t="shared" si="2"/>
        <v>0.32906511791999993</v>
      </c>
    </row>
    <row r="12" spans="1:6">
      <c r="A12" s="159">
        <f>'4B_N2O emission'!B18</f>
        <v>2017</v>
      </c>
      <c r="B12" s="146">
        <f>'4B_CH4 emissions'!G18</f>
        <v>7.9419425956199999E-3</v>
      </c>
      <c r="C12" s="147">
        <f t="shared" si="0"/>
        <v>0.16678079450802</v>
      </c>
      <c r="D12" s="148">
        <f>'4B_N2O emission'!E18</f>
        <v>5.9564569467150002E-4</v>
      </c>
      <c r="E12" s="147">
        <f t="shared" si="1"/>
        <v>0.184650165348165</v>
      </c>
      <c r="F12" s="149">
        <f t="shared" si="2"/>
        <v>0.351430959856185</v>
      </c>
    </row>
    <row r="13" spans="1:6">
      <c r="A13" s="159">
        <f>'4B_N2O emission'!B19</f>
        <v>2018</v>
      </c>
      <c r="B13" s="146">
        <f>'4B_CH4 emissions'!G19</f>
        <v>8.3580342166886396E-3</v>
      </c>
      <c r="C13" s="147">
        <f t="shared" si="0"/>
        <v>0.17551871855046142</v>
      </c>
      <c r="D13" s="148">
        <f>'4B_N2O emission'!E19</f>
        <v>6.2685256625164801E-4</v>
      </c>
      <c r="E13" s="147">
        <f t="shared" si="1"/>
        <v>0.19432429553801089</v>
      </c>
      <c r="F13" s="149">
        <f t="shared" si="2"/>
        <v>0.36984301408847231</v>
      </c>
    </row>
    <row r="14" spans="1:6">
      <c r="A14" s="159">
        <f>'4B_N2O emission'!B20</f>
        <v>2019</v>
      </c>
      <c r="B14" s="146">
        <f>'4B_CH4 emissions'!G20</f>
        <v>8.7913922172848987E-3</v>
      </c>
      <c r="C14" s="147">
        <f t="shared" si="0"/>
        <v>0.18461923656298287</v>
      </c>
      <c r="D14" s="148">
        <f>'4B_N2O emission'!E20</f>
        <v>6.5935441629636751E-4</v>
      </c>
      <c r="E14" s="147">
        <f t="shared" si="1"/>
        <v>0.20439986905187393</v>
      </c>
      <c r="F14" s="149">
        <f t="shared" si="2"/>
        <v>0.38901910561485681</v>
      </c>
    </row>
    <row r="15" spans="1:6">
      <c r="A15" s="159">
        <f>'4B_N2O emission'!B21</f>
        <v>2020</v>
      </c>
      <c r="B15" s="146">
        <f>'4B_CH4 emissions'!G21</f>
        <v>9.2426628106226424E-3</v>
      </c>
      <c r="C15" s="147">
        <f t="shared" si="0"/>
        <v>0.19409591902307549</v>
      </c>
      <c r="D15" s="148">
        <f>'4B_N2O emission'!E21</f>
        <v>6.9319971079669822E-4</v>
      </c>
      <c r="E15" s="147">
        <f t="shared" si="1"/>
        <v>0.21489191034697644</v>
      </c>
      <c r="F15" s="149">
        <f t="shared" si="2"/>
        <v>0.40898782937005196</v>
      </c>
    </row>
    <row r="16" spans="1:6">
      <c r="A16" s="159">
        <f>'4B_N2O emission'!B22</f>
        <v>2021</v>
      </c>
      <c r="B16" s="146">
        <f>'4B_CH4 emissions'!G22</f>
        <v>9.7125150194521444E-3</v>
      </c>
      <c r="C16" s="147">
        <f t="shared" si="0"/>
        <v>0.20396281540849504</v>
      </c>
      <c r="D16" s="148">
        <f>'4B_N2O emission'!E22</f>
        <v>7.2843862645891077E-4</v>
      </c>
      <c r="E16" s="147">
        <f t="shared" si="1"/>
        <v>0.22581597420226235</v>
      </c>
      <c r="F16" s="149">
        <f t="shared" si="2"/>
        <v>0.42977878961075738</v>
      </c>
    </row>
    <row r="17" spans="1:7">
      <c r="A17" s="159">
        <f>'4B_N2O emission'!B23</f>
        <v>2022</v>
      </c>
      <c r="B17" s="146">
        <f>'4B_CH4 emissions'!G23</f>
        <v>1.0201641451317002E-2</v>
      </c>
      <c r="C17" s="147">
        <f t="shared" si="0"/>
        <v>0.21423447047765704</v>
      </c>
      <c r="D17" s="148">
        <f>'4B_N2O emission'!E23</f>
        <v>7.6512310884877509E-4</v>
      </c>
      <c r="E17" s="147">
        <f t="shared" si="1"/>
        <v>0.23718816374312027</v>
      </c>
      <c r="F17" s="149">
        <f t="shared" si="2"/>
        <v>0.45142263422077733</v>
      </c>
    </row>
    <row r="18" spans="1:7">
      <c r="A18" s="159">
        <f>'4B_N2O emission'!B24</f>
        <v>2023</v>
      </c>
      <c r="B18" s="146">
        <f>'4B_CH4 emissions'!G24</f>
        <v>1.0710759099473605E-2</v>
      </c>
      <c r="C18" s="147">
        <f t="shared" si="0"/>
        <v>0.2249259410889457</v>
      </c>
      <c r="D18" s="148">
        <f>'4B_N2O emission'!E24</f>
        <v>8.0330693246052041E-4</v>
      </c>
      <c r="E18" s="147">
        <f t="shared" si="1"/>
        <v>0.24902514906276133</v>
      </c>
      <c r="F18" s="149">
        <f t="shared" si="2"/>
        <v>0.473951090151707</v>
      </c>
    </row>
    <row r="19" spans="1:7">
      <c r="A19" s="159">
        <f>'4B_N2O emission'!B25</f>
        <v>2024</v>
      </c>
      <c r="B19" s="146">
        <f>'4B_CH4 emissions'!G25</f>
        <v>1.1240610170306302E-2</v>
      </c>
      <c r="C19" s="147">
        <f t="shared" si="0"/>
        <v>0.23605281357643235</v>
      </c>
      <c r="D19" s="148">
        <f>'4B_N2O emission'!E25</f>
        <v>8.4304576277297277E-4</v>
      </c>
      <c r="E19" s="147">
        <f t="shared" si="1"/>
        <v>0.26134418645962154</v>
      </c>
      <c r="F19" s="149">
        <f t="shared" si="2"/>
        <v>0.49739700003605392</v>
      </c>
    </row>
    <row r="20" spans="1:7">
      <c r="A20" s="159">
        <f>'4B_N2O emission'!B26</f>
        <v>2025</v>
      </c>
      <c r="B20" s="146">
        <f>'4B_CH4 emissions'!G26</f>
        <v>1.1791962938097915E-2</v>
      </c>
      <c r="C20" s="147">
        <f t="shared" si="0"/>
        <v>0.24763122170005622</v>
      </c>
      <c r="D20" s="148">
        <f>'4B_N2O emission'!E26</f>
        <v>8.8439722035734368E-4</v>
      </c>
      <c r="E20" s="147">
        <f t="shared" si="1"/>
        <v>0.27416313831077654</v>
      </c>
      <c r="F20" s="149">
        <f t="shared" si="2"/>
        <v>0.52179436001083279</v>
      </c>
    </row>
    <row r="21" spans="1:7">
      <c r="A21" s="159">
        <f>'4B_N2O emission'!B27</f>
        <v>2026</v>
      </c>
      <c r="B21" s="146">
        <f>'4B_CH4 emissions'!G27</f>
        <v>1.2365612628042819E-2</v>
      </c>
      <c r="C21" s="147">
        <f t="shared" si="0"/>
        <v>0.25967786518889918</v>
      </c>
      <c r="D21" s="148">
        <f>'4B_N2O emission'!E27</f>
        <v>9.2742094710321138E-4</v>
      </c>
      <c r="E21" s="147">
        <f t="shared" si="1"/>
        <v>0.28750049360199553</v>
      </c>
      <c r="F21" s="149">
        <f t="shared" si="2"/>
        <v>0.54717835879089471</v>
      </c>
    </row>
    <row r="22" spans="1:7">
      <c r="A22" s="159">
        <f>'4B_N2O emission'!B28</f>
        <v>2027</v>
      </c>
      <c r="B22" s="146">
        <f>'4B_CH4 emissions'!G28</f>
        <v>1.2962382328418114E-2</v>
      </c>
      <c r="C22" s="147">
        <f t="shared" si="0"/>
        <v>0.27221002889678036</v>
      </c>
      <c r="D22" s="148">
        <f>'4B_N2O emission'!E28</f>
        <v>9.7217867463135856E-4</v>
      </c>
      <c r="E22" s="147">
        <f t="shared" si="1"/>
        <v>0.30137538913572115</v>
      </c>
      <c r="F22" s="149">
        <f t="shared" si="2"/>
        <v>0.57358541803250152</v>
      </c>
    </row>
    <row r="23" spans="1:7">
      <c r="A23" s="159">
        <f>'4B_N2O emission'!B29</f>
        <v>2028</v>
      </c>
      <c r="B23" s="146">
        <f>'4B_CH4 emissions'!G29</f>
        <v>1.3583123932857672E-2</v>
      </c>
      <c r="C23" s="147">
        <f t="shared" si="0"/>
        <v>0.28524560259001114</v>
      </c>
      <c r="D23" s="148">
        <f>'4B_N2O emission'!E29</f>
        <v>1.0187342949643254E-3</v>
      </c>
      <c r="E23" s="147">
        <f t="shared" si="1"/>
        <v>0.31580763143894086</v>
      </c>
      <c r="F23" s="149">
        <f t="shared" si="2"/>
        <v>0.60105323402895205</v>
      </c>
    </row>
    <row r="24" spans="1:7">
      <c r="A24" s="159">
        <f>'4B_N2O emission'!B30</f>
        <v>2029</v>
      </c>
      <c r="B24" s="146">
        <f>'4B_CH4 emissions'!G30</f>
        <v>1.4228719113704028E-2</v>
      </c>
      <c r="C24" s="147">
        <f t="shared" si="0"/>
        <v>0.2988031013877846</v>
      </c>
      <c r="D24" s="148">
        <f>'4B_N2O emission'!E30</f>
        <v>1.0671539335278019E-3</v>
      </c>
      <c r="E24" s="147">
        <f t="shared" si="1"/>
        <v>0.33081771939361859</v>
      </c>
      <c r="F24" s="149">
        <f t="shared" si="2"/>
        <v>0.62962082078140313</v>
      </c>
    </row>
    <row r="25" spans="1:7">
      <c r="A25" s="159">
        <f>'4B_N2O emission'!B31</f>
        <v>2030</v>
      </c>
      <c r="B25" s="146">
        <f>'4B_CH4 emissions'!G31</f>
        <v>1.4894457600000001E-2</v>
      </c>
      <c r="C25" s="147">
        <f t="shared" si="0"/>
        <v>0.31278360960000001</v>
      </c>
      <c r="D25" s="148">
        <f>'4B_N2O emission'!E31</f>
        <v>1.11708432E-3</v>
      </c>
      <c r="E25" s="147">
        <f t="shared" si="1"/>
        <v>0.34629613920000002</v>
      </c>
      <c r="F25" s="149">
        <f t="shared" si="2"/>
        <v>0.65907974879999998</v>
      </c>
    </row>
    <row r="26" spans="1:7">
      <c r="A26" s="160"/>
      <c r="B26" s="150"/>
      <c r="C26" s="151"/>
      <c r="D26" s="152"/>
      <c r="E26" s="151"/>
      <c r="F26" s="153"/>
    </row>
    <row r="28" spans="1:7" ht="13.5" thickBot="1">
      <c r="A28" s="128" t="s">
        <v>266</v>
      </c>
    </row>
    <row r="29" spans="1:7" ht="16.5" customHeight="1" thickBot="1">
      <c r="A29" s="260" t="s">
        <v>259</v>
      </c>
      <c r="B29" s="262" t="s">
        <v>263</v>
      </c>
      <c r="C29" s="263"/>
      <c r="D29" s="263"/>
      <c r="E29" s="263"/>
      <c r="F29" s="263"/>
      <c r="G29" s="264"/>
    </row>
    <row r="30" spans="1:7" ht="14.25" customHeight="1" thickBot="1">
      <c r="A30" s="261"/>
      <c r="B30" s="262" t="s">
        <v>310</v>
      </c>
      <c r="C30" s="264"/>
      <c r="D30" s="262" t="s">
        <v>311</v>
      </c>
      <c r="E30" s="264"/>
      <c r="F30" s="161" t="s">
        <v>316</v>
      </c>
      <c r="G30" s="253" t="s">
        <v>312</v>
      </c>
    </row>
    <row r="31" spans="1:7" ht="15.75">
      <c r="A31" s="261"/>
      <c r="B31" s="162" t="s">
        <v>313</v>
      </c>
      <c r="C31" s="162" t="s">
        <v>314</v>
      </c>
      <c r="D31" s="162" t="s">
        <v>315</v>
      </c>
      <c r="E31" s="162" t="s">
        <v>314</v>
      </c>
      <c r="F31" s="162" t="s">
        <v>317</v>
      </c>
      <c r="G31" s="254"/>
    </row>
    <row r="32" spans="1:7">
      <c r="A32" s="159">
        <f t="shared" ref="A32:A42" si="3">A6</f>
        <v>2011</v>
      </c>
      <c r="B32" s="154">
        <f>'4C2_CH4_OpenBurning'!D11</f>
        <v>5.2264001789999986E-2</v>
      </c>
      <c r="C32" s="147">
        <f>B32*21</f>
        <v>1.0975440375899996</v>
      </c>
      <c r="D32" s="155">
        <f>'4C2_N2O_OpenBurning'!D12</f>
        <v>1.2060923489999999E-3</v>
      </c>
      <c r="E32" s="147">
        <f>D32*310</f>
        <v>0.37388862818999996</v>
      </c>
      <c r="F32" s="135">
        <f>'4C2_CO2_OpenBurning'!M13</f>
        <v>1.3937116357928248</v>
      </c>
      <c r="G32" s="149">
        <f>C32+E32+F32</f>
        <v>2.8651443015728244</v>
      </c>
    </row>
    <row r="33" spans="1:7" ht="12.75" customHeight="1">
      <c r="A33" s="159">
        <f t="shared" si="3"/>
        <v>2012</v>
      </c>
      <c r="B33" s="154">
        <f>'4C2_CH4_OpenBurning'!D12</f>
        <v>5.3276793569999994E-2</v>
      </c>
      <c r="C33" s="147">
        <f t="shared" ref="C33:C51" si="4">B33*21</f>
        <v>1.1188126649699999</v>
      </c>
      <c r="D33" s="155">
        <f>'4C2_N2O_OpenBurning'!D13</f>
        <v>1.2294644669999999E-3</v>
      </c>
      <c r="E33" s="147">
        <f t="shared" ref="E33:E51" si="5">D33*310</f>
        <v>0.38113398476999993</v>
      </c>
      <c r="F33" s="135">
        <f>'4C2_CO2_OpenBurning'!M14</f>
        <v>1.420719511961454</v>
      </c>
      <c r="G33" s="149">
        <f t="shared" ref="G33:G51" si="6">C33+E33+F33</f>
        <v>2.9206661617014538</v>
      </c>
    </row>
    <row r="34" spans="1:7" ht="13.5" customHeight="1">
      <c r="A34" s="159">
        <f t="shared" si="3"/>
        <v>2013</v>
      </c>
      <c r="B34" s="154">
        <f>'4C2_CH4_OpenBurning'!D13</f>
        <v>5.4286114382499993E-2</v>
      </c>
      <c r="C34" s="147">
        <f t="shared" si="4"/>
        <v>1.1400084020324999</v>
      </c>
      <c r="D34" s="155">
        <f>'4C2_N2O_OpenBurning'!D14</f>
        <v>1.25275648575E-3</v>
      </c>
      <c r="E34" s="147">
        <f t="shared" si="5"/>
        <v>0.38835451058249998</v>
      </c>
      <c r="F34" s="135">
        <f>'4C2_CO2_OpenBurning'!M15</f>
        <v>1.4476348286699092</v>
      </c>
      <c r="G34" s="149">
        <f t="shared" si="6"/>
        <v>2.975997741284909</v>
      </c>
    </row>
    <row r="35" spans="1:7">
      <c r="A35" s="159">
        <f t="shared" si="3"/>
        <v>2014</v>
      </c>
      <c r="B35" s="154">
        <f>'4C2_CH4_OpenBurning'!D14</f>
        <v>5.5270225009999993E-2</v>
      </c>
      <c r="C35" s="147">
        <f t="shared" si="4"/>
        <v>1.1606747252099998</v>
      </c>
      <c r="D35" s="155">
        <f>'4C2_N2O_OpenBurning'!D15</f>
        <v>1.2754667309999997E-3</v>
      </c>
      <c r="E35" s="147">
        <f t="shared" si="5"/>
        <v>0.39539468660999993</v>
      </c>
      <c r="F35" s="135">
        <f>'4C2_CO2_OpenBurning'!M16</f>
        <v>1.47387787140447</v>
      </c>
      <c r="G35" s="149">
        <f t="shared" si="6"/>
        <v>3.0299472832244696</v>
      </c>
    </row>
    <row r="36" spans="1:7">
      <c r="A36" s="159">
        <f t="shared" si="3"/>
        <v>2015</v>
      </c>
      <c r="B36" s="154">
        <f>'4C2_CH4_OpenBurning'!D15</f>
        <v>5.6227298627499998E-2</v>
      </c>
      <c r="C36" s="147">
        <f t="shared" si="4"/>
        <v>1.1807732711774999</v>
      </c>
      <c r="D36" s="155">
        <f>'4C2_N2O_OpenBurning'!D16</f>
        <v>1.29755304525E-3</v>
      </c>
      <c r="E36" s="147">
        <f t="shared" si="5"/>
        <v>0.40224144402750001</v>
      </c>
      <c r="F36" s="135">
        <f>'4C2_CO2_OpenBurning'!M17</f>
        <v>1.4993999246597813</v>
      </c>
      <c r="G36" s="149">
        <f t="shared" si="6"/>
        <v>3.0824146398647811</v>
      </c>
    </row>
    <row r="37" spans="1:7">
      <c r="A37" s="159">
        <f t="shared" si="3"/>
        <v>2016</v>
      </c>
      <c r="B37" s="154">
        <f>'4C2_CH4_OpenBurning'!D16</f>
        <v>5.717669957999999E-2</v>
      </c>
      <c r="C37" s="147">
        <f t="shared" si="4"/>
        <v>1.2007106911799998</v>
      </c>
      <c r="D37" s="155">
        <f>'4C2_N2O_OpenBurning'!D17</f>
        <v>1.3194622979999999E-3</v>
      </c>
      <c r="E37" s="147">
        <f t="shared" si="5"/>
        <v>0.40903331237999996</v>
      </c>
      <c r="F37" s="135">
        <f>'4C2_CO2_OpenBurning'!M18</f>
        <v>1.5247173727926036</v>
      </c>
      <c r="G37" s="149">
        <f t="shared" si="6"/>
        <v>3.1344613763526032</v>
      </c>
    </row>
    <row r="38" spans="1:7">
      <c r="A38" s="159">
        <f t="shared" si="3"/>
        <v>2017</v>
      </c>
      <c r="B38" s="154">
        <f>'4C2_CH4_OpenBurning'!D17</f>
        <v>5.937080774624999E-2</v>
      </c>
      <c r="C38" s="147">
        <f t="shared" si="4"/>
        <v>1.2467869626712498</v>
      </c>
      <c r="D38" s="155">
        <f>'4C2_N2O_OpenBurning'!D18</f>
        <v>1.3700955633750001E-3</v>
      </c>
      <c r="E38" s="147">
        <f t="shared" si="5"/>
        <v>0.42472962464625003</v>
      </c>
      <c r="F38" s="135">
        <f>'4C2_CO2_OpenBurning'!M19</f>
        <v>1.5832271304988297</v>
      </c>
      <c r="G38" s="149">
        <f t="shared" si="6"/>
        <v>3.2547437178163294</v>
      </c>
    </row>
    <row r="39" spans="1:7">
      <c r="A39" s="159">
        <f t="shared" si="3"/>
        <v>2018</v>
      </c>
      <c r="B39" s="154">
        <f>'4C2_CH4_OpenBurning'!D18</f>
        <v>6.0749969279999996E-2</v>
      </c>
      <c r="C39" s="147">
        <f t="shared" si="4"/>
        <v>1.2757493548799999</v>
      </c>
      <c r="D39" s="155">
        <f>'4C2_N2O_OpenBurning'!D19</f>
        <v>1.4019223679999999E-3</v>
      </c>
      <c r="E39" s="147">
        <f t="shared" si="5"/>
        <v>0.43459593407999997</v>
      </c>
      <c r="F39" s="135">
        <f>'4C2_CO2_OpenBurning'!M20</f>
        <v>1.620004901266338</v>
      </c>
      <c r="G39" s="149">
        <f t="shared" si="6"/>
        <v>3.3303501902263379</v>
      </c>
    </row>
    <row r="40" spans="1:7">
      <c r="A40" s="159">
        <f t="shared" si="3"/>
        <v>2019</v>
      </c>
      <c r="B40" s="154">
        <f>'4C2_CH4_OpenBurning'!D19</f>
        <v>6.2129130813749989E-2</v>
      </c>
      <c r="C40" s="147">
        <f t="shared" si="4"/>
        <v>1.3047117470887497</v>
      </c>
      <c r="D40" s="155">
        <f>'4C2_N2O_OpenBurning'!D20</f>
        <v>1.4337491726249998E-3</v>
      </c>
      <c r="E40" s="147">
        <f t="shared" si="5"/>
        <v>0.44446224351374997</v>
      </c>
      <c r="F40" s="135">
        <f>'4C2_CO2_OpenBurning'!M21</f>
        <v>1.6567826720338461</v>
      </c>
      <c r="G40" s="149">
        <f t="shared" si="6"/>
        <v>3.4059566626363456</v>
      </c>
    </row>
    <row r="41" spans="1:7">
      <c r="A41" s="159">
        <f t="shared" si="3"/>
        <v>2020</v>
      </c>
      <c r="B41" s="154">
        <f>'4C2_CH4_OpenBurning'!D20</f>
        <v>6.3508292347499981E-2</v>
      </c>
      <c r="C41" s="147">
        <f t="shared" si="4"/>
        <v>1.3336741392974996</v>
      </c>
      <c r="D41" s="155">
        <f>'4C2_N2O_OpenBurning'!D21</f>
        <v>1.4655759772499997E-3</v>
      </c>
      <c r="E41" s="147">
        <f t="shared" si="5"/>
        <v>0.45432855294749991</v>
      </c>
      <c r="F41" s="135">
        <f>'4C2_CO2_OpenBurning'!M22</f>
        <v>1.6935604428013538</v>
      </c>
      <c r="G41" s="149">
        <f t="shared" si="6"/>
        <v>3.4815631350463532</v>
      </c>
    </row>
    <row r="42" spans="1:7">
      <c r="A42" s="159">
        <f t="shared" si="3"/>
        <v>2021</v>
      </c>
      <c r="B42" s="154">
        <f>'4C2_CH4_OpenBurning'!D21</f>
        <v>6.4887453881249987E-2</v>
      </c>
      <c r="C42" s="147">
        <f t="shared" si="4"/>
        <v>1.3626365315062496</v>
      </c>
      <c r="D42" s="155">
        <f>'4C2_N2O_OpenBurning'!D22</f>
        <v>1.4974027818749995E-3</v>
      </c>
      <c r="E42" s="147">
        <f t="shared" si="5"/>
        <v>0.46419486238124985</v>
      </c>
      <c r="F42" s="135">
        <f>'4C2_CO2_OpenBurning'!M23</f>
        <v>1.7303382135688625</v>
      </c>
      <c r="G42" s="149">
        <f t="shared" si="6"/>
        <v>3.5571696074563617</v>
      </c>
    </row>
    <row r="43" spans="1:7">
      <c r="A43" s="159">
        <f t="shared" ref="A43:A51" si="7">A17</f>
        <v>2022</v>
      </c>
      <c r="B43" s="154">
        <f>'4C2_CH4_OpenBurning'!D22</f>
        <v>6.6266615415000008E-2</v>
      </c>
      <c r="C43" s="147">
        <f t="shared" si="4"/>
        <v>1.3915989237150002</v>
      </c>
      <c r="D43" s="155">
        <f>'4C2_N2O_OpenBurning'!D23</f>
        <v>1.5292295865E-3</v>
      </c>
      <c r="E43" s="147">
        <f t="shared" si="5"/>
        <v>0.47406117181500002</v>
      </c>
      <c r="F43" s="135">
        <f>'4C2_CO2_OpenBurning'!M24</f>
        <v>1.7671159843363704</v>
      </c>
      <c r="G43" s="149">
        <f t="shared" si="6"/>
        <v>3.6327760798663706</v>
      </c>
    </row>
    <row r="44" spans="1:7">
      <c r="A44" s="159">
        <f t="shared" si="7"/>
        <v>2023</v>
      </c>
      <c r="B44" s="154">
        <f>'4C2_CH4_OpenBurning'!D23</f>
        <v>6.7645776948749986E-2</v>
      </c>
      <c r="C44" s="147">
        <f t="shared" si="4"/>
        <v>1.4205613159237498</v>
      </c>
      <c r="D44" s="155">
        <f>'4C2_N2O_OpenBurning'!D24</f>
        <v>1.5610563911249999E-3</v>
      </c>
      <c r="E44" s="147">
        <f t="shared" si="5"/>
        <v>0.48392748124874996</v>
      </c>
      <c r="F44" s="135">
        <f>'4C2_CO2_OpenBurning'!M25</f>
        <v>1.8038937551038787</v>
      </c>
      <c r="G44" s="149">
        <f t="shared" si="6"/>
        <v>3.7083825522763787</v>
      </c>
    </row>
    <row r="45" spans="1:7">
      <c r="A45" s="159">
        <f t="shared" si="7"/>
        <v>2024</v>
      </c>
      <c r="B45" s="154">
        <f>'4C2_CH4_OpenBurning'!D24</f>
        <v>6.9024938482500006E-2</v>
      </c>
      <c r="C45" s="147">
        <f t="shared" si="4"/>
        <v>1.4495237081325001</v>
      </c>
      <c r="D45" s="155">
        <f>'4C2_N2O_OpenBurning'!D25</f>
        <v>1.59288319575E-3</v>
      </c>
      <c r="E45" s="147">
        <f t="shared" si="5"/>
        <v>0.49379379068250001</v>
      </c>
      <c r="F45" s="135">
        <f>'4C2_CO2_OpenBurning'!M26</f>
        <v>1.8406715258713868</v>
      </c>
      <c r="G45" s="149">
        <f t="shared" si="6"/>
        <v>3.7839890246863872</v>
      </c>
    </row>
    <row r="46" spans="1:7">
      <c r="A46" s="159">
        <f t="shared" si="7"/>
        <v>2025</v>
      </c>
      <c r="B46" s="154">
        <f>'4C2_CH4_OpenBurning'!D25</f>
        <v>7.0404100016249999E-2</v>
      </c>
      <c r="C46" s="147">
        <f t="shared" si="4"/>
        <v>1.4784861003412499</v>
      </c>
      <c r="D46" s="155">
        <f>'4C2_N2O_OpenBurning'!D26</f>
        <v>1.6247100003750001E-3</v>
      </c>
      <c r="E46" s="147">
        <f t="shared" si="5"/>
        <v>0.50366010011625006</v>
      </c>
      <c r="F46" s="135">
        <f>'4C2_CO2_OpenBurning'!M27</f>
        <v>1.8774492966388949</v>
      </c>
      <c r="G46" s="149">
        <f t="shared" si="6"/>
        <v>3.8595954970963948</v>
      </c>
    </row>
    <row r="47" spans="1:7">
      <c r="A47" s="159">
        <f t="shared" si="7"/>
        <v>2026</v>
      </c>
      <c r="B47" s="154">
        <f>'4C2_CH4_OpenBurning'!D26</f>
        <v>7.1783261550000005E-2</v>
      </c>
      <c r="C47" s="147">
        <f t="shared" si="4"/>
        <v>1.50744849255</v>
      </c>
      <c r="D47" s="155">
        <f>'4C2_N2O_OpenBurning'!D27</f>
        <v>1.6565368050000002E-3</v>
      </c>
      <c r="E47" s="147">
        <f t="shared" si="5"/>
        <v>0.51352640955000006</v>
      </c>
      <c r="F47" s="135">
        <f>'4C2_CO2_OpenBurning'!M28</f>
        <v>1.9142270674064032</v>
      </c>
      <c r="G47" s="149">
        <f t="shared" si="6"/>
        <v>3.9352019695064033</v>
      </c>
    </row>
    <row r="48" spans="1:7">
      <c r="A48" s="159">
        <f t="shared" si="7"/>
        <v>2027</v>
      </c>
      <c r="B48" s="154">
        <f>'4C2_CH4_OpenBurning'!D27</f>
        <v>7.3162423083749997E-2</v>
      </c>
      <c r="C48" s="147">
        <f t="shared" si="4"/>
        <v>1.5364108847587499</v>
      </c>
      <c r="D48" s="155">
        <f>'4C2_N2O_OpenBurning'!D28</f>
        <v>1.6883636096249998E-3</v>
      </c>
      <c r="E48" s="147">
        <f t="shared" si="5"/>
        <v>0.52339271898374995</v>
      </c>
      <c r="F48" s="135">
        <f>'4C2_CO2_OpenBurning'!M29</f>
        <v>1.9510048381739111</v>
      </c>
      <c r="G48" s="149">
        <f t="shared" si="6"/>
        <v>4.0108084419164109</v>
      </c>
    </row>
    <row r="49" spans="1:7">
      <c r="A49" s="159">
        <f t="shared" si="7"/>
        <v>2028</v>
      </c>
      <c r="B49" s="154">
        <f>'4C2_CH4_OpenBurning'!D28</f>
        <v>7.4541584617500004E-2</v>
      </c>
      <c r="C49" s="147">
        <f t="shared" si="4"/>
        <v>1.5653732769675002</v>
      </c>
      <c r="D49" s="155">
        <f>'4C2_N2O_OpenBurning'!D29</f>
        <v>1.7201904142500001E-3</v>
      </c>
      <c r="E49" s="147">
        <f t="shared" si="5"/>
        <v>0.53325902841750006</v>
      </c>
      <c r="F49" s="135">
        <f>'4C2_CO2_OpenBurning'!M30</f>
        <v>1.9877826089414194</v>
      </c>
      <c r="G49" s="149">
        <f t="shared" si="6"/>
        <v>4.0864149143264195</v>
      </c>
    </row>
    <row r="50" spans="1:7">
      <c r="A50" s="159">
        <f t="shared" si="7"/>
        <v>2029</v>
      </c>
      <c r="B50" s="154">
        <f>'4C2_CH4_OpenBurning'!D29</f>
        <v>7.5920746151249982E-2</v>
      </c>
      <c r="C50" s="147">
        <f t="shared" si="4"/>
        <v>1.5943356691762496</v>
      </c>
      <c r="D50" s="155">
        <f>'4C2_N2O_OpenBurning'!D30</f>
        <v>1.7520172188749995E-3</v>
      </c>
      <c r="E50" s="147">
        <f t="shared" si="5"/>
        <v>0.54312533785124983</v>
      </c>
      <c r="F50" s="135">
        <f>'4C2_CO2_OpenBurning'!M31</f>
        <v>2.0245603797089271</v>
      </c>
      <c r="G50" s="149">
        <f t="shared" si="6"/>
        <v>4.1620213867364271</v>
      </c>
    </row>
    <row r="51" spans="1:7">
      <c r="A51" s="159">
        <f t="shared" si="7"/>
        <v>2030</v>
      </c>
      <c r="B51" s="154">
        <f>'4C2_CH4_OpenBurning'!D30</f>
        <v>7.7299907684999988E-2</v>
      </c>
      <c r="C51" s="147">
        <f t="shared" si="4"/>
        <v>1.6232980613849997</v>
      </c>
      <c r="D51" s="155">
        <f>'4C2_N2O_OpenBurning'!D31</f>
        <v>1.7838440234999998E-3</v>
      </c>
      <c r="E51" s="147">
        <f t="shared" si="5"/>
        <v>0.55299164728499994</v>
      </c>
      <c r="F51" s="135">
        <f>'4C2_CO2_OpenBurning'!M32</f>
        <v>2.0613381504764354</v>
      </c>
      <c r="G51" s="149">
        <f t="shared" si="6"/>
        <v>4.2376278591464356</v>
      </c>
    </row>
    <row r="52" spans="1:7">
      <c r="A52" s="160"/>
      <c r="B52" s="156"/>
      <c r="C52" s="157"/>
      <c r="D52" s="156"/>
      <c r="E52" s="157"/>
      <c r="F52" s="157"/>
    </row>
    <row r="53" spans="1:7">
      <c r="A53" s="160"/>
      <c r="B53" s="156"/>
      <c r="C53" s="157"/>
      <c r="D53" s="156"/>
      <c r="E53" s="157"/>
      <c r="F53" s="157"/>
    </row>
    <row r="54" spans="1:7" ht="13.5" thickBot="1">
      <c r="A54" s="129" t="s">
        <v>269</v>
      </c>
      <c r="B54" s="157"/>
      <c r="C54" s="156"/>
      <c r="D54" s="157"/>
    </row>
    <row r="55" spans="1:7" ht="14.25" customHeight="1" thickBot="1">
      <c r="A55" s="245" t="s">
        <v>259</v>
      </c>
      <c r="B55" s="247" t="s">
        <v>318</v>
      </c>
      <c r="C55" s="248"/>
      <c r="D55" s="163" t="s">
        <v>319</v>
      </c>
      <c r="E55" s="164"/>
      <c r="F55" s="165" t="s">
        <v>239</v>
      </c>
    </row>
    <row r="56" spans="1:7" ht="45" thickBot="1">
      <c r="A56" s="246"/>
      <c r="B56" s="166" t="s">
        <v>320</v>
      </c>
      <c r="C56" s="166" t="s">
        <v>321</v>
      </c>
      <c r="D56" s="167" t="s">
        <v>322</v>
      </c>
      <c r="E56" s="167" t="s">
        <v>323</v>
      </c>
      <c r="F56" s="168" t="s">
        <v>324</v>
      </c>
    </row>
    <row r="57" spans="1:7" ht="13.5" thickBot="1">
      <c r="A57" s="246"/>
      <c r="B57" s="249" t="s">
        <v>11</v>
      </c>
      <c r="C57" s="169" t="s">
        <v>12</v>
      </c>
      <c r="D57" s="170" t="s">
        <v>13</v>
      </c>
      <c r="E57" s="171" t="s">
        <v>14</v>
      </c>
      <c r="F57" s="172" t="s">
        <v>15</v>
      </c>
    </row>
    <row r="58" spans="1:7">
      <c r="A58" s="246"/>
      <c r="B58" s="250"/>
      <c r="C58" s="173" t="s">
        <v>260</v>
      </c>
      <c r="D58" s="174"/>
      <c r="E58" s="175" t="s">
        <v>261</v>
      </c>
      <c r="F58" s="176" t="s">
        <v>262</v>
      </c>
    </row>
    <row r="59" spans="1:7">
      <c r="A59" s="159">
        <f t="shared" ref="A59:A69" si="8">A32</f>
        <v>2011</v>
      </c>
      <c r="B59" s="135">
        <f>'4D1_CH4_Domestic_Wastewater'!N12</f>
        <v>0.58523408403839994</v>
      </c>
      <c r="C59" s="147">
        <f>B59*21</f>
        <v>12.289915764806398</v>
      </c>
      <c r="D59" s="177">
        <f>'4D1_Indirect_N2O'!G11</f>
        <v>1.9889252893714286E-2</v>
      </c>
      <c r="E59" s="147">
        <f>D59*310</f>
        <v>6.1656683970514283</v>
      </c>
      <c r="F59" s="178">
        <f>C59+E59</f>
        <v>18.455584161857828</v>
      </c>
    </row>
    <row r="60" spans="1:7">
      <c r="A60" s="159">
        <f t="shared" si="8"/>
        <v>2012</v>
      </c>
      <c r="B60" s="135">
        <f>'4D1_CH4_Domestic_Wastewater'!N13</f>
        <v>0.5968179127872002</v>
      </c>
      <c r="C60" s="147">
        <f t="shared" ref="C60:C79" si="9">B60*21</f>
        <v>12.533176168531204</v>
      </c>
      <c r="D60" s="177">
        <f>'4D1_Indirect_N2O'!G12</f>
        <v>1.9552192251428572E-2</v>
      </c>
      <c r="E60" s="147">
        <f t="shared" ref="E60:E79" si="10">D60*310</f>
        <v>6.0611795979428571</v>
      </c>
      <c r="F60" s="178">
        <f t="shared" ref="F60:F79" si="11">C60+E60</f>
        <v>18.59435576647406</v>
      </c>
    </row>
    <row r="61" spans="1:7">
      <c r="A61" s="159">
        <f t="shared" si="8"/>
        <v>2013</v>
      </c>
      <c r="B61" s="135">
        <f>'4D1_CH4_Domestic_Wastewater'!N14</f>
        <v>0.60836204226719992</v>
      </c>
      <c r="C61" s="147">
        <f t="shared" si="9"/>
        <v>12.775602887611198</v>
      </c>
      <c r="D61" s="177">
        <f>'4D1_Indirect_N2O'!G13</f>
        <v>1.9648542546285713E-2</v>
      </c>
      <c r="E61" s="147">
        <f t="shared" si="10"/>
        <v>6.0910481893485713</v>
      </c>
      <c r="F61" s="178">
        <f t="shared" si="11"/>
        <v>18.866651076959769</v>
      </c>
    </row>
    <row r="62" spans="1:7">
      <c r="A62" s="159">
        <f t="shared" si="8"/>
        <v>2014</v>
      </c>
      <c r="B62" s="135">
        <f>'4D1_CH4_Domestic_Wastewater'!N15</f>
        <v>0.6196178296896</v>
      </c>
      <c r="C62" s="147">
        <f t="shared" si="9"/>
        <v>13.0119744234816</v>
      </c>
      <c r="D62" s="177">
        <f>'4D1_Indirect_N2O'!G14</f>
        <v>2.0456332922666673E-2</v>
      </c>
      <c r="E62" s="147">
        <f t="shared" si="10"/>
        <v>6.3414632060266687</v>
      </c>
      <c r="F62" s="178">
        <f t="shared" si="11"/>
        <v>19.353437629508271</v>
      </c>
    </row>
    <row r="63" spans="1:7">
      <c r="A63" s="159">
        <f t="shared" si="8"/>
        <v>2015</v>
      </c>
      <c r="B63" s="135">
        <f>'4D1_CH4_Domestic_Wastewater'!N16</f>
        <v>0.63056438070240006</v>
      </c>
      <c r="C63" s="147">
        <f t="shared" si="9"/>
        <v>13.241851994750402</v>
      </c>
      <c r="D63" s="177">
        <f>'4D1_Indirect_N2O'!G15</f>
        <v>2.0817727125904767E-2</v>
      </c>
      <c r="E63" s="147">
        <f t="shared" si="10"/>
        <v>6.4534954090304781</v>
      </c>
      <c r="F63" s="178">
        <f t="shared" si="11"/>
        <v>19.695347403780879</v>
      </c>
    </row>
    <row r="64" spans="1:7">
      <c r="A64" s="159">
        <f t="shared" si="8"/>
        <v>2016</v>
      </c>
      <c r="B64" s="135">
        <f>'4D1_CH4_Domestic_Wastewater'!N17</f>
        <v>0.64142317543680005</v>
      </c>
      <c r="C64" s="147">
        <f t="shared" si="9"/>
        <v>13.469886684172801</v>
      </c>
      <c r="D64" s="177">
        <f>'4D1_Indirect_N2O'!G16</f>
        <v>2.117622410514286E-2</v>
      </c>
      <c r="E64" s="147">
        <f t="shared" si="10"/>
        <v>6.5646294725942864</v>
      </c>
      <c r="F64" s="178">
        <f t="shared" si="11"/>
        <v>20.034516156767086</v>
      </c>
    </row>
    <row r="65" spans="1:6">
      <c r="A65" s="159">
        <f t="shared" si="8"/>
        <v>2017</v>
      </c>
      <c r="B65" s="135">
        <f>'4D1_CH4_Domestic_Wastewater'!N18</f>
        <v>0.66651833690640006</v>
      </c>
      <c r="C65" s="147">
        <f t="shared" si="9"/>
        <v>13.996885075034401</v>
      </c>
      <c r="D65" s="177">
        <f>'4D1_Indirect_N2O'!G17</f>
        <v>2.2004726696857147E-2</v>
      </c>
      <c r="E65" s="147">
        <f t="shared" si="10"/>
        <v>6.821465276025716</v>
      </c>
      <c r="F65" s="178">
        <f t="shared" si="11"/>
        <v>20.818350351060118</v>
      </c>
    </row>
    <row r="66" spans="1:6">
      <c r="A66" s="159">
        <f t="shared" si="8"/>
        <v>2018</v>
      </c>
      <c r="B66" s="135">
        <f>'4D1_CH4_Domestic_Wastewater'!N19</f>
        <v>0.68229252794880013</v>
      </c>
      <c r="C66" s="147">
        <f t="shared" si="9"/>
        <v>14.328143086924802</v>
      </c>
      <c r="D66" s="177">
        <f>'4D1_Indirect_N2O'!G18</f>
        <v>2.2525502710857147E-2</v>
      </c>
      <c r="E66" s="147">
        <f t="shared" si="10"/>
        <v>6.9829058403657154</v>
      </c>
      <c r="F66" s="178">
        <f t="shared" si="11"/>
        <v>21.311048927290518</v>
      </c>
    </row>
    <row r="67" spans="1:6">
      <c r="A67" s="159">
        <f t="shared" si="8"/>
        <v>2019</v>
      </c>
      <c r="B67" s="135">
        <f>'4D1_CH4_Domestic_Wastewater'!N20</f>
        <v>0.69806671899119999</v>
      </c>
      <c r="C67" s="147">
        <f t="shared" si="9"/>
        <v>14.6594010988152</v>
      </c>
      <c r="D67" s="177">
        <f>'4D1_Indirect_N2O'!G19</f>
        <v>2.3046278724857139E-2</v>
      </c>
      <c r="E67" s="147">
        <f t="shared" si="10"/>
        <v>7.144346404705713</v>
      </c>
      <c r="F67" s="178">
        <f t="shared" si="11"/>
        <v>21.803747503520913</v>
      </c>
    </row>
    <row r="68" spans="1:6">
      <c r="A68" s="159">
        <f t="shared" si="8"/>
        <v>2020</v>
      </c>
      <c r="B68" s="135">
        <f>'4D1_CH4_Domestic_Wastewater'!N21</f>
        <v>0.71384091003359995</v>
      </c>
      <c r="C68" s="147">
        <f t="shared" si="9"/>
        <v>14.990659110705598</v>
      </c>
      <c r="D68" s="177">
        <f>'4D1_Indirect_N2O'!G20</f>
        <v>2.3567054738857139E-2</v>
      </c>
      <c r="E68" s="147">
        <f t="shared" si="10"/>
        <v>7.3057869690457133</v>
      </c>
      <c r="F68" s="178">
        <f t="shared" si="11"/>
        <v>22.296446079751313</v>
      </c>
    </row>
    <row r="69" spans="1:6">
      <c r="A69" s="159">
        <f t="shared" si="8"/>
        <v>2021</v>
      </c>
      <c r="B69" s="135">
        <f>'4D1_CH4_Domestic_Wastewater'!N22</f>
        <v>0.72961510107600003</v>
      </c>
      <c r="C69" s="147">
        <f t="shared" si="9"/>
        <v>15.321917122596</v>
      </c>
      <c r="D69" s="177">
        <f>'4D1_Indirect_N2O'!G21</f>
        <v>2.4087830752857146E-2</v>
      </c>
      <c r="E69" s="147">
        <f t="shared" si="10"/>
        <v>7.4672275333857154</v>
      </c>
      <c r="F69" s="178">
        <f t="shared" si="11"/>
        <v>22.789144655981715</v>
      </c>
    </row>
    <row r="70" spans="1:6">
      <c r="A70" s="159">
        <f t="shared" ref="A70:A78" si="12">A43</f>
        <v>2022</v>
      </c>
      <c r="B70" s="135">
        <f>'4D1_CH4_Domestic_Wastewater'!N23</f>
        <v>0.7453892921184001</v>
      </c>
      <c r="C70" s="147">
        <f t="shared" si="9"/>
        <v>15.653175134486402</v>
      </c>
      <c r="D70" s="177">
        <f>'4D1_Indirect_N2O'!G22</f>
        <v>2.4608606766857145E-2</v>
      </c>
      <c r="E70" s="147">
        <f t="shared" si="10"/>
        <v>7.6286680977257149</v>
      </c>
      <c r="F70" s="178">
        <f t="shared" si="11"/>
        <v>23.281843232212118</v>
      </c>
    </row>
    <row r="71" spans="1:6">
      <c r="A71" s="159">
        <f t="shared" si="12"/>
        <v>2023</v>
      </c>
      <c r="B71" s="135">
        <f>'4D1_CH4_Domestic_Wastewater'!N24</f>
        <v>0.76116348316079985</v>
      </c>
      <c r="C71" s="147">
        <f t="shared" si="9"/>
        <v>15.984433146376796</v>
      </c>
      <c r="D71" s="177">
        <f>'4D1_Indirect_N2O'!G23</f>
        <v>2.5129382780857145E-2</v>
      </c>
      <c r="E71" s="147">
        <f t="shared" si="10"/>
        <v>7.7901086620657152</v>
      </c>
      <c r="F71" s="178">
        <f t="shared" si="11"/>
        <v>23.77454180844251</v>
      </c>
    </row>
    <row r="72" spans="1:6">
      <c r="A72" s="159">
        <f t="shared" si="12"/>
        <v>2024</v>
      </c>
      <c r="B72" s="135">
        <f>'4D1_CH4_Domestic_Wastewater'!N25</f>
        <v>0.77693767420319981</v>
      </c>
      <c r="C72" s="147">
        <f t="shared" si="9"/>
        <v>16.315691158267196</v>
      </c>
      <c r="D72" s="177">
        <f>'4D1_Indirect_N2O'!G24</f>
        <v>2.5650158794857145E-2</v>
      </c>
      <c r="E72" s="147">
        <f t="shared" si="10"/>
        <v>7.9515492264057146</v>
      </c>
      <c r="F72" s="178">
        <f t="shared" si="11"/>
        <v>24.26724038467291</v>
      </c>
    </row>
    <row r="73" spans="1:6">
      <c r="A73" s="159">
        <f t="shared" si="12"/>
        <v>2025</v>
      </c>
      <c r="B73" s="135">
        <f>'4D1_CH4_Domestic_Wastewater'!N26</f>
        <v>0.7927118652456</v>
      </c>
      <c r="C73" s="147">
        <f t="shared" si="9"/>
        <v>16.646949170157601</v>
      </c>
      <c r="D73" s="177">
        <f>'4D1_Indirect_N2O'!G25</f>
        <v>2.6170934808857151E-2</v>
      </c>
      <c r="E73" s="147">
        <f t="shared" si="10"/>
        <v>8.1129897907457167</v>
      </c>
      <c r="F73" s="178">
        <f t="shared" si="11"/>
        <v>24.75993896090332</v>
      </c>
    </row>
    <row r="74" spans="1:6">
      <c r="A74" s="159">
        <f t="shared" si="12"/>
        <v>2026</v>
      </c>
      <c r="B74" s="135">
        <f>'4D1_CH4_Domestic_Wastewater'!N27</f>
        <v>0.80848605628800008</v>
      </c>
      <c r="C74" s="147">
        <f t="shared" si="9"/>
        <v>16.978207182048003</v>
      </c>
      <c r="D74" s="177">
        <f>'4D1_Indirect_N2O'!G26</f>
        <v>2.6691710822857144E-2</v>
      </c>
      <c r="E74" s="147">
        <f t="shared" si="10"/>
        <v>8.2744303550857143</v>
      </c>
      <c r="F74" s="178">
        <f t="shared" si="11"/>
        <v>25.252637537133715</v>
      </c>
    </row>
    <row r="75" spans="1:6">
      <c r="A75" s="159">
        <f t="shared" si="12"/>
        <v>2027</v>
      </c>
      <c r="B75" s="135">
        <f>'4D1_CH4_Domestic_Wastewater'!N28</f>
        <v>0.82426024733040015</v>
      </c>
      <c r="C75" s="147">
        <f t="shared" si="9"/>
        <v>17.309465193938404</v>
      </c>
      <c r="D75" s="177">
        <f>'4D1_Indirect_N2O'!G27</f>
        <v>2.7212486836857144E-2</v>
      </c>
      <c r="E75" s="147">
        <f t="shared" si="10"/>
        <v>8.4358709194257138</v>
      </c>
      <c r="F75" s="178">
        <f t="shared" si="11"/>
        <v>25.745336113364118</v>
      </c>
    </row>
    <row r="76" spans="1:6">
      <c r="A76" s="159">
        <f t="shared" si="12"/>
        <v>2028</v>
      </c>
      <c r="B76" s="135">
        <f>'4D1_CH4_Domestic_Wastewater'!N29</f>
        <v>0.8400344383727999</v>
      </c>
      <c r="C76" s="147">
        <f t="shared" si="9"/>
        <v>17.640723205828799</v>
      </c>
      <c r="D76" s="177">
        <f>'4D1_Indirect_N2O'!G28</f>
        <v>2.773326285085715E-2</v>
      </c>
      <c r="E76" s="147">
        <f t="shared" si="10"/>
        <v>8.5973114837657167</v>
      </c>
      <c r="F76" s="178">
        <f t="shared" si="11"/>
        <v>26.238034689594514</v>
      </c>
    </row>
    <row r="77" spans="1:6">
      <c r="A77" s="159">
        <f t="shared" si="12"/>
        <v>2029</v>
      </c>
      <c r="B77" s="135">
        <f>'4D1_CH4_Domestic_Wastewater'!N30</f>
        <v>0.85580862941519997</v>
      </c>
      <c r="C77" s="147">
        <f t="shared" si="9"/>
        <v>17.9719812177192</v>
      </c>
      <c r="D77" s="177">
        <f>'4D1_Indirect_N2O'!G29</f>
        <v>2.825403886485715E-2</v>
      </c>
      <c r="E77" s="147">
        <f t="shared" si="10"/>
        <v>8.7587520481057162</v>
      </c>
      <c r="F77" s="178">
        <f t="shared" si="11"/>
        <v>26.730733265824917</v>
      </c>
    </row>
    <row r="78" spans="1:6">
      <c r="A78" s="159">
        <f t="shared" si="12"/>
        <v>2030</v>
      </c>
      <c r="B78" s="135">
        <f>'4D1_CH4_Domestic_Wastewater'!N31</f>
        <v>0.87158282045759994</v>
      </c>
      <c r="C78" s="147">
        <f t="shared" si="9"/>
        <v>18.303239229609598</v>
      </c>
      <c r="D78" s="177">
        <f>'4D1_Indirect_N2O'!G30</f>
        <v>2.8774814878857143E-2</v>
      </c>
      <c r="E78" s="147">
        <f t="shared" si="10"/>
        <v>8.9201926124457138</v>
      </c>
      <c r="F78" s="178">
        <f t="shared" si="11"/>
        <v>27.223431842055312</v>
      </c>
    </row>
    <row r="79" spans="1:6">
      <c r="A79" s="159"/>
      <c r="B79" s="135">
        <f>'4D1_CH4_Domestic_Wastewater'!N32</f>
        <v>0</v>
      </c>
      <c r="C79" s="147">
        <f t="shared" si="9"/>
        <v>0</v>
      </c>
      <c r="D79" s="179">
        <f>'4D1_Indirect_N2O'!G31</f>
        <v>0</v>
      </c>
      <c r="E79" s="147">
        <f t="shared" si="10"/>
        <v>0</v>
      </c>
      <c r="F79" s="178">
        <f t="shared" si="11"/>
        <v>0</v>
      </c>
    </row>
  </sheetData>
  <mergeCells count="13">
    <mergeCell ref="A55:A58"/>
    <mergeCell ref="B55:C55"/>
    <mergeCell ref="B57:B58"/>
    <mergeCell ref="F4:F5"/>
    <mergeCell ref="G30:G31"/>
    <mergeCell ref="A3:A5"/>
    <mergeCell ref="B3:F3"/>
    <mergeCell ref="B4:C4"/>
    <mergeCell ref="D4:E4"/>
    <mergeCell ref="A29:A31"/>
    <mergeCell ref="B29:G29"/>
    <mergeCell ref="B30:C30"/>
    <mergeCell ref="D30:E30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theme="9" tint="-0.249977111117893"/>
  </sheetPr>
  <dimension ref="A2:J34"/>
  <sheetViews>
    <sheetView tabSelected="1" topLeftCell="A6" zoomScaleNormal="100" workbookViewId="0">
      <selection activeCell="B12" sqref="B12"/>
    </sheetView>
  </sheetViews>
  <sheetFormatPr defaultRowHeight="12.75"/>
  <cols>
    <col min="1" max="1" width="25.28515625" style="6" customWidth="1"/>
    <col min="2" max="5" width="25.5703125" style="6" customWidth="1"/>
    <col min="6" max="7" width="9.140625" style="6"/>
    <col min="8" max="8" width="11.5703125" style="6" customWidth="1"/>
    <col min="9" max="16384" width="9.140625" style="6"/>
  </cols>
  <sheetData>
    <row r="2" spans="1:10" ht="14.25" customHeight="1">
      <c r="A2" s="102" t="s">
        <v>0</v>
      </c>
      <c r="B2" s="199" t="s">
        <v>1</v>
      </c>
      <c r="C2" s="199"/>
      <c r="D2" s="199"/>
      <c r="E2" s="199"/>
    </row>
    <row r="3" spans="1:10" ht="14.25" customHeight="1">
      <c r="A3" s="102" t="s">
        <v>2</v>
      </c>
      <c r="B3" s="199" t="s">
        <v>117</v>
      </c>
      <c r="C3" s="199"/>
      <c r="D3" s="199"/>
      <c r="E3" s="199"/>
    </row>
    <row r="4" spans="1:10" ht="14.25" customHeight="1">
      <c r="A4" s="102" t="s">
        <v>4</v>
      </c>
      <c r="B4" s="199" t="s">
        <v>118</v>
      </c>
      <c r="C4" s="199"/>
      <c r="D4" s="199"/>
      <c r="E4" s="199"/>
    </row>
    <row r="5" spans="1:10" ht="14.25" customHeight="1">
      <c r="A5" s="102" t="s">
        <v>6</v>
      </c>
      <c r="B5" s="199" t="s">
        <v>119</v>
      </c>
      <c r="C5" s="199"/>
      <c r="D5" s="199"/>
      <c r="E5" s="199"/>
    </row>
    <row r="6" spans="1:10">
      <c r="A6" s="231" t="s">
        <v>8</v>
      </c>
      <c r="B6" s="268"/>
      <c r="C6" s="268"/>
      <c r="D6" s="268"/>
      <c r="E6" s="268"/>
    </row>
    <row r="7" spans="1:10">
      <c r="A7" s="70"/>
      <c r="B7" s="59" t="s">
        <v>11</v>
      </c>
      <c r="C7" s="59" t="s">
        <v>12</v>
      </c>
      <c r="D7" s="59" t="s">
        <v>13</v>
      </c>
      <c r="E7" s="59" t="s">
        <v>14</v>
      </c>
    </row>
    <row r="8" spans="1:10" ht="28.5" customHeight="1">
      <c r="A8" s="199" t="s">
        <v>120</v>
      </c>
      <c r="B8" s="7" t="s">
        <v>59</v>
      </c>
      <c r="C8" s="7" t="s">
        <v>121</v>
      </c>
      <c r="D8" s="7" t="s">
        <v>122</v>
      </c>
      <c r="E8" s="7" t="s">
        <v>244</v>
      </c>
    </row>
    <row r="9" spans="1:10" ht="14.25">
      <c r="A9" s="267"/>
      <c r="B9" s="7" t="s">
        <v>124</v>
      </c>
      <c r="C9" s="7" t="s">
        <v>125</v>
      </c>
      <c r="D9" s="7" t="s">
        <v>126</v>
      </c>
      <c r="E9" s="7" t="s">
        <v>127</v>
      </c>
    </row>
    <row r="10" spans="1:10" ht="14.25">
      <c r="A10" s="267"/>
      <c r="B10" s="7" t="s">
        <v>128</v>
      </c>
      <c r="C10" s="7" t="s">
        <v>129</v>
      </c>
      <c r="D10" s="7"/>
      <c r="E10" s="7" t="s">
        <v>130</v>
      </c>
    </row>
    <row r="11" spans="1:10">
      <c r="A11" s="53"/>
      <c r="B11" s="53"/>
      <c r="C11" s="53"/>
      <c r="D11" s="53"/>
      <c r="E11" s="7" t="s">
        <v>131</v>
      </c>
    </row>
    <row r="12" spans="1:10">
      <c r="A12" s="7">
        <f>'4B_N2O emission'!B12</f>
        <v>2011</v>
      </c>
      <c r="B12" s="184">
        <f>'4C1_Amount_Waste_OpenBurned'!B12-12000</f>
        <v>560184</v>
      </c>
      <c r="C12" s="185">
        <f>$I$12*365/1000</f>
        <v>14.6</v>
      </c>
      <c r="D12" s="185">
        <v>1</v>
      </c>
      <c r="E12" s="186">
        <f>B12*C12*D12</f>
        <v>8178686.3999999994</v>
      </c>
      <c r="F12" s="6" t="s">
        <v>254</v>
      </c>
      <c r="I12" s="6">
        <v>40</v>
      </c>
      <c r="J12" s="6" t="s">
        <v>255</v>
      </c>
    </row>
    <row r="13" spans="1:10">
      <c r="A13" s="7">
        <f>'4B_N2O emission'!B13</f>
        <v>2012</v>
      </c>
      <c r="B13" s="184">
        <f>'4C1_Amount_Waste_OpenBurned'!B13-12000</f>
        <v>571272</v>
      </c>
      <c r="C13" s="185">
        <f t="shared" ref="C13:C32" si="0">$I$12*365/1000</f>
        <v>14.6</v>
      </c>
      <c r="D13" s="185">
        <v>1</v>
      </c>
      <c r="E13" s="186">
        <f t="shared" ref="E13:E32" si="1">B13*C13*D13</f>
        <v>8340571.2000000002</v>
      </c>
    </row>
    <row r="14" spans="1:10">
      <c r="A14" s="7">
        <f>'4B_N2O emission'!B14</f>
        <v>2013</v>
      </c>
      <c r="B14" s="184">
        <f>'4C1_Amount_Waste_OpenBurned'!B14-12000</f>
        <v>582322</v>
      </c>
      <c r="C14" s="185">
        <f t="shared" si="0"/>
        <v>14.6</v>
      </c>
      <c r="D14" s="185">
        <v>1</v>
      </c>
      <c r="E14" s="186">
        <f t="shared" si="1"/>
        <v>8501901.1999999993</v>
      </c>
    </row>
    <row r="15" spans="1:10">
      <c r="A15" s="7">
        <f>'4B_N2O emission'!B15</f>
        <v>2014</v>
      </c>
      <c r="B15" s="184">
        <f>'4C1_Amount_Waste_OpenBurned'!B15-12000</f>
        <v>593096</v>
      </c>
      <c r="C15" s="185">
        <f t="shared" si="0"/>
        <v>14.6</v>
      </c>
      <c r="D15" s="185">
        <v>1</v>
      </c>
      <c r="E15" s="186">
        <f t="shared" si="1"/>
        <v>8659201.5999999996</v>
      </c>
    </row>
    <row r="16" spans="1:10">
      <c r="A16" s="7">
        <f>'4B_N2O emission'!B16</f>
        <v>2015</v>
      </c>
      <c r="B16" s="184">
        <f>'4C1_Amount_Waste_OpenBurned'!B16-12000</f>
        <v>603574</v>
      </c>
      <c r="C16" s="185">
        <f t="shared" si="0"/>
        <v>14.6</v>
      </c>
      <c r="D16" s="185">
        <v>1</v>
      </c>
      <c r="E16" s="186">
        <f t="shared" si="1"/>
        <v>8812180.4000000004</v>
      </c>
    </row>
    <row r="17" spans="1:5">
      <c r="A17" s="7">
        <f>'4B_N2O emission'!B17</f>
        <v>2016</v>
      </c>
      <c r="B17" s="184">
        <f>'4C1_Amount_Waste_OpenBurned'!B17-12000</f>
        <v>613968</v>
      </c>
      <c r="C17" s="185">
        <f t="shared" si="0"/>
        <v>14.6</v>
      </c>
      <c r="D17" s="185">
        <v>1</v>
      </c>
      <c r="E17" s="186">
        <f t="shared" si="1"/>
        <v>8963932.7999999989</v>
      </c>
    </row>
    <row r="18" spans="1:5">
      <c r="A18" s="7">
        <f>'4B_N2O emission'!B18</f>
        <v>2017</v>
      </c>
      <c r="B18" s="184">
        <f>'4C1_Amount_Waste_OpenBurned'!B18-12000</f>
        <v>637989</v>
      </c>
      <c r="C18" s="185">
        <f t="shared" si="0"/>
        <v>14.6</v>
      </c>
      <c r="D18" s="185">
        <v>1</v>
      </c>
      <c r="E18" s="186">
        <f t="shared" si="1"/>
        <v>9314639.4000000004</v>
      </c>
    </row>
    <row r="19" spans="1:5">
      <c r="A19" s="7">
        <f>'4B_N2O emission'!B19</f>
        <v>2018</v>
      </c>
      <c r="B19" s="184">
        <f>'4C1_Amount_Waste_OpenBurned'!B19-12000</f>
        <v>653088</v>
      </c>
      <c r="C19" s="185">
        <f t="shared" si="0"/>
        <v>14.6</v>
      </c>
      <c r="D19" s="185">
        <v>1</v>
      </c>
      <c r="E19" s="186">
        <f t="shared" si="1"/>
        <v>9535084.7999999989</v>
      </c>
    </row>
    <row r="20" spans="1:5">
      <c r="A20" s="7">
        <f>'4B_N2O emission'!B20</f>
        <v>2019</v>
      </c>
      <c r="B20" s="184">
        <f>'4C1_Amount_Waste_OpenBurned'!B20-12000</f>
        <v>668187</v>
      </c>
      <c r="C20" s="185">
        <f t="shared" si="0"/>
        <v>14.6</v>
      </c>
      <c r="D20" s="185">
        <v>1</v>
      </c>
      <c r="E20" s="186">
        <f t="shared" si="1"/>
        <v>9755530.1999999993</v>
      </c>
    </row>
    <row r="21" spans="1:5">
      <c r="A21" s="7">
        <f>'4B_N2O emission'!B21</f>
        <v>2020</v>
      </c>
      <c r="B21" s="184">
        <f>'4C1_Amount_Waste_OpenBurned'!B21-12000</f>
        <v>683286</v>
      </c>
      <c r="C21" s="185">
        <f t="shared" si="0"/>
        <v>14.6</v>
      </c>
      <c r="D21" s="185">
        <v>1</v>
      </c>
      <c r="E21" s="186">
        <f t="shared" si="1"/>
        <v>9975975.5999999996</v>
      </c>
    </row>
    <row r="22" spans="1:5">
      <c r="A22" s="7">
        <f>'4B_N2O emission'!B22</f>
        <v>2021</v>
      </c>
      <c r="B22" s="184">
        <f>'4C1_Amount_Waste_OpenBurned'!B22-12000</f>
        <v>698385</v>
      </c>
      <c r="C22" s="185">
        <f t="shared" si="0"/>
        <v>14.6</v>
      </c>
      <c r="D22" s="185">
        <v>1</v>
      </c>
      <c r="E22" s="186">
        <f t="shared" si="1"/>
        <v>10196421</v>
      </c>
    </row>
    <row r="23" spans="1:5">
      <c r="A23" s="7">
        <f>'4B_N2O emission'!B23</f>
        <v>2022</v>
      </c>
      <c r="B23" s="184">
        <f>'4C1_Amount_Waste_OpenBurned'!B23-12000</f>
        <v>713484</v>
      </c>
      <c r="C23" s="185">
        <f t="shared" si="0"/>
        <v>14.6</v>
      </c>
      <c r="D23" s="185">
        <v>1</v>
      </c>
      <c r="E23" s="186">
        <f t="shared" si="1"/>
        <v>10416866.4</v>
      </c>
    </row>
    <row r="24" spans="1:5">
      <c r="A24" s="7">
        <f>'4B_N2O emission'!B24</f>
        <v>2023</v>
      </c>
      <c r="B24" s="184">
        <f>'4C1_Amount_Waste_OpenBurned'!B24-12000</f>
        <v>728583</v>
      </c>
      <c r="C24" s="185">
        <f t="shared" si="0"/>
        <v>14.6</v>
      </c>
      <c r="D24" s="185">
        <v>1</v>
      </c>
      <c r="E24" s="186">
        <f t="shared" si="1"/>
        <v>10637311.799999999</v>
      </c>
    </row>
    <row r="25" spans="1:5">
      <c r="A25" s="7">
        <f>'4B_N2O emission'!B25</f>
        <v>2024</v>
      </c>
      <c r="B25" s="184">
        <f>'4C1_Amount_Waste_OpenBurned'!B25-12000</f>
        <v>743682</v>
      </c>
      <c r="C25" s="185">
        <f t="shared" si="0"/>
        <v>14.6</v>
      </c>
      <c r="D25" s="185">
        <v>1</v>
      </c>
      <c r="E25" s="186">
        <f t="shared" si="1"/>
        <v>10857757.199999999</v>
      </c>
    </row>
    <row r="26" spans="1:5">
      <c r="A26" s="7">
        <f>'4B_N2O emission'!B26</f>
        <v>2025</v>
      </c>
      <c r="B26" s="184">
        <f>'4C1_Amount_Waste_OpenBurned'!B26-12000</f>
        <v>758781</v>
      </c>
      <c r="C26" s="185">
        <f t="shared" si="0"/>
        <v>14.6</v>
      </c>
      <c r="D26" s="185">
        <v>1</v>
      </c>
      <c r="E26" s="186">
        <f t="shared" si="1"/>
        <v>11078202.6</v>
      </c>
    </row>
    <row r="27" spans="1:5">
      <c r="A27" s="7">
        <f>'4B_N2O emission'!B27</f>
        <v>2026</v>
      </c>
      <c r="B27" s="184">
        <f>'4C1_Amount_Waste_OpenBurned'!B27-12000</f>
        <v>773880</v>
      </c>
      <c r="C27" s="185">
        <f t="shared" si="0"/>
        <v>14.6</v>
      </c>
      <c r="D27" s="185">
        <v>1</v>
      </c>
      <c r="E27" s="186">
        <f t="shared" si="1"/>
        <v>11298648</v>
      </c>
    </row>
    <row r="28" spans="1:5">
      <c r="A28" s="7">
        <f>'4B_N2O emission'!B28</f>
        <v>2027</v>
      </c>
      <c r="B28" s="184">
        <f>'4C1_Amount_Waste_OpenBurned'!B28-12000</f>
        <v>788979</v>
      </c>
      <c r="C28" s="185">
        <f t="shared" si="0"/>
        <v>14.6</v>
      </c>
      <c r="D28" s="185">
        <v>1</v>
      </c>
      <c r="E28" s="186">
        <f t="shared" si="1"/>
        <v>11519093.4</v>
      </c>
    </row>
    <row r="29" spans="1:5">
      <c r="A29" s="7">
        <f>'4B_N2O emission'!B29</f>
        <v>2028</v>
      </c>
      <c r="B29" s="184">
        <f>'4C1_Amount_Waste_OpenBurned'!B29-12000</f>
        <v>804078</v>
      </c>
      <c r="C29" s="185">
        <f t="shared" si="0"/>
        <v>14.6</v>
      </c>
      <c r="D29" s="185">
        <v>1</v>
      </c>
      <c r="E29" s="186">
        <f t="shared" si="1"/>
        <v>11739538.799999999</v>
      </c>
    </row>
    <row r="30" spans="1:5">
      <c r="A30" s="7">
        <f>'4B_N2O emission'!B30</f>
        <v>2029</v>
      </c>
      <c r="B30" s="184">
        <f>'4C1_Amount_Waste_OpenBurned'!B30-12000</f>
        <v>819177</v>
      </c>
      <c r="C30" s="185">
        <f t="shared" si="0"/>
        <v>14.6</v>
      </c>
      <c r="D30" s="185">
        <v>1</v>
      </c>
      <c r="E30" s="186">
        <f t="shared" si="1"/>
        <v>11959984.199999999</v>
      </c>
    </row>
    <row r="31" spans="1:5">
      <c r="A31" s="7">
        <f>'4B_N2O emission'!B31</f>
        <v>2030</v>
      </c>
      <c r="B31" s="184">
        <f>'4C1_Amount_Waste_OpenBurned'!B31-12000</f>
        <v>834276</v>
      </c>
      <c r="C31" s="185">
        <f t="shared" si="0"/>
        <v>14.6</v>
      </c>
      <c r="D31" s="185">
        <v>1</v>
      </c>
      <c r="E31" s="186">
        <f t="shared" si="1"/>
        <v>12180429.6</v>
      </c>
    </row>
    <row r="32" spans="1:5">
      <c r="A32" s="7">
        <f>'4B_N2O emission'!B32</f>
        <v>2031</v>
      </c>
      <c r="B32" s="105">
        <f>'4C1_Amount_Waste_OpenBurned'!B32</f>
        <v>0</v>
      </c>
      <c r="C32" s="55">
        <f t="shared" si="0"/>
        <v>14.6</v>
      </c>
      <c r="D32" s="103">
        <v>1</v>
      </c>
      <c r="E32" s="104">
        <f t="shared" si="1"/>
        <v>0</v>
      </c>
    </row>
    <row r="33" spans="1:5">
      <c r="A33" s="237" t="s">
        <v>132</v>
      </c>
      <c r="B33" s="265"/>
      <c r="C33" s="265"/>
      <c r="D33" s="265"/>
      <c r="E33" s="265"/>
    </row>
    <row r="34" spans="1:5" ht="12" customHeight="1">
      <c r="A34" s="234" t="s">
        <v>133</v>
      </c>
      <c r="B34" s="266"/>
      <c r="C34" s="266"/>
      <c r="D34" s="266"/>
      <c r="E34" s="266"/>
    </row>
  </sheetData>
  <mergeCells count="8">
    <mergeCell ref="B2:E2"/>
    <mergeCell ref="B3:E3"/>
    <mergeCell ref="A33:E33"/>
    <mergeCell ref="A34:E34"/>
    <mergeCell ref="A8:A10"/>
    <mergeCell ref="A6:E6"/>
    <mergeCell ref="B4:E4"/>
    <mergeCell ref="B5:E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10</vt:i4>
      </vt:variant>
    </vt:vector>
  </HeadingPairs>
  <TitlesOfParts>
    <vt:vector size="23" baseType="lpstr">
      <vt:lpstr>4A_DOC</vt:lpstr>
      <vt:lpstr>4B_CH4 emissions</vt:lpstr>
      <vt:lpstr>4B_N2O emission</vt:lpstr>
      <vt:lpstr>4C1_Amount_Waste_OpenBurned</vt:lpstr>
      <vt:lpstr>4C2_CO2_OpenBurning</vt:lpstr>
      <vt:lpstr>4C2_CH4_OpenBurning</vt:lpstr>
      <vt:lpstr>4C2_N2O_OpenBurning</vt:lpstr>
      <vt:lpstr>REKAPITULASI</vt:lpstr>
      <vt:lpstr>4D1_TOW_DomesticWastewater</vt:lpstr>
      <vt:lpstr>4D1_CH4_EF_DomesticWastewater</vt:lpstr>
      <vt:lpstr>4D1_CH4_Domestic_Wastewater</vt:lpstr>
      <vt:lpstr>4D1_N_effluent</vt:lpstr>
      <vt:lpstr>4D1_Indirect_N2O</vt:lpstr>
      <vt:lpstr>'4B_N2O emission'!Print_Area</vt:lpstr>
      <vt:lpstr>'4C1_Amount_Waste_OpenBurned'!Print_Area</vt:lpstr>
      <vt:lpstr>'4C2_CH4_OpenBurning'!Print_Area</vt:lpstr>
      <vt:lpstr>'4C2_CO2_OpenBurning'!Print_Area</vt:lpstr>
      <vt:lpstr>'4C2_N2O_OpenBurning'!Print_Area</vt:lpstr>
      <vt:lpstr>'4D1_CH4_Domestic_Wastewater'!Print_Area</vt:lpstr>
      <vt:lpstr>'4D1_CH4_EF_DomesticWastewater'!Print_Area</vt:lpstr>
      <vt:lpstr>'4D1_Indirect_N2O'!Print_Area</vt:lpstr>
      <vt:lpstr>'4D1_N_effluent'!Print_Area</vt:lpstr>
      <vt:lpstr>'4D1_TOW_DomesticWastewater'!Print_Area</vt:lpstr>
    </vt:vector>
  </TitlesOfParts>
  <Company>IGES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Kyoko MIWA</dc:creator>
  <cp:lastModifiedBy>Iwied</cp:lastModifiedBy>
  <cp:lastPrinted>2008-12-22T09:51:13Z</cp:lastPrinted>
  <dcterms:created xsi:type="dcterms:W3CDTF">2007-03-22T01:36:09Z</dcterms:created>
  <dcterms:modified xsi:type="dcterms:W3CDTF">2017-10-16T13:56:15Z</dcterms:modified>
</cp:coreProperties>
</file>