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Mitigasi_2010-2030_IW\Bontang\"/>
    </mc:Choice>
  </mc:AlternateContent>
  <bookViews>
    <workbookView xWindow="360" yWindow="45" windowWidth="21015" windowHeight="9975" tabRatio="843" activeTab="3"/>
  </bookViews>
  <sheets>
    <sheet name="timbulan sampah" sheetId="4" r:id="rId1"/>
    <sheet name="Fraksi pengelolaan sampah BaU" sheetId="1" r:id="rId2"/>
    <sheet name="Rekapitulasi BaU Emisi GRK" sheetId="3" r:id="rId3"/>
    <sheet name="Rekap BAU Emisi Industri Sawitt" sheetId="6" r:id="rId4"/>
    <sheet name="Frksi pengelolaan smph Mitigasi" sheetId="2" state="hidden" r:id="rId5"/>
    <sheet name="Rekaptlasi Mitigasi Emisi GRK" sheetId="5" state="hidden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52511"/>
</workbook>
</file>

<file path=xl/calcChain.xml><?xml version="1.0" encoding="utf-8"?>
<calcChain xmlns="http://schemas.openxmlformats.org/spreadsheetml/2006/main">
  <c r="I81" i="3" l="1"/>
  <c r="F13" i="1" l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D13" i="1" l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E12" i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D12" i="1"/>
  <c r="B12" i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10" i="1"/>
  <c r="C9" i="1"/>
  <c r="C8" i="1"/>
  <c r="C7" i="1"/>
  <c r="C6" i="1"/>
  <c r="H26" i="1" l="1"/>
  <c r="G26" i="1"/>
  <c r="F26" i="1"/>
  <c r="E26" i="1"/>
  <c r="D26" i="1"/>
  <c r="C26" i="1"/>
  <c r="B26" i="1"/>
  <c r="C6" i="6" l="1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5" i="6"/>
  <c r="D91" i="3" l="1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90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61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35" i="3"/>
  <c r="Q28" i="3" l="1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D5" i="6" l="1"/>
  <c r="B24" i="4" l="1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D16" i="6" l="1"/>
  <c r="D17" i="6"/>
  <c r="D18" i="6"/>
  <c r="D19" i="6"/>
  <c r="D20" i="6"/>
  <c r="D21" i="6"/>
  <c r="D22" i="6"/>
  <c r="D23" i="6"/>
  <c r="D24" i="6"/>
  <c r="D25" i="6"/>
  <c r="J81" i="3"/>
  <c r="R15" i="3"/>
  <c r="S15" i="3" s="1"/>
  <c r="R16" i="3"/>
  <c r="S16" i="3" s="1"/>
  <c r="R17" i="3"/>
  <c r="S17" i="3" s="1"/>
  <c r="R18" i="3"/>
  <c r="S18" i="3" s="1"/>
  <c r="R19" i="3"/>
  <c r="S19" i="3" s="1"/>
  <c r="R20" i="3"/>
  <c r="S20" i="3" s="1"/>
  <c r="R21" i="3"/>
  <c r="S21" i="3" s="1"/>
  <c r="R22" i="3"/>
  <c r="S22" i="3" s="1"/>
  <c r="R23" i="3"/>
  <c r="S23" i="3" s="1"/>
  <c r="R24" i="3"/>
  <c r="S24" i="3" s="1"/>
  <c r="R25" i="3"/>
  <c r="S25" i="3" s="1"/>
  <c r="R26" i="3"/>
  <c r="S26" i="3" s="1"/>
  <c r="R27" i="3"/>
  <c r="S27" i="3" s="1"/>
  <c r="R28" i="3"/>
  <c r="S28" i="3" s="1"/>
  <c r="R29" i="3"/>
  <c r="S29" i="3"/>
  <c r="M29" i="3"/>
  <c r="N29" i="3"/>
  <c r="H29" i="3"/>
  <c r="I29" i="3"/>
  <c r="C29" i="3"/>
  <c r="D29" i="3"/>
  <c r="D6" i="6" l="1"/>
  <c r="D7" i="6"/>
  <c r="D8" i="6"/>
  <c r="D9" i="6"/>
  <c r="D10" i="6"/>
  <c r="D11" i="6"/>
  <c r="D12" i="6"/>
  <c r="D13" i="6"/>
  <c r="D14" i="6"/>
  <c r="D15" i="6"/>
  <c r="I6" i="1" l="1"/>
  <c r="E91" i="3" l="1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90" i="3"/>
  <c r="F106" i="3" l="1"/>
  <c r="G106" i="3" s="1"/>
  <c r="F98" i="3"/>
  <c r="G98" i="3" s="1"/>
  <c r="F109" i="3"/>
  <c r="G109" i="3" s="1"/>
  <c r="F101" i="3"/>
  <c r="G101" i="3" s="1"/>
  <c r="F93" i="3"/>
  <c r="G93" i="3" s="1"/>
  <c r="F108" i="3"/>
  <c r="G108" i="3" s="1"/>
  <c r="F100" i="3"/>
  <c r="G100" i="3" s="1"/>
  <c r="F92" i="3"/>
  <c r="G92" i="3" s="1"/>
  <c r="F105" i="3"/>
  <c r="G105" i="3" s="1"/>
  <c r="F97" i="3"/>
  <c r="G97" i="3" s="1"/>
  <c r="F104" i="3"/>
  <c r="G104" i="3" s="1"/>
  <c r="F96" i="3"/>
  <c r="G96" i="3" s="1"/>
  <c r="F110" i="3"/>
  <c r="F102" i="3"/>
  <c r="G102" i="3" s="1"/>
  <c r="F94" i="3"/>
  <c r="G94" i="3" s="1"/>
  <c r="F107" i="3"/>
  <c r="G107" i="3" s="1"/>
  <c r="F99" i="3"/>
  <c r="G99" i="3" s="1"/>
  <c r="F91" i="3"/>
  <c r="G91" i="3" s="1"/>
  <c r="F90" i="3"/>
  <c r="G90" i="3" s="1"/>
  <c r="F103" i="3"/>
  <c r="G103" i="3" s="1"/>
  <c r="F95" i="3"/>
  <c r="G95" i="3" s="1"/>
  <c r="E62" i="3" l="1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F81" i="3" s="1"/>
  <c r="C46" i="3"/>
  <c r="E46" i="3"/>
  <c r="C47" i="3"/>
  <c r="E47" i="3"/>
  <c r="C48" i="3"/>
  <c r="E48" i="3"/>
  <c r="C49" i="3"/>
  <c r="E49" i="3"/>
  <c r="C50" i="3"/>
  <c r="E50" i="3"/>
  <c r="C51" i="3"/>
  <c r="E51" i="3"/>
  <c r="C52" i="3"/>
  <c r="E52" i="3"/>
  <c r="C53" i="3"/>
  <c r="E53" i="3"/>
  <c r="C54" i="3"/>
  <c r="E54" i="3"/>
  <c r="C55" i="3"/>
  <c r="E55" i="3"/>
  <c r="F53" i="3" l="1"/>
  <c r="F49" i="3"/>
  <c r="F52" i="3"/>
  <c r="F48" i="3"/>
  <c r="F73" i="3"/>
  <c r="F54" i="3"/>
  <c r="F77" i="3"/>
  <c r="F80" i="3"/>
  <c r="F72" i="3"/>
  <c r="F79" i="3"/>
  <c r="F78" i="3"/>
  <c r="F71" i="3"/>
  <c r="F63" i="3"/>
  <c r="F70" i="3"/>
  <c r="F66" i="3"/>
  <c r="F65" i="3"/>
  <c r="F64" i="3"/>
  <c r="F69" i="3"/>
  <c r="F68" i="3"/>
  <c r="F67" i="3"/>
  <c r="F76" i="3"/>
  <c r="F75" i="3"/>
  <c r="F74" i="3"/>
  <c r="F51" i="3"/>
  <c r="F50" i="3"/>
  <c r="F46" i="3"/>
  <c r="F47" i="3"/>
  <c r="F55" i="3"/>
  <c r="I17" i="1" l="1"/>
  <c r="I18" i="1"/>
  <c r="I19" i="1"/>
  <c r="I20" i="1"/>
  <c r="I21" i="1"/>
  <c r="I22" i="1"/>
  <c r="I23" i="1"/>
  <c r="I24" i="1"/>
  <c r="I25" i="1"/>
  <c r="D16" i="4" l="1"/>
  <c r="E16" i="4" s="1"/>
  <c r="I40" i="1" s="1"/>
  <c r="D17" i="4"/>
  <c r="E17" i="4" s="1"/>
  <c r="I41" i="1" s="1"/>
  <c r="D18" i="4"/>
  <c r="E18" i="4" s="1"/>
  <c r="I42" i="1" s="1"/>
  <c r="D19" i="4"/>
  <c r="E19" i="4" s="1"/>
  <c r="I43" i="1" s="1"/>
  <c r="D20" i="4"/>
  <c r="E20" i="4" s="1"/>
  <c r="I44" i="1" s="1"/>
  <c r="D21" i="4"/>
  <c r="E21" i="4" s="1"/>
  <c r="I45" i="1" s="1"/>
  <c r="D22" i="4"/>
  <c r="E22" i="4" s="1"/>
  <c r="I46" i="1" s="1"/>
  <c r="D23" i="4"/>
  <c r="E23" i="4" s="1"/>
  <c r="I47" i="1" s="1"/>
  <c r="D24" i="4"/>
  <c r="E24" i="4" s="1"/>
  <c r="I48" i="1" s="1"/>
  <c r="F47" i="1" l="1"/>
  <c r="F45" i="1"/>
  <c r="F44" i="1"/>
  <c r="F59" i="1" s="1"/>
  <c r="F43" i="1"/>
  <c r="F58" i="1" s="1"/>
  <c r="F42" i="1"/>
  <c r="F46" i="1"/>
  <c r="F41" i="1"/>
  <c r="F48" i="1"/>
  <c r="F40" i="1"/>
  <c r="H41" i="1"/>
  <c r="E41" i="1"/>
  <c r="G41" i="1"/>
  <c r="C41" i="1"/>
  <c r="D41" i="1"/>
  <c r="D40" i="1"/>
  <c r="H40" i="1"/>
  <c r="G40" i="1"/>
  <c r="E40" i="1"/>
  <c r="C40" i="1"/>
  <c r="G47" i="1"/>
  <c r="E47" i="1"/>
  <c r="C47" i="1"/>
  <c r="D47" i="1"/>
  <c r="H47" i="1"/>
  <c r="G43" i="1"/>
  <c r="E43" i="1"/>
  <c r="C43" i="1"/>
  <c r="D43" i="1"/>
  <c r="H43" i="1"/>
  <c r="H45" i="1"/>
  <c r="D45" i="1"/>
  <c r="G45" i="1"/>
  <c r="E45" i="1"/>
  <c r="C45" i="1"/>
  <c r="D48" i="1"/>
  <c r="G48" i="1"/>
  <c r="H48" i="1"/>
  <c r="E48" i="1"/>
  <c r="C48" i="1"/>
  <c r="D44" i="1"/>
  <c r="H44" i="1"/>
  <c r="E44" i="1"/>
  <c r="C44" i="1"/>
  <c r="G44" i="1"/>
  <c r="G46" i="1"/>
  <c r="E46" i="1"/>
  <c r="C46" i="1"/>
  <c r="H46" i="1"/>
  <c r="D46" i="1"/>
  <c r="G42" i="1"/>
  <c r="E42" i="1"/>
  <c r="C42" i="1"/>
  <c r="D42" i="1"/>
  <c r="H42" i="1"/>
  <c r="B43" i="1" l="1"/>
  <c r="B64" i="1" s="1"/>
  <c r="B44" i="1"/>
  <c r="B65" i="1" s="1"/>
  <c r="B42" i="1"/>
  <c r="F57" i="1"/>
  <c r="B40" i="1"/>
  <c r="F55" i="1"/>
  <c r="B48" i="1"/>
  <c r="B69" i="1" s="1"/>
  <c r="F63" i="1"/>
  <c r="B45" i="1"/>
  <c r="F60" i="1"/>
  <c r="B46" i="1"/>
  <c r="F61" i="1"/>
  <c r="B41" i="1"/>
  <c r="B62" i="1" s="1"/>
  <c r="F56" i="1"/>
  <c r="B47" i="1"/>
  <c r="F62" i="1"/>
  <c r="J43" i="1"/>
  <c r="M15" i="1"/>
  <c r="M14" i="1" s="1"/>
  <c r="M13" i="1" s="1"/>
  <c r="M12" i="1" s="1"/>
  <c r="M11" i="1" s="1"/>
  <c r="M10" i="1" s="1"/>
  <c r="M9" i="1" s="1"/>
  <c r="M8" i="1" s="1"/>
  <c r="M7" i="1" s="1"/>
  <c r="J48" i="1" l="1"/>
  <c r="J44" i="1"/>
  <c r="J45" i="1"/>
  <c r="B66" i="1"/>
  <c r="J46" i="1"/>
  <c r="B67" i="1"/>
  <c r="J42" i="1"/>
  <c r="B63" i="1"/>
  <c r="J47" i="1"/>
  <c r="B68" i="1"/>
  <c r="J40" i="1"/>
  <c r="B61" i="1"/>
  <c r="J41" i="1"/>
  <c r="C62" i="3"/>
  <c r="F62" i="3" s="1"/>
  <c r="E61" i="3"/>
  <c r="C61" i="3"/>
  <c r="E45" i="3"/>
  <c r="C45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R14" i="3"/>
  <c r="S14" i="3" s="1"/>
  <c r="R13" i="3"/>
  <c r="S13" i="3" s="1"/>
  <c r="R12" i="3"/>
  <c r="S12" i="3" s="1"/>
  <c r="R11" i="3"/>
  <c r="S11" i="3" s="1"/>
  <c r="R10" i="3"/>
  <c r="S10" i="3" s="1"/>
  <c r="R9" i="3"/>
  <c r="S9" i="3" s="1"/>
  <c r="E72" i="5"/>
  <c r="C72" i="5"/>
  <c r="E71" i="5"/>
  <c r="C71" i="5"/>
  <c r="E70" i="5"/>
  <c r="C70" i="5"/>
  <c r="E69" i="5"/>
  <c r="C69" i="5"/>
  <c r="E68" i="5"/>
  <c r="F68" i="5" s="1"/>
  <c r="C68" i="5"/>
  <c r="E67" i="5"/>
  <c r="C67" i="5"/>
  <c r="E66" i="5"/>
  <c r="C66" i="5"/>
  <c r="E65" i="5"/>
  <c r="C65" i="5"/>
  <c r="F64" i="5"/>
  <c r="E64" i="5"/>
  <c r="C64" i="5"/>
  <c r="E63" i="5"/>
  <c r="C63" i="5"/>
  <c r="E62" i="5"/>
  <c r="C62" i="5"/>
  <c r="F62" i="5" s="1"/>
  <c r="E53" i="5"/>
  <c r="C53" i="5"/>
  <c r="E52" i="5"/>
  <c r="C52" i="5"/>
  <c r="E51" i="5"/>
  <c r="C51" i="5"/>
  <c r="E50" i="5"/>
  <c r="C50" i="5"/>
  <c r="E49" i="5"/>
  <c r="C49" i="5"/>
  <c r="E48" i="5"/>
  <c r="C48" i="5"/>
  <c r="E47" i="5"/>
  <c r="C47" i="5"/>
  <c r="E46" i="5"/>
  <c r="C46" i="5"/>
  <c r="E45" i="5"/>
  <c r="C45" i="5"/>
  <c r="E44" i="5"/>
  <c r="C44" i="5"/>
  <c r="E43" i="5"/>
  <c r="C43" i="5"/>
  <c r="E36" i="5"/>
  <c r="C36" i="5"/>
  <c r="E35" i="5"/>
  <c r="C35" i="5"/>
  <c r="F34" i="5"/>
  <c r="E34" i="5"/>
  <c r="C34" i="5"/>
  <c r="E33" i="5"/>
  <c r="C33" i="5"/>
  <c r="E32" i="5"/>
  <c r="C32" i="5"/>
  <c r="F32" i="5" s="1"/>
  <c r="E31" i="5"/>
  <c r="C31" i="5"/>
  <c r="E30" i="5"/>
  <c r="C30" i="5"/>
  <c r="E29" i="5"/>
  <c r="C29" i="5"/>
  <c r="E28" i="5"/>
  <c r="C28" i="5"/>
  <c r="F28" i="5" s="1"/>
  <c r="E27" i="5"/>
  <c r="C27" i="5"/>
  <c r="E26" i="5"/>
  <c r="C26" i="5"/>
  <c r="R19" i="5"/>
  <c r="S19" i="5" s="1"/>
  <c r="M19" i="5"/>
  <c r="N19" i="5" s="1"/>
  <c r="H19" i="5"/>
  <c r="I19" i="5" s="1"/>
  <c r="C19" i="5"/>
  <c r="D19" i="5" s="1"/>
  <c r="R18" i="5"/>
  <c r="S18" i="5" s="1"/>
  <c r="M18" i="5"/>
  <c r="N18" i="5" s="1"/>
  <c r="H18" i="5"/>
  <c r="I18" i="5" s="1"/>
  <c r="C18" i="5"/>
  <c r="D18" i="5" s="1"/>
  <c r="R17" i="5"/>
  <c r="S17" i="5" s="1"/>
  <c r="M17" i="5"/>
  <c r="N17" i="5" s="1"/>
  <c r="H17" i="5"/>
  <c r="I17" i="5" s="1"/>
  <c r="C17" i="5"/>
  <c r="D17" i="5" s="1"/>
  <c r="R16" i="5"/>
  <c r="S16" i="5" s="1"/>
  <c r="M16" i="5"/>
  <c r="N16" i="5" s="1"/>
  <c r="H16" i="5"/>
  <c r="I16" i="5" s="1"/>
  <c r="C16" i="5"/>
  <c r="D16" i="5" s="1"/>
  <c r="R15" i="5"/>
  <c r="S15" i="5" s="1"/>
  <c r="M15" i="5"/>
  <c r="N15" i="5" s="1"/>
  <c r="H15" i="5"/>
  <c r="I15" i="5" s="1"/>
  <c r="C15" i="5"/>
  <c r="D15" i="5" s="1"/>
  <c r="R14" i="5"/>
  <c r="S14" i="5" s="1"/>
  <c r="M14" i="5"/>
  <c r="N14" i="5" s="1"/>
  <c r="H14" i="5"/>
  <c r="I14" i="5" s="1"/>
  <c r="C14" i="5"/>
  <c r="D14" i="5" s="1"/>
  <c r="R13" i="5"/>
  <c r="S13" i="5" s="1"/>
  <c r="M13" i="5"/>
  <c r="N13" i="5" s="1"/>
  <c r="H13" i="5"/>
  <c r="I13" i="5" s="1"/>
  <c r="C13" i="5"/>
  <c r="D13" i="5" s="1"/>
  <c r="R12" i="5"/>
  <c r="S12" i="5" s="1"/>
  <c r="M12" i="5"/>
  <c r="N12" i="5" s="1"/>
  <c r="H12" i="5"/>
  <c r="I12" i="5" s="1"/>
  <c r="C12" i="5"/>
  <c r="D12" i="5" s="1"/>
  <c r="R11" i="5"/>
  <c r="S11" i="5" s="1"/>
  <c r="M11" i="5"/>
  <c r="N11" i="5" s="1"/>
  <c r="H11" i="5"/>
  <c r="I11" i="5" s="1"/>
  <c r="C11" i="5"/>
  <c r="D11" i="5" s="1"/>
  <c r="R10" i="5"/>
  <c r="S10" i="5" s="1"/>
  <c r="M10" i="5"/>
  <c r="N10" i="5" s="1"/>
  <c r="H10" i="5"/>
  <c r="I10" i="5" s="1"/>
  <c r="C10" i="5"/>
  <c r="D10" i="5" s="1"/>
  <c r="R9" i="5"/>
  <c r="S9" i="5" s="1"/>
  <c r="M9" i="5"/>
  <c r="N9" i="5" s="1"/>
  <c r="H9" i="5"/>
  <c r="I9" i="5" s="1"/>
  <c r="C9" i="5"/>
  <c r="D9" i="5" s="1"/>
  <c r="L34" i="2"/>
  <c r="L33" i="2"/>
  <c r="R33" i="2" s="1"/>
  <c r="L32" i="2"/>
  <c r="R32" i="2" s="1"/>
  <c r="R25" i="2"/>
  <c r="T24" i="2"/>
  <c r="R24" i="2"/>
  <c r="D6" i="4"/>
  <c r="E6" i="4" s="1"/>
  <c r="I30" i="1" s="1"/>
  <c r="F30" i="1" s="1"/>
  <c r="D7" i="4"/>
  <c r="E7" i="4" s="1"/>
  <c r="I41" i="2" s="1"/>
  <c r="D8" i="4"/>
  <c r="E8" i="4" s="1"/>
  <c r="I32" i="1" s="1"/>
  <c r="D9" i="4"/>
  <c r="E9" i="4" s="1"/>
  <c r="I33" i="1" s="1"/>
  <c r="D10" i="4"/>
  <c r="E10" i="4" s="1"/>
  <c r="I44" i="2" s="1"/>
  <c r="D11" i="4"/>
  <c r="E11" i="4" s="1"/>
  <c r="I45" i="2" s="1"/>
  <c r="D12" i="4"/>
  <c r="E12" i="4" s="1"/>
  <c r="I46" i="2" s="1"/>
  <c r="D13" i="4"/>
  <c r="E13" i="4" s="1"/>
  <c r="D14" i="4"/>
  <c r="E14" i="4" s="1"/>
  <c r="I48" i="2" s="1"/>
  <c r="D15" i="4"/>
  <c r="E15" i="4" s="1"/>
  <c r="D5" i="4"/>
  <c r="E5" i="4" s="1"/>
  <c r="I29" i="1" s="1"/>
  <c r="L7" i="4"/>
  <c r="L8" i="4" s="1"/>
  <c r="J7" i="4"/>
  <c r="J8" i="4" s="1"/>
  <c r="B29" i="1" l="1"/>
  <c r="B50" i="1" s="1"/>
  <c r="F29" i="1"/>
  <c r="C32" i="1"/>
  <c r="F32" i="1"/>
  <c r="C33" i="1"/>
  <c r="F33" i="1"/>
  <c r="I39" i="2"/>
  <c r="F61" i="3"/>
  <c r="F40" i="3"/>
  <c r="F27" i="5"/>
  <c r="F29" i="5"/>
  <c r="F65" i="5"/>
  <c r="F69" i="5"/>
  <c r="I49" i="2"/>
  <c r="I39" i="1"/>
  <c r="F26" i="5"/>
  <c r="F30" i="5"/>
  <c r="F70" i="5"/>
  <c r="F72" i="5"/>
  <c r="F35" i="3"/>
  <c r="F37" i="3"/>
  <c r="F39" i="3"/>
  <c r="F43" i="3"/>
  <c r="F45" i="3"/>
  <c r="F42" i="3"/>
  <c r="F44" i="3"/>
  <c r="F36" i="3"/>
  <c r="D30" i="1"/>
  <c r="C30" i="1"/>
  <c r="I31" i="1"/>
  <c r="F31" i="1" s="1"/>
  <c r="I40" i="2"/>
  <c r="I36" i="1"/>
  <c r="I35" i="1"/>
  <c r="E32" i="1"/>
  <c r="I42" i="2"/>
  <c r="B30" i="1"/>
  <c r="B51" i="1" s="1"/>
  <c r="E30" i="1"/>
  <c r="I34" i="1"/>
  <c r="F34" i="1" s="1"/>
  <c r="I37" i="1"/>
  <c r="I47" i="2"/>
  <c r="B33" i="1"/>
  <c r="B54" i="1" s="1"/>
  <c r="D33" i="1"/>
  <c r="G33" i="1"/>
  <c r="H33" i="1"/>
  <c r="I43" i="2"/>
  <c r="F31" i="5"/>
  <c r="F33" i="5"/>
  <c r="F63" i="5"/>
  <c r="I38" i="1"/>
  <c r="F35" i="5"/>
  <c r="F67" i="5"/>
  <c r="F38" i="3"/>
  <c r="F41" i="3"/>
  <c r="G30" i="1"/>
  <c r="F36" i="5"/>
  <c r="F66" i="5"/>
  <c r="F71" i="5"/>
  <c r="B32" i="1"/>
  <c r="B53" i="1" s="1"/>
  <c r="E33" i="1"/>
  <c r="G32" i="1"/>
  <c r="H32" i="1"/>
  <c r="D32" i="1"/>
  <c r="H30" i="1"/>
  <c r="F36" i="1" l="1"/>
  <c r="F51" i="1" s="1"/>
  <c r="C37" i="1"/>
  <c r="F37" i="1"/>
  <c r="F52" i="1" s="1"/>
  <c r="C38" i="1"/>
  <c r="F38" i="1"/>
  <c r="F53" i="1" s="1"/>
  <c r="F35" i="1"/>
  <c r="C39" i="1"/>
  <c r="F39" i="1"/>
  <c r="J32" i="1"/>
  <c r="J30" i="1"/>
  <c r="J33" i="1"/>
  <c r="E29" i="1"/>
  <c r="C34" i="1"/>
  <c r="C36" i="1"/>
  <c r="E31" i="1"/>
  <c r="C31" i="1"/>
  <c r="E35" i="1"/>
  <c r="C35" i="1"/>
  <c r="G35" i="1"/>
  <c r="H36" i="1"/>
  <c r="G36" i="1"/>
  <c r="E36" i="1"/>
  <c r="D35" i="1"/>
  <c r="D31" i="1"/>
  <c r="H35" i="1"/>
  <c r="D29" i="1"/>
  <c r="G31" i="1"/>
  <c r="H34" i="1"/>
  <c r="G34" i="1"/>
  <c r="H31" i="1"/>
  <c r="D36" i="1"/>
  <c r="B31" i="1"/>
  <c r="B52" i="1" s="1"/>
  <c r="E34" i="1"/>
  <c r="D34" i="1"/>
  <c r="B34" i="1"/>
  <c r="B55" i="1" s="1"/>
  <c r="D38" i="1"/>
  <c r="E38" i="1"/>
  <c r="G38" i="1"/>
  <c r="D37" i="1"/>
  <c r="E37" i="1"/>
  <c r="G37" i="1"/>
  <c r="H37" i="1"/>
  <c r="H29" i="1"/>
  <c r="C29" i="1"/>
  <c r="G29" i="1"/>
  <c r="H38" i="1"/>
  <c r="E39" i="1"/>
  <c r="G39" i="1"/>
  <c r="H39" i="1"/>
  <c r="D39" i="1"/>
  <c r="I7" i="1"/>
  <c r="I8" i="1"/>
  <c r="I9" i="1"/>
  <c r="I10" i="1"/>
  <c r="I11" i="1"/>
  <c r="I12" i="1"/>
  <c r="I13" i="1"/>
  <c r="I14" i="1"/>
  <c r="I15" i="1"/>
  <c r="I16" i="1"/>
  <c r="B38" i="1" l="1"/>
  <c r="B59" i="1" s="1"/>
  <c r="B37" i="1"/>
  <c r="B58" i="1" s="1"/>
  <c r="B39" i="1"/>
  <c r="F54" i="1"/>
  <c r="B36" i="1"/>
  <c r="B57" i="1" s="1"/>
  <c r="B35" i="1"/>
  <c r="F50" i="1"/>
  <c r="J29" i="1"/>
  <c r="J31" i="1"/>
  <c r="J38" i="1"/>
  <c r="J34" i="1"/>
  <c r="J36" i="1" l="1"/>
  <c r="J37" i="1"/>
  <c r="J35" i="1"/>
  <c r="B56" i="1"/>
  <c r="J39" i="1"/>
  <c r="B60" i="1"/>
  <c r="F64" i="1"/>
  <c r="F65" i="1" s="1"/>
  <c r="C9" i="3"/>
  <c r="D9" i="3" s="1"/>
  <c r="B70" i="1" l="1"/>
  <c r="B71" i="1" s="1"/>
  <c r="C11" i="3"/>
  <c r="D11" i="3" s="1"/>
  <c r="C10" i="3"/>
  <c r="D10" i="3" s="1"/>
  <c r="C12" i="3" l="1"/>
  <c r="D12" i="3" s="1"/>
  <c r="C13" i="3" l="1"/>
  <c r="D13" i="3" s="1"/>
  <c r="C14" i="3" l="1"/>
  <c r="D14" i="3" s="1"/>
  <c r="C15" i="3" l="1"/>
  <c r="D15" i="3" s="1"/>
  <c r="C16" i="3" l="1"/>
  <c r="D16" i="3" s="1"/>
  <c r="C18" i="3" l="1"/>
  <c r="D18" i="3" s="1"/>
  <c r="C17" i="3"/>
  <c r="D17" i="3" s="1"/>
  <c r="C19" i="3" l="1"/>
  <c r="D19" i="3" s="1"/>
  <c r="C20" i="3" l="1"/>
  <c r="D20" i="3" s="1"/>
  <c r="C21" i="3" l="1"/>
  <c r="D21" i="3" s="1"/>
  <c r="C22" i="3" l="1"/>
  <c r="D22" i="3" s="1"/>
  <c r="C23" i="3" l="1"/>
  <c r="D23" i="3" s="1"/>
  <c r="C24" i="3" l="1"/>
  <c r="D24" i="3" s="1"/>
  <c r="C25" i="3" l="1"/>
  <c r="D25" i="3" s="1"/>
  <c r="C27" i="3" l="1"/>
  <c r="D27" i="3" s="1"/>
  <c r="C26" i="3"/>
  <c r="D26" i="3" s="1"/>
  <c r="C28" i="3" l="1"/>
  <c r="D28" i="3" s="1"/>
  <c r="M9" i="3" l="1"/>
  <c r="N9" i="3" s="1"/>
  <c r="M10" i="3" l="1"/>
  <c r="N10" i="3" s="1"/>
  <c r="M11" i="3" l="1"/>
  <c r="N11" i="3" s="1"/>
  <c r="M12" i="3" l="1"/>
  <c r="N12" i="3" s="1"/>
  <c r="M13" i="3" l="1"/>
  <c r="N13" i="3" s="1"/>
  <c r="M14" i="3" l="1"/>
  <c r="N14" i="3" s="1"/>
  <c r="M15" i="3" l="1"/>
  <c r="N15" i="3" s="1"/>
  <c r="M16" i="3" l="1"/>
  <c r="N16" i="3" s="1"/>
  <c r="M17" i="3" l="1"/>
  <c r="N17" i="3" s="1"/>
  <c r="M18" i="3" l="1"/>
  <c r="N18" i="3" s="1"/>
  <c r="M19" i="3" l="1"/>
  <c r="N19" i="3" s="1"/>
  <c r="M20" i="3" l="1"/>
  <c r="N20" i="3" s="1"/>
  <c r="M21" i="3" l="1"/>
  <c r="N21" i="3" s="1"/>
  <c r="M22" i="3" l="1"/>
  <c r="N22" i="3" s="1"/>
  <c r="M23" i="3" l="1"/>
  <c r="N23" i="3" s="1"/>
  <c r="M24" i="3" l="1"/>
  <c r="N24" i="3" s="1"/>
  <c r="M25" i="3" l="1"/>
  <c r="N25" i="3" s="1"/>
  <c r="M26" i="3" l="1"/>
  <c r="N26" i="3" s="1"/>
  <c r="M27" i="3" l="1"/>
  <c r="N27" i="3" s="1"/>
  <c r="M28" i="3" l="1"/>
  <c r="N28" i="3" s="1"/>
  <c r="H9" i="3" l="1"/>
  <c r="I9" i="3" s="1"/>
  <c r="I61" i="3" l="1"/>
  <c r="J61" i="3" s="1"/>
  <c r="H10" i="3"/>
  <c r="I10" i="3" s="1"/>
  <c r="I62" i="3" l="1"/>
  <c r="J62" i="3" s="1"/>
  <c r="H11" i="3"/>
  <c r="I11" i="3" s="1"/>
  <c r="I63" i="3" l="1"/>
  <c r="J63" i="3" s="1"/>
  <c r="H12" i="3"/>
  <c r="I12" i="3" s="1"/>
  <c r="I64" i="3" l="1"/>
  <c r="J64" i="3" s="1"/>
  <c r="H13" i="3"/>
  <c r="I13" i="3" s="1"/>
  <c r="I65" i="3" l="1"/>
  <c r="J65" i="3" s="1"/>
  <c r="H14" i="3"/>
  <c r="I14" i="3" s="1"/>
  <c r="I66" i="3" l="1"/>
  <c r="J66" i="3" s="1"/>
  <c r="H15" i="3"/>
  <c r="I15" i="3" s="1"/>
  <c r="I67" i="3" l="1"/>
  <c r="J67" i="3" s="1"/>
  <c r="H16" i="3"/>
  <c r="I16" i="3" s="1"/>
  <c r="I68" i="3" l="1"/>
  <c r="J68" i="3" s="1"/>
  <c r="H17" i="3"/>
  <c r="I17" i="3" s="1"/>
  <c r="I69" i="3" l="1"/>
  <c r="J69" i="3" s="1"/>
  <c r="H18" i="3"/>
  <c r="I18" i="3" s="1"/>
  <c r="I70" i="3" l="1"/>
  <c r="J70" i="3" s="1"/>
  <c r="H19" i="3"/>
  <c r="I19" i="3" s="1"/>
  <c r="I71" i="3" l="1"/>
  <c r="J71" i="3" s="1"/>
  <c r="H20" i="3"/>
  <c r="I20" i="3" s="1"/>
  <c r="I72" i="3" l="1"/>
  <c r="J72" i="3" s="1"/>
  <c r="H21" i="3"/>
  <c r="I21" i="3" s="1"/>
  <c r="I73" i="3" l="1"/>
  <c r="J73" i="3" s="1"/>
  <c r="H22" i="3"/>
  <c r="I22" i="3" s="1"/>
  <c r="I74" i="3" l="1"/>
  <c r="J74" i="3" s="1"/>
  <c r="H23" i="3"/>
  <c r="I23" i="3" s="1"/>
  <c r="I75" i="3" l="1"/>
  <c r="J75" i="3" s="1"/>
  <c r="H24" i="3"/>
  <c r="I24" i="3" s="1"/>
  <c r="I76" i="3" l="1"/>
  <c r="J76" i="3" s="1"/>
  <c r="H25" i="3"/>
  <c r="I25" i="3" s="1"/>
  <c r="I77" i="3" l="1"/>
  <c r="J77" i="3" s="1"/>
  <c r="H26" i="3"/>
  <c r="I26" i="3" s="1"/>
  <c r="I78" i="3" l="1"/>
  <c r="J78" i="3" s="1"/>
  <c r="H27" i="3"/>
  <c r="I27" i="3" s="1"/>
  <c r="I79" i="3" l="1"/>
  <c r="J79" i="3" s="1"/>
  <c r="H28" i="3"/>
  <c r="I28" i="3" s="1"/>
  <c r="I80" i="3" l="1"/>
  <c r="J80" i="3" s="1"/>
</calcChain>
</file>

<file path=xl/comments1.xml><?xml version="1.0" encoding="utf-8"?>
<comments xmlns="http://schemas.openxmlformats.org/spreadsheetml/2006/main">
  <authors>
    <author>Iwied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Mengurangi jumlah sampah yang masuk ke TPA melalui Kegiatan 3R sebesar 2% dari sampah yang masuk ke TPA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Belum masuk dalam perhitungan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Mengurangi jumlah sampah yang masuk ke TPA melalui Kegiatan 3R sebesar 3% dari fraksi sampah yang masuk ke TPA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Belum masuk dalam perhitungan</t>
        </r>
      </text>
    </comment>
  </commentList>
</comments>
</file>

<file path=xl/sharedStrings.xml><?xml version="1.0" encoding="utf-8"?>
<sst xmlns="http://schemas.openxmlformats.org/spreadsheetml/2006/main" count="302" uniqueCount="155">
  <si>
    <t>Fraksi Pengelolaan Sampah (%)</t>
  </si>
  <si>
    <t>Diangkut ke TPA</t>
  </si>
  <si>
    <t>Open dumping</t>
  </si>
  <si>
    <t>kompos</t>
  </si>
  <si>
    <t>Dibakar</t>
  </si>
  <si>
    <t>Dibuang ke sungai</t>
  </si>
  <si>
    <t>Dibuang semba- rangan</t>
  </si>
  <si>
    <t>Lainnya</t>
  </si>
  <si>
    <t>tahun</t>
  </si>
  <si>
    <t>total</t>
  </si>
  <si>
    <t>Tahun</t>
  </si>
  <si>
    <t>timbulan sampah</t>
  </si>
  <si>
    <t>kg/kapita/hari</t>
  </si>
  <si>
    <t>ton/tahun</t>
  </si>
  <si>
    <t>Giga gram/tahun</t>
  </si>
  <si>
    <t>1000 kg = 1 ton</t>
  </si>
  <si>
    <t>1 000 ton = 1 Gg (Giga gram)</t>
  </si>
  <si>
    <t>catatan</t>
  </si>
  <si>
    <t>kg sampah tercampur/hari/unit</t>
  </si>
  <si>
    <t>membagun TPA</t>
  </si>
  <si>
    <t>ton  sampah tercampur/hari/unit</t>
  </si>
  <si>
    <t>aksi mitigasi persampahan</t>
  </si>
  <si>
    <t>recovery metan</t>
  </si>
  <si>
    <t>kg CH4/hari/unit</t>
  </si>
  <si>
    <t xml:space="preserve">Asumsi pengurangan ke TPA </t>
  </si>
  <si>
    <t xml:space="preserve">komposting </t>
  </si>
  <si>
    <t>di daur ulang</t>
  </si>
  <si>
    <t>kg/hari/unit</t>
  </si>
  <si>
    <t xml:space="preserve">residu dan dibuang ke TPA </t>
  </si>
  <si>
    <t>SUBTOTAL</t>
  </si>
  <si>
    <t>ton/tahun/unit - dikompos</t>
  </si>
  <si>
    <t xml:space="preserve">ton/tahun/unit - pengurangan sampah </t>
  </si>
  <si>
    <t>-</t>
  </si>
  <si>
    <t xml:space="preserve">densitas sampah : </t>
  </si>
  <si>
    <t>250 kg/m3 di sumber</t>
  </si>
  <si>
    <t>750 kg/m3 di TPA</t>
  </si>
  <si>
    <t xml:space="preserve">laju timbulan sampah : </t>
  </si>
  <si>
    <t xml:space="preserve"> L/kapita/hari</t>
  </si>
  <si>
    <t>ton/kap/th</t>
  </si>
  <si>
    <t>total timbulan sampah (Gg/tahun)</t>
  </si>
  <si>
    <t xml:space="preserve">I. </t>
  </si>
  <si>
    <t xml:space="preserve">II. </t>
  </si>
  <si>
    <t xml:space="preserve">Membangun 1  TPST berbasis institusi asumsinya : </t>
  </si>
  <si>
    <t>Membangun TPS T3R berbasis masyarakat</t>
  </si>
  <si>
    <t>ton/tahun/unit - daur ulang pengurangan sampah nol emisi</t>
  </si>
  <si>
    <t>KATAGORI AKSI</t>
  </si>
  <si>
    <t>DESKRIPSI</t>
  </si>
  <si>
    <t>Peningkatan FasiIitas Pemrosesan Akhir sampah</t>
  </si>
  <si>
    <t xml:space="preserve">Pelaksanaan kegiatan 3R </t>
  </si>
  <si>
    <t xml:space="preserve">Rehabilitasi TPA menjadi TPA semi-aerobik. </t>
  </si>
  <si>
    <t xml:space="preserve">Mengoperasikan TPA baru </t>
  </si>
  <si>
    <t>membangun TPST (dana dari institusi/pemerintah)</t>
  </si>
  <si>
    <t> membangun TPST /TPS 3R dana dari masyarakat)</t>
  </si>
  <si>
    <t>volume sampah tertangani</t>
  </si>
  <si>
    <t xml:space="preserve">jumlah sarana  yang dibangun </t>
  </si>
  <si>
    <t xml:space="preserve">1. Merubah nilai MCF pada perhitungan emisi CH4 dari TPA </t>
  </si>
  <si>
    <t xml:space="preserve">2. Menyesuaikan perubahan fraksi jenis TPA </t>
  </si>
  <si>
    <t>isi dengan volume gas metan yg direcovery</t>
  </si>
  <si>
    <t>recovery metan di TPA Anaeobik</t>
  </si>
  <si>
    <t xml:space="preserve">isi dengan volume sam pah yg akan dikelola di TPA baru </t>
  </si>
  <si>
    <t>Mengis data metan yang akan direcovery</t>
  </si>
  <si>
    <t>Menyesuaikan perubahan fraksi jenis TPA</t>
  </si>
  <si>
    <t>Menyesuaikan nilai MCF sesuai jenis TPA</t>
  </si>
  <si>
    <t>prinsip  perhitungan emisi menggunakan metoda IPCC</t>
  </si>
  <si>
    <t>Deskripsi aksi mitigasi yang dipilih</t>
  </si>
  <si>
    <t>perubahan pada fraksi pengelolaan sampah, Menambah angka  volume sampah yang masuk ke TPA</t>
  </si>
  <si>
    <t>perubahan pada fraksi pengelolaan sampah, Menambah angka  volume sampah yang dikompos</t>
  </si>
  <si>
    <t>PERUBAHAN PADA FRAKSI DISTRIBUSI PENGELOLAAN SAMPAH</t>
  </si>
  <si>
    <t>VOLUME SAMPAH YANG DIKELOLA DARI AKSI MITIGASI (SELISIH TERHADAP BaU)</t>
  </si>
  <si>
    <t>isi dengan volume sampah di TPA tsb</t>
  </si>
  <si>
    <t xml:space="preserve">isi dengan volume sampah di TPA-TPA  baru </t>
  </si>
  <si>
    <t>dalam contoh perhitungan diambil 15.000 ton/tahun</t>
  </si>
  <si>
    <t xml:space="preserve">sampah yang dikompos = jumlah TPST x 15000 ton/tahun               atau         jumlah TPS 3R x  900 ton/tahun </t>
  </si>
  <si>
    <t>PERUBAHAN FRAKSI PENGELOLAAN SAMPAH PADA SKENARIO MITIGASI</t>
  </si>
  <si>
    <t>BaU + aksi mitigasi</t>
  </si>
  <si>
    <t>BaU - aksi mitigasi</t>
  </si>
  <si>
    <t xml:space="preserve">prosentase  menyesuaikan ke perubahan fraksi volume sampah </t>
  </si>
  <si>
    <t>sampah yang dikelola (Gg/tahun)</t>
  </si>
  <si>
    <t xml:space="preserve">Menyesuaiakn dengan pengurangan dari sampah yang dikompos dan yang didaur ulang. Catatan : Sampah yang didaur ulang dalam 1 TPST = 2740 ton/hari. Sampah yang didaur ulang dalam 1 TPS 3R  = 164  ton/hari. </t>
  </si>
  <si>
    <t>Rekapitulasi   BaU Baseline Emisi GRK dari Pengomposan Sampah</t>
  </si>
  <si>
    <t xml:space="preserve"> Emisi GRK dari komposting </t>
  </si>
  <si>
    <r>
      <t>Emisi CH</t>
    </r>
    <r>
      <rPr>
        <vertAlign val="subscript"/>
        <sz val="9"/>
        <color indexed="9"/>
        <rFont val="Calibri"/>
        <family val="2"/>
      </rPr>
      <t>4</t>
    </r>
  </si>
  <si>
    <r>
      <t>Emisi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</si>
  <si>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r>
      <t>Total 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</si>
  <si>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CH</t>
    </r>
    <r>
      <rPr>
        <vertAlign val="subscript"/>
        <sz val="9"/>
        <color indexed="9"/>
        <rFont val="Calibri"/>
        <family val="2"/>
      </rPr>
      <t>4</t>
    </r>
  </si>
  <si>
    <r>
      <t>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</si>
  <si>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</si>
  <si>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t xml:space="preserve"> Rekapitulasi BaU Baseline Emisi GRK dari Aktifitas Pembakaran Terbuka </t>
  </si>
  <si>
    <t xml:space="preserve"> Emisi GRK Dari Pembakaran Sampah</t>
  </si>
  <si>
    <r>
      <t>Emisi CO</t>
    </r>
    <r>
      <rPr>
        <vertAlign val="subscript"/>
        <sz val="9"/>
        <color indexed="9"/>
        <rFont val="Calibri"/>
        <family val="2"/>
      </rPr>
      <t>2</t>
    </r>
  </si>
  <si>
    <r>
      <t>Gg CO</t>
    </r>
    <r>
      <rPr>
        <vertAlign val="subscript"/>
        <sz val="9"/>
        <color indexed="9"/>
        <rFont val="Calibri"/>
        <family val="2"/>
      </rPr>
      <t>2</t>
    </r>
  </si>
  <si>
    <t>Rekapitulasi   BaU Baseline Emisi GRK dari Pengelolaan Air Limbah Domestik</t>
  </si>
  <si>
    <r>
      <t>Emisi CH</t>
    </r>
    <r>
      <rPr>
        <vertAlign val="subscript"/>
        <sz val="9"/>
        <rFont val="Calibri"/>
        <family val="2"/>
      </rPr>
      <t>4</t>
    </r>
  </si>
  <si>
    <r>
      <t>Emisi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</si>
  <si>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t>TOTAL</t>
  </si>
  <si>
    <r>
      <t>Gg CH</t>
    </r>
    <r>
      <rPr>
        <vertAlign val="subscript"/>
        <sz val="9"/>
        <rFont val="Calibri"/>
        <family val="2"/>
      </rPr>
      <t>4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</si>
  <si>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CH</t>
    </r>
    <r>
      <rPr>
        <vertAlign val="subscript"/>
        <sz val="9"/>
        <rFont val="Calibri"/>
        <family val="2"/>
      </rPr>
      <t>4</t>
    </r>
    <r>
      <rPr>
        <sz val="9"/>
        <rFont val="Calibri"/>
        <family val="2"/>
      </rPr>
      <t>)</t>
    </r>
  </si>
  <si>
    <r>
      <t>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</si>
  <si>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O)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</si>
  <si>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perjum-lahan)</t>
    </r>
  </si>
  <si>
    <t>A</t>
  </si>
  <si>
    <t>B</t>
  </si>
  <si>
    <t>C</t>
  </si>
  <si>
    <t>D</t>
  </si>
  <si>
    <t>E</t>
  </si>
  <si>
    <t>B = A x 21</t>
  </si>
  <si>
    <t>D = C x 310</t>
  </si>
  <si>
    <t>E = B+D</t>
  </si>
  <si>
    <t>Rekapitulasi   BaU Baseline Emisi GRK dari Penimbunan Sampah</t>
  </si>
  <si>
    <t xml:space="preserve"> Emisi GRK TPA+TERHAMPAR+BADAN AIR (BILA PERHITUNGANNYA DISATUKAN)</t>
  </si>
  <si>
    <t xml:space="preserve"> Emisi GRK dari sampah terhampar sembarangan</t>
  </si>
  <si>
    <t xml:space="preserve"> Emisi GRK dari sampah ditimbun di lubang</t>
  </si>
  <si>
    <t xml:space="preserve"> Emisi GRK dari sampah dibuang ke badan air</t>
  </si>
  <si>
    <t>atau</t>
  </si>
  <si>
    <t>dan</t>
  </si>
  <si>
    <t>REKAPITULASI EMISI GRK SETELAH MITIGASI</t>
  </si>
  <si>
    <t>REKAPITULASI EMISI GRK BaU BASELINE</t>
  </si>
  <si>
    <t xml:space="preserve"> Emisi GRK TPA</t>
  </si>
  <si>
    <t>ton/kapita/tahun</t>
  </si>
  <si>
    <t xml:space="preserve">TPA </t>
  </si>
  <si>
    <t>TPS 3 R</t>
  </si>
  <si>
    <t>TPST</t>
  </si>
  <si>
    <t>ton/unit/tahun</t>
  </si>
  <si>
    <t xml:space="preserve">Jumlah Penduduk </t>
  </si>
  <si>
    <t>Rekapitulasi BAU Baseline Emisi GRK dari Penimbunan Sampah</t>
  </si>
  <si>
    <t>Rekapitulasi BaU Baseline Emisi GRK dari Pengomposan Sampah</t>
  </si>
  <si>
    <t>Dibuang sembarangan</t>
  </si>
  <si>
    <r>
      <t>Emisi CH</t>
    </r>
    <r>
      <rPr>
        <vertAlign val="subscript"/>
        <sz val="11"/>
        <color indexed="9"/>
        <rFont val="Calibri"/>
        <family val="2"/>
        <scheme val="minor"/>
      </rPr>
      <t>4</t>
    </r>
  </si>
  <si>
    <r>
      <t>Total Gg CO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eq</t>
    </r>
  </si>
  <si>
    <r>
      <t>Gg CH</t>
    </r>
    <r>
      <rPr>
        <vertAlign val="subscript"/>
        <sz val="11"/>
        <color indexed="9"/>
        <rFont val="Calibri"/>
        <family val="2"/>
        <scheme val="minor"/>
      </rPr>
      <t>4</t>
    </r>
  </si>
  <si>
    <r>
      <t>Gg CO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eq</t>
    </r>
  </si>
  <si>
    <r>
      <t>Emisi N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O</t>
    </r>
  </si>
  <si>
    <r>
      <t>Gg N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O</t>
    </r>
  </si>
  <si>
    <r>
      <t>Emisi CO</t>
    </r>
    <r>
      <rPr>
        <vertAlign val="subscript"/>
        <sz val="11"/>
        <color indexed="9"/>
        <rFont val="Calibri"/>
        <family val="2"/>
        <scheme val="minor"/>
      </rPr>
      <t>2</t>
    </r>
  </si>
  <si>
    <r>
      <t>Gg CO</t>
    </r>
    <r>
      <rPr>
        <vertAlign val="subscript"/>
        <sz val="11"/>
        <color indexed="9"/>
        <rFont val="Calibri"/>
        <family val="2"/>
        <scheme val="minor"/>
      </rPr>
      <t>2</t>
    </r>
  </si>
  <si>
    <r>
      <t>Emisi CH</t>
    </r>
    <r>
      <rPr>
        <vertAlign val="subscript"/>
        <sz val="11"/>
        <rFont val="Calibri"/>
        <family val="2"/>
        <scheme val="minor"/>
      </rPr>
      <t>4</t>
    </r>
  </si>
  <si>
    <r>
      <t>Emisi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</si>
  <si>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Gg CH</t>
    </r>
    <r>
      <rPr>
        <vertAlign val="subscript"/>
        <sz val="11"/>
        <rFont val="Calibri"/>
        <family val="2"/>
        <scheme val="minor"/>
      </rPr>
      <t>4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</si>
  <si>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konversi dari Gg CH</t>
    </r>
    <r>
      <rPr>
        <vertAlign val="subscript"/>
        <sz val="11"/>
        <rFont val="Calibri"/>
        <family val="2"/>
        <scheme val="minor"/>
      </rPr>
      <t>4</t>
    </r>
    <r>
      <rPr>
        <sz val="11"/>
        <rFont val="Calibri"/>
        <family val="2"/>
        <scheme val="minor"/>
      </rPr>
      <t>)</t>
    </r>
  </si>
  <si>
    <r>
      <t>Gg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</si>
  <si>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konversi dari Gg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O)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</si>
  <si>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perjumlahan)</t>
    </r>
  </si>
  <si>
    <t>Rekapitulasi BAU Baseline Emisi GRK dari Pengelolaan Air Limbah Domestik</t>
  </si>
  <si>
    <r>
      <t>Emisi CO</t>
    </r>
    <r>
      <rPr>
        <vertAlign val="subscript"/>
        <sz val="11"/>
        <rFont val="Calibri"/>
        <family val="2"/>
        <scheme val="minor"/>
      </rPr>
      <t>2</t>
    </r>
  </si>
  <si>
    <r>
      <t>Gg CO</t>
    </r>
    <r>
      <rPr>
        <vertAlign val="subscript"/>
        <sz val="11"/>
        <rFont val="Calibri"/>
        <family val="2"/>
        <scheme val="minor"/>
      </rPr>
      <t>2</t>
    </r>
  </si>
  <si>
    <t>ton CO2</t>
  </si>
  <si>
    <r>
      <t>ton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perjumlahan)</t>
    </r>
  </si>
  <si>
    <t>Kompos</t>
  </si>
  <si>
    <t>Total timbulan sampah (Gg/tahun)</t>
  </si>
  <si>
    <t>kg CH4</t>
  </si>
  <si>
    <t>Emisi GRK dari Limbah Cair Industri Sawit</t>
  </si>
  <si>
    <t>KOTA BONTANG</t>
  </si>
  <si>
    <t>KONDISI MITIGASI</t>
  </si>
  <si>
    <t xml:space="preserve">3R </t>
  </si>
  <si>
    <t xml:space="preserve"> Emisi GRK dari sampah yang dilakukan 3R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</si>
</sst>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#,##0.0000"/>
    <numFmt numFmtId="165" formatCode="0.00000"/>
    <numFmt numFmtId="166" formatCode="0.000000"/>
    <numFmt numFmtId="167" formatCode="_-* #,##0_-;\-* #,##0_-;_-* &quot;-&quot;??_-;_-@_-"/>
    <numFmt numFmtId="168" formatCode="_-* #,##0.000_-;\-* #,##0.000_-;_-* &quot;-&quot;??_-;_-@_-"/>
    <numFmt numFmtId="169" formatCode="_-* #,##0.0000_-;\-* #,##0.0000_-;_-* &quot;-&quot;??_-;_-@_-"/>
    <numFmt numFmtId="170" formatCode="0.0%"/>
  </numFmts>
  <fonts count="6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name val="Arial"/>
      <family val="2"/>
    </font>
    <font>
      <sz val="9"/>
      <color theme="0"/>
      <name val="Calibri"/>
      <family val="2"/>
    </font>
    <font>
      <b/>
      <sz val="10"/>
      <color rgb="FFFFFFFF"/>
      <name val="Calibri"/>
      <family val="2"/>
    </font>
    <font>
      <sz val="10"/>
      <color theme="1"/>
      <name val="Calibri"/>
      <family val="2"/>
    </font>
    <font>
      <sz val="16"/>
      <color theme="0"/>
      <name val="Calibri"/>
      <family val="2"/>
      <charset val="1"/>
      <scheme val="minor"/>
    </font>
    <font>
      <sz val="9"/>
      <color rgb="FF000000"/>
      <name val="Lucida Sans Unicode"/>
      <family val="2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Calibri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name val="Calibri"/>
      <family val="2"/>
      <charset val="1"/>
      <scheme val="minor"/>
    </font>
    <font>
      <sz val="14"/>
      <name val="Calibri"/>
      <family val="2"/>
      <charset val="1"/>
      <scheme val="minor"/>
    </font>
    <font>
      <vertAlign val="subscript"/>
      <sz val="9"/>
      <color indexed="9"/>
      <name val="Calibri"/>
      <family val="2"/>
    </font>
    <font>
      <sz val="9"/>
      <color indexed="9"/>
      <name val="Calibri"/>
      <family val="2"/>
    </font>
    <font>
      <sz val="9"/>
      <name val="Calibri"/>
      <family val="2"/>
    </font>
    <font>
      <sz val="9"/>
      <name val="Arial"/>
      <family val="2"/>
    </font>
    <font>
      <b/>
      <sz val="10"/>
      <color rgb="FFC00000"/>
      <name val="Arial"/>
      <family val="2"/>
    </font>
    <font>
      <sz val="10"/>
      <name val="Calibri"/>
      <family val="2"/>
    </font>
    <font>
      <b/>
      <sz val="10"/>
      <color rgb="FF0070C0"/>
      <name val="Arial"/>
      <family val="2"/>
    </font>
    <font>
      <vertAlign val="subscript"/>
      <sz val="9"/>
      <name val="Calibri"/>
      <family val="2"/>
    </font>
    <font>
      <b/>
      <sz val="9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C00000"/>
      <name val="Calibri"/>
      <family val="2"/>
    </font>
    <font>
      <sz val="11"/>
      <color rgb="FFC00000"/>
      <name val="Calibri"/>
      <family val="2"/>
      <charset val="1"/>
      <scheme val="minor"/>
    </font>
    <font>
      <b/>
      <sz val="10"/>
      <color rgb="FF00682F"/>
      <name val="Arial"/>
      <family val="2"/>
    </font>
    <font>
      <b/>
      <sz val="10"/>
      <color rgb="FF7030A0"/>
      <name val="Arial"/>
      <family val="2"/>
    </font>
    <font>
      <sz val="18"/>
      <color theme="0"/>
      <name val="Calibri"/>
      <family val="2"/>
      <charset val="1"/>
      <scheme val="minor"/>
    </font>
    <font>
      <sz val="18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vertAlign val="subscript"/>
      <sz val="11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00682F"/>
      <name val="Calibri"/>
      <family val="2"/>
      <scheme val="minor"/>
    </font>
    <font>
      <b/>
      <sz val="11"/>
      <color rgb="FF0070C0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Lucida Sans Unicode"/>
      <family val="2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F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</cellStyleXfs>
  <cellXfs count="264">
    <xf numFmtId="0" fontId="0" fillId="0" borderId="0" xfId="0"/>
    <xf numFmtId="0" fontId="5" fillId="3" borderId="1" xfId="0" applyFont="1" applyFill="1" applyBorder="1" applyAlignment="1">
      <alignment horizontal="center" vertical="top" wrapText="1"/>
    </xf>
    <xf numFmtId="0" fontId="0" fillId="7" borderId="1" xfId="0" applyFill="1" applyBorder="1" applyAlignment="1">
      <alignment horizontal="center"/>
    </xf>
    <xf numFmtId="9" fontId="0" fillId="7" borderId="1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4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/>
    <xf numFmtId="0" fontId="8" fillId="0" borderId="0" xfId="0" applyFont="1"/>
    <xf numFmtId="0" fontId="0" fillId="0" borderId="0" xfId="0" applyAlignment="1">
      <alignment horizontal="right"/>
    </xf>
    <xf numFmtId="0" fontId="5" fillId="3" borderId="0" xfId="0" applyFont="1" applyFill="1" applyBorder="1" applyAlignment="1">
      <alignment horizontal="left" vertical="top" wrapText="1"/>
    </xf>
    <xf numFmtId="0" fontId="0" fillId="11" borderId="0" xfId="0" applyFill="1"/>
    <xf numFmtId="0" fontId="12" fillId="0" borderId="0" xfId="0" applyFont="1"/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3" fontId="14" fillId="11" borderId="0" xfId="0" applyNumberFormat="1" applyFont="1" applyFill="1" applyBorder="1" applyAlignment="1">
      <alignment horizontal="center" vertical="top" wrapText="1"/>
    </xf>
    <xf numFmtId="3" fontId="14" fillId="11" borderId="0" xfId="0" quotePrefix="1" applyNumberFormat="1" applyFont="1" applyFill="1" applyBorder="1" applyAlignment="1">
      <alignment horizontal="center" vertical="top" wrapText="1"/>
    </xf>
    <xf numFmtId="0" fontId="11" fillId="11" borderId="0" xfId="0" applyFont="1" applyFill="1"/>
    <xf numFmtId="3" fontId="0" fillId="11" borderId="0" xfId="0" applyNumberFormat="1" applyFill="1"/>
    <xf numFmtId="0" fontId="0" fillId="11" borderId="0" xfId="0" quotePrefix="1" applyFill="1"/>
    <xf numFmtId="0" fontId="0" fillId="0" borderId="0" xfId="0" applyAlignment="1">
      <alignment vertical="top"/>
    </xf>
    <xf numFmtId="0" fontId="15" fillId="3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vertical="top"/>
    </xf>
    <xf numFmtId="0" fontId="16" fillId="8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horizontal="left" vertical="top" wrapText="1"/>
    </xf>
    <xf numFmtId="0" fontId="16" fillId="12" borderId="1" xfId="0" applyFont="1" applyFill="1" applyBorder="1" applyAlignment="1">
      <alignment vertical="top" wrapText="1"/>
    </xf>
    <xf numFmtId="0" fontId="18" fillId="12" borderId="1" xfId="0" applyFont="1" applyFill="1" applyBorder="1" applyAlignment="1">
      <alignment vertical="top" wrapText="1"/>
    </xf>
    <xf numFmtId="0" fontId="16" fillId="11" borderId="1" xfId="0" applyFont="1" applyFill="1" applyBorder="1" applyAlignment="1">
      <alignment vertical="top" wrapText="1"/>
    </xf>
    <xf numFmtId="0" fontId="7" fillId="5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20" fillId="0" borderId="0" xfId="0" applyFont="1" applyFill="1" applyAlignment="1">
      <alignment horizontal="left"/>
    </xf>
    <xf numFmtId="2" fontId="0" fillId="0" borderId="0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 wrapText="1"/>
    </xf>
    <xf numFmtId="0" fontId="23" fillId="0" borderId="1" xfId="0" applyFont="1" applyBorder="1" applyAlignment="1">
      <alignment horizontal="center"/>
    </xf>
    <xf numFmtId="2" fontId="24" fillId="0" borderId="1" xfId="0" applyNumberFormat="1" applyFont="1" applyBorder="1" applyAlignment="1">
      <alignment wrapText="1"/>
    </xf>
    <xf numFmtId="2" fontId="24" fillId="0" borderId="1" xfId="0" applyNumberFormat="1" applyFont="1" applyBorder="1" applyAlignment="1">
      <alignment vertical="top" wrapText="1"/>
    </xf>
    <xf numFmtId="2" fontId="24" fillId="0" borderId="1" xfId="0" applyNumberFormat="1" applyFont="1" applyBorder="1"/>
    <xf numFmtId="0" fontId="25" fillId="0" borderId="0" xfId="0" applyFont="1"/>
    <xf numFmtId="0" fontId="4" fillId="15" borderId="19" xfId="0" applyFont="1" applyFill="1" applyBorder="1" applyAlignment="1">
      <alignment horizontal="center" vertical="top"/>
    </xf>
    <xf numFmtId="0" fontId="4" fillId="15" borderId="20" xfId="0" applyFont="1" applyFill="1" applyBorder="1" applyAlignment="1">
      <alignment horizontal="center" vertical="top"/>
    </xf>
    <xf numFmtId="0" fontId="4" fillId="15" borderId="9" xfId="0" applyFont="1" applyFill="1" applyBorder="1" applyAlignment="1">
      <alignment horizontal="center" vertical="top"/>
    </xf>
    <xf numFmtId="0" fontId="4" fillId="15" borderId="10" xfId="0" applyFont="1" applyFill="1" applyBorder="1" applyAlignment="1">
      <alignment vertical="top"/>
    </xf>
    <xf numFmtId="0" fontId="4" fillId="15" borderId="11" xfId="0" applyFont="1" applyFill="1" applyBorder="1" applyAlignment="1">
      <alignment horizontal="center" vertical="top" wrapText="1"/>
    </xf>
    <xf numFmtId="0" fontId="24" fillId="0" borderId="1" xfId="0" applyFont="1" applyBorder="1" applyAlignment="1">
      <alignment wrapText="1"/>
    </xf>
    <xf numFmtId="0" fontId="24" fillId="0" borderId="1" xfId="0" applyFont="1" applyBorder="1"/>
    <xf numFmtId="0" fontId="26" fillId="0" borderId="0" xfId="0" applyFont="1" applyBorder="1" applyAlignment="1">
      <alignment horizontal="center"/>
    </xf>
    <xf numFmtId="0" fontId="3" fillId="0" borderId="0" xfId="0" applyFont="1" applyBorder="1" applyAlignment="1">
      <alignment wrapText="1"/>
    </xf>
    <xf numFmtId="0" fontId="3" fillId="0" borderId="0" xfId="0" applyFont="1" applyBorder="1"/>
    <xf numFmtId="0" fontId="27" fillId="0" borderId="0" xfId="0" applyFont="1"/>
    <xf numFmtId="0" fontId="23" fillId="10" borderId="19" xfId="0" applyFont="1" applyFill="1" applyBorder="1" applyAlignment="1">
      <alignment horizontal="center" vertical="top" wrapText="1"/>
    </xf>
    <xf numFmtId="0" fontId="23" fillId="10" borderId="9" xfId="0" applyFont="1" applyFill="1" applyBorder="1" applyAlignment="1">
      <alignment horizontal="center" vertical="top" wrapText="1"/>
    </xf>
    <xf numFmtId="0" fontId="29" fillId="13" borderId="9" xfId="0" applyFont="1" applyFill="1" applyBorder="1" applyAlignment="1">
      <alignment horizontal="center" vertical="top" wrapText="1"/>
    </xf>
    <xf numFmtId="0" fontId="23" fillId="16" borderId="10" xfId="0" applyFont="1" applyFill="1" applyBorder="1" applyAlignment="1">
      <alignment horizontal="center" vertical="top" wrapText="1"/>
    </xf>
    <xf numFmtId="0" fontId="23" fillId="10" borderId="10" xfId="0" applyFont="1" applyFill="1" applyBorder="1" applyAlignment="1">
      <alignment horizontal="center" vertical="top" wrapText="1"/>
    </xf>
    <xf numFmtId="0" fontId="23" fillId="13" borderId="10" xfId="0" applyFont="1" applyFill="1" applyBorder="1" applyAlignment="1">
      <alignment horizontal="center" vertical="top" wrapText="1"/>
    </xf>
    <xf numFmtId="0" fontId="30" fillId="16" borderId="10" xfId="0" applyFont="1" applyFill="1" applyBorder="1" applyAlignment="1">
      <alignment horizontal="center" vertical="top" wrapText="1"/>
    </xf>
    <xf numFmtId="0" fontId="30" fillId="10" borderId="3" xfId="0" applyFont="1" applyFill="1" applyBorder="1" applyAlignment="1">
      <alignment horizontal="center" vertical="top" wrapText="1"/>
    </xf>
    <xf numFmtId="0" fontId="30" fillId="10" borderId="10" xfId="0" applyFont="1" applyFill="1" applyBorder="1" applyAlignment="1">
      <alignment horizontal="center" vertical="top" wrapText="1"/>
    </xf>
    <xf numFmtId="0" fontId="31" fillId="13" borderId="10" xfId="0" applyFont="1" applyFill="1" applyBorder="1" applyAlignment="1">
      <alignment horizontal="center" vertical="top" wrapText="1"/>
    </xf>
    <xf numFmtId="0" fontId="30" fillId="16" borderId="11" xfId="0" applyFont="1" applyFill="1" applyBorder="1" applyAlignment="1">
      <alignment horizontal="center" wrapText="1"/>
    </xf>
    <xf numFmtId="0" fontId="30" fillId="10" borderId="2" xfId="0" applyFont="1" applyFill="1" applyBorder="1" applyAlignment="1">
      <alignment horizontal="center" vertical="top" wrapText="1"/>
    </xf>
    <xf numFmtId="0" fontId="30" fillId="10" borderId="11" xfId="0" applyFont="1" applyFill="1" applyBorder="1" applyAlignment="1">
      <alignment horizontal="center" wrapText="1"/>
    </xf>
    <xf numFmtId="0" fontId="31" fillId="13" borderId="11" xfId="0" applyFont="1" applyFill="1" applyBorder="1" applyAlignment="1">
      <alignment horizontal="center" vertical="top" wrapText="1"/>
    </xf>
    <xf numFmtId="0" fontId="32" fillId="0" borderId="1" xfId="0" applyFont="1" applyBorder="1" applyAlignment="1">
      <alignment horizontal="right" vertical="top" wrapText="1"/>
    </xf>
    <xf numFmtId="2" fontId="32" fillId="0" borderId="1" xfId="0" applyNumberFormat="1" applyFont="1" applyBorder="1" applyAlignment="1">
      <alignment horizontal="right" vertical="top" wrapText="1"/>
    </xf>
    <xf numFmtId="0" fontId="4" fillId="0" borderId="0" xfId="0" applyFont="1" applyFill="1" applyBorder="1" applyAlignment="1">
      <alignment horizontal="center" vertical="top"/>
    </xf>
    <xf numFmtId="2" fontId="24" fillId="0" borderId="0" xfId="0" applyNumberFormat="1" applyFont="1" applyFill="1" applyBorder="1" applyAlignment="1">
      <alignment vertical="top" wrapText="1"/>
    </xf>
    <xf numFmtId="0" fontId="33" fillId="0" borderId="0" xfId="0" applyFont="1" applyFill="1" applyBorder="1" applyAlignment="1">
      <alignment horizontal="center" vertical="top"/>
    </xf>
    <xf numFmtId="0" fontId="34" fillId="0" borderId="0" xfId="0" applyFont="1" applyAlignment="1">
      <alignment horizontal="center" vertical="top"/>
    </xf>
    <xf numFmtId="0" fontId="35" fillId="0" borderId="0" xfId="0" applyFont="1"/>
    <xf numFmtId="0" fontId="4" fillId="17" borderId="1" xfId="0" applyFont="1" applyFill="1" applyBorder="1" applyAlignment="1">
      <alignment horizontal="center" vertical="top" wrapText="1"/>
    </xf>
    <xf numFmtId="0" fontId="36" fillId="0" borderId="0" xfId="0" applyFont="1"/>
    <xf numFmtId="0" fontId="37" fillId="3" borderId="0" xfId="0" applyFont="1" applyFill="1"/>
    <xf numFmtId="0" fontId="38" fillId="3" borderId="0" xfId="0" applyFont="1" applyFill="1"/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0" fillId="11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9" borderId="0" xfId="0" applyFill="1" applyAlignment="1">
      <alignment horizontal="center" vertical="center"/>
    </xf>
    <xf numFmtId="0" fontId="0" fillId="9" borderId="0" xfId="0" quotePrefix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2" fontId="0" fillId="9" borderId="0" xfId="0" quotePrefix="1" applyNumberFormat="1" applyFill="1" applyAlignment="1">
      <alignment horizontal="center" vertical="center"/>
    </xf>
    <xf numFmtId="0" fontId="0" fillId="6" borderId="0" xfId="0" applyFill="1" applyAlignment="1">
      <alignment vertical="center"/>
    </xf>
    <xf numFmtId="0" fontId="0" fillId="0" borderId="1" xfId="0" applyBorder="1" applyAlignment="1">
      <alignment horizontal="center" vertical="center"/>
    </xf>
    <xf numFmtId="167" fontId="0" fillId="8" borderId="1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 wrapText="1"/>
    </xf>
    <xf numFmtId="3" fontId="5" fillId="0" borderId="0" xfId="0" quotePrefix="1" applyNumberFormat="1" applyFont="1" applyFill="1" applyBorder="1" applyAlignment="1">
      <alignment horizontal="center" vertical="center" wrapText="1"/>
    </xf>
    <xf numFmtId="3" fontId="5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165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0" fontId="41" fillId="0" borderId="0" xfId="0" applyFont="1" applyBorder="1" applyAlignment="1">
      <alignment vertical="center" wrapText="1"/>
    </xf>
    <xf numFmtId="0" fontId="41" fillId="0" borderId="0" xfId="0" applyFont="1" applyBorder="1" applyAlignment="1">
      <alignment vertical="center"/>
    </xf>
    <xf numFmtId="0" fontId="1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40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165" fontId="41" fillId="0" borderId="1" xfId="0" applyNumberFormat="1" applyFont="1" applyBorder="1" applyAlignment="1">
      <alignment vertical="center" wrapText="1"/>
    </xf>
    <xf numFmtId="165" fontId="41" fillId="0" borderId="1" xfId="0" applyNumberFormat="1" applyFont="1" applyBorder="1" applyAlignment="1">
      <alignment vertical="center"/>
    </xf>
    <xf numFmtId="2" fontId="41" fillId="0" borderId="0" xfId="0" applyNumberFormat="1" applyFont="1" applyFill="1" applyBorder="1" applyAlignment="1">
      <alignment vertical="center" wrapText="1"/>
    </xf>
    <xf numFmtId="0" fontId="46" fillId="0" borderId="0" xfId="0" applyFont="1" applyAlignment="1">
      <alignment vertical="center"/>
    </xf>
    <xf numFmtId="0" fontId="15" fillId="2" borderId="11" xfId="0" applyFont="1" applyFill="1" applyBorder="1" applyAlignment="1">
      <alignment horizontal="center" vertical="center" wrapText="1"/>
    </xf>
    <xf numFmtId="0" fontId="15" fillId="15" borderId="10" xfId="0" applyFont="1" applyFill="1" applyBorder="1" applyAlignment="1">
      <alignment horizontal="center" vertical="center"/>
    </xf>
    <xf numFmtId="0" fontId="15" fillId="15" borderId="11" xfId="0" applyFont="1" applyFill="1" applyBorder="1" applyAlignment="1">
      <alignment horizontal="center" vertical="center" wrapText="1"/>
    </xf>
    <xf numFmtId="0" fontId="41" fillId="0" borderId="1" xfId="0" applyFont="1" applyBorder="1" applyAlignment="1">
      <alignment vertical="center" wrapText="1"/>
    </xf>
    <xf numFmtId="2" fontId="41" fillId="0" borderId="1" xfId="0" applyNumberFormat="1" applyFont="1" applyBorder="1" applyAlignment="1">
      <alignment vertical="center" wrapText="1"/>
    </xf>
    <xf numFmtId="166" fontId="41" fillId="0" borderId="1" xfId="0" applyNumberFormat="1" applyFont="1" applyBorder="1" applyAlignment="1">
      <alignment vertical="center"/>
    </xf>
    <xf numFmtId="0" fontId="41" fillId="0" borderId="0" xfId="0" applyFont="1" applyBorder="1" applyAlignment="1">
      <alignment horizontal="center" vertical="center"/>
    </xf>
    <xf numFmtId="0" fontId="47" fillId="0" borderId="0" xfId="0" applyFont="1" applyAlignment="1">
      <alignment vertical="center"/>
    </xf>
    <xf numFmtId="0" fontId="41" fillId="16" borderId="10" xfId="0" applyFont="1" applyFill="1" applyBorder="1" applyAlignment="1">
      <alignment horizontal="center" vertical="center" wrapText="1"/>
    </xf>
    <xf numFmtId="0" fontId="41" fillId="10" borderId="10" xfId="0" applyFont="1" applyFill="1" applyBorder="1" applyAlignment="1">
      <alignment horizontal="center" vertical="center" wrapText="1"/>
    </xf>
    <xf numFmtId="0" fontId="41" fillId="13" borderId="10" xfId="0" applyFont="1" applyFill="1" applyBorder="1" applyAlignment="1">
      <alignment horizontal="center" vertical="center" wrapText="1"/>
    </xf>
    <xf numFmtId="0" fontId="18" fillId="16" borderId="10" xfId="0" applyFont="1" applyFill="1" applyBorder="1" applyAlignment="1">
      <alignment horizontal="center" vertical="center" wrapText="1"/>
    </xf>
    <xf numFmtId="0" fontId="18" fillId="10" borderId="3" xfId="0" applyFont="1" applyFill="1" applyBorder="1" applyAlignment="1">
      <alignment horizontal="center" vertical="center" wrapText="1"/>
    </xf>
    <xf numFmtId="0" fontId="18" fillId="10" borderId="10" xfId="0" applyFont="1" applyFill="1" applyBorder="1" applyAlignment="1">
      <alignment horizontal="center" vertical="center" wrapText="1"/>
    </xf>
    <xf numFmtId="0" fontId="50" fillId="13" borderId="10" xfId="0" applyFont="1" applyFill="1" applyBorder="1" applyAlignment="1">
      <alignment horizontal="center" vertical="center" wrapText="1"/>
    </xf>
    <xf numFmtId="0" fontId="18" fillId="16" borderId="11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1" xfId="0" applyFont="1" applyFill="1" applyBorder="1" applyAlignment="1">
      <alignment horizontal="center" vertical="center" wrapText="1"/>
    </xf>
    <xf numFmtId="0" fontId="50" fillId="13" borderId="11" xfId="0" applyFont="1" applyFill="1" applyBorder="1" applyAlignment="1">
      <alignment horizontal="center" vertical="center" wrapText="1"/>
    </xf>
    <xf numFmtId="43" fontId="41" fillId="0" borderId="1" xfId="1" applyFont="1" applyBorder="1" applyAlignment="1">
      <alignment vertical="center" wrapText="1"/>
    </xf>
    <xf numFmtId="169" fontId="41" fillId="0" borderId="1" xfId="1" applyNumberFormat="1" applyFont="1" applyBorder="1" applyAlignment="1">
      <alignment vertical="center" wrapText="1"/>
    </xf>
    <xf numFmtId="168" fontId="41" fillId="0" borderId="1" xfId="1" applyNumberFormat="1" applyFont="1" applyBorder="1" applyAlignment="1">
      <alignment vertical="center"/>
    </xf>
    <xf numFmtId="43" fontId="18" fillId="0" borderId="1" xfId="1" applyFont="1" applyBorder="1" applyAlignment="1">
      <alignment horizontal="right" vertical="center" wrapText="1"/>
    </xf>
    <xf numFmtId="169" fontId="18" fillId="0" borderId="1" xfId="1" applyNumberFormat="1" applyFont="1" applyBorder="1" applyAlignment="1">
      <alignment horizontal="right" vertical="center" wrapText="1"/>
    </xf>
    <xf numFmtId="43" fontId="41" fillId="0" borderId="1" xfId="1" applyNumberFormat="1" applyFont="1" applyBorder="1" applyAlignment="1">
      <alignment vertical="center" wrapText="1"/>
    </xf>
    <xf numFmtId="0" fontId="41" fillId="8" borderId="1" xfId="0" applyFont="1" applyFill="1" applyBorder="1" applyAlignment="1">
      <alignment horizontal="center" vertical="center" wrapText="1"/>
    </xf>
    <xf numFmtId="43" fontId="41" fillId="8" borderId="1" xfId="1" applyNumberFormat="1" applyFont="1" applyFill="1" applyBorder="1" applyAlignment="1">
      <alignment vertical="center"/>
    </xf>
    <xf numFmtId="43" fontId="1" fillId="8" borderId="1" xfId="1" applyFont="1" applyFill="1" applyBorder="1" applyAlignment="1">
      <alignment vertical="center" wrapText="1"/>
    </xf>
    <xf numFmtId="43" fontId="1" fillId="0" borderId="1" xfId="0" applyNumberFormat="1" applyFont="1" applyBorder="1" applyAlignment="1">
      <alignment vertical="center"/>
    </xf>
    <xf numFmtId="0" fontId="14" fillId="8" borderId="1" xfId="0" applyFont="1" applyFill="1" applyBorder="1" applyAlignment="1">
      <alignment horizontal="center" vertical="center" wrapText="1"/>
    </xf>
    <xf numFmtId="0" fontId="54" fillId="0" borderId="0" xfId="0" applyFont="1" applyAlignment="1">
      <alignment vertical="center"/>
    </xf>
    <xf numFmtId="0" fontId="53" fillId="18" borderId="1" xfId="0" applyFont="1" applyFill="1" applyBorder="1" applyAlignment="1">
      <alignment horizontal="center" vertical="center"/>
    </xf>
    <xf numFmtId="0" fontId="54" fillId="0" borderId="1" xfId="0" applyFont="1" applyBorder="1" applyAlignment="1">
      <alignment vertical="center"/>
    </xf>
    <xf numFmtId="164" fontId="1" fillId="8" borderId="21" xfId="0" applyNumberFormat="1" applyFont="1" applyFill="1" applyBorder="1" applyAlignment="1">
      <alignment vertical="center"/>
    </xf>
    <xf numFmtId="165" fontId="41" fillId="8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43" fontId="0" fillId="0" borderId="1" xfId="1" applyFont="1" applyBorder="1" applyAlignment="1">
      <alignment horizontal="right" vertical="center"/>
    </xf>
    <xf numFmtId="0" fontId="54" fillId="0" borderId="0" xfId="0" applyFont="1" applyFill="1" applyAlignment="1">
      <alignment vertical="center"/>
    </xf>
    <xf numFmtId="0" fontId="56" fillId="0" borderId="0" xfId="0" applyFont="1" applyAlignment="1">
      <alignment vertical="center"/>
    </xf>
    <xf numFmtId="0" fontId="57" fillId="0" borderId="0" xfId="0" applyFont="1" applyFill="1" applyAlignment="1">
      <alignment vertical="center"/>
    </xf>
    <xf numFmtId="0" fontId="54" fillId="7" borderId="1" xfId="0" applyFont="1" applyFill="1" applyBorder="1" applyAlignment="1">
      <alignment horizontal="center" vertical="center"/>
    </xf>
    <xf numFmtId="9" fontId="54" fillId="7" borderId="1" xfId="0" applyNumberFormat="1" applyFont="1" applyFill="1" applyBorder="1" applyAlignment="1">
      <alignment horizontal="center" vertical="center"/>
    </xf>
    <xf numFmtId="3" fontId="54" fillId="0" borderId="0" xfId="0" applyNumberFormat="1" applyFont="1" applyFill="1" applyAlignment="1">
      <alignment vertical="center"/>
    </xf>
    <xf numFmtId="0" fontId="54" fillId="0" borderId="0" xfId="0" quotePrefix="1" applyFont="1" applyFill="1" applyAlignment="1">
      <alignment vertical="center"/>
    </xf>
    <xf numFmtId="3" fontId="54" fillId="0" borderId="0" xfId="0" applyNumberFormat="1" applyFont="1" applyFill="1" applyAlignment="1">
      <alignment horizontal="center" vertical="center"/>
    </xf>
    <xf numFmtId="2" fontId="54" fillId="0" borderId="1" xfId="0" applyNumberFormat="1" applyFont="1" applyBorder="1" applyAlignment="1">
      <alignment horizontal="center" vertical="center"/>
    </xf>
    <xf numFmtId="2" fontId="54" fillId="8" borderId="1" xfId="0" applyNumberFormat="1" applyFont="1" applyFill="1" applyBorder="1" applyAlignment="1">
      <alignment horizontal="center" vertical="center"/>
    </xf>
    <xf numFmtId="2" fontId="59" fillId="8" borderId="1" xfId="0" applyNumberFormat="1" applyFont="1" applyFill="1" applyBorder="1" applyAlignment="1">
      <alignment horizontal="center" vertical="center"/>
    </xf>
    <xf numFmtId="2" fontId="54" fillId="0" borderId="1" xfId="0" applyNumberFormat="1" applyFont="1" applyFill="1" applyBorder="1" applyAlignment="1">
      <alignment horizontal="center" vertical="center"/>
    </xf>
    <xf numFmtId="2" fontId="54" fillId="0" borderId="0" xfId="0" applyNumberFormat="1" applyFont="1" applyAlignment="1">
      <alignment vertical="center"/>
    </xf>
    <xf numFmtId="2" fontId="0" fillId="8" borderId="1" xfId="0" applyNumberFormat="1" applyFill="1" applyBorder="1" applyAlignment="1">
      <alignment vertical="center"/>
    </xf>
    <xf numFmtId="10" fontId="6" fillId="8" borderId="1" xfId="2" applyNumberFormat="1" applyFont="1" applyFill="1" applyBorder="1" applyAlignment="1">
      <alignment horizontal="center" vertical="center" wrapText="1"/>
    </xf>
    <xf numFmtId="10" fontId="0" fillId="19" borderId="0" xfId="2" applyNumberFormat="1" applyFont="1" applyFill="1" applyAlignment="1">
      <alignment vertical="center"/>
    </xf>
    <xf numFmtId="170" fontId="6" fillId="8" borderId="1" xfId="2" applyNumberFormat="1" applyFont="1" applyFill="1" applyBorder="1" applyAlignment="1">
      <alignment horizontal="center" vertical="center" wrapText="1"/>
    </xf>
    <xf numFmtId="0" fontId="14" fillId="20" borderId="1" xfId="0" applyFont="1" applyFill="1" applyBorder="1" applyAlignment="1">
      <alignment horizontal="center" vertical="center" wrapText="1"/>
    </xf>
    <xf numFmtId="2" fontId="54" fillId="20" borderId="1" xfId="0" applyNumberFormat="1" applyFont="1" applyFill="1" applyBorder="1" applyAlignment="1">
      <alignment horizontal="center" vertical="center"/>
    </xf>
    <xf numFmtId="43" fontId="1" fillId="8" borderId="21" xfId="1" applyFont="1" applyFill="1" applyBorder="1" applyAlignment="1">
      <alignment vertical="center"/>
    </xf>
    <xf numFmtId="43" fontId="41" fillId="0" borderId="1" xfId="1" applyFont="1" applyBorder="1" applyAlignment="1">
      <alignment vertical="center"/>
    </xf>
    <xf numFmtId="167" fontId="54" fillId="0" borderId="0" xfId="1" applyNumberFormat="1" applyFont="1" applyAlignment="1">
      <alignment vertical="center"/>
    </xf>
    <xf numFmtId="167" fontId="54" fillId="0" borderId="0" xfId="0" applyNumberFormat="1" applyFont="1" applyAlignment="1">
      <alignment vertical="center"/>
    </xf>
    <xf numFmtId="43" fontId="54" fillId="0" borderId="0" xfId="0" applyNumberFormat="1" applyFont="1" applyAlignment="1">
      <alignment vertical="center"/>
    </xf>
    <xf numFmtId="43" fontId="54" fillId="0" borderId="0" xfId="1" applyFont="1" applyAlignment="1">
      <alignment vertical="center"/>
    </xf>
    <xf numFmtId="167" fontId="54" fillId="0" borderId="1" xfId="1" applyNumberFormat="1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55" fillId="5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8" fillId="3" borderId="6" xfId="0" applyFont="1" applyFill="1" applyBorder="1" applyAlignment="1">
      <alignment horizontal="center" vertical="center"/>
    </xf>
    <xf numFmtId="0" fontId="58" fillId="3" borderId="7" xfId="0" applyFont="1" applyFill="1" applyBorder="1" applyAlignment="1">
      <alignment horizontal="center" vertical="center"/>
    </xf>
    <xf numFmtId="0" fontId="58" fillId="3" borderId="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41" fillId="10" borderId="19" xfId="0" applyFont="1" applyFill="1" applyBorder="1" applyAlignment="1">
      <alignment horizontal="center" vertical="center" wrapText="1"/>
    </xf>
    <xf numFmtId="0" fontId="41" fillId="10" borderId="9" xfId="0" applyFont="1" applyFill="1" applyBorder="1" applyAlignment="1">
      <alignment horizontal="center" vertical="center" wrapText="1"/>
    </xf>
    <xf numFmtId="0" fontId="41" fillId="8" borderId="1" xfId="0" applyFont="1" applyFill="1" applyBorder="1" applyAlignment="1">
      <alignment horizontal="center" vertical="center"/>
    </xf>
    <xf numFmtId="0" fontId="49" fillId="13" borderId="19" xfId="0" applyFont="1" applyFill="1" applyBorder="1" applyAlignment="1">
      <alignment horizontal="center" vertical="center" wrapText="1"/>
    </xf>
    <xf numFmtId="0" fontId="49" fillId="13" borderId="9" xfId="0" applyFont="1" applyFill="1" applyBorder="1" applyAlignment="1">
      <alignment horizontal="center" vertical="center" wrapText="1"/>
    </xf>
    <xf numFmtId="0" fontId="41" fillId="13" borderId="3" xfId="0" applyFont="1" applyFill="1" applyBorder="1" applyAlignment="1">
      <alignment horizontal="center" vertical="center" wrapText="1"/>
    </xf>
    <xf numFmtId="0" fontId="41" fillId="13" borderId="2" xfId="0" applyFont="1" applyFill="1" applyBorder="1" applyAlignment="1">
      <alignment horizontal="center" vertical="center" wrapText="1"/>
    </xf>
    <xf numFmtId="0" fontId="41" fillId="16" borderId="19" xfId="0" applyFont="1" applyFill="1" applyBorder="1" applyAlignment="1">
      <alignment horizontal="center" vertical="center"/>
    </xf>
    <xf numFmtId="0" fontId="41" fillId="16" borderId="9" xfId="0" applyFont="1" applyFill="1" applyBorder="1" applyAlignment="1">
      <alignment horizontal="center" vertical="center"/>
    </xf>
    <xf numFmtId="0" fontId="18" fillId="16" borderId="3" xfId="0" applyFont="1" applyFill="1" applyBorder="1" applyAlignment="1">
      <alignment horizontal="center" vertical="center" wrapText="1"/>
    </xf>
    <xf numFmtId="0" fontId="18" fillId="16" borderId="2" xfId="0" applyFont="1" applyFill="1" applyBorder="1" applyAlignment="1">
      <alignment horizontal="center" vertical="center" wrapText="1"/>
    </xf>
    <xf numFmtId="0" fontId="15" fillId="17" borderId="1" xfId="0" applyFont="1" applyFill="1" applyBorder="1" applyAlignment="1">
      <alignment horizontal="center" vertical="center"/>
    </xf>
    <xf numFmtId="0" fontId="15" fillId="15" borderId="3" xfId="0" applyFont="1" applyFill="1" applyBorder="1" applyAlignment="1">
      <alignment horizontal="center" vertical="center"/>
    </xf>
    <xf numFmtId="0" fontId="15" fillId="15" borderId="2" xfId="0" applyFont="1" applyFill="1" applyBorder="1" applyAlignment="1">
      <alignment horizontal="center" vertical="center"/>
    </xf>
    <xf numFmtId="0" fontId="15" fillId="15" borderId="19" xfId="0" applyFont="1" applyFill="1" applyBorder="1" applyAlignment="1">
      <alignment horizontal="center" vertical="center"/>
    </xf>
    <xf numFmtId="0" fontId="15" fillId="15" borderId="20" xfId="0" applyFont="1" applyFill="1" applyBorder="1" applyAlignment="1">
      <alignment horizontal="center" vertical="center"/>
    </xf>
    <xf numFmtId="0" fontId="15" fillId="15" borderId="9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9" xfId="0" applyFont="1" applyFill="1" applyBorder="1" applyAlignment="1">
      <alignment horizontal="center" vertical="center"/>
    </xf>
    <xf numFmtId="0" fontId="15" fillId="2" borderId="20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53" fillId="18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top" wrapText="1"/>
    </xf>
    <xf numFmtId="0" fontId="10" fillId="3" borderId="1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3" fontId="14" fillId="11" borderId="0" xfId="0" applyNumberFormat="1" applyFont="1" applyFill="1" applyBorder="1" applyAlignment="1">
      <alignment horizontal="center" vertical="top" wrapText="1"/>
    </xf>
    <xf numFmtId="3" fontId="0" fillId="11" borderId="0" xfId="0" applyNumberFormat="1" applyFill="1" applyAlignment="1">
      <alignment horizontal="right"/>
    </xf>
    <xf numFmtId="2" fontId="0" fillId="0" borderId="1" xfId="0" applyNumberFormat="1" applyBorder="1" applyAlignment="1">
      <alignment horizontal="center" vertical="top" wrapText="1"/>
    </xf>
    <xf numFmtId="0" fontId="9" fillId="3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2" fontId="0" fillId="0" borderId="4" xfId="0" applyNumberFormat="1" applyBorder="1" applyAlignment="1">
      <alignment horizontal="center" vertical="top" wrapText="1"/>
    </xf>
    <xf numFmtId="2" fontId="0" fillId="0" borderId="12" xfId="0" applyNumberFormat="1" applyBorder="1" applyAlignment="1">
      <alignment horizontal="center" vertical="top" wrapText="1"/>
    </xf>
    <xf numFmtId="2" fontId="0" fillId="0" borderId="5" xfId="0" applyNumberFormat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 wrapText="1"/>
    </xf>
    <xf numFmtId="0" fontId="16" fillId="11" borderId="1" xfId="0" applyFont="1" applyFill="1" applyBorder="1" applyAlignment="1">
      <alignment vertical="top" wrapText="1"/>
    </xf>
    <xf numFmtId="0" fontId="17" fillId="8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0" fontId="16" fillId="0" borderId="13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16" fillId="0" borderId="16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left" vertical="top" wrapText="1"/>
    </xf>
    <xf numFmtId="0" fontId="16" fillId="0" borderId="18" xfId="0" applyFont="1" applyBorder="1" applyAlignment="1">
      <alignment horizontal="left" vertical="top" wrapText="1"/>
    </xf>
    <xf numFmtId="0" fontId="16" fillId="0" borderId="6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top" wrapText="1"/>
    </xf>
    <xf numFmtId="0" fontId="16" fillId="12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horizontal="center" vertical="top" wrapText="1"/>
    </xf>
    <xf numFmtId="0" fontId="7" fillId="5" borderId="0" xfId="0" applyFont="1" applyFill="1" applyAlignment="1">
      <alignment horizontal="center"/>
    </xf>
    <xf numFmtId="0" fontId="15" fillId="3" borderId="1" xfId="0" applyFont="1" applyFill="1" applyBorder="1" applyAlignment="1">
      <alignment horizontal="center" vertical="top" wrapText="1"/>
    </xf>
    <xf numFmtId="0" fontId="15" fillId="3" borderId="1" xfId="0" applyFont="1" applyFill="1" applyBorder="1" applyAlignment="1">
      <alignment horizontal="left" vertical="top" wrapText="1"/>
    </xf>
    <xf numFmtId="10" fontId="6" fillId="0" borderId="4" xfId="0" applyNumberFormat="1" applyFont="1" applyFill="1" applyBorder="1" applyAlignment="1">
      <alignment horizontal="center" vertical="top" wrapText="1"/>
    </xf>
    <xf numFmtId="10" fontId="6" fillId="0" borderId="12" xfId="0" applyNumberFormat="1" applyFont="1" applyFill="1" applyBorder="1" applyAlignment="1">
      <alignment horizontal="center" vertical="top" wrapText="1"/>
    </xf>
    <xf numFmtId="10" fontId="6" fillId="0" borderId="5" xfId="0" applyNumberFormat="1" applyFont="1" applyFill="1" applyBorder="1" applyAlignment="1">
      <alignment horizontal="center" vertical="top" wrapText="1"/>
    </xf>
    <xf numFmtId="0" fontId="4" fillId="17" borderId="1" xfId="0" applyFont="1" applyFill="1" applyBorder="1" applyAlignment="1">
      <alignment horizontal="center" vertical="top"/>
    </xf>
    <xf numFmtId="0" fontId="4" fillId="17" borderId="1" xfId="0" applyFont="1" applyFill="1" applyBorder="1" applyAlignment="1">
      <alignment horizontal="center" vertical="top" wrapText="1"/>
    </xf>
    <xf numFmtId="0" fontId="23" fillId="13" borderId="3" xfId="0" applyFont="1" applyFill="1" applyBorder="1" applyAlignment="1">
      <alignment horizontal="center" vertical="top" wrapText="1"/>
    </xf>
    <xf numFmtId="0" fontId="23" fillId="13" borderId="2" xfId="0" applyFont="1" applyFill="1" applyBorder="1" applyAlignment="1">
      <alignment horizontal="center" vertical="top" wrapText="1"/>
    </xf>
    <xf numFmtId="0" fontId="23" fillId="16" borderId="19" xfId="0" applyFont="1" applyFill="1" applyBorder="1" applyAlignment="1">
      <alignment horizontal="center"/>
    </xf>
    <xf numFmtId="0" fontId="23" fillId="16" borderId="9" xfId="0" applyFont="1" applyFill="1" applyBorder="1" applyAlignment="1">
      <alignment horizontal="center"/>
    </xf>
    <xf numFmtId="0" fontId="30" fillId="16" borderId="3" xfId="0" applyFont="1" applyFill="1" applyBorder="1" applyAlignment="1">
      <alignment horizontal="center" vertical="top" wrapText="1"/>
    </xf>
    <xf numFmtId="0" fontId="30" fillId="16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9" xfId="0" applyFont="1" applyFill="1" applyBorder="1" applyAlignment="1">
      <alignment horizontal="center" vertical="top"/>
    </xf>
    <xf numFmtId="0" fontId="4" fillId="2" borderId="20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15" borderId="3" xfId="0" applyFont="1" applyFill="1" applyBorder="1" applyAlignment="1">
      <alignment horizontal="center" vertical="top"/>
    </xf>
    <xf numFmtId="0" fontId="4" fillId="15" borderId="2" xfId="0" applyFont="1" applyFill="1" applyBorder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0068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Profil BaU Baseline Pengelolaan Sampah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3"/>
          <c:order val="0"/>
          <c:tx>
            <c:strRef>
              <c:f>'Rekapitulasi BaU Emisi GRK'!$B$32:$F$32</c:f>
              <c:strCache>
                <c:ptCount val="1"/>
                <c:pt idx="0">
                  <c:v> Emisi GRK dari komposting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4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GRK'!$A$35:$A$45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GRK'!$F$35:$F$45</c:f>
              <c:numCache>
                <c:formatCode>0.00000</c:formatCode>
                <c:ptCount val="11"/>
                <c:pt idx="0">
                  <c:v>7.0925616899999988E-2</c:v>
                </c:pt>
                <c:pt idx="1">
                  <c:v>7.2683333099999997E-2</c:v>
                </c:pt>
                <c:pt idx="2">
                  <c:v>7.4495051999999992E-2</c:v>
                </c:pt>
                <c:pt idx="3">
                  <c:v>7.6279530600000006E-2</c:v>
                </c:pt>
                <c:pt idx="4">
                  <c:v>7.8053495399999992E-2</c:v>
                </c:pt>
                <c:pt idx="5">
                  <c:v>7.9746217199999983E-2</c:v>
                </c:pt>
                <c:pt idx="6">
                  <c:v>8.4991305041279996E-2</c:v>
                </c:pt>
                <c:pt idx="7">
                  <c:v>8.9579696194377417E-2</c:v>
                </c:pt>
                <c:pt idx="8">
                  <c:v>9.4360591455681597E-2</c:v>
                </c:pt>
                <c:pt idx="9">
                  <c:v>9.9341236638646274E-2</c:v>
                </c:pt>
                <c:pt idx="10">
                  <c:v>0.10452913420663004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3D-4E3C-8DEE-62A0A2CA5931}"/>
            </c:ext>
          </c:extLst>
        </c:ser>
        <c:ser>
          <c:idx val="2"/>
          <c:order val="1"/>
          <c:tx>
            <c:strRef>
              <c:f>'Rekapitulasi BaU Emisi GRK'!$Q$6:$S$6</c:f>
              <c:strCache>
                <c:ptCount val="1"/>
                <c:pt idx="0">
                  <c:v> Emisi GRK dari sampah yang dilakukan 3R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GRK'!$A$35:$A$45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GRK'!$S$9:$S$29</c:f>
              <c:numCache>
                <c:formatCode>_(* #,##0.00_);_(* \(#,##0.00\);_(*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0.11493542856235824</c:v>
                </c:pt>
                <c:pt idx="8">
                  <c:v>0.2076961012912473</c:v>
                </c:pt>
                <c:pt idx="9">
                  <c:v>0.28654997334599647</c:v>
                </c:pt>
                <c:pt idx="10">
                  <c:v>0.35719247543549293</c:v>
                </c:pt>
                <c:pt idx="11">
                  <c:v>0.42359778314768815</c:v>
                </c:pt>
                <c:pt idx="12">
                  <c:v>0.48859121740968503</c:v>
                </c:pt>
                <c:pt idx="13">
                  <c:v>0.5542346277546053</c:v>
                </c:pt>
                <c:pt idx="14">
                  <c:v>0.62208635743369411</c:v>
                </c:pt>
                <c:pt idx="15">
                  <c:v>0.69337710720334123</c:v>
                </c:pt>
                <c:pt idx="16">
                  <c:v>0.76912941639766119</c:v>
                </c:pt>
                <c:pt idx="17">
                  <c:v>0.85023936261447253</c:v>
                </c:pt>
                <c:pt idx="18">
                  <c:v>0.93753296817191856</c:v>
                </c:pt>
                <c:pt idx="19">
                  <c:v>1.0318057024288281</c:v>
                </c:pt>
                <c:pt idx="2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A3D-4E3C-8DEE-62A0A2CA5931}"/>
            </c:ext>
          </c:extLst>
        </c:ser>
        <c:ser>
          <c:idx val="1"/>
          <c:order val="2"/>
          <c:tx>
            <c:strRef>
              <c:f>'Rekapitulasi BaU Emisi GRK'!$G$6:$I$6</c:f>
              <c:strCache>
                <c:ptCount val="1"/>
                <c:pt idx="0">
                  <c:v> Emisi GRK dari sampah terhampar sembarangan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GRK'!$A$35:$A$45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GRK'!$I$9:$I$29</c:f>
              <c:numCache>
                <c:formatCode>0.00000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A3D-4E3C-8DEE-62A0A2CA5931}"/>
            </c:ext>
          </c:extLst>
        </c:ser>
        <c:ser>
          <c:idx val="0"/>
          <c:order val="3"/>
          <c:tx>
            <c:strRef>
              <c:f>'Rekapitulasi BaU Emisi GRK'!$B$6:$D$6</c:f>
              <c:strCache>
                <c:ptCount val="1"/>
                <c:pt idx="0">
                  <c:v> Emisi GRK TPA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GRK'!$A$35:$A$45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GRK'!$D$9:$D$29</c:f>
              <c:numCache>
                <c:formatCode>0.00000</c:formatCode>
                <c:ptCount val="21"/>
                <c:pt idx="0">
                  <c:v>9.1302235433599357</c:v>
                </c:pt>
                <c:pt idx="1">
                  <c:v>9.2941286045538636</c:v>
                </c:pt>
                <c:pt idx="2">
                  <c:v>9.4983600894975133</c:v>
                </c:pt>
                <c:pt idx="3">
                  <c:v>9.730919822589744</c:v>
                </c:pt>
                <c:pt idx="4">
                  <c:v>9.9809389756956524</c:v>
                </c:pt>
                <c:pt idx="5">
                  <c:v>10.241765447064719</c:v>
                </c:pt>
                <c:pt idx="6">
                  <c:v>10.064600100875095</c:v>
                </c:pt>
                <c:pt idx="7">
                  <c:v>10.239668803465747</c:v>
                </c:pt>
                <c:pt idx="8">
                  <c:v>10.512563495958275</c:v>
                </c:pt>
                <c:pt idx="9">
                  <c:v>10.857849638941113</c:v>
                </c:pt>
                <c:pt idx="10">
                  <c:v>11.258331460489234</c:v>
                </c:pt>
                <c:pt idx="11">
                  <c:v>11.702361683763126</c:v>
                </c:pt>
                <c:pt idx="12">
                  <c:v>12.182032093581265</c:v>
                </c:pt>
                <c:pt idx="13">
                  <c:v>12.691955236771737</c:v>
                </c:pt>
                <c:pt idx="14">
                  <c:v>13.228442930244638</c:v>
                </c:pt>
                <c:pt idx="15">
                  <c:v>13.78895120373361</c:v>
                </c:pt>
                <c:pt idx="16">
                  <c:v>14.371704188553064</c:v>
                </c:pt>
                <c:pt idx="17">
                  <c:v>14.97543822282371</c:v>
                </c:pt>
                <c:pt idx="18">
                  <c:v>15.599226732066423</c:v>
                </c:pt>
                <c:pt idx="19">
                  <c:v>16.241816829392334</c:v>
                </c:pt>
                <c:pt idx="2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A3D-4E3C-8DEE-62A0A2CA5931}"/>
            </c:ext>
          </c:extLst>
        </c:ser>
        <c:ser>
          <c:idx val="4"/>
          <c:order val="4"/>
          <c:tx>
            <c:strRef>
              <c:f>'Rekapitulasi BaU Emisi GRK'!$B$58</c:f>
              <c:strCache>
                <c:ptCount val="1"/>
                <c:pt idx="0">
                  <c:v> Emisi GRK Dari Pembakaran Sampah</c:v>
                </c:pt>
              </c:strCache>
            </c:strRef>
          </c:tx>
          <c:invertIfNegative val="0"/>
          <c:cat>
            <c:numRef>
              <c:f>'Rekapitulasi BaU Emisi GRK'!$A$35:$A$45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GRK'!$F$61:$F$71</c:f>
              <c:numCache>
                <c:formatCode>0.000000</c:formatCode>
                <c:ptCount val="11"/>
                <c:pt idx="0">
                  <c:v>0.42549062524088999</c:v>
                </c:pt>
                <c:pt idx="1">
                  <c:v>0.43603535925411008</c:v>
                </c:pt>
                <c:pt idx="2">
                  <c:v>0.44690406144119993</c:v>
                </c:pt>
                <c:pt idx="3">
                  <c:v>0.45760934605385994</c:v>
                </c:pt>
                <c:pt idx="4">
                  <c:v>0.46825155721673994</c:v>
                </c:pt>
                <c:pt idx="5">
                  <c:v>0.47840638263132002</c:v>
                </c:pt>
                <c:pt idx="6">
                  <c:v>0.49574355379084795</c:v>
                </c:pt>
                <c:pt idx="7">
                  <c:v>0.50802825492549908</c:v>
                </c:pt>
                <c:pt idx="8">
                  <c:v>0.52031295606015004</c:v>
                </c:pt>
                <c:pt idx="9">
                  <c:v>0.53259765719480101</c:v>
                </c:pt>
                <c:pt idx="10">
                  <c:v>0.54488235832945198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3648160"/>
        <c:axId val="303648552"/>
        <c:axId val="0"/>
      </c:bar3DChart>
      <c:catAx>
        <c:axId val="30364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03648552"/>
        <c:crosses val="autoZero"/>
        <c:auto val="1"/>
        <c:lblAlgn val="ctr"/>
        <c:lblOffset val="100"/>
        <c:noMultiLvlLbl val="0"/>
      </c:catAx>
      <c:valAx>
        <c:axId val="30364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GG CO2eq</a:t>
                </a:r>
              </a:p>
            </c:rich>
          </c:tx>
          <c:layout>
            <c:manualLayout>
              <c:xMode val="edge"/>
              <c:yMode val="edge"/>
              <c:x val="4.9674414960116375E-2"/>
              <c:y val="0.25632951553872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03648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Baseline </a:t>
            </a:r>
            <a:r>
              <a:rPr lang="id-ID" baseline="0"/>
              <a:t> Emisi GRK dari </a:t>
            </a:r>
            <a:r>
              <a:rPr lang="en-US" baseline="0"/>
              <a:t>Pengelolaan Air Limbah Domestik</a:t>
            </a:r>
            <a:endParaRPr lang="id-ID" baseline="0"/>
          </a:p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baseline="0"/>
              <a:t>Periode 2000 - 2010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tx>
            <c:strRef>
              <c:f>'Rekapitulasi BaU Emisi GRK'!$D$86</c:f>
              <c:strCache>
                <c:ptCount val="1"/>
                <c:pt idx="0">
                  <c:v>Emisi N2O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numRef>
              <c:f>'Rekapitulasi BaU Emisi GRK'!$A$90:$A$100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GRK'!$E$90:$E$100</c:f>
              <c:numCache>
                <c:formatCode>_(* #,##0.00_);_(* \(#,##0.00\);_(* "-"??_);_(@_)</c:formatCode>
                <c:ptCount val="11"/>
                <c:pt idx="0">
                  <c:v>1.5938630989914284</c:v>
                </c:pt>
                <c:pt idx="1">
                  <c:v>1.5754640474571431</c:v>
                </c:pt>
                <c:pt idx="2">
                  <c:v>1.5928383579428571</c:v>
                </c:pt>
                <c:pt idx="3">
                  <c:v>1.6681229356209528</c:v>
                </c:pt>
                <c:pt idx="4">
                  <c:v>1.7078121451600003</c:v>
                </c:pt>
                <c:pt idx="5">
                  <c:v>1.7456836915466674</c:v>
                </c:pt>
                <c:pt idx="6">
                  <c:v>1.810341177517715</c:v>
                </c:pt>
                <c:pt idx="7">
                  <c:v>1.8561559118802855</c:v>
                </c:pt>
                <c:pt idx="8">
                  <c:v>1.9019706462428574</c:v>
                </c:pt>
                <c:pt idx="9">
                  <c:v>1.9477853806054291</c:v>
                </c:pt>
                <c:pt idx="10">
                  <c:v>1.9936001149679996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B6-4E3B-B66E-53C1BCC44E9F}"/>
            </c:ext>
          </c:extLst>
        </c:ser>
        <c:ser>
          <c:idx val="0"/>
          <c:order val="1"/>
          <c:tx>
            <c:strRef>
              <c:f>'Rekapitulasi BaU Emisi GRK'!$B$86:$C$86</c:f>
              <c:strCache>
                <c:ptCount val="1"/>
                <c:pt idx="0">
                  <c:v>Emisi CH4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numRef>
              <c:f>'Rekapitulasi BaU Emisi GRK'!$A$90:$A$100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GRK'!$C$90:$C$100</c:f>
              <c:numCache>
                <c:formatCode>_(* #,##0.00_);_(* \(#,##0.00\);_(* "-"??_);_(@_)</c:formatCode>
                <c:ptCount val="11"/>
                <c:pt idx="0">
                  <c:v>3.1770186078456</c:v>
                </c:pt>
                <c:pt idx="1">
                  <c:v>3.2577105058344005</c:v>
                </c:pt>
                <c:pt idx="2">
                  <c:v>3.3408815186880001</c:v>
                </c:pt>
                <c:pt idx="3">
                  <c:v>3.4228020045744003</c:v>
                </c:pt>
                <c:pt idx="4">
                  <c:v>3.5042398309295999</c:v>
                </c:pt>
                <c:pt idx="5">
                  <c:v>3.5819480154528001</c:v>
                </c:pt>
                <c:pt idx="6">
                  <c:v>3.7146179571379201</c:v>
                </c:pt>
                <c:pt idx="7">
                  <c:v>3.8086246764669593</c:v>
                </c:pt>
                <c:pt idx="8">
                  <c:v>3.9026313957959999</c:v>
                </c:pt>
                <c:pt idx="9">
                  <c:v>3.9966381151250405</c:v>
                </c:pt>
                <c:pt idx="10">
                  <c:v>4.0906448344540793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1B6-4E3B-B66E-53C1BCC44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3649728"/>
        <c:axId val="303650120"/>
        <c:axId val="0"/>
      </c:bar3DChart>
      <c:catAx>
        <c:axId val="30364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50120"/>
        <c:crosses val="autoZero"/>
        <c:auto val="1"/>
        <c:lblAlgn val="ctr"/>
        <c:lblOffset val="100"/>
        <c:noMultiLvlLbl val="0"/>
      </c:catAx>
      <c:valAx>
        <c:axId val="30365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Gg</a:t>
                </a:r>
                <a:r>
                  <a:rPr lang="en-US" sz="2000" baseline="0"/>
                  <a:t> CO2 EQ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497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 Emisi GRK dari Limbah Cair Domestik</a:t>
            </a:r>
            <a:r>
              <a:rPr lang="id-ID" baseline="0"/>
              <a:t> </a:t>
            </a:r>
          </a:p>
          <a:p>
            <a:pPr>
              <a:defRPr/>
            </a:pPr>
            <a:r>
              <a:rPr lang="id-ID" baseline="0"/>
              <a:t>Periode 2011 - 2030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'Rekapitulasi BaU Emisi GRK'!$A$86:$A$89</c:f>
              <c:strCache>
                <c:ptCount val="4"/>
                <c:pt idx="0">
                  <c:v>Tahun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'Rekapitulasi BaU Emisi GRK'!$A$90:$A$109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GRK'!$G$90:$G$109</c:f>
              <c:numCache>
                <c:formatCode>_(* #,##0.00_);_(* \(#,##0.00\);_(* "-"??_);_(@_)</c:formatCode>
                <c:ptCount val="20"/>
                <c:pt idx="0">
                  <c:v>4770.8817068370281</c:v>
                </c:pt>
                <c:pt idx="1">
                  <c:v>4833.1745532915438</c:v>
                </c:pt>
                <c:pt idx="2">
                  <c:v>4933.7198766308566</c:v>
                </c:pt>
                <c:pt idx="3">
                  <c:v>5090.924940195353</c:v>
                </c:pt>
                <c:pt idx="4">
                  <c:v>5212.0519760896004</c:v>
                </c:pt>
                <c:pt idx="5">
                  <c:v>5327.6317069994675</c:v>
                </c:pt>
                <c:pt idx="6">
                  <c:v>5524.9591346556354</c:v>
                </c:pt>
                <c:pt idx="7">
                  <c:v>5664.7805883472447</c:v>
                </c:pt>
                <c:pt idx="8">
                  <c:v>5804.6020420388568</c:v>
                </c:pt>
                <c:pt idx="9">
                  <c:v>5944.4234957304698</c:v>
                </c:pt>
                <c:pt idx="10">
                  <c:v>6084.2449494220791</c:v>
                </c:pt>
                <c:pt idx="11">
                  <c:v>6224.0664031136921</c:v>
                </c:pt>
                <c:pt idx="12">
                  <c:v>6363.8878568053024</c:v>
                </c:pt>
                <c:pt idx="13">
                  <c:v>6503.7093104969144</c:v>
                </c:pt>
                <c:pt idx="14">
                  <c:v>6643.5307641885238</c:v>
                </c:pt>
                <c:pt idx="15">
                  <c:v>6783.3522178801377</c:v>
                </c:pt>
                <c:pt idx="16">
                  <c:v>6923.1736715717479</c:v>
                </c:pt>
                <c:pt idx="17">
                  <c:v>7062.99512526336</c:v>
                </c:pt>
                <c:pt idx="18">
                  <c:v>7202.8165789549721</c:v>
                </c:pt>
                <c:pt idx="19">
                  <c:v>7342.6380326465833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651296"/>
        <c:axId val="303651688"/>
      </c:lineChart>
      <c:catAx>
        <c:axId val="30365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51688"/>
        <c:crosses val="autoZero"/>
        <c:auto val="1"/>
        <c:lblAlgn val="ctr"/>
        <c:lblOffset val="100"/>
        <c:noMultiLvlLbl val="0"/>
      </c:catAx>
      <c:valAx>
        <c:axId val="30365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5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</a:t>
            </a:r>
            <a:r>
              <a:rPr lang="id-ID" baseline="0"/>
              <a:t> Emisi GRK 2011 - 2030 Limbah Padat Domestik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'Rekapitulasi BaU Emisi GRK'!$H$61:$H$80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GRK'!$J$61:$J$80</c:f>
              <c:numCache>
                <c:formatCode>_(* #,##0.00_);_(* \(#,##0.00\);_(* "-"??_);_(@_)</c:formatCode>
                <c:ptCount val="20"/>
                <c:pt idx="0">
                  <c:v>16101.270944879388</c:v>
                </c:pt>
                <c:pt idx="1">
                  <c:v>16393.7105300519</c:v>
                </c:pt>
                <c:pt idx="2">
                  <c:v>16755.451697914235</c:v>
                </c:pt>
                <c:pt idx="3">
                  <c:v>17165.419225759633</c:v>
                </c:pt>
                <c:pt idx="4">
                  <c:v>17605.153806205264</c:v>
                </c:pt>
                <c:pt idx="5">
                  <c:v>18062.791006763255</c:v>
                </c:pt>
                <c:pt idx="6">
                  <c:v>18095.864165928782</c:v>
                </c:pt>
                <c:pt idx="7">
                  <c:v>18341.962742914904</c:v>
                </c:pt>
                <c:pt idx="8">
                  <c:v>18671.564245710964</c:v>
                </c:pt>
                <c:pt idx="9">
                  <c:v>19060.030804996368</c:v>
                </c:pt>
                <c:pt idx="10">
                  <c:v>19490.778607541644</c:v>
                </c:pt>
                <c:pt idx="11">
                  <c:v>19952.621901120372</c:v>
                </c:pt>
                <c:pt idx="12">
                  <c:v>20437.987977769615</c:v>
                </c:pt>
                <c:pt idx="13">
                  <c:v>20941.716281688376</c:v>
                </c:pt>
                <c:pt idx="14">
                  <c:v>21460.24927329001</c:v>
                </c:pt>
                <c:pt idx="15">
                  <c:v>21991.086026262728</c:v>
                </c:pt>
                <c:pt idx="16">
                  <c:v>22532.412004314589</c:v>
                </c:pt>
                <c:pt idx="17">
                  <c:v>23082.846939264407</c:v>
                </c:pt>
                <c:pt idx="18">
                  <c:v>23641.271824765299</c:v>
                </c:pt>
                <c:pt idx="19">
                  <c:v>24206.105185621058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397400"/>
        <c:axId val="307397792"/>
      </c:lineChart>
      <c:catAx>
        <c:axId val="30739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397792"/>
        <c:crosses val="autoZero"/>
        <c:auto val="1"/>
        <c:lblAlgn val="ctr"/>
        <c:lblOffset val="100"/>
        <c:noMultiLvlLbl val="0"/>
      </c:catAx>
      <c:valAx>
        <c:axId val="3073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397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257734</xdr:colOff>
      <xdr:row>29</xdr:row>
      <xdr:rowOff>118582</xdr:rowOff>
    </xdr:from>
    <xdr:to>
      <xdr:col>18</xdr:col>
      <xdr:colOff>95757</xdr:colOff>
      <xdr:row>42</xdr:row>
      <xdr:rowOff>156883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201706</xdr:colOff>
      <xdr:row>84</xdr:row>
      <xdr:rowOff>134472</xdr:rowOff>
    </xdr:from>
    <xdr:to>
      <xdr:col>18</xdr:col>
      <xdr:colOff>129378</xdr:colOff>
      <xdr:row>97</xdr:row>
      <xdr:rowOff>159939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219314</xdr:colOff>
      <xdr:row>98</xdr:row>
      <xdr:rowOff>112779</xdr:rowOff>
    </xdr:from>
    <xdr:to>
      <xdr:col>18</xdr:col>
      <xdr:colOff>212912</xdr:colOff>
      <xdr:row>115</xdr:row>
      <xdr:rowOff>156882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112057</xdr:colOff>
      <xdr:row>57</xdr:row>
      <xdr:rowOff>169209</xdr:rowOff>
    </xdr:from>
    <xdr:to>
      <xdr:col>18</xdr:col>
      <xdr:colOff>44823</xdr:colOff>
      <xdr:row>71</xdr:row>
      <xdr:rowOff>155762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581025</xdr:colOff>
      <xdr:row>23</xdr:row>
      <xdr:rowOff>114300</xdr:rowOff>
    </xdr:from>
    <xdr:to>
      <xdr:col>16</xdr:col>
      <xdr:colOff>571500</xdr:colOff>
      <xdr:row>23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CxnSpPr/>
      </xdr:nvCxnSpPr>
      <xdr:spPr>
        <a:xfrm flipV="1">
          <a:off x="13411200" y="4381500"/>
          <a:ext cx="6000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24</xdr:row>
      <xdr:rowOff>104775</xdr:rowOff>
    </xdr:from>
    <xdr:to>
      <xdr:col>16</xdr:col>
      <xdr:colOff>590550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CxnSpPr/>
      </xdr:nvCxnSpPr>
      <xdr:spPr>
        <a:xfrm flipV="1">
          <a:off x="13430250" y="4562475"/>
          <a:ext cx="6000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31</xdr:row>
      <xdr:rowOff>114300</xdr:rowOff>
    </xdr:from>
    <xdr:to>
      <xdr:col>16</xdr:col>
      <xdr:colOff>590550</xdr:colOff>
      <xdr:row>31</xdr:row>
      <xdr:rowOff>114301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CxnSpPr/>
      </xdr:nvCxnSpPr>
      <xdr:spPr>
        <a:xfrm>
          <a:off x="12858750" y="5905500"/>
          <a:ext cx="1171575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32</xdr:row>
      <xdr:rowOff>85725</xdr:rowOff>
    </xdr:from>
    <xdr:to>
      <xdr:col>16</xdr:col>
      <xdr:colOff>600075</xdr:colOff>
      <xdr:row>32</xdr:row>
      <xdr:rowOff>95251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CxnSpPr/>
      </xdr:nvCxnSpPr>
      <xdr:spPr>
        <a:xfrm>
          <a:off x="12858750" y="6067425"/>
          <a:ext cx="1181100" cy="95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1_Data%20Jumlah%20Penduduk%20dan%20Pertumbuh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ONTANG_IPCC%204A-TPA%20-%201_Diangkut%20TPA_Mitig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ONTANG_IPCC%204A-TPA%20-%203_Dibuang%20Sembarangan_Mitigasi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ONTANG_IPCC%204A-TPA%20-%202_Open%20Dumping_Mitigas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ONTANG_IPCC%204A-TPA%20-%204_Buang%20ke%20sungai_Mitigas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BONTANG_IPCC%204A-TPA%20-%205_Air%20Limbah_Mitigasi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BONTANG_Palm%20Oil%20Wastewater%20Industry_Mitiga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/>
      <sheetData sheetId="1">
        <row r="14">
          <cell r="K14">
            <v>148411</v>
          </cell>
        </row>
        <row r="15">
          <cell r="K15">
            <v>152089</v>
          </cell>
        </row>
        <row r="16">
          <cell r="K16">
            <v>155880</v>
          </cell>
        </row>
        <row r="17">
          <cell r="K17">
            <v>159614</v>
          </cell>
        </row>
        <row r="18">
          <cell r="K18">
            <v>163326</v>
          </cell>
        </row>
        <row r="19">
          <cell r="K19">
            <v>166868</v>
          </cell>
        </row>
        <row r="20">
          <cell r="K20">
            <v>172915.20000000001</v>
          </cell>
        </row>
        <row r="21">
          <cell r="K21">
            <v>177200.09999999998</v>
          </cell>
        </row>
        <row r="22">
          <cell r="K22">
            <v>181485</v>
          </cell>
        </row>
        <row r="23">
          <cell r="K23">
            <v>185769.9</v>
          </cell>
        </row>
        <row r="24">
          <cell r="K24">
            <v>190054.8</v>
          </cell>
        </row>
        <row r="25">
          <cell r="K25">
            <v>194339.7</v>
          </cell>
        </row>
        <row r="26">
          <cell r="K26">
            <v>198624.59999999998</v>
          </cell>
        </row>
        <row r="27">
          <cell r="K27">
            <v>202909.5</v>
          </cell>
        </row>
        <row r="28">
          <cell r="K28">
            <v>207194.4</v>
          </cell>
        </row>
        <row r="29">
          <cell r="K29">
            <v>211479.3</v>
          </cell>
        </row>
        <row r="30">
          <cell r="K30">
            <v>215764.19999999998</v>
          </cell>
        </row>
        <row r="31">
          <cell r="K31">
            <v>220049.09999999998</v>
          </cell>
        </row>
        <row r="32">
          <cell r="K32">
            <v>224334</v>
          </cell>
        </row>
        <row r="33">
          <cell r="K33">
            <v>228618.9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0.43477254968380646</v>
          </cell>
        </row>
        <row r="29">
          <cell r="O29">
            <v>0.44257755259780301</v>
          </cell>
        </row>
        <row r="30">
          <cell r="O30">
            <v>0.45230286140464349</v>
          </cell>
        </row>
        <row r="31">
          <cell r="O31">
            <v>0.46337713440903544</v>
          </cell>
        </row>
        <row r="32">
          <cell r="O32">
            <v>0.47528280836645964</v>
          </cell>
        </row>
        <row r="33">
          <cell r="O33">
            <v>0.48770311652689136</v>
          </cell>
        </row>
        <row r="34">
          <cell r="O34">
            <v>0.4792666714702426</v>
          </cell>
        </row>
        <row r="35">
          <cell r="O35">
            <v>0.48760327635551182</v>
          </cell>
        </row>
        <row r="36">
          <cell r="O36">
            <v>0.50059826171229882</v>
          </cell>
        </row>
        <row r="37">
          <cell r="O37">
            <v>0.51704045899719586</v>
          </cell>
        </row>
        <row r="38">
          <cell r="O38">
            <v>0.53611102192805882</v>
          </cell>
        </row>
        <row r="39">
          <cell r="O39">
            <v>0.55725531827443453</v>
          </cell>
        </row>
        <row r="40">
          <cell r="O40">
            <v>0.58009676636101259</v>
          </cell>
        </row>
        <row r="41">
          <cell r="O41">
            <v>0.60437882079865413</v>
          </cell>
        </row>
        <row r="42">
          <cell r="O42">
            <v>0.62992585382117328</v>
          </cell>
        </row>
        <row r="43">
          <cell r="O43">
            <v>0.65661672398731474</v>
          </cell>
        </row>
        <row r="44">
          <cell r="O44">
            <v>0.68436686612157449</v>
          </cell>
        </row>
        <row r="45">
          <cell r="O45">
            <v>0.71311610584874807</v>
          </cell>
        </row>
        <row r="46">
          <cell r="O46">
            <v>0.74282032057459157</v>
          </cell>
        </row>
        <row r="47">
          <cell r="O47">
            <v>0.77341984901868255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0</v>
          </cell>
        </row>
        <row r="37">
          <cell r="O37">
            <v>0</v>
          </cell>
        </row>
        <row r="38">
          <cell r="O38">
            <v>0</v>
          </cell>
        </row>
        <row r="39">
          <cell r="O39">
            <v>0</v>
          </cell>
        </row>
        <row r="40">
          <cell r="O40">
            <v>0</v>
          </cell>
        </row>
        <row r="41">
          <cell r="O41">
            <v>0</v>
          </cell>
        </row>
        <row r="42">
          <cell r="O42">
            <v>0</v>
          </cell>
        </row>
        <row r="43">
          <cell r="O43">
            <v>0</v>
          </cell>
        </row>
        <row r="44">
          <cell r="O44">
            <v>0</v>
          </cell>
        </row>
        <row r="45">
          <cell r="O45">
            <v>0</v>
          </cell>
        </row>
        <row r="46">
          <cell r="O46">
            <v>0</v>
          </cell>
        </row>
        <row r="47">
          <cell r="O47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0.30831576949421724</v>
          </cell>
        </row>
        <row r="29">
          <cell r="O29">
            <v>0.31385063014971065</v>
          </cell>
        </row>
        <row r="30">
          <cell r="O30">
            <v>0.3207472616655011</v>
          </cell>
        </row>
        <row r="31">
          <cell r="O31">
            <v>0.32860050126266815</v>
          </cell>
        </row>
        <row r="32">
          <cell r="O32">
            <v>0.33704332275680349</v>
          </cell>
        </row>
        <row r="33">
          <cell r="O33">
            <v>0.34585109332701031</v>
          </cell>
        </row>
        <row r="34">
          <cell r="O34">
            <v>0.35478710505816924</v>
          </cell>
        </row>
        <row r="35">
          <cell r="O35">
            <v>0.36283911509007816</v>
          </cell>
        </row>
        <row r="36">
          <cell r="O36">
            <v>0.36914396683467171</v>
          </cell>
        </row>
        <row r="37">
          <cell r="O37">
            <v>0.37413296407465724</v>
          </cell>
        </row>
        <row r="38">
          <cell r="O38">
            <v>0.37810610142627715</v>
          </cell>
        </row>
        <row r="39">
          <cell r="O39">
            <v>0.38127423281068112</v>
          </cell>
        </row>
        <row r="40">
          <cell r="O40">
            <v>0.38378749088795006</v>
          </cell>
        </row>
        <row r="41">
          <cell r="O41">
            <v>0.38575446712761008</v>
          </cell>
        </row>
        <row r="42">
          <cell r="O42">
            <v>0.3872551790205449</v>
          </cell>
        </row>
        <row r="43">
          <cell r="O43">
            <v>0.38834985618113271</v>
          </cell>
        </row>
        <row r="44">
          <cell r="O44">
            <v>0.38908490981247618</v>
          </cell>
        </row>
        <row r="45">
          <cell r="O45">
            <v>0.3894970023216705</v>
          </cell>
        </row>
        <row r="46">
          <cell r="O46">
            <v>0.38961583344382367</v>
          </cell>
        </row>
        <row r="47">
          <cell r="O47">
            <v>0.38946605756744002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5.4731156458265829E-3</v>
          </cell>
        </row>
        <row r="36">
          <cell r="O36">
            <v>9.8902905376784429E-3</v>
          </cell>
        </row>
        <row r="37">
          <cell r="O37">
            <v>1.3645236825999833E-2</v>
          </cell>
        </row>
        <row r="38">
          <cell r="O38">
            <v>1.7009165496928234E-2</v>
          </cell>
        </row>
        <row r="39">
          <cell r="O39">
            <v>2.0171323007032768E-2</v>
          </cell>
        </row>
        <row r="40">
          <cell r="O40">
            <v>2.3266248448080239E-2</v>
          </cell>
        </row>
        <row r="41">
          <cell r="O41">
            <v>2.639212513117168E-2</v>
          </cell>
        </row>
        <row r="42">
          <cell r="O42">
            <v>2.9623159877794958E-2</v>
          </cell>
        </row>
        <row r="43">
          <cell r="O43">
            <v>3.3017957485873391E-2</v>
          </cell>
        </row>
        <row r="44">
          <cell r="O44">
            <v>3.6625210304650532E-2</v>
          </cell>
        </row>
        <row r="45">
          <cell r="O45">
            <v>4.0487588695927265E-2</v>
          </cell>
        </row>
        <row r="46">
          <cell r="O46">
            <v>4.4644427055805645E-2</v>
          </cell>
        </row>
        <row r="47">
          <cell r="O47">
            <v>4.9133604877563242E-2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A_DOC"/>
      <sheetName val="4B_CH4 emissions"/>
      <sheetName val="4B_N2O emission"/>
      <sheetName val="4C1_Amount_Waste_OpenBurned"/>
      <sheetName val="4C2_CO2_OpenBurning"/>
      <sheetName val="4C2_CH4_OpenBurning"/>
      <sheetName val="4C2_N2O_OpenBurning"/>
      <sheetName val="REKAPITULASI"/>
      <sheetName val="4D1_TOW_DomesticWastewater"/>
      <sheetName val="4D1_CH4_EF_DomesticWastewater"/>
      <sheetName val="4D1_CH4_Domestic_Wastewater"/>
      <sheetName val="4D1_N_effluent"/>
      <sheetName val="4D1_Indirect_N2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">
          <cell r="B6">
            <v>1.6028387999999999E-3</v>
          </cell>
          <cell r="D6">
            <v>1.2021290999999999E-4</v>
          </cell>
        </row>
        <row r="7">
          <cell r="B7">
            <v>1.6425612000000001E-3</v>
          </cell>
          <cell r="D7">
            <v>1.2319209000000002E-4</v>
          </cell>
        </row>
        <row r="8">
          <cell r="B8">
            <v>1.6835039999999999E-3</v>
          </cell>
          <cell r="D8">
            <v>1.2626279999999998E-4</v>
          </cell>
        </row>
        <row r="9">
          <cell r="B9">
            <v>1.7238312E-3</v>
          </cell>
          <cell r="D9">
            <v>1.2928734000000001E-4</v>
          </cell>
        </row>
        <row r="10">
          <cell r="B10">
            <v>1.7639208E-3</v>
          </cell>
          <cell r="D10">
            <v>1.3229405999999998E-4</v>
          </cell>
        </row>
        <row r="11">
          <cell r="B11">
            <v>1.8021743999999998E-3</v>
          </cell>
          <cell r="D11">
            <v>1.3516307999999997E-4</v>
          </cell>
        </row>
        <row r="12">
          <cell r="B12">
            <v>1.9207074585600001E-3</v>
          </cell>
          <cell r="D12">
            <v>1.44053059392E-4</v>
          </cell>
        </row>
        <row r="13">
          <cell r="B13">
            <v>2.0243999139972295E-3</v>
          </cell>
          <cell r="D13">
            <v>1.5182999354979224E-4</v>
          </cell>
        </row>
        <row r="14">
          <cell r="B14">
            <v>2.1324427447611664E-3</v>
          </cell>
          <cell r="D14">
            <v>1.5993320585708744E-4</v>
          </cell>
        </row>
        <row r="15">
          <cell r="B15">
            <v>2.2449996980485032E-3</v>
          </cell>
          <cell r="D15">
            <v>1.6837497735363774E-4</v>
          </cell>
        </row>
        <row r="16">
          <cell r="B16">
            <v>2.3622403210537862E-3</v>
          </cell>
          <cell r="D16">
            <v>1.7716802407903394E-4</v>
          </cell>
        </row>
        <row r="17">
          <cell r="B17">
            <v>2.4843401585656309E-3</v>
          </cell>
          <cell r="D17">
            <v>1.8632551189242229E-4</v>
          </cell>
        </row>
        <row r="18">
          <cell r="B18">
            <v>2.6114809571148733E-3</v>
          </cell>
          <cell r="D18">
            <v>1.9586107178361551E-4</v>
          </cell>
        </row>
        <row r="19">
          <cell r="B19">
            <v>2.7438508758876289E-3</v>
          </cell>
          <cell r="D19">
            <v>2.0578881569157214E-4</v>
          </cell>
        </row>
        <row r="20">
          <cell r="B20">
            <v>2.8816447046230145E-3</v>
          </cell>
          <cell r="D20">
            <v>2.161233528467261E-4</v>
          </cell>
        </row>
        <row r="21">
          <cell r="B21">
            <v>3.0250640887223772E-3</v>
          </cell>
          <cell r="D21">
            <v>2.2687980665417825E-4</v>
          </cell>
        </row>
        <row r="22">
          <cell r="B22">
            <v>3.1743177618040732E-3</v>
          </cell>
          <cell r="D22">
            <v>2.3807383213530551E-4</v>
          </cell>
        </row>
        <row r="23">
          <cell r="B23">
            <v>3.3296217859453622E-3</v>
          </cell>
          <cell r="D23">
            <v>2.4972163394590212E-4</v>
          </cell>
        </row>
        <row r="24">
          <cell r="B24">
            <v>3.4911997998606789E-3</v>
          </cell>
          <cell r="D24">
            <v>2.618399849895509E-4</v>
          </cell>
        </row>
        <row r="25">
          <cell r="B25">
            <v>3.6579023999999999E-3</v>
          </cell>
          <cell r="D25">
            <v>2.7434267999999995E-4</v>
          </cell>
        </row>
        <row r="32">
          <cell r="B32">
            <v>1.5113054994894999E-2</v>
          </cell>
          <cell r="D32">
            <v>3.4876280757449997E-4</v>
          </cell>
        </row>
        <row r="33">
          <cell r="B33">
            <v>1.5487594727605001E-2</v>
          </cell>
          <cell r="D33">
            <v>3.5740603217550006E-4</v>
          </cell>
        </row>
        <row r="34">
          <cell r="B34">
            <v>1.5873641526599997E-2</v>
          </cell>
          <cell r="D34">
            <v>3.6631480445999993E-4</v>
          </cell>
        </row>
        <row r="35">
          <cell r="B35">
            <v>1.6253883876229999E-2</v>
          </cell>
          <cell r="D35">
            <v>3.7508962791299997E-4</v>
          </cell>
        </row>
        <row r="36">
          <cell r="B36">
            <v>1.6631885912069998E-2</v>
          </cell>
          <cell r="D36">
            <v>3.8381275181700002E-4</v>
          </cell>
        </row>
        <row r="37">
          <cell r="B37">
            <v>1.6992576432260001E-2</v>
          </cell>
          <cell r="D37">
            <v>3.92136379206E-4</v>
          </cell>
        </row>
        <row r="38">
          <cell r="B38">
            <v>1.7608377593663998E-2</v>
          </cell>
          <cell r="D38">
            <v>4.0634717523840001E-4</v>
          </cell>
        </row>
        <row r="39">
          <cell r="B39">
            <v>1.8044719437244502E-2</v>
          </cell>
          <cell r="D39">
            <v>4.1641660239795001E-4</v>
          </cell>
        </row>
        <row r="40">
          <cell r="B40">
            <v>1.8481061280825002E-2</v>
          </cell>
          <cell r="D40">
            <v>4.2648602955750001E-4</v>
          </cell>
        </row>
        <row r="41">
          <cell r="B41">
            <v>1.8917403124405499E-2</v>
          </cell>
          <cell r="D41">
            <v>4.3655545671705007E-4</v>
          </cell>
        </row>
        <row r="42">
          <cell r="B42">
            <v>1.9353744967985996E-2</v>
          </cell>
          <cell r="D42">
            <v>4.4662488387659996E-4</v>
          </cell>
        </row>
        <row r="43">
          <cell r="B43">
            <v>1.9790086811566503E-2</v>
          </cell>
          <cell r="D43">
            <v>4.5669431103615007E-4</v>
          </cell>
        </row>
        <row r="44">
          <cell r="B44">
            <v>2.0226428655147E-2</v>
          </cell>
          <cell r="D44">
            <v>4.6676373819570002E-4</v>
          </cell>
        </row>
        <row r="45">
          <cell r="B45">
            <v>2.0662770498727501E-2</v>
          </cell>
          <cell r="D45">
            <v>4.7683316535524997E-4</v>
          </cell>
        </row>
        <row r="46">
          <cell r="B46">
            <v>2.1099112342307994E-2</v>
          </cell>
          <cell r="D46">
            <v>4.8690259251479991E-4</v>
          </cell>
        </row>
        <row r="47">
          <cell r="B47">
            <v>2.1535454185888498E-2</v>
          </cell>
          <cell r="D47">
            <v>4.9697201967434997E-4</v>
          </cell>
        </row>
        <row r="48">
          <cell r="B48">
            <v>2.1971796029468998E-2</v>
          </cell>
          <cell r="D48">
            <v>5.0704144683390003E-4</v>
          </cell>
        </row>
        <row r="49">
          <cell r="B49">
            <v>2.2408137873049499E-2</v>
          </cell>
          <cell r="D49">
            <v>5.1711087399344987E-4</v>
          </cell>
        </row>
        <row r="50">
          <cell r="B50">
            <v>2.2844479716629999E-2</v>
          </cell>
          <cell r="D50">
            <v>5.2718030115299992E-4</v>
          </cell>
        </row>
        <row r="51">
          <cell r="B51">
            <v>2.3280821560210496E-2</v>
          </cell>
          <cell r="D51">
            <v>5.3724972831254998E-4</v>
          </cell>
        </row>
        <row r="59">
          <cell r="B59">
            <v>0.15128660037360001</v>
          </cell>
          <cell r="D59">
            <v>5.1414938677142854E-3</v>
          </cell>
        </row>
        <row r="60">
          <cell r="B60">
            <v>0.15512907170640003</v>
          </cell>
          <cell r="D60">
            <v>5.0821420885714293E-3</v>
          </cell>
        </row>
        <row r="61">
          <cell r="B61">
            <v>0.159089596128</v>
          </cell>
          <cell r="D61">
            <v>5.1381882514285717E-3</v>
          </cell>
        </row>
        <row r="62">
          <cell r="B62">
            <v>0.16299057164640002</v>
          </cell>
          <cell r="D62">
            <v>5.3810417278095249E-3</v>
          </cell>
        </row>
        <row r="63">
          <cell r="B63">
            <v>0.1668685633776</v>
          </cell>
          <cell r="D63">
            <v>5.5090714360000008E-3</v>
          </cell>
        </row>
        <row r="64">
          <cell r="B64">
            <v>0.17056895311680001</v>
          </cell>
          <cell r="D64">
            <v>5.6312377146666686E-3</v>
          </cell>
        </row>
        <row r="65">
          <cell r="B65">
            <v>0.17688656938752001</v>
          </cell>
          <cell r="D65">
            <v>5.8398102500571451E-3</v>
          </cell>
        </row>
        <row r="66">
          <cell r="B66">
            <v>0.18136307983175998</v>
          </cell>
          <cell r="D66">
            <v>5.9875997157428562E-3</v>
          </cell>
        </row>
        <row r="67">
          <cell r="B67">
            <v>0.185839590276</v>
          </cell>
          <cell r="D67">
            <v>6.1353891814285725E-3</v>
          </cell>
        </row>
        <row r="68">
          <cell r="B68">
            <v>0.19031610072024002</v>
          </cell>
          <cell r="D68">
            <v>6.283178647114287E-3</v>
          </cell>
        </row>
        <row r="69">
          <cell r="B69">
            <v>0.19479261116447996</v>
          </cell>
          <cell r="D69">
            <v>6.430968112799999E-3</v>
          </cell>
        </row>
        <row r="70">
          <cell r="B70">
            <v>0.19926912160872001</v>
          </cell>
          <cell r="D70">
            <v>6.5787575784857152E-3</v>
          </cell>
        </row>
        <row r="71">
          <cell r="B71">
            <v>0.20374563205295998</v>
          </cell>
          <cell r="D71">
            <v>6.7265470441714289E-3</v>
          </cell>
        </row>
        <row r="72">
          <cell r="B72">
            <v>0.20822214249719997</v>
          </cell>
          <cell r="D72">
            <v>6.8743365098571452E-3</v>
          </cell>
        </row>
        <row r="73">
          <cell r="B73">
            <v>0.21269865294143997</v>
          </cell>
          <cell r="D73">
            <v>7.0221259755428572E-3</v>
          </cell>
        </row>
        <row r="74">
          <cell r="B74">
            <v>0.21717516338567999</v>
          </cell>
          <cell r="D74">
            <v>7.1699154412285726E-3</v>
          </cell>
        </row>
        <row r="75">
          <cell r="B75">
            <v>0.22165167382991996</v>
          </cell>
          <cell r="D75">
            <v>7.3177049069142871E-3</v>
          </cell>
        </row>
        <row r="76">
          <cell r="B76">
            <v>0.22612818427415998</v>
          </cell>
          <cell r="D76">
            <v>7.4654943725999991E-3</v>
          </cell>
        </row>
        <row r="77">
          <cell r="B77">
            <v>0.23060469471840001</v>
          </cell>
          <cell r="D77">
            <v>7.6132838382857154E-3</v>
          </cell>
        </row>
        <row r="78">
          <cell r="B78">
            <v>0.23508120516264003</v>
          </cell>
          <cell r="D78">
            <v>7.7610733039714282E-3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B_CH4 emissions"/>
      <sheetName val="4B_N2O emission"/>
      <sheetName val="4C1_CO2_Incineration"/>
      <sheetName val="4C2_Amount_Waste_OpenBurned"/>
      <sheetName val="4C2_CO2_OpenBurning"/>
      <sheetName val="4C1_CO2_fossil_liquid"/>
      <sheetName val="4C1_CH4_Incineration"/>
      <sheetName val="4C2_CH4_OpenBurning"/>
      <sheetName val="4C1_N2O_Incineration"/>
      <sheetName val="4C2_N2O_OpenBurning"/>
      <sheetName val="4D1_TOW_DomesticWastewater"/>
      <sheetName val="4D1_CH4_EF_DomesticWastewater"/>
      <sheetName val="4D1_CH4_Domestic_Wastewater"/>
      <sheetName val="4D2_TOW_IndustryWastewater"/>
      <sheetName val="4D2_CH4_EF_IndustrialWastewater"/>
      <sheetName val="4D2_CH4_Industrial_Wastewater"/>
      <sheetName val="4D1_N_effluent"/>
      <sheetName val="4D1_Indirect_N2O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8905.3738799999992</v>
          </cell>
        </row>
        <row r="19">
          <cell r="G19">
            <v>11107.165854719999</v>
          </cell>
        </row>
        <row r="20">
          <cell r="G20">
            <v>13847.661019913759</v>
          </cell>
        </row>
        <row r="21">
          <cell r="G21">
            <v>17257.530476469525</v>
          </cell>
        </row>
        <row r="22">
          <cell r="G22">
            <v>21498.913846030624</v>
          </cell>
        </row>
        <row r="23">
          <cell r="G23">
            <v>26772.951299674525</v>
          </cell>
        </row>
        <row r="24">
          <cell r="G24">
            <v>33329.108912748547</v>
          </cell>
        </row>
        <row r="25">
          <cell r="G25">
            <v>41476.722374174278</v>
          </cell>
        </row>
        <row r="26">
          <cell r="G26">
            <v>51599.284408817126</v>
          </cell>
        </row>
        <row r="27">
          <cell r="G27">
            <v>64172.125201352595</v>
          </cell>
        </row>
        <row r="28">
          <cell r="G28">
            <v>79784.288172969667</v>
          </cell>
        </row>
        <row r="29">
          <cell r="G29">
            <v>99165.592485561268</v>
          </cell>
        </row>
        <row r="30">
          <cell r="G30">
            <v>123220.10705462692</v>
          </cell>
        </row>
        <row r="31">
          <cell r="G31">
            <v>153067.54903229928</v>
          </cell>
        </row>
        <row r="32">
          <cell r="G32"/>
        </row>
      </sheetData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="85" zoomScaleNormal="85" workbookViewId="0"/>
  </sheetViews>
  <sheetFormatPr defaultRowHeight="15" x14ac:dyDescent="0.25"/>
  <cols>
    <col min="1" max="1" width="9.140625" style="79"/>
    <col min="2" max="2" width="18.42578125" style="79" customWidth="1"/>
    <col min="3" max="3" width="19.42578125" style="79" customWidth="1"/>
    <col min="4" max="4" width="14" style="79" customWidth="1"/>
    <col min="5" max="5" width="16.7109375" style="79" customWidth="1"/>
    <col min="6" max="9" width="9.140625" style="79"/>
    <col min="10" max="10" width="7.5703125" style="79" customWidth="1"/>
    <col min="11" max="11" width="2" style="79" customWidth="1"/>
    <col min="12" max="12" width="5.7109375" style="79" customWidth="1"/>
    <col min="13" max="16384" width="9.140625" style="79"/>
  </cols>
  <sheetData>
    <row r="1" spans="1:14" x14ac:dyDescent="0.25">
      <c r="A1" s="79" t="s">
        <v>151</v>
      </c>
    </row>
    <row r="2" spans="1:14" ht="21" x14ac:dyDescent="0.25">
      <c r="G2" s="80" t="s">
        <v>17</v>
      </c>
    </row>
    <row r="3" spans="1:14" ht="15.75" customHeight="1" x14ac:dyDescent="0.25">
      <c r="A3" s="177" t="s">
        <v>10</v>
      </c>
      <c r="B3" s="177" t="s">
        <v>123</v>
      </c>
      <c r="C3" s="78" t="s">
        <v>11</v>
      </c>
      <c r="D3" s="176" t="s">
        <v>11</v>
      </c>
      <c r="E3" s="176"/>
      <c r="G3" s="81" t="s">
        <v>15</v>
      </c>
      <c r="H3" s="81"/>
      <c r="I3" s="81"/>
    </row>
    <row r="4" spans="1:14" x14ac:dyDescent="0.25">
      <c r="A4" s="178"/>
      <c r="B4" s="178"/>
      <c r="C4" s="78" t="s">
        <v>118</v>
      </c>
      <c r="D4" s="78" t="s">
        <v>13</v>
      </c>
      <c r="E4" s="78" t="s">
        <v>14</v>
      </c>
      <c r="G4" s="81" t="s">
        <v>16</v>
      </c>
      <c r="H4" s="81"/>
      <c r="I4" s="81"/>
    </row>
    <row r="5" spans="1:14" x14ac:dyDescent="0.25">
      <c r="A5" s="88">
        <v>2011</v>
      </c>
      <c r="B5" s="89">
        <f>[1]Sheet3!K14</f>
        <v>148411</v>
      </c>
      <c r="C5" s="163">
        <v>0.2</v>
      </c>
      <c r="D5" s="149">
        <f t="shared" ref="D5:D24" si="0">C5*B5</f>
        <v>29682.2</v>
      </c>
      <c r="E5" s="149">
        <f>D5/1000</f>
        <v>29.682200000000002</v>
      </c>
    </row>
    <row r="6" spans="1:14" x14ac:dyDescent="0.25">
      <c r="A6" s="88">
        <v>2012</v>
      </c>
      <c r="B6" s="89">
        <f>[1]Sheet3!K15</f>
        <v>152089</v>
      </c>
      <c r="C6" s="163">
        <v>0.2</v>
      </c>
      <c r="D6" s="149">
        <f t="shared" si="0"/>
        <v>30417.800000000003</v>
      </c>
      <c r="E6" s="149">
        <f t="shared" ref="E6:E24" si="1">D6/1000</f>
        <v>30.417800000000003</v>
      </c>
      <c r="G6" s="82" t="s">
        <v>36</v>
      </c>
      <c r="H6" s="82"/>
      <c r="I6" s="82"/>
      <c r="J6" s="83">
        <v>2</v>
      </c>
      <c r="K6" s="84" t="s">
        <v>32</v>
      </c>
      <c r="L6" s="83">
        <v>3</v>
      </c>
      <c r="M6" s="82" t="s">
        <v>37</v>
      </c>
      <c r="N6" s="82"/>
    </row>
    <row r="7" spans="1:14" x14ac:dyDescent="0.25">
      <c r="A7" s="88">
        <v>2013</v>
      </c>
      <c r="B7" s="89">
        <f>[1]Sheet3!K16</f>
        <v>155880</v>
      </c>
      <c r="C7" s="163">
        <v>0.2</v>
      </c>
      <c r="D7" s="149">
        <f t="shared" si="0"/>
        <v>31176</v>
      </c>
      <c r="E7" s="149">
        <f t="shared" si="1"/>
        <v>31.175999999999998</v>
      </c>
      <c r="G7" s="82"/>
      <c r="H7" s="82"/>
      <c r="I7" s="82"/>
      <c r="J7" s="83">
        <f>(2*250)/1000</f>
        <v>0.5</v>
      </c>
      <c r="K7" s="84" t="s">
        <v>32</v>
      </c>
      <c r="L7" s="83">
        <f>(3*250)/1000</f>
        <v>0.75</v>
      </c>
      <c r="M7" s="82" t="s">
        <v>12</v>
      </c>
      <c r="N7" s="82"/>
    </row>
    <row r="8" spans="1:14" x14ac:dyDescent="0.25">
      <c r="A8" s="88">
        <v>2014</v>
      </c>
      <c r="B8" s="89">
        <f>[1]Sheet3!K17</f>
        <v>159614</v>
      </c>
      <c r="C8" s="163">
        <v>0.2</v>
      </c>
      <c r="D8" s="149">
        <f t="shared" si="0"/>
        <v>31922.800000000003</v>
      </c>
      <c r="E8" s="149">
        <f t="shared" si="1"/>
        <v>31.922800000000002</v>
      </c>
      <c r="G8" s="82"/>
      <c r="H8" s="82"/>
      <c r="I8" s="82"/>
      <c r="J8" s="85">
        <f>J7*(365/1000)</f>
        <v>0.1825</v>
      </c>
      <c r="K8" s="86" t="s">
        <v>32</v>
      </c>
      <c r="L8" s="85">
        <f>L7*(365/1000)</f>
        <v>0.27374999999999999</v>
      </c>
      <c r="M8" s="82" t="s">
        <v>38</v>
      </c>
      <c r="N8" s="82"/>
    </row>
    <row r="9" spans="1:14" x14ac:dyDescent="0.25">
      <c r="A9" s="88">
        <v>2015</v>
      </c>
      <c r="B9" s="89">
        <f>[1]Sheet3!K18</f>
        <v>163326</v>
      </c>
      <c r="C9" s="163">
        <v>0.2</v>
      </c>
      <c r="D9" s="149">
        <f t="shared" si="0"/>
        <v>32665.200000000001</v>
      </c>
      <c r="E9" s="149">
        <f t="shared" si="1"/>
        <v>32.665199999999999</v>
      </c>
    </row>
    <row r="10" spans="1:14" x14ac:dyDescent="0.25">
      <c r="A10" s="88">
        <v>2016</v>
      </c>
      <c r="B10" s="89">
        <f>[1]Sheet3!K19</f>
        <v>166868</v>
      </c>
      <c r="C10" s="163">
        <v>0.2</v>
      </c>
      <c r="D10" s="149">
        <f t="shared" si="0"/>
        <v>33373.599999999999</v>
      </c>
      <c r="E10" s="149">
        <f t="shared" si="1"/>
        <v>33.373599999999996</v>
      </c>
      <c r="G10" s="87" t="s">
        <v>33</v>
      </c>
      <c r="H10" s="87"/>
      <c r="I10" s="87" t="s">
        <v>34</v>
      </c>
      <c r="J10" s="87"/>
      <c r="K10" s="87"/>
    </row>
    <row r="11" spans="1:14" x14ac:dyDescent="0.25">
      <c r="A11" s="88">
        <v>2017</v>
      </c>
      <c r="B11" s="89">
        <f>[1]Sheet3!K20</f>
        <v>172915.20000000001</v>
      </c>
      <c r="C11" s="163">
        <v>0.2</v>
      </c>
      <c r="D11" s="149">
        <f t="shared" si="0"/>
        <v>34583.040000000001</v>
      </c>
      <c r="E11" s="149">
        <f t="shared" si="1"/>
        <v>34.583040000000004</v>
      </c>
      <c r="G11" s="87"/>
      <c r="H11" s="87"/>
      <c r="I11" s="87" t="s">
        <v>35</v>
      </c>
      <c r="J11" s="87"/>
      <c r="K11" s="87"/>
    </row>
    <row r="12" spans="1:14" x14ac:dyDescent="0.25">
      <c r="A12" s="88">
        <v>2018</v>
      </c>
      <c r="B12" s="89">
        <f>[1]Sheet3!K21</f>
        <v>177200.09999999998</v>
      </c>
      <c r="C12" s="163">
        <v>0.2</v>
      </c>
      <c r="D12" s="149">
        <f t="shared" si="0"/>
        <v>35440.019999999997</v>
      </c>
      <c r="E12" s="149">
        <f t="shared" si="1"/>
        <v>35.440019999999997</v>
      </c>
    </row>
    <row r="13" spans="1:14" x14ac:dyDescent="0.25">
      <c r="A13" s="88">
        <v>2019</v>
      </c>
      <c r="B13" s="89">
        <f>[1]Sheet3!K22</f>
        <v>181485</v>
      </c>
      <c r="C13" s="163">
        <v>0.2</v>
      </c>
      <c r="D13" s="149">
        <f t="shared" si="0"/>
        <v>36297</v>
      </c>
      <c r="E13" s="149">
        <f t="shared" si="1"/>
        <v>36.296999999999997</v>
      </c>
    </row>
    <row r="14" spans="1:14" x14ac:dyDescent="0.25">
      <c r="A14" s="88">
        <v>2020</v>
      </c>
      <c r="B14" s="89">
        <f>[1]Sheet3!K23</f>
        <v>185769.9</v>
      </c>
      <c r="C14" s="163">
        <v>0.2</v>
      </c>
      <c r="D14" s="149">
        <f t="shared" si="0"/>
        <v>37153.980000000003</v>
      </c>
      <c r="E14" s="149">
        <f t="shared" si="1"/>
        <v>37.153980000000004</v>
      </c>
    </row>
    <row r="15" spans="1:14" x14ac:dyDescent="0.25">
      <c r="A15" s="88">
        <v>2021</v>
      </c>
      <c r="B15" s="89">
        <f>[1]Sheet3!K24</f>
        <v>190054.8</v>
      </c>
      <c r="C15" s="163">
        <v>0.2</v>
      </c>
      <c r="D15" s="149">
        <f t="shared" si="0"/>
        <v>38010.959999999999</v>
      </c>
      <c r="E15" s="149">
        <f t="shared" si="1"/>
        <v>38.010959999999997</v>
      </c>
    </row>
    <row r="16" spans="1:14" x14ac:dyDescent="0.25">
      <c r="A16" s="88">
        <v>2022</v>
      </c>
      <c r="B16" s="89">
        <f>[1]Sheet3!K25</f>
        <v>194339.7</v>
      </c>
      <c r="C16" s="163">
        <v>0.2</v>
      </c>
      <c r="D16" s="149">
        <f t="shared" si="0"/>
        <v>38867.94</v>
      </c>
      <c r="E16" s="149">
        <f t="shared" si="1"/>
        <v>38.867940000000004</v>
      </c>
    </row>
    <row r="17" spans="1:10" x14ac:dyDescent="0.25">
      <c r="A17" s="88">
        <v>2023</v>
      </c>
      <c r="B17" s="89">
        <f>[1]Sheet3!K26</f>
        <v>198624.59999999998</v>
      </c>
      <c r="C17" s="163">
        <v>0.2</v>
      </c>
      <c r="D17" s="149">
        <f t="shared" si="0"/>
        <v>39724.92</v>
      </c>
      <c r="E17" s="149">
        <f t="shared" si="1"/>
        <v>39.724919999999997</v>
      </c>
      <c r="G17" s="90"/>
      <c r="H17" s="90"/>
      <c r="I17" s="90"/>
      <c r="J17" s="90"/>
    </row>
    <row r="18" spans="1:10" x14ac:dyDescent="0.25">
      <c r="A18" s="88">
        <v>2024</v>
      </c>
      <c r="B18" s="89">
        <f>[1]Sheet3!K27</f>
        <v>202909.5</v>
      </c>
      <c r="C18" s="163">
        <v>0.2</v>
      </c>
      <c r="D18" s="149">
        <f t="shared" si="0"/>
        <v>40581.9</v>
      </c>
      <c r="E18" s="149">
        <f t="shared" si="1"/>
        <v>40.581900000000005</v>
      </c>
      <c r="G18" s="90"/>
      <c r="H18" s="90"/>
      <c r="I18" s="90"/>
      <c r="J18" s="90"/>
    </row>
    <row r="19" spans="1:10" x14ac:dyDescent="0.25">
      <c r="A19" s="88">
        <v>2025</v>
      </c>
      <c r="B19" s="89">
        <f>[1]Sheet3!K28</f>
        <v>207194.4</v>
      </c>
      <c r="C19" s="163">
        <v>0.2</v>
      </c>
      <c r="D19" s="149">
        <f t="shared" si="0"/>
        <v>41438.880000000005</v>
      </c>
      <c r="E19" s="149">
        <f t="shared" si="1"/>
        <v>41.438880000000005</v>
      </c>
      <c r="G19" s="90"/>
      <c r="H19" s="90"/>
      <c r="I19" s="90"/>
      <c r="J19" s="90"/>
    </row>
    <row r="20" spans="1:10" x14ac:dyDescent="0.25">
      <c r="A20" s="88">
        <v>2026</v>
      </c>
      <c r="B20" s="89">
        <f>[1]Sheet3!K29</f>
        <v>211479.3</v>
      </c>
      <c r="C20" s="163">
        <v>0.2</v>
      </c>
      <c r="D20" s="149">
        <f t="shared" si="0"/>
        <v>42295.86</v>
      </c>
      <c r="E20" s="149">
        <f t="shared" si="1"/>
        <v>42.295859999999998</v>
      </c>
      <c r="G20" s="90"/>
      <c r="H20" s="90"/>
      <c r="I20" s="90"/>
      <c r="J20" s="90"/>
    </row>
    <row r="21" spans="1:10" x14ac:dyDescent="0.25">
      <c r="A21" s="88">
        <v>2027</v>
      </c>
      <c r="B21" s="89">
        <f>[1]Sheet3!K30</f>
        <v>215764.19999999998</v>
      </c>
      <c r="C21" s="163">
        <v>0.2</v>
      </c>
      <c r="D21" s="149">
        <f t="shared" si="0"/>
        <v>43152.84</v>
      </c>
      <c r="E21" s="149">
        <f t="shared" si="1"/>
        <v>43.152839999999998</v>
      </c>
      <c r="G21" s="90"/>
      <c r="H21" s="90"/>
      <c r="I21" s="90"/>
      <c r="J21" s="90"/>
    </row>
    <row r="22" spans="1:10" x14ac:dyDescent="0.25">
      <c r="A22" s="88">
        <v>2028</v>
      </c>
      <c r="B22" s="89">
        <f>[1]Sheet3!K31</f>
        <v>220049.09999999998</v>
      </c>
      <c r="C22" s="163">
        <v>0.2</v>
      </c>
      <c r="D22" s="149">
        <f t="shared" si="0"/>
        <v>44009.82</v>
      </c>
      <c r="E22" s="149">
        <f t="shared" si="1"/>
        <v>44.009819999999998</v>
      </c>
      <c r="G22" s="90"/>
      <c r="H22" s="90"/>
      <c r="I22" s="90"/>
      <c r="J22" s="90"/>
    </row>
    <row r="23" spans="1:10" x14ac:dyDescent="0.25">
      <c r="A23" s="88">
        <v>2029</v>
      </c>
      <c r="B23" s="89">
        <f>[1]Sheet3!K32</f>
        <v>224334</v>
      </c>
      <c r="C23" s="163">
        <v>0.2</v>
      </c>
      <c r="D23" s="149">
        <f t="shared" si="0"/>
        <v>44866.8</v>
      </c>
      <c r="E23" s="149">
        <f t="shared" si="1"/>
        <v>44.866800000000005</v>
      </c>
      <c r="G23" s="90"/>
      <c r="H23" s="90"/>
      <c r="I23" s="90"/>
      <c r="J23" s="90"/>
    </row>
    <row r="24" spans="1:10" x14ac:dyDescent="0.25">
      <c r="A24" s="88">
        <v>2030</v>
      </c>
      <c r="B24" s="89">
        <f>[1]Sheet3!K33</f>
        <v>228618.9</v>
      </c>
      <c r="C24" s="163">
        <v>0.2</v>
      </c>
      <c r="D24" s="149">
        <f t="shared" si="0"/>
        <v>45723.78</v>
      </c>
      <c r="E24" s="149">
        <f t="shared" si="1"/>
        <v>45.723779999999998</v>
      </c>
      <c r="G24" s="90"/>
      <c r="H24" s="90"/>
      <c r="I24" s="90"/>
      <c r="J24" s="90"/>
    </row>
  </sheetData>
  <mergeCells count="3">
    <mergeCell ref="D3:E3"/>
    <mergeCell ref="B3:B4"/>
    <mergeCell ref="A3:A4"/>
  </mergeCell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Y71"/>
  <sheetViews>
    <sheetView topLeftCell="A51" zoomScaleNormal="100" workbookViewId="0">
      <selection activeCell="B72" sqref="B72"/>
    </sheetView>
  </sheetViews>
  <sheetFormatPr defaultRowHeight="12.75" x14ac:dyDescent="0.25"/>
  <cols>
    <col min="1" max="1" width="9.140625" style="143"/>
    <col min="2" max="2" width="15.5703125" style="143" customWidth="1"/>
    <col min="3" max="3" width="11" style="143" customWidth="1"/>
    <col min="4" max="6" width="9.140625" style="143"/>
    <col min="7" max="7" width="12.28515625" style="143" customWidth="1"/>
    <col min="8" max="8" width="9.140625" style="143"/>
    <col min="9" max="9" width="16.85546875" style="143" customWidth="1"/>
    <col min="10" max="11" width="9.140625" style="143"/>
    <col min="12" max="12" width="9" style="150" bestFit="1" customWidth="1"/>
    <col min="13" max="13" width="12" style="150" bestFit="1" customWidth="1"/>
    <col min="14" max="14" width="2.42578125" style="150" customWidth="1"/>
    <col min="15" max="15" width="7.140625" style="150" customWidth="1"/>
    <col min="16" max="19" width="9.140625" style="150"/>
    <col min="20" max="20" width="1.42578125" style="150" customWidth="1"/>
    <col min="21" max="21" width="7.140625" style="150" customWidth="1"/>
    <col min="22" max="22" width="50.28515625" style="150" customWidth="1"/>
    <col min="23" max="25" width="9.140625" style="150"/>
    <col min="26" max="16384" width="9.140625" style="143"/>
  </cols>
  <sheetData>
    <row r="2" spans="1:21" x14ac:dyDescent="0.25">
      <c r="A2" s="179" t="s">
        <v>152</v>
      </c>
      <c r="B2" s="179"/>
      <c r="C2" s="179"/>
      <c r="D2" s="179"/>
      <c r="E2" s="179"/>
      <c r="F2" s="179"/>
      <c r="G2" s="179"/>
      <c r="H2" s="179"/>
      <c r="I2" s="179"/>
    </row>
    <row r="3" spans="1:21" x14ac:dyDescent="0.25">
      <c r="A3" s="151" t="s">
        <v>151</v>
      </c>
    </row>
    <row r="4" spans="1:21" x14ac:dyDescent="0.25">
      <c r="A4" s="180" t="s">
        <v>8</v>
      </c>
      <c r="B4" s="180" t="s">
        <v>0</v>
      </c>
      <c r="C4" s="180"/>
      <c r="D4" s="180"/>
      <c r="E4" s="180"/>
      <c r="F4" s="180"/>
      <c r="G4" s="180"/>
      <c r="H4" s="180"/>
      <c r="I4" s="184" t="s">
        <v>9</v>
      </c>
    </row>
    <row r="5" spans="1:21" ht="25.5" x14ac:dyDescent="0.25">
      <c r="A5" s="180"/>
      <c r="B5" s="148" t="s">
        <v>1</v>
      </c>
      <c r="C5" s="148" t="s">
        <v>2</v>
      </c>
      <c r="D5" s="148" t="s">
        <v>147</v>
      </c>
      <c r="E5" s="148" t="s">
        <v>4</v>
      </c>
      <c r="F5" s="167" t="s">
        <v>153</v>
      </c>
      <c r="G5" s="148" t="s">
        <v>126</v>
      </c>
      <c r="H5" s="148" t="s">
        <v>7</v>
      </c>
      <c r="I5" s="185"/>
      <c r="P5" s="152"/>
    </row>
    <row r="6" spans="1:21" ht="17.25" customHeight="1" x14ac:dyDescent="0.25">
      <c r="A6" s="153">
        <v>2011</v>
      </c>
      <c r="B6" s="166">
        <v>0.31609999999999999</v>
      </c>
      <c r="C6" s="166">
        <f>4%+9.35%+8.46%+6.21%</f>
        <v>0.2802</v>
      </c>
      <c r="D6" s="166">
        <v>1.35E-2</v>
      </c>
      <c r="E6" s="166">
        <v>0.39019999999999999</v>
      </c>
      <c r="F6" s="164">
        <v>0</v>
      </c>
      <c r="G6" s="164"/>
      <c r="H6" s="164"/>
      <c r="I6" s="154">
        <f>SUM(B6:H6)</f>
        <v>1</v>
      </c>
      <c r="L6" s="91"/>
    </row>
    <row r="7" spans="1:21" x14ac:dyDescent="0.25">
      <c r="A7" s="153">
        <v>2012</v>
      </c>
      <c r="B7" s="166">
        <v>0.31609999999999999</v>
      </c>
      <c r="C7" s="166">
        <f t="shared" ref="C7:C11" si="0">4%+9.35%+8.46%+6.21%</f>
        <v>0.2802</v>
      </c>
      <c r="D7" s="166">
        <v>1.35E-2</v>
      </c>
      <c r="E7" s="166">
        <v>0.39019999999999999</v>
      </c>
      <c r="F7" s="164">
        <v>0</v>
      </c>
      <c r="G7" s="164"/>
      <c r="H7" s="164"/>
      <c r="I7" s="154">
        <f t="shared" ref="I7:I25" si="1">SUM(B7:H7)</f>
        <v>1</v>
      </c>
      <c r="L7" s="150">
        <v>2000</v>
      </c>
      <c r="M7" s="150">
        <f>M8-(M8*0.024)</f>
        <v>0</v>
      </c>
      <c r="N7" s="92"/>
      <c r="O7" s="93"/>
      <c r="P7" s="152"/>
      <c r="S7" s="155"/>
      <c r="T7" s="156"/>
      <c r="U7" s="155"/>
    </row>
    <row r="8" spans="1:21" x14ac:dyDescent="0.25">
      <c r="A8" s="153">
        <v>2013</v>
      </c>
      <c r="B8" s="166">
        <v>0.31609999999999999</v>
      </c>
      <c r="C8" s="166">
        <f t="shared" si="0"/>
        <v>0.2802</v>
      </c>
      <c r="D8" s="166">
        <v>1.35E-2</v>
      </c>
      <c r="E8" s="166">
        <v>0.39019999999999999</v>
      </c>
      <c r="F8" s="164">
        <v>0</v>
      </c>
      <c r="G8" s="164"/>
      <c r="H8" s="164"/>
      <c r="I8" s="154">
        <f t="shared" si="1"/>
        <v>1</v>
      </c>
      <c r="L8" s="150">
        <v>2001</v>
      </c>
      <c r="M8" s="150">
        <f t="shared" ref="M8:M10" si="2">M9-(M9*0.024)</f>
        <v>0</v>
      </c>
      <c r="N8" s="93"/>
      <c r="O8" s="93"/>
      <c r="P8" s="152"/>
      <c r="S8" s="157"/>
      <c r="T8" s="157"/>
      <c r="U8" s="157"/>
    </row>
    <row r="9" spans="1:21" x14ac:dyDescent="0.25">
      <c r="A9" s="153">
        <v>2014</v>
      </c>
      <c r="B9" s="166">
        <v>0.31609999999999999</v>
      </c>
      <c r="C9" s="166">
        <f t="shared" si="0"/>
        <v>0.2802</v>
      </c>
      <c r="D9" s="166">
        <v>1.35E-2</v>
      </c>
      <c r="E9" s="166">
        <v>0.39019999999999999</v>
      </c>
      <c r="F9" s="164">
        <v>0</v>
      </c>
      <c r="G9" s="164"/>
      <c r="H9" s="164"/>
      <c r="I9" s="154">
        <f t="shared" si="1"/>
        <v>1</v>
      </c>
      <c r="L9" s="150">
        <v>2002</v>
      </c>
      <c r="M9" s="150">
        <f t="shared" si="2"/>
        <v>0</v>
      </c>
      <c r="N9" s="93"/>
      <c r="O9" s="93"/>
      <c r="P9" s="152"/>
    </row>
    <row r="10" spans="1:21" x14ac:dyDescent="0.25">
      <c r="A10" s="153">
        <v>2015</v>
      </c>
      <c r="B10" s="166">
        <v>0.31609999999999999</v>
      </c>
      <c r="C10" s="166">
        <f t="shared" si="0"/>
        <v>0.2802</v>
      </c>
      <c r="D10" s="166">
        <v>1.35E-2</v>
      </c>
      <c r="E10" s="166">
        <v>0.39019999999999999</v>
      </c>
      <c r="F10" s="164">
        <v>0</v>
      </c>
      <c r="G10" s="164"/>
      <c r="H10" s="164"/>
      <c r="I10" s="154">
        <f t="shared" si="1"/>
        <v>1</v>
      </c>
      <c r="L10" s="150">
        <v>2003</v>
      </c>
      <c r="M10" s="150">
        <f t="shared" si="2"/>
        <v>0</v>
      </c>
      <c r="N10" s="92"/>
      <c r="O10" s="93"/>
      <c r="P10" s="152"/>
    </row>
    <row r="11" spans="1:21" x14ac:dyDescent="0.25">
      <c r="A11" s="153">
        <v>2016</v>
      </c>
      <c r="B11" s="166">
        <v>0.31609999999999999</v>
      </c>
      <c r="C11" s="166">
        <f t="shared" si="0"/>
        <v>0.2802</v>
      </c>
      <c r="D11" s="166">
        <v>1.35E-2</v>
      </c>
      <c r="E11" s="166">
        <v>0.39019999999999999</v>
      </c>
      <c r="F11" s="164">
        <v>0</v>
      </c>
      <c r="G11" s="164"/>
      <c r="H11" s="164"/>
      <c r="I11" s="154">
        <f t="shared" si="1"/>
        <v>1</v>
      </c>
      <c r="L11" s="150">
        <v>2004</v>
      </c>
      <c r="M11" s="150">
        <f>M12-(M12*0.024)</f>
        <v>0</v>
      </c>
    </row>
    <row r="12" spans="1:21" x14ac:dyDescent="0.25">
      <c r="A12" s="153">
        <v>2017</v>
      </c>
      <c r="B12" s="166">
        <f>B11*1.0255</f>
        <v>0.32416054999999999</v>
      </c>
      <c r="C12" s="166">
        <f>C11*(1-0.0238)</f>
        <v>0.27353124000000001</v>
      </c>
      <c r="D12" s="166">
        <f t="shared" ref="D12:D24" si="3">D11*1.0285</f>
        <v>1.388475E-2</v>
      </c>
      <c r="E12" s="166">
        <f>E11*(1-0.0119)</f>
        <v>0.38555661999999996</v>
      </c>
      <c r="F12" s="164">
        <v>0.02</v>
      </c>
      <c r="G12" s="164"/>
      <c r="H12" s="164"/>
      <c r="I12" s="154">
        <f t="shared" si="1"/>
        <v>1.01713316</v>
      </c>
      <c r="L12" s="150">
        <v>2005</v>
      </c>
      <c r="M12" s="150">
        <f>M13-(M13*O29)</f>
        <v>0</v>
      </c>
    </row>
    <row r="13" spans="1:21" x14ac:dyDescent="0.25">
      <c r="A13" s="153">
        <v>2018</v>
      </c>
      <c r="B13" s="166">
        <f t="shared" ref="B13:B24" si="4">B12*1.0255</f>
        <v>0.332426644025</v>
      </c>
      <c r="C13" s="166">
        <f t="shared" ref="C13:C24" si="5">C12*(1-0.0238)</f>
        <v>0.26702119648799999</v>
      </c>
      <c r="D13" s="166">
        <f t="shared" si="3"/>
        <v>1.4280465374999999E-2</v>
      </c>
      <c r="E13" s="166">
        <f t="shared" ref="E13:E24" si="6">E12*(1-0.0119)</f>
        <v>0.38096849622199996</v>
      </c>
      <c r="F13" s="164">
        <f>F12*1.073</f>
        <v>2.146E-2</v>
      </c>
      <c r="G13" s="164"/>
      <c r="H13" s="164"/>
      <c r="I13" s="154">
        <f t="shared" si="1"/>
        <v>1.01615680211</v>
      </c>
      <c r="L13" s="150">
        <v>2006</v>
      </c>
      <c r="M13" s="150">
        <f>M14-(M14*O29)</f>
        <v>0</v>
      </c>
    </row>
    <row r="14" spans="1:21" x14ac:dyDescent="0.25">
      <c r="A14" s="153">
        <v>2019</v>
      </c>
      <c r="B14" s="166">
        <f t="shared" si="4"/>
        <v>0.34090352344763752</v>
      </c>
      <c r="C14" s="166">
        <f t="shared" si="5"/>
        <v>0.26066609201158558</v>
      </c>
      <c r="D14" s="166">
        <f t="shared" si="3"/>
        <v>1.4687458638187498E-2</v>
      </c>
      <c r="E14" s="166">
        <f t="shared" si="6"/>
        <v>0.37643497111695817</v>
      </c>
      <c r="F14" s="164">
        <f t="shared" ref="F14:F24" si="7">F13*1.073</f>
        <v>2.3026579999999998E-2</v>
      </c>
      <c r="G14" s="164"/>
      <c r="H14" s="164"/>
      <c r="I14" s="154">
        <f t="shared" si="1"/>
        <v>1.0157186252143688</v>
      </c>
      <c r="L14" s="150">
        <v>2007</v>
      </c>
      <c r="M14" s="150">
        <f>M15-(M15*O29)</f>
        <v>0</v>
      </c>
      <c r="P14" s="152"/>
    </row>
    <row r="15" spans="1:21" x14ac:dyDescent="0.25">
      <c r="A15" s="153">
        <v>2020</v>
      </c>
      <c r="B15" s="166">
        <f t="shared" si="4"/>
        <v>0.34959656329555233</v>
      </c>
      <c r="C15" s="166">
        <f t="shared" si="5"/>
        <v>0.25446223902170984</v>
      </c>
      <c r="D15" s="166">
        <f t="shared" si="3"/>
        <v>1.5106051209375842E-2</v>
      </c>
      <c r="E15" s="166">
        <f t="shared" si="6"/>
        <v>0.37195539496066637</v>
      </c>
      <c r="F15" s="164">
        <f t="shared" si="7"/>
        <v>2.4707520339999997E-2</v>
      </c>
      <c r="G15" s="164"/>
      <c r="H15" s="164"/>
      <c r="I15" s="154">
        <f t="shared" si="1"/>
        <v>1.0158277688273043</v>
      </c>
      <c r="L15" s="150">
        <v>2008</v>
      </c>
      <c r="M15" s="150">
        <f>M27-(M27*O29)</f>
        <v>0</v>
      </c>
      <c r="S15" s="155"/>
    </row>
    <row r="16" spans="1:21" x14ac:dyDescent="0.25">
      <c r="A16" s="153">
        <v>2021</v>
      </c>
      <c r="B16" s="166">
        <f t="shared" si="4"/>
        <v>0.35851127565958896</v>
      </c>
      <c r="C16" s="166">
        <f t="shared" si="5"/>
        <v>0.24840603773299313</v>
      </c>
      <c r="D16" s="166">
        <f t="shared" si="3"/>
        <v>1.5536573668843054E-2</v>
      </c>
      <c r="E16" s="166">
        <f t="shared" si="6"/>
        <v>0.36752912576063446</v>
      </c>
      <c r="F16" s="164">
        <f t="shared" si="7"/>
        <v>2.6511169324819995E-2</v>
      </c>
      <c r="G16" s="164"/>
      <c r="H16" s="164"/>
      <c r="I16" s="154">
        <f t="shared" si="1"/>
        <v>1.0164941821468796</v>
      </c>
      <c r="S16" s="155"/>
    </row>
    <row r="17" spans="1:19" x14ac:dyDescent="0.25">
      <c r="A17" s="153">
        <v>2022</v>
      </c>
      <c r="B17" s="166">
        <f t="shared" si="4"/>
        <v>0.36765331318890848</v>
      </c>
      <c r="C17" s="166">
        <f t="shared" si="5"/>
        <v>0.24249397403494788</v>
      </c>
      <c r="D17" s="166">
        <f t="shared" si="3"/>
        <v>1.5979366018405081E-2</v>
      </c>
      <c r="E17" s="166">
        <f t="shared" si="6"/>
        <v>0.36315552916408289</v>
      </c>
      <c r="F17" s="164">
        <f t="shared" si="7"/>
        <v>2.8446484685531855E-2</v>
      </c>
      <c r="G17" s="164"/>
      <c r="H17" s="164"/>
      <c r="I17" s="154">
        <f t="shared" si="1"/>
        <v>1.0177286670918761</v>
      </c>
      <c r="S17" s="155"/>
    </row>
    <row r="18" spans="1:19" x14ac:dyDescent="0.25">
      <c r="A18" s="153">
        <v>2023</v>
      </c>
      <c r="B18" s="166">
        <f t="shared" si="4"/>
        <v>0.37702847267522566</v>
      </c>
      <c r="C18" s="166">
        <f t="shared" si="5"/>
        <v>0.23672261745291612</v>
      </c>
      <c r="D18" s="166">
        <f t="shared" si="3"/>
        <v>1.6434777949929626E-2</v>
      </c>
      <c r="E18" s="166">
        <f t="shared" si="6"/>
        <v>0.35883397836703029</v>
      </c>
      <c r="F18" s="164">
        <f t="shared" si="7"/>
        <v>3.052307806757568E-2</v>
      </c>
      <c r="G18" s="164"/>
      <c r="H18" s="164"/>
      <c r="I18" s="154">
        <f t="shared" si="1"/>
        <v>1.0195429245126773</v>
      </c>
      <c r="S18" s="155"/>
    </row>
    <row r="19" spans="1:19" x14ac:dyDescent="0.25">
      <c r="A19" s="153">
        <v>2024</v>
      </c>
      <c r="B19" s="166">
        <f t="shared" si="4"/>
        <v>0.38664269872844392</v>
      </c>
      <c r="C19" s="166">
        <f t="shared" si="5"/>
        <v>0.2310886191575367</v>
      </c>
      <c r="D19" s="166">
        <f t="shared" si="3"/>
        <v>1.690316912150262E-2</v>
      </c>
      <c r="E19" s="166">
        <f t="shared" si="6"/>
        <v>0.35456385402446261</v>
      </c>
      <c r="F19" s="164">
        <f t="shared" si="7"/>
        <v>3.27512627665087E-2</v>
      </c>
      <c r="G19" s="164"/>
      <c r="H19" s="164"/>
      <c r="I19" s="154">
        <f t="shared" si="1"/>
        <v>1.0219496037984546</v>
      </c>
      <c r="S19" s="155"/>
    </row>
    <row r="20" spans="1:19" x14ac:dyDescent="0.25">
      <c r="A20" s="153">
        <v>2025</v>
      </c>
      <c r="B20" s="166">
        <f t="shared" si="4"/>
        <v>0.39650208754601929</v>
      </c>
      <c r="C20" s="166">
        <f t="shared" si="5"/>
        <v>0.22558871002158731</v>
      </c>
      <c r="D20" s="166">
        <f t="shared" si="3"/>
        <v>1.7384909441465445E-2</v>
      </c>
      <c r="E20" s="166">
        <f t="shared" si="6"/>
        <v>0.35034454416157151</v>
      </c>
      <c r="F20" s="164">
        <f t="shared" si="7"/>
        <v>3.5142104948463836E-2</v>
      </c>
      <c r="G20" s="164"/>
      <c r="H20" s="164"/>
      <c r="I20" s="154">
        <f t="shared" si="1"/>
        <v>1.0249623561191075</v>
      </c>
      <c r="S20" s="155"/>
    </row>
    <row r="21" spans="1:19" x14ac:dyDescent="0.25">
      <c r="A21" s="153">
        <v>2026</v>
      </c>
      <c r="B21" s="166">
        <f t="shared" si="4"/>
        <v>0.40661289077844281</v>
      </c>
      <c r="C21" s="166">
        <f t="shared" si="5"/>
        <v>0.22021969872307354</v>
      </c>
      <c r="D21" s="166">
        <f t="shared" si="3"/>
        <v>1.7880379360547208E-2</v>
      </c>
      <c r="E21" s="166">
        <f t="shared" si="6"/>
        <v>0.34617544408604878</v>
      </c>
      <c r="F21" s="164">
        <f t="shared" si="7"/>
        <v>3.7707478609701695E-2</v>
      </c>
      <c r="G21" s="164"/>
      <c r="H21" s="164"/>
      <c r="I21" s="154">
        <f t="shared" si="1"/>
        <v>1.0285958915578139</v>
      </c>
      <c r="S21" s="155"/>
    </row>
    <row r="22" spans="1:19" x14ac:dyDescent="0.25">
      <c r="A22" s="153">
        <v>2027</v>
      </c>
      <c r="B22" s="166">
        <f t="shared" si="4"/>
        <v>0.41698151949329315</v>
      </c>
      <c r="C22" s="166">
        <f t="shared" si="5"/>
        <v>0.21497846989346436</v>
      </c>
      <c r="D22" s="166">
        <f t="shared" si="3"/>
        <v>1.8389970172322804E-2</v>
      </c>
      <c r="E22" s="166">
        <f t="shared" si="6"/>
        <v>0.34205595630142477</v>
      </c>
      <c r="F22" s="164">
        <f t="shared" si="7"/>
        <v>4.0460124548209915E-2</v>
      </c>
      <c r="G22" s="164"/>
      <c r="H22" s="164"/>
      <c r="I22" s="154">
        <f t="shared" si="1"/>
        <v>1.0328660404087151</v>
      </c>
      <c r="S22" s="155"/>
    </row>
    <row r="23" spans="1:19" x14ac:dyDescent="0.25">
      <c r="A23" s="153">
        <v>2028</v>
      </c>
      <c r="B23" s="166">
        <f t="shared" si="4"/>
        <v>0.42761454824037215</v>
      </c>
      <c r="C23" s="166">
        <f t="shared" si="5"/>
        <v>0.20986198230999989</v>
      </c>
      <c r="D23" s="166">
        <f t="shared" si="3"/>
        <v>1.8914084322234005E-2</v>
      </c>
      <c r="E23" s="166">
        <f t="shared" si="6"/>
        <v>0.33798549042143783</v>
      </c>
      <c r="F23" s="164">
        <f t="shared" si="7"/>
        <v>4.3413713640229237E-2</v>
      </c>
      <c r="G23" s="164"/>
      <c r="H23" s="164"/>
      <c r="I23" s="154">
        <f t="shared" si="1"/>
        <v>1.0377898189342731</v>
      </c>
      <c r="S23" s="155"/>
    </row>
    <row r="24" spans="1:19" x14ac:dyDescent="0.25">
      <c r="A24" s="153">
        <v>2029</v>
      </c>
      <c r="B24" s="166">
        <f t="shared" si="4"/>
        <v>0.43851871922050167</v>
      </c>
      <c r="C24" s="166">
        <f t="shared" si="5"/>
        <v>0.20486726713102188</v>
      </c>
      <c r="D24" s="166">
        <f t="shared" si="3"/>
        <v>1.9453135725417674E-2</v>
      </c>
      <c r="E24" s="166">
        <f t="shared" si="6"/>
        <v>0.33396346308542268</v>
      </c>
      <c r="F24" s="164">
        <f t="shared" si="7"/>
        <v>4.6582914735965972E-2</v>
      </c>
      <c r="G24" s="164"/>
      <c r="H24" s="164"/>
      <c r="I24" s="154">
        <f t="shared" si="1"/>
        <v>1.0433854998983298</v>
      </c>
      <c r="S24" s="155"/>
    </row>
    <row r="25" spans="1:19" x14ac:dyDescent="0.25">
      <c r="A25" s="153">
        <v>2030</v>
      </c>
      <c r="B25" s="166">
        <v>0.45</v>
      </c>
      <c r="C25" s="166">
        <v>0.2</v>
      </c>
      <c r="D25" s="166">
        <v>0.02</v>
      </c>
      <c r="E25" s="166">
        <v>0.33</v>
      </c>
      <c r="F25" s="164">
        <v>0.05</v>
      </c>
      <c r="G25" s="164"/>
      <c r="H25" s="164"/>
      <c r="I25" s="154">
        <f t="shared" si="1"/>
        <v>1.05</v>
      </c>
      <c r="S25" s="155"/>
    </row>
    <row r="26" spans="1:19" ht="14.25" customHeight="1" x14ac:dyDescent="0.25">
      <c r="B26" s="165">
        <f>((B25/B11)^(1/14)-1)</f>
        <v>2.5548696592848197E-2</v>
      </c>
      <c r="C26" s="165">
        <f t="shared" ref="C26:H26" si="8">((C25/C11)^(1/14)-1)</f>
        <v>-2.379701072791307E-2</v>
      </c>
      <c r="D26" s="165">
        <f t="shared" si="8"/>
        <v>2.8472272495493778E-2</v>
      </c>
      <c r="E26" s="165">
        <f>((E25/E11)^(1/14)-1)</f>
        <v>-1.1897711048976523E-2</v>
      </c>
      <c r="F26" s="165" t="e">
        <f t="shared" si="8"/>
        <v>#DIV/0!</v>
      </c>
      <c r="G26" s="165" t="e">
        <f t="shared" si="8"/>
        <v>#DIV/0!</v>
      </c>
      <c r="H26" s="165" t="e">
        <f t="shared" si="8"/>
        <v>#DIV/0!</v>
      </c>
    </row>
    <row r="27" spans="1:19" x14ac:dyDescent="0.25">
      <c r="A27" s="180" t="s">
        <v>10</v>
      </c>
      <c r="B27" s="181" t="s">
        <v>148</v>
      </c>
      <c r="C27" s="182"/>
      <c r="D27" s="182"/>
      <c r="E27" s="182"/>
      <c r="F27" s="182"/>
      <c r="G27" s="182"/>
      <c r="H27" s="183"/>
      <c r="I27" s="184" t="s">
        <v>39</v>
      </c>
    </row>
    <row r="28" spans="1:19" ht="25.5" x14ac:dyDescent="0.25">
      <c r="A28" s="180"/>
      <c r="B28" s="148" t="s">
        <v>1</v>
      </c>
      <c r="C28" s="148" t="s">
        <v>2</v>
      </c>
      <c r="D28" s="148" t="s">
        <v>147</v>
      </c>
      <c r="E28" s="142" t="s">
        <v>4</v>
      </c>
      <c r="F28" s="167" t="s">
        <v>153</v>
      </c>
      <c r="G28" s="148" t="s">
        <v>126</v>
      </c>
      <c r="H28" s="142" t="s">
        <v>7</v>
      </c>
      <c r="I28" s="185"/>
    </row>
    <row r="29" spans="1:19" x14ac:dyDescent="0.25">
      <c r="A29" s="153">
        <v>2011</v>
      </c>
      <c r="B29" s="158">
        <f t="shared" ref="B29:H29" si="9">$I$29*B6</f>
        <v>9.3825434200000011</v>
      </c>
      <c r="C29" s="158">
        <f t="shared" si="9"/>
        <v>8.3169524400000014</v>
      </c>
      <c r="D29" s="158">
        <f t="shared" si="9"/>
        <v>0.4007097</v>
      </c>
      <c r="E29" s="159">
        <f t="shared" si="9"/>
        <v>11.581994440000001</v>
      </c>
      <c r="F29" s="168">
        <f>$I$29*F6</f>
        <v>0</v>
      </c>
      <c r="G29" s="158">
        <f t="shared" si="9"/>
        <v>0</v>
      </c>
      <c r="H29" s="160">
        <f t="shared" si="9"/>
        <v>0</v>
      </c>
      <c r="I29" s="161">
        <f>'timbulan sampah'!E5</f>
        <v>29.682200000000002</v>
      </c>
      <c r="J29" s="162">
        <f>SUM(B29:H29)</f>
        <v>29.682200000000002</v>
      </c>
    </row>
    <row r="30" spans="1:19" x14ac:dyDescent="0.25">
      <c r="A30" s="153">
        <v>2012</v>
      </c>
      <c r="B30" s="158">
        <f t="shared" ref="B30:H30" si="10">$I$30*B7</f>
        <v>9.6150665800000006</v>
      </c>
      <c r="C30" s="158">
        <f t="shared" si="10"/>
        <v>8.5230675600000012</v>
      </c>
      <c r="D30" s="158">
        <f t="shared" si="10"/>
        <v>0.41064030000000001</v>
      </c>
      <c r="E30" s="159">
        <f t="shared" si="10"/>
        <v>11.869025560000001</v>
      </c>
      <c r="F30" s="168">
        <f t="shared" si="10"/>
        <v>0</v>
      </c>
      <c r="G30" s="158">
        <f t="shared" si="10"/>
        <v>0</v>
      </c>
      <c r="H30" s="160">
        <f t="shared" si="10"/>
        <v>0</v>
      </c>
      <c r="I30" s="161">
        <f>'timbulan sampah'!E6</f>
        <v>30.417800000000003</v>
      </c>
      <c r="J30" s="162">
        <f t="shared" ref="J30:J48" si="11">SUM(B30:H30)</f>
        <v>30.417800000000003</v>
      </c>
    </row>
    <row r="31" spans="1:19" x14ac:dyDescent="0.25">
      <c r="A31" s="153">
        <v>2013</v>
      </c>
      <c r="B31" s="158">
        <f t="shared" ref="B31:H31" si="12">$I$31*B8</f>
        <v>9.8547335999999994</v>
      </c>
      <c r="C31" s="158">
        <f t="shared" si="12"/>
        <v>8.7355152</v>
      </c>
      <c r="D31" s="158">
        <f t="shared" si="12"/>
        <v>0.42087599999999997</v>
      </c>
      <c r="E31" s="159">
        <f t="shared" si="12"/>
        <v>12.164875199999999</v>
      </c>
      <c r="F31" s="168">
        <f t="shared" si="12"/>
        <v>0</v>
      </c>
      <c r="G31" s="158">
        <f t="shared" si="12"/>
        <v>0</v>
      </c>
      <c r="H31" s="160">
        <f t="shared" si="12"/>
        <v>0</v>
      </c>
      <c r="I31" s="161">
        <f>'timbulan sampah'!E7</f>
        <v>31.175999999999998</v>
      </c>
      <c r="J31" s="162">
        <f t="shared" si="11"/>
        <v>31.175999999999995</v>
      </c>
    </row>
    <row r="32" spans="1:19" x14ac:dyDescent="0.25">
      <c r="A32" s="153">
        <v>2014</v>
      </c>
      <c r="B32" s="158">
        <f t="shared" ref="B32:H32" si="13">$I$32*B9</f>
        <v>10.09079708</v>
      </c>
      <c r="C32" s="158">
        <f t="shared" si="13"/>
        <v>8.94476856</v>
      </c>
      <c r="D32" s="158">
        <f t="shared" si="13"/>
        <v>0.4309578</v>
      </c>
      <c r="E32" s="159">
        <f t="shared" si="13"/>
        <v>12.456276560000001</v>
      </c>
      <c r="F32" s="168">
        <f t="shared" si="13"/>
        <v>0</v>
      </c>
      <c r="G32" s="158">
        <f t="shared" si="13"/>
        <v>0</v>
      </c>
      <c r="H32" s="160">
        <f t="shared" si="13"/>
        <v>0</v>
      </c>
      <c r="I32" s="161">
        <f>'timbulan sampah'!E8</f>
        <v>31.922800000000002</v>
      </c>
      <c r="J32" s="162">
        <f t="shared" si="11"/>
        <v>31.922800000000002</v>
      </c>
      <c r="P32" s="152"/>
    </row>
    <row r="33" spans="1:16" x14ac:dyDescent="0.25">
      <c r="A33" s="153">
        <v>2015</v>
      </c>
      <c r="B33" s="158">
        <f t="shared" ref="B33:H33" si="14">$I$33*B10</f>
        <v>10.325469719999999</v>
      </c>
      <c r="C33" s="158">
        <f t="shared" si="14"/>
        <v>9.15278904</v>
      </c>
      <c r="D33" s="158">
        <f t="shared" si="14"/>
        <v>0.44098019999999999</v>
      </c>
      <c r="E33" s="159">
        <f t="shared" si="14"/>
        <v>12.745961039999999</v>
      </c>
      <c r="F33" s="168">
        <f t="shared" si="14"/>
        <v>0</v>
      </c>
      <c r="G33" s="158">
        <f t="shared" si="14"/>
        <v>0</v>
      </c>
      <c r="H33" s="160">
        <f t="shared" si="14"/>
        <v>0</v>
      </c>
      <c r="I33" s="161">
        <f>'timbulan sampah'!E9</f>
        <v>32.665199999999999</v>
      </c>
      <c r="J33" s="162">
        <f t="shared" si="11"/>
        <v>32.665199999999999</v>
      </c>
      <c r="P33" s="152"/>
    </row>
    <row r="34" spans="1:16" x14ac:dyDescent="0.25">
      <c r="A34" s="153">
        <v>2016</v>
      </c>
      <c r="B34" s="158">
        <f t="shared" ref="B34:H34" si="15">$I$34*B11</f>
        <v>10.549394959999999</v>
      </c>
      <c r="C34" s="158">
        <f t="shared" si="15"/>
        <v>9.3512827199999986</v>
      </c>
      <c r="D34" s="158">
        <f t="shared" si="15"/>
        <v>0.45054359999999993</v>
      </c>
      <c r="E34" s="159">
        <f t="shared" si="15"/>
        <v>13.022378719999999</v>
      </c>
      <c r="F34" s="168">
        <f t="shared" si="15"/>
        <v>0</v>
      </c>
      <c r="G34" s="158">
        <f t="shared" si="15"/>
        <v>0</v>
      </c>
      <c r="H34" s="160">
        <f t="shared" si="15"/>
        <v>0</v>
      </c>
      <c r="I34" s="161">
        <f>'timbulan sampah'!E10</f>
        <v>33.373599999999996</v>
      </c>
      <c r="J34" s="162">
        <f t="shared" si="11"/>
        <v>33.373599999999996</v>
      </c>
    </row>
    <row r="35" spans="1:16" x14ac:dyDescent="0.25">
      <c r="A35" s="153">
        <v>2017</v>
      </c>
      <c r="B35" s="158">
        <f>(I35*B12)-F35</f>
        <v>10.518796467072002</v>
      </c>
      <c r="C35" s="158">
        <f t="shared" ref="C35:H35" si="16">$I$35*C12</f>
        <v>9.4595418141696008</v>
      </c>
      <c r="D35" s="158">
        <f t="shared" si="16"/>
        <v>0.48017686464000003</v>
      </c>
      <c r="E35" s="159">
        <f t="shared" si="16"/>
        <v>13.3337200117248</v>
      </c>
      <c r="F35" s="168">
        <f>$I$35*F12</f>
        <v>0.69166080000000008</v>
      </c>
      <c r="G35" s="158">
        <f t="shared" si="16"/>
        <v>0</v>
      </c>
      <c r="H35" s="160">
        <f t="shared" si="16"/>
        <v>0</v>
      </c>
      <c r="I35" s="161">
        <f>'timbulan sampah'!E11</f>
        <v>34.583040000000004</v>
      </c>
      <c r="J35" s="162">
        <f t="shared" si="11"/>
        <v>34.483895957606407</v>
      </c>
    </row>
    <row r="36" spans="1:16" x14ac:dyDescent="0.25">
      <c r="A36" s="153">
        <v>2018</v>
      </c>
      <c r="B36" s="158">
        <f t="shared" ref="B36:B48" si="17">(I36*B13)-F36</f>
        <v>11.020664083578879</v>
      </c>
      <c r="C36" s="158">
        <f t="shared" ref="C36:H36" si="18">$I$36*C13</f>
        <v>9.463236543958649</v>
      </c>
      <c r="D36" s="158">
        <f t="shared" si="18"/>
        <v>0.50609997849930743</v>
      </c>
      <c r="E36" s="159">
        <f t="shared" si="18"/>
        <v>13.501531125477602</v>
      </c>
      <c r="F36" s="168">
        <f>$I$36*F13</f>
        <v>0.76054282919999994</v>
      </c>
      <c r="G36" s="158">
        <f t="shared" si="18"/>
        <v>0</v>
      </c>
      <c r="H36" s="160">
        <f t="shared" si="18"/>
        <v>0</v>
      </c>
      <c r="I36" s="161">
        <f>'timbulan sampah'!E12</f>
        <v>35.440019999999997</v>
      </c>
      <c r="J36" s="162">
        <f t="shared" si="11"/>
        <v>35.252074560714441</v>
      </c>
    </row>
    <row r="37" spans="1:16" x14ac:dyDescent="0.25">
      <c r="A37" s="153">
        <v>2019</v>
      </c>
      <c r="B37" s="158">
        <f t="shared" si="17"/>
        <v>11.537979416318899</v>
      </c>
      <c r="C37" s="158">
        <f t="shared" ref="C37:H37" si="19">$I$37*C14</f>
        <v>9.4613971417445217</v>
      </c>
      <c r="D37" s="158">
        <f t="shared" si="19"/>
        <v>0.53311068619029156</v>
      </c>
      <c r="E37" s="159">
        <f t="shared" si="19"/>
        <v>13.663460146632231</v>
      </c>
      <c r="F37" s="168">
        <f>$I$37*F14</f>
        <v>0.83579577425999985</v>
      </c>
      <c r="G37" s="158">
        <f t="shared" si="19"/>
        <v>0</v>
      </c>
      <c r="H37" s="160">
        <f t="shared" si="19"/>
        <v>0</v>
      </c>
      <c r="I37" s="161">
        <f>'timbulan sampah'!E13</f>
        <v>36.296999999999997</v>
      </c>
      <c r="J37" s="162">
        <f t="shared" si="11"/>
        <v>36.03174316514594</v>
      </c>
    </row>
    <row r="38" spans="1:16" x14ac:dyDescent="0.25">
      <c r="A38" s="153">
        <v>2020</v>
      </c>
      <c r="B38" s="158">
        <f t="shared" si="17"/>
        <v>12.070921004189733</v>
      </c>
      <c r="C38" s="158">
        <f t="shared" ref="C38:H38" si="20">$I$38*C15</f>
        <v>9.4542849393678274</v>
      </c>
      <c r="D38" s="158">
        <f t="shared" si="20"/>
        <v>0.56124992451212585</v>
      </c>
      <c r="E38" s="159">
        <f t="shared" si="20"/>
        <v>13.8196233052607</v>
      </c>
      <c r="F38" s="168">
        <f>$I$38*F15</f>
        <v>0.91798271656195318</v>
      </c>
      <c r="G38" s="158">
        <f t="shared" si="20"/>
        <v>0</v>
      </c>
      <c r="H38" s="160">
        <f t="shared" si="20"/>
        <v>0</v>
      </c>
      <c r="I38" s="161">
        <f>'timbulan sampah'!E14</f>
        <v>37.153980000000004</v>
      </c>
      <c r="J38" s="162">
        <f t="shared" si="11"/>
        <v>36.824061889892334</v>
      </c>
    </row>
    <row r="39" spans="1:16" x14ac:dyDescent="0.25">
      <c r="A39" s="153">
        <v>2021</v>
      </c>
      <c r="B39" s="158">
        <f t="shared" si="17"/>
        <v>12.619642761886649</v>
      </c>
      <c r="C39" s="158">
        <f t="shared" ref="C39:H39" si="21">$I$39*C16</f>
        <v>9.4421519640272926</v>
      </c>
      <c r="D39" s="158">
        <f t="shared" si="21"/>
        <v>0.59056008026344653</v>
      </c>
      <c r="E39" s="159">
        <f t="shared" si="21"/>
        <v>13.970134898122446</v>
      </c>
      <c r="F39" s="168">
        <f>$I$39*F16</f>
        <v>1.0077149967589598</v>
      </c>
      <c r="G39" s="158">
        <f t="shared" si="21"/>
        <v>0</v>
      </c>
      <c r="H39" s="160">
        <f t="shared" si="21"/>
        <v>0</v>
      </c>
      <c r="I39" s="161">
        <f>'timbulan sampah'!E15</f>
        <v>38.010959999999997</v>
      </c>
      <c r="J39" s="162">
        <f t="shared" si="11"/>
        <v>37.630204701058801</v>
      </c>
    </row>
    <row r="40" spans="1:16" x14ac:dyDescent="0.25">
      <c r="A40" s="153">
        <v>2022</v>
      </c>
      <c r="B40" s="158">
        <f t="shared" si="17"/>
        <v>13.184270657859534</v>
      </c>
      <c r="C40" s="158">
        <f t="shared" ref="C40:H40" si="22">$I$40*C17</f>
        <v>9.4252412331519135</v>
      </c>
      <c r="D40" s="158">
        <f t="shared" si="22"/>
        <v>0.62108503964140771</v>
      </c>
      <c r="E40" s="159">
        <f t="shared" si="22"/>
        <v>14.115107318217825</v>
      </c>
      <c r="F40" s="168">
        <f>$I$40*F17</f>
        <v>1.1056562599681712</v>
      </c>
      <c r="G40" s="158">
        <f t="shared" si="22"/>
        <v>0</v>
      </c>
      <c r="H40" s="160">
        <f t="shared" si="22"/>
        <v>0</v>
      </c>
      <c r="I40" s="161">
        <f>'timbulan sampah'!E16</f>
        <v>38.867940000000004</v>
      </c>
      <c r="J40" s="162">
        <f t="shared" si="11"/>
        <v>38.451360508838853</v>
      </c>
    </row>
    <row r="41" spans="1:16" x14ac:dyDescent="0.25">
      <c r="A41" s="153">
        <v>2023</v>
      </c>
      <c r="B41" s="158">
        <f t="shared" si="17"/>
        <v>13.764899080357326</v>
      </c>
      <c r="C41" s="158">
        <f t="shared" ref="C41:H41" si="23">$I$41*C18</f>
        <v>9.4037870405076962</v>
      </c>
      <c r="D41" s="158">
        <f t="shared" si="23"/>
        <v>0.65287023927871835</v>
      </c>
      <c r="E41" s="159">
        <f t="shared" si="23"/>
        <v>14.254651083912009</v>
      </c>
      <c r="F41" s="168">
        <f>$I$41*F18</f>
        <v>1.2125268343881983</v>
      </c>
      <c r="G41" s="158">
        <f t="shared" si="23"/>
        <v>0</v>
      </c>
      <c r="H41" s="160">
        <f t="shared" si="23"/>
        <v>0</v>
      </c>
      <c r="I41" s="161">
        <f>'timbulan sampah'!E17</f>
        <v>39.724919999999997</v>
      </c>
      <c r="J41" s="162">
        <f t="shared" si="11"/>
        <v>39.288734278443954</v>
      </c>
    </row>
    <row r="42" spans="1:16" x14ac:dyDescent="0.25">
      <c r="A42" s="153">
        <v>2024</v>
      </c>
      <c r="B42" s="158">
        <f t="shared" si="17"/>
        <v>14.361586865063661</v>
      </c>
      <c r="C42" s="158">
        <f t="shared" ref="C42:H42" si="24">$I$42*C19</f>
        <v>9.37801523378924</v>
      </c>
      <c r="D42" s="158">
        <f t="shared" si="24"/>
        <v>0.68596271897190719</v>
      </c>
      <c r="E42" s="159">
        <f t="shared" si="24"/>
        <v>14.388874867635341</v>
      </c>
      <c r="F42" s="168">
        <f>$I$42*F19</f>
        <v>1.3291084704641796</v>
      </c>
      <c r="G42" s="158">
        <f t="shared" si="24"/>
        <v>0</v>
      </c>
      <c r="H42" s="160">
        <f t="shared" si="24"/>
        <v>0</v>
      </c>
      <c r="I42" s="161">
        <f>'timbulan sampah'!E18</f>
        <v>40.581900000000005</v>
      </c>
      <c r="J42" s="162">
        <f t="shared" si="11"/>
        <v>40.143548155924321</v>
      </c>
    </row>
    <row r="43" spans="1:16" x14ac:dyDescent="0.25">
      <c r="A43" s="153">
        <v>2025</v>
      </c>
      <c r="B43" s="158">
        <f t="shared" si="17"/>
        <v>14.974352955662189</v>
      </c>
      <c r="C43" s="158">
        <f t="shared" ref="C43:H43" si="25">$I$43*C20</f>
        <v>9.3481434839393547</v>
      </c>
      <c r="D43" s="158">
        <f t="shared" si="25"/>
        <v>0.72041117615575367</v>
      </c>
      <c r="E43" s="159">
        <f t="shared" si="25"/>
        <v>14.517885524166065</v>
      </c>
      <c r="F43" s="168">
        <f>$I$43*F20</f>
        <v>1.4562494699067992</v>
      </c>
      <c r="G43" s="158">
        <f t="shared" si="25"/>
        <v>0</v>
      </c>
      <c r="H43" s="160">
        <f t="shared" si="25"/>
        <v>0</v>
      </c>
      <c r="I43" s="161">
        <f>'timbulan sampah'!E19</f>
        <v>41.438880000000005</v>
      </c>
      <c r="J43" s="162">
        <f t="shared" si="11"/>
        <v>41.017042609830163</v>
      </c>
    </row>
    <row r="44" spans="1:16" x14ac:dyDescent="0.25">
      <c r="A44" s="153">
        <v>2026</v>
      </c>
      <c r="B44" s="158">
        <f t="shared" si="17"/>
        <v>15.603171666331372</v>
      </c>
      <c r="C44" s="158">
        <f t="shared" ref="C44:H44" si="26">$I$44*C21</f>
        <v>9.314381546433296</v>
      </c>
      <c r="D44" s="158">
        <f t="shared" si="26"/>
        <v>0.75626602218059424</v>
      </c>
      <c r="E44" s="159">
        <f t="shared" si="26"/>
        <v>14.641788118501346</v>
      </c>
      <c r="F44" s="168">
        <f>$I$44*F21</f>
        <v>1.5948702362289375</v>
      </c>
      <c r="G44" s="158">
        <f t="shared" si="26"/>
        <v>0</v>
      </c>
      <c r="H44" s="160">
        <f t="shared" si="26"/>
        <v>0</v>
      </c>
      <c r="I44" s="161">
        <f>'timbulan sampah'!E20</f>
        <v>42.295859999999998</v>
      </c>
      <c r="J44" s="162">
        <f t="shared" si="11"/>
        <v>41.910477589675544</v>
      </c>
    </row>
    <row r="45" spans="1:16" x14ac:dyDescent="0.25">
      <c r="A45" s="153">
        <v>2027</v>
      </c>
      <c r="B45" s="158">
        <f t="shared" si="17"/>
        <v>16.247967512641985</v>
      </c>
      <c r="C45" s="158">
        <f t="shared" ref="C45:H45" si="27">$I$45*C22</f>
        <v>9.276931514757484</v>
      </c>
      <c r="D45" s="158">
        <f t="shared" si="27"/>
        <v>0.79357944045101836</v>
      </c>
      <c r="E45" s="159">
        <f t="shared" si="27"/>
        <v>14.760685953322374</v>
      </c>
      <c r="F45" s="168">
        <f>$I$45*F22</f>
        <v>1.7459692810089746</v>
      </c>
      <c r="G45" s="158">
        <f t="shared" si="27"/>
        <v>0</v>
      </c>
      <c r="H45" s="160">
        <f t="shared" si="27"/>
        <v>0</v>
      </c>
      <c r="I45" s="161">
        <f>'timbulan sampah'!E21</f>
        <v>43.152839999999998</v>
      </c>
      <c r="J45" s="162">
        <f t="shared" si="11"/>
        <v>42.825133702181837</v>
      </c>
    </row>
    <row r="46" spans="1:16" x14ac:dyDescent="0.25">
      <c r="A46" s="153">
        <v>2028</v>
      </c>
      <c r="B46" s="158">
        <f t="shared" si="17"/>
        <v>16.90860957460206</v>
      </c>
      <c r="C46" s="158">
        <f t="shared" ref="C46:H46" si="28">$I$46*C23</f>
        <v>9.2359880663062786</v>
      </c>
      <c r="D46" s="158">
        <f t="shared" si="28"/>
        <v>0.83240544648634052</v>
      </c>
      <c r="E46" s="159">
        <f t="shared" si="28"/>
        <v>14.874680596059202</v>
      </c>
      <c r="F46" s="168">
        <f>$I$46*F23</f>
        <v>1.9106297228380333</v>
      </c>
      <c r="G46" s="158">
        <f t="shared" si="28"/>
        <v>0</v>
      </c>
      <c r="H46" s="159">
        <f t="shared" si="28"/>
        <v>0</v>
      </c>
      <c r="I46" s="161">
        <f>'timbulan sampah'!E22</f>
        <v>44.009819999999998</v>
      </c>
      <c r="J46" s="162">
        <f t="shared" si="11"/>
        <v>43.762313406291909</v>
      </c>
    </row>
    <row r="47" spans="1:16" x14ac:dyDescent="0.25">
      <c r="A47" s="153">
        <v>2029</v>
      </c>
      <c r="B47" s="158">
        <f t="shared" si="17"/>
        <v>17.584905352646771</v>
      </c>
      <c r="C47" s="158">
        <f t="shared" ref="C47:H47" si="29">$I$47*C24</f>
        <v>9.1917387009141329</v>
      </c>
      <c r="D47" s="158">
        <f t="shared" si="29"/>
        <v>0.87279994996516974</v>
      </c>
      <c r="E47" s="159">
        <f t="shared" si="29"/>
        <v>14.983871905561044</v>
      </c>
      <c r="F47" s="168">
        <f>$I$47*F24</f>
        <v>2.0900263188756383</v>
      </c>
      <c r="G47" s="158">
        <f t="shared" si="29"/>
        <v>0</v>
      </c>
      <c r="H47" s="159">
        <f t="shared" si="29"/>
        <v>0</v>
      </c>
      <c r="I47" s="161">
        <f>'timbulan sampah'!E23</f>
        <v>44.866800000000005</v>
      </c>
      <c r="J47" s="162">
        <f t="shared" si="11"/>
        <v>44.723342227962753</v>
      </c>
    </row>
    <row r="48" spans="1:16" x14ac:dyDescent="0.25">
      <c r="A48" s="153">
        <v>2030</v>
      </c>
      <c r="B48" s="158">
        <f t="shared" si="17"/>
        <v>18.289511999999998</v>
      </c>
      <c r="C48" s="158">
        <f t="shared" ref="C48:H48" si="30">$I$48*C25</f>
        <v>9.1447559999999992</v>
      </c>
      <c r="D48" s="158">
        <f t="shared" si="30"/>
        <v>0.91447559999999994</v>
      </c>
      <c r="E48" s="159">
        <f t="shared" si="30"/>
        <v>15.088847400000001</v>
      </c>
      <c r="F48" s="168">
        <f>$I$48*F25</f>
        <v>2.2861889999999998</v>
      </c>
      <c r="G48" s="158">
        <f t="shared" si="30"/>
        <v>0</v>
      </c>
      <c r="H48" s="159">
        <f t="shared" si="30"/>
        <v>0</v>
      </c>
      <c r="I48" s="161">
        <f>'timbulan sampah'!E24</f>
        <v>45.723779999999998</v>
      </c>
      <c r="J48" s="162">
        <f t="shared" si="11"/>
        <v>45.723779999999998</v>
      </c>
    </row>
    <row r="50" spans="2:6" x14ac:dyDescent="0.25">
      <c r="B50" s="174">
        <f>B29*1000</f>
        <v>9382.5434200000018</v>
      </c>
      <c r="E50" s="153">
        <v>2017</v>
      </c>
      <c r="F50" s="171">
        <f>F35*1000</f>
        <v>691.66080000000011</v>
      </c>
    </row>
    <row r="51" spans="2:6" x14ac:dyDescent="0.25">
      <c r="B51" s="174">
        <f t="shared" ref="B51:B69" si="31">B30*1000</f>
        <v>9615.0665800000006</v>
      </c>
      <c r="E51" s="153">
        <v>2018</v>
      </c>
      <c r="F51" s="171">
        <f t="shared" ref="F51:F63" si="32">F36*1000</f>
        <v>760.54282919999991</v>
      </c>
    </row>
    <row r="52" spans="2:6" x14ac:dyDescent="0.25">
      <c r="B52" s="174">
        <f t="shared" si="31"/>
        <v>9854.7335999999996</v>
      </c>
      <c r="E52" s="153">
        <v>2019</v>
      </c>
      <c r="F52" s="171">
        <f t="shared" si="32"/>
        <v>835.7957742599998</v>
      </c>
    </row>
    <row r="53" spans="2:6" x14ac:dyDescent="0.25">
      <c r="B53" s="174">
        <f t="shared" si="31"/>
        <v>10090.79708</v>
      </c>
      <c r="E53" s="153">
        <v>2020</v>
      </c>
      <c r="F53" s="171">
        <f t="shared" si="32"/>
        <v>917.98271656195323</v>
      </c>
    </row>
    <row r="54" spans="2:6" x14ac:dyDescent="0.25">
      <c r="B54" s="174">
        <f t="shared" si="31"/>
        <v>10325.469719999999</v>
      </c>
      <c r="E54" s="153">
        <v>2021</v>
      </c>
      <c r="F54" s="171">
        <f t="shared" si="32"/>
        <v>1007.7149967589598</v>
      </c>
    </row>
    <row r="55" spans="2:6" x14ac:dyDescent="0.25">
      <c r="B55" s="174">
        <f t="shared" si="31"/>
        <v>10549.39496</v>
      </c>
      <c r="E55" s="153">
        <v>2022</v>
      </c>
      <c r="F55" s="171">
        <f t="shared" si="32"/>
        <v>1105.6562599681711</v>
      </c>
    </row>
    <row r="56" spans="2:6" x14ac:dyDescent="0.25">
      <c r="B56" s="174">
        <f t="shared" si="31"/>
        <v>10518.796467072003</v>
      </c>
      <c r="E56" s="153">
        <v>2023</v>
      </c>
      <c r="F56" s="171">
        <f t="shared" si="32"/>
        <v>1212.5268343881983</v>
      </c>
    </row>
    <row r="57" spans="2:6" x14ac:dyDescent="0.25">
      <c r="B57" s="174">
        <f t="shared" si="31"/>
        <v>11020.664083578878</v>
      </c>
      <c r="E57" s="153">
        <v>2024</v>
      </c>
      <c r="F57" s="171">
        <f t="shared" si="32"/>
        <v>1329.1084704641796</v>
      </c>
    </row>
    <row r="58" spans="2:6" x14ac:dyDescent="0.25">
      <c r="B58" s="174">
        <f t="shared" si="31"/>
        <v>11537.9794163189</v>
      </c>
      <c r="E58" s="153">
        <v>2025</v>
      </c>
      <c r="F58" s="171">
        <f t="shared" si="32"/>
        <v>1456.249469906799</v>
      </c>
    </row>
    <row r="59" spans="2:6" x14ac:dyDescent="0.25">
      <c r="B59" s="174">
        <f t="shared" si="31"/>
        <v>12070.921004189733</v>
      </c>
      <c r="E59" s="153">
        <v>2026</v>
      </c>
      <c r="F59" s="171">
        <f t="shared" si="32"/>
        <v>1594.8702362289375</v>
      </c>
    </row>
    <row r="60" spans="2:6" x14ac:dyDescent="0.25">
      <c r="B60" s="174">
        <f t="shared" si="31"/>
        <v>12619.642761886649</v>
      </c>
      <c r="E60" s="153">
        <v>2027</v>
      </c>
      <c r="F60" s="171">
        <f t="shared" si="32"/>
        <v>1745.9692810089746</v>
      </c>
    </row>
    <row r="61" spans="2:6" x14ac:dyDescent="0.25">
      <c r="B61" s="174">
        <f t="shared" si="31"/>
        <v>13184.270657859533</v>
      </c>
      <c r="E61" s="153">
        <v>2028</v>
      </c>
      <c r="F61" s="171">
        <f t="shared" si="32"/>
        <v>1910.6297228380333</v>
      </c>
    </row>
    <row r="62" spans="2:6" x14ac:dyDescent="0.25">
      <c r="B62" s="174">
        <f t="shared" si="31"/>
        <v>13764.899080357325</v>
      </c>
      <c r="E62" s="153">
        <v>2029</v>
      </c>
      <c r="F62" s="171">
        <f t="shared" si="32"/>
        <v>2090.0263188756385</v>
      </c>
    </row>
    <row r="63" spans="2:6" x14ac:dyDescent="0.25">
      <c r="B63" s="174">
        <f t="shared" si="31"/>
        <v>14361.58686506366</v>
      </c>
      <c r="E63" s="153">
        <v>2030</v>
      </c>
      <c r="F63" s="171">
        <f t="shared" si="32"/>
        <v>2286.1889999999999</v>
      </c>
    </row>
    <row r="64" spans="2:6" x14ac:dyDescent="0.25">
      <c r="B64" s="174">
        <f t="shared" si="31"/>
        <v>14974.352955662189</v>
      </c>
      <c r="F64" s="172">
        <f>SUM(F50:F63)</f>
        <v>18944.922710459843</v>
      </c>
    </row>
    <row r="65" spans="2:6" x14ac:dyDescent="0.25">
      <c r="B65" s="174">
        <f t="shared" si="31"/>
        <v>15603.171666331373</v>
      </c>
      <c r="F65" s="173">
        <f>F64/14</f>
        <v>1353.208765032846</v>
      </c>
    </row>
    <row r="66" spans="2:6" x14ac:dyDescent="0.25">
      <c r="B66" s="174">
        <f t="shared" si="31"/>
        <v>16247.967512641984</v>
      </c>
    </row>
    <row r="67" spans="2:6" x14ac:dyDescent="0.25">
      <c r="B67" s="174">
        <f t="shared" si="31"/>
        <v>16908.609574602062</v>
      </c>
    </row>
    <row r="68" spans="2:6" x14ac:dyDescent="0.25">
      <c r="B68" s="174">
        <f t="shared" si="31"/>
        <v>17584.905352646772</v>
      </c>
    </row>
    <row r="69" spans="2:6" x14ac:dyDescent="0.25">
      <c r="B69" s="174">
        <f t="shared" si="31"/>
        <v>18289.511999999999</v>
      </c>
    </row>
    <row r="70" spans="2:6" x14ac:dyDescent="0.25">
      <c r="B70" s="173">
        <f>SUM(B50:B69)</f>
        <v>258505.28475821108</v>
      </c>
    </row>
    <row r="71" spans="2:6" x14ac:dyDescent="0.25">
      <c r="B71" s="173">
        <f>B70/20</f>
        <v>12925.264237910555</v>
      </c>
    </row>
  </sheetData>
  <mergeCells count="7">
    <mergeCell ref="A2:I2"/>
    <mergeCell ref="A27:A28"/>
    <mergeCell ref="B27:H27"/>
    <mergeCell ref="I4:I5"/>
    <mergeCell ref="I27:I28"/>
    <mergeCell ref="A4:A5"/>
    <mergeCell ref="B4:H4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0"/>
  <sheetViews>
    <sheetView topLeftCell="A8" zoomScale="85" zoomScaleNormal="85" workbookViewId="0">
      <selection activeCell="T12" sqref="T12"/>
    </sheetView>
  </sheetViews>
  <sheetFormatPr defaultRowHeight="15" x14ac:dyDescent="0.25"/>
  <cols>
    <col min="1" max="1" width="9.42578125" style="94" bestFit="1" customWidth="1"/>
    <col min="2" max="2" width="11.5703125" style="94" bestFit="1" customWidth="1"/>
    <col min="3" max="3" width="11" style="94" bestFit="1" customWidth="1"/>
    <col min="4" max="4" width="12.7109375" style="94" bestFit="1" customWidth="1"/>
    <col min="5" max="5" width="12.42578125" style="94" customWidth="1"/>
    <col min="6" max="6" width="15.28515625" style="94" customWidth="1"/>
    <col min="7" max="7" width="14.7109375" style="94" customWidth="1"/>
    <col min="8" max="8" width="9.42578125" style="94" bestFit="1" customWidth="1"/>
    <col min="9" max="9" width="13.42578125" style="94" customWidth="1"/>
    <col min="10" max="10" width="10.28515625" style="94" bestFit="1" customWidth="1"/>
    <col min="11" max="14" width="9.42578125" style="94" bestFit="1" customWidth="1"/>
    <col min="15" max="15" width="9.140625" style="94"/>
    <col min="16" max="19" width="9.42578125" style="94" bestFit="1" customWidth="1"/>
    <col min="20" max="23" width="9.140625" style="94"/>
    <col min="24" max="24" width="9.5703125" style="94" bestFit="1" customWidth="1"/>
    <col min="25" max="16384" width="9.140625" style="94"/>
  </cols>
  <sheetData>
    <row r="2" spans="1:24" x14ac:dyDescent="0.25">
      <c r="A2" s="101" t="s">
        <v>116</v>
      </c>
      <c r="B2" s="101"/>
      <c r="C2" s="101"/>
      <c r="D2" s="102"/>
      <c r="E2" s="102"/>
      <c r="F2" s="102"/>
      <c r="G2" s="102"/>
      <c r="H2" s="102"/>
      <c r="I2" s="102"/>
    </row>
    <row r="3" spans="1:24" x14ac:dyDescent="0.25">
      <c r="A3" s="103"/>
    </row>
    <row r="4" spans="1:24" x14ac:dyDescent="0.25">
      <c r="A4" s="104" t="s">
        <v>124</v>
      </c>
    </row>
    <row r="6" spans="1:24" ht="35.25" customHeight="1" x14ac:dyDescent="0.25">
      <c r="A6" s="197" t="s">
        <v>10</v>
      </c>
      <c r="B6" s="203" t="s">
        <v>117</v>
      </c>
      <c r="C6" s="203"/>
      <c r="D6" s="203"/>
      <c r="E6" s="105" t="s">
        <v>113</v>
      </c>
      <c r="F6" s="197" t="s">
        <v>10</v>
      </c>
      <c r="G6" s="203" t="s">
        <v>110</v>
      </c>
      <c r="H6" s="203"/>
      <c r="I6" s="203"/>
      <c r="J6" s="95" t="s">
        <v>114</v>
      </c>
      <c r="K6" s="197" t="s">
        <v>10</v>
      </c>
      <c r="L6" s="203" t="s">
        <v>111</v>
      </c>
      <c r="M6" s="203"/>
      <c r="N6" s="203"/>
      <c r="O6" s="95" t="s">
        <v>114</v>
      </c>
      <c r="P6" s="197" t="s">
        <v>10</v>
      </c>
      <c r="Q6" s="203" t="s">
        <v>154</v>
      </c>
      <c r="R6" s="203"/>
      <c r="S6" s="203"/>
      <c r="X6" s="96"/>
    </row>
    <row r="7" spans="1:24" ht="18" x14ac:dyDescent="0.25">
      <c r="A7" s="197"/>
      <c r="B7" s="197" t="s">
        <v>127</v>
      </c>
      <c r="C7" s="197"/>
      <c r="D7" s="203" t="s">
        <v>128</v>
      </c>
      <c r="E7" s="106"/>
      <c r="F7" s="197"/>
      <c r="G7" s="197" t="s">
        <v>127</v>
      </c>
      <c r="H7" s="197"/>
      <c r="I7" s="203" t="s">
        <v>128</v>
      </c>
      <c r="K7" s="197"/>
      <c r="L7" s="197" t="s">
        <v>127</v>
      </c>
      <c r="M7" s="197"/>
      <c r="N7" s="203" t="s">
        <v>128</v>
      </c>
      <c r="P7" s="197"/>
      <c r="Q7" s="197" t="s">
        <v>127</v>
      </c>
      <c r="R7" s="197"/>
      <c r="S7" s="203" t="s">
        <v>128</v>
      </c>
      <c r="X7" s="96"/>
    </row>
    <row r="8" spans="1:24" ht="18" x14ac:dyDescent="0.25">
      <c r="A8" s="197"/>
      <c r="B8" s="107" t="s">
        <v>129</v>
      </c>
      <c r="C8" s="107" t="s">
        <v>130</v>
      </c>
      <c r="D8" s="203"/>
      <c r="E8" s="108"/>
      <c r="F8" s="197"/>
      <c r="G8" s="107" t="s">
        <v>129</v>
      </c>
      <c r="H8" s="107" t="s">
        <v>130</v>
      </c>
      <c r="I8" s="203"/>
      <c r="K8" s="197"/>
      <c r="L8" s="107" t="s">
        <v>129</v>
      </c>
      <c r="M8" s="107" t="s">
        <v>130</v>
      </c>
      <c r="N8" s="203"/>
      <c r="P8" s="197"/>
      <c r="Q8" s="107" t="s">
        <v>129</v>
      </c>
      <c r="R8" s="107" t="s">
        <v>130</v>
      </c>
      <c r="S8" s="203"/>
    </row>
    <row r="9" spans="1:24" x14ac:dyDescent="0.25">
      <c r="A9" s="88">
        <v>2011</v>
      </c>
      <c r="B9" s="147">
        <f>[2]Results!O28</f>
        <v>0.43477254968380646</v>
      </c>
      <c r="C9" s="109">
        <f>B9*21</f>
        <v>9.1302235433599357</v>
      </c>
      <c r="D9" s="110">
        <f t="shared" ref="D9:D14" si="0">E9+C9</f>
        <v>9.1302235433599357</v>
      </c>
      <c r="E9" s="111"/>
      <c r="F9" s="88">
        <v>2011</v>
      </c>
      <c r="G9" s="147">
        <f>[3]Results!O28</f>
        <v>0</v>
      </c>
      <c r="H9" s="109">
        <f>G9*21</f>
        <v>0</v>
      </c>
      <c r="I9" s="110">
        <f t="shared" ref="I9:I14" si="1">J9+H9</f>
        <v>0</v>
      </c>
      <c r="K9" s="88">
        <v>2011</v>
      </c>
      <c r="L9" s="146">
        <f>[4]Results!O28</f>
        <v>0.30831576949421724</v>
      </c>
      <c r="M9" s="109">
        <f>L9*21</f>
        <v>6.4746311593785624</v>
      </c>
      <c r="N9" s="110">
        <f>O9+M9</f>
        <v>6.4746311593785624</v>
      </c>
      <c r="P9" s="88">
        <v>2011</v>
      </c>
      <c r="Q9" s="169">
        <f>[5]Results!O28</f>
        <v>0</v>
      </c>
      <c r="R9" s="132">
        <f>Q9*21</f>
        <v>0</v>
      </c>
      <c r="S9" s="170">
        <f>T9+R9</f>
        <v>0</v>
      </c>
    </row>
    <row r="10" spans="1:24" x14ac:dyDescent="0.25">
      <c r="A10" s="88">
        <v>2012</v>
      </c>
      <c r="B10" s="147">
        <f>[2]Results!O29</f>
        <v>0.44257755259780301</v>
      </c>
      <c r="C10" s="109">
        <f t="shared" ref="C10:C14" si="2">B10*21</f>
        <v>9.2941286045538636</v>
      </c>
      <c r="D10" s="110">
        <f t="shared" si="0"/>
        <v>9.2941286045538636</v>
      </c>
      <c r="E10" s="111"/>
      <c r="F10" s="88">
        <v>2012</v>
      </c>
      <c r="G10" s="147">
        <f>[3]Results!O29</f>
        <v>0</v>
      </c>
      <c r="H10" s="109">
        <f t="shared" ref="H10:H14" si="3">G10*21</f>
        <v>0</v>
      </c>
      <c r="I10" s="110">
        <f t="shared" si="1"/>
        <v>0</v>
      </c>
      <c r="K10" s="88">
        <v>2012</v>
      </c>
      <c r="L10" s="146">
        <f>[4]Results!O29</f>
        <v>0.31385063014971065</v>
      </c>
      <c r="M10" s="109">
        <f t="shared" ref="M10:M14" si="4">L10*21</f>
        <v>6.5908632331439234</v>
      </c>
      <c r="N10" s="110">
        <f t="shared" ref="N10:N14" si="5">O10+M10</f>
        <v>6.5908632331439234</v>
      </c>
      <c r="P10" s="88">
        <v>2012</v>
      </c>
      <c r="Q10" s="169">
        <f>[5]Results!O29</f>
        <v>0</v>
      </c>
      <c r="R10" s="132">
        <f t="shared" ref="R10:R14" si="6">Q10*21</f>
        <v>0</v>
      </c>
      <c r="S10" s="170">
        <f t="shared" ref="S10:S14" si="7">T10+R10</f>
        <v>0</v>
      </c>
    </row>
    <row r="11" spans="1:24" x14ac:dyDescent="0.25">
      <c r="A11" s="88">
        <v>2013</v>
      </c>
      <c r="B11" s="147">
        <f>[2]Results!O30</f>
        <v>0.45230286140464349</v>
      </c>
      <c r="C11" s="109">
        <f t="shared" si="2"/>
        <v>9.4983600894975133</v>
      </c>
      <c r="D11" s="110">
        <f t="shared" si="0"/>
        <v>9.4983600894975133</v>
      </c>
      <c r="E11" s="111"/>
      <c r="F11" s="88">
        <v>2013</v>
      </c>
      <c r="G11" s="147">
        <f>[3]Results!O30</f>
        <v>0</v>
      </c>
      <c r="H11" s="109">
        <f t="shared" si="3"/>
        <v>0</v>
      </c>
      <c r="I11" s="110">
        <f t="shared" si="1"/>
        <v>0</v>
      </c>
      <c r="K11" s="88">
        <v>2013</v>
      </c>
      <c r="L11" s="146">
        <f>[4]Results!O30</f>
        <v>0.3207472616655011</v>
      </c>
      <c r="M11" s="109">
        <f t="shared" si="4"/>
        <v>6.735692494975523</v>
      </c>
      <c r="N11" s="110">
        <f t="shared" si="5"/>
        <v>6.735692494975523</v>
      </c>
      <c r="P11" s="88">
        <v>2013</v>
      </c>
      <c r="Q11" s="169">
        <f>[5]Results!O30</f>
        <v>0</v>
      </c>
      <c r="R11" s="132">
        <f t="shared" si="6"/>
        <v>0</v>
      </c>
      <c r="S11" s="170">
        <f t="shared" si="7"/>
        <v>0</v>
      </c>
    </row>
    <row r="12" spans="1:24" x14ac:dyDescent="0.25">
      <c r="A12" s="88">
        <v>2014</v>
      </c>
      <c r="B12" s="147">
        <f>[2]Results!O31</f>
        <v>0.46337713440903544</v>
      </c>
      <c r="C12" s="109">
        <f t="shared" si="2"/>
        <v>9.730919822589744</v>
      </c>
      <c r="D12" s="110">
        <f t="shared" si="0"/>
        <v>9.730919822589744</v>
      </c>
      <c r="E12" s="111"/>
      <c r="F12" s="88">
        <v>2014</v>
      </c>
      <c r="G12" s="147">
        <f>[3]Results!O31</f>
        <v>0</v>
      </c>
      <c r="H12" s="109">
        <f t="shared" si="3"/>
        <v>0</v>
      </c>
      <c r="I12" s="110">
        <f t="shared" si="1"/>
        <v>0</v>
      </c>
      <c r="K12" s="88">
        <v>2014</v>
      </c>
      <c r="L12" s="146">
        <f>[4]Results!O31</f>
        <v>0.32860050126266815</v>
      </c>
      <c r="M12" s="109">
        <f t="shared" si="4"/>
        <v>6.9006105265160311</v>
      </c>
      <c r="N12" s="110">
        <f t="shared" si="5"/>
        <v>6.9006105265160311</v>
      </c>
      <c r="P12" s="88">
        <v>2014</v>
      </c>
      <c r="Q12" s="169">
        <f>[5]Results!O31</f>
        <v>0</v>
      </c>
      <c r="R12" s="132">
        <f t="shared" si="6"/>
        <v>0</v>
      </c>
      <c r="S12" s="170">
        <f t="shared" si="7"/>
        <v>0</v>
      </c>
    </row>
    <row r="13" spans="1:24" x14ac:dyDescent="0.25">
      <c r="A13" s="88">
        <v>2015</v>
      </c>
      <c r="B13" s="147">
        <f>[2]Results!O32</f>
        <v>0.47528280836645964</v>
      </c>
      <c r="C13" s="109">
        <f t="shared" si="2"/>
        <v>9.9809389756956524</v>
      </c>
      <c r="D13" s="110">
        <f t="shared" si="0"/>
        <v>9.9809389756956524</v>
      </c>
      <c r="E13" s="111"/>
      <c r="F13" s="88">
        <v>2015</v>
      </c>
      <c r="G13" s="147">
        <f>[3]Results!O32</f>
        <v>0</v>
      </c>
      <c r="H13" s="109">
        <f t="shared" si="3"/>
        <v>0</v>
      </c>
      <c r="I13" s="110">
        <f t="shared" si="1"/>
        <v>0</v>
      </c>
      <c r="K13" s="88">
        <v>2015</v>
      </c>
      <c r="L13" s="146">
        <f>[4]Results!O32</f>
        <v>0.33704332275680349</v>
      </c>
      <c r="M13" s="109">
        <f t="shared" si="4"/>
        <v>7.0779097778928737</v>
      </c>
      <c r="N13" s="110">
        <f t="shared" si="5"/>
        <v>7.0779097778928737</v>
      </c>
      <c r="P13" s="88">
        <v>2015</v>
      </c>
      <c r="Q13" s="169">
        <f>[5]Results!O32</f>
        <v>0</v>
      </c>
      <c r="R13" s="132">
        <f t="shared" si="6"/>
        <v>0</v>
      </c>
      <c r="S13" s="170">
        <f t="shared" si="7"/>
        <v>0</v>
      </c>
    </row>
    <row r="14" spans="1:24" x14ac:dyDescent="0.25">
      <c r="A14" s="88">
        <v>2016</v>
      </c>
      <c r="B14" s="147">
        <f>[2]Results!O33</f>
        <v>0.48770311652689136</v>
      </c>
      <c r="C14" s="109">
        <f t="shared" si="2"/>
        <v>10.241765447064719</v>
      </c>
      <c r="D14" s="110">
        <f t="shared" si="0"/>
        <v>10.241765447064719</v>
      </c>
      <c r="E14" s="111"/>
      <c r="F14" s="88">
        <v>2016</v>
      </c>
      <c r="G14" s="147">
        <f>[3]Results!O33</f>
        <v>0</v>
      </c>
      <c r="H14" s="109">
        <f t="shared" si="3"/>
        <v>0</v>
      </c>
      <c r="I14" s="110">
        <f t="shared" si="1"/>
        <v>0</v>
      </c>
      <c r="K14" s="88">
        <v>2016</v>
      </c>
      <c r="L14" s="146">
        <f>[4]Results!O33</f>
        <v>0.34585109332701031</v>
      </c>
      <c r="M14" s="109">
        <f t="shared" si="4"/>
        <v>7.2628729598672166</v>
      </c>
      <c r="N14" s="110">
        <f t="shared" si="5"/>
        <v>7.2628729598672166</v>
      </c>
      <c r="P14" s="88">
        <v>2016</v>
      </c>
      <c r="Q14" s="169">
        <f>[5]Results!O33</f>
        <v>0</v>
      </c>
      <c r="R14" s="132">
        <f t="shared" si="6"/>
        <v>0</v>
      </c>
      <c r="S14" s="170">
        <f t="shared" si="7"/>
        <v>0</v>
      </c>
    </row>
    <row r="15" spans="1:24" x14ac:dyDescent="0.25">
      <c r="A15" s="88">
        <v>2017</v>
      </c>
      <c r="B15" s="147">
        <f>[2]Results!O34</f>
        <v>0.4792666714702426</v>
      </c>
      <c r="C15" s="109">
        <f t="shared" ref="C15:C29" si="8">B15*21</f>
        <v>10.064600100875095</v>
      </c>
      <c r="D15" s="110">
        <f t="shared" ref="D15:D29" si="9">E15+C15</f>
        <v>10.064600100875095</v>
      </c>
      <c r="E15" s="111"/>
      <c r="F15" s="88">
        <v>2017</v>
      </c>
      <c r="G15" s="147">
        <f>[3]Results!O34</f>
        <v>0</v>
      </c>
      <c r="H15" s="109">
        <f t="shared" ref="H15:H29" si="10">G15*21</f>
        <v>0</v>
      </c>
      <c r="I15" s="110">
        <f t="shared" ref="I15:I29" si="11">J15+H15</f>
        <v>0</v>
      </c>
      <c r="K15" s="88">
        <v>2017</v>
      </c>
      <c r="L15" s="146">
        <f>[4]Results!O34</f>
        <v>0.35478710505816924</v>
      </c>
      <c r="M15" s="109">
        <f t="shared" ref="M15:M29" si="12">L15*21</f>
        <v>7.450529206221554</v>
      </c>
      <c r="N15" s="110">
        <f t="shared" ref="N15:N29" si="13">O15+M15</f>
        <v>7.450529206221554</v>
      </c>
      <c r="P15" s="88">
        <v>2017</v>
      </c>
      <c r="Q15" s="169">
        <f>[5]Results!O34</f>
        <v>0</v>
      </c>
      <c r="R15" s="132">
        <f t="shared" ref="R15:R29" si="14">Q15*21</f>
        <v>0</v>
      </c>
      <c r="S15" s="170">
        <f t="shared" ref="S15:S29" si="15">T15+R15</f>
        <v>0</v>
      </c>
    </row>
    <row r="16" spans="1:24" x14ac:dyDescent="0.25">
      <c r="A16" s="88">
        <v>2018</v>
      </c>
      <c r="B16" s="147">
        <f>[2]Results!O35</f>
        <v>0.48760327635551182</v>
      </c>
      <c r="C16" s="109">
        <f t="shared" si="8"/>
        <v>10.239668803465747</v>
      </c>
      <c r="D16" s="110">
        <f t="shared" si="9"/>
        <v>10.239668803465747</v>
      </c>
      <c r="E16" s="111"/>
      <c r="F16" s="88">
        <v>2018</v>
      </c>
      <c r="G16" s="147">
        <f>[3]Results!O35</f>
        <v>0</v>
      </c>
      <c r="H16" s="109">
        <f t="shared" si="10"/>
        <v>0</v>
      </c>
      <c r="I16" s="110">
        <f t="shared" si="11"/>
        <v>0</v>
      </c>
      <c r="K16" s="88">
        <v>2018</v>
      </c>
      <c r="L16" s="146">
        <f>[4]Results!O35</f>
        <v>0.36283911509007816</v>
      </c>
      <c r="M16" s="109">
        <f t="shared" si="12"/>
        <v>7.6196214168916416</v>
      </c>
      <c r="N16" s="110">
        <f t="shared" si="13"/>
        <v>7.6196214168916416</v>
      </c>
      <c r="P16" s="88">
        <v>2018</v>
      </c>
      <c r="Q16" s="169">
        <f>[5]Results!O35</f>
        <v>5.4731156458265829E-3</v>
      </c>
      <c r="R16" s="132">
        <f t="shared" si="14"/>
        <v>0.11493542856235824</v>
      </c>
      <c r="S16" s="170">
        <f t="shared" si="15"/>
        <v>0.11493542856235824</v>
      </c>
    </row>
    <row r="17" spans="1:19" x14ac:dyDescent="0.25">
      <c r="A17" s="88">
        <v>2019</v>
      </c>
      <c r="B17" s="147">
        <f>[2]Results!O36</f>
        <v>0.50059826171229882</v>
      </c>
      <c r="C17" s="109">
        <f t="shared" si="8"/>
        <v>10.512563495958275</v>
      </c>
      <c r="D17" s="110">
        <f t="shared" si="9"/>
        <v>10.512563495958275</v>
      </c>
      <c r="E17" s="111"/>
      <c r="F17" s="88">
        <v>2019</v>
      </c>
      <c r="G17" s="147">
        <f>[3]Results!O36</f>
        <v>0</v>
      </c>
      <c r="H17" s="109">
        <f t="shared" si="10"/>
        <v>0</v>
      </c>
      <c r="I17" s="110">
        <f t="shared" si="11"/>
        <v>0</v>
      </c>
      <c r="K17" s="88">
        <v>2019</v>
      </c>
      <c r="L17" s="146">
        <f>[4]Results!O36</f>
        <v>0.36914396683467171</v>
      </c>
      <c r="M17" s="109">
        <f t="shared" si="12"/>
        <v>7.7520233035281061</v>
      </c>
      <c r="N17" s="110">
        <f t="shared" si="13"/>
        <v>7.7520233035281061</v>
      </c>
      <c r="P17" s="88">
        <v>2019</v>
      </c>
      <c r="Q17" s="169">
        <f>[5]Results!O36</f>
        <v>9.8902905376784429E-3</v>
      </c>
      <c r="R17" s="132">
        <f t="shared" si="14"/>
        <v>0.2076961012912473</v>
      </c>
      <c r="S17" s="170">
        <f t="shared" si="15"/>
        <v>0.2076961012912473</v>
      </c>
    </row>
    <row r="18" spans="1:19" x14ac:dyDescent="0.25">
      <c r="A18" s="88">
        <v>2020</v>
      </c>
      <c r="B18" s="147">
        <f>[2]Results!O37</f>
        <v>0.51704045899719586</v>
      </c>
      <c r="C18" s="109">
        <f t="shared" si="8"/>
        <v>10.857849638941113</v>
      </c>
      <c r="D18" s="110">
        <f t="shared" si="9"/>
        <v>10.857849638941113</v>
      </c>
      <c r="E18" s="111"/>
      <c r="F18" s="88">
        <v>2020</v>
      </c>
      <c r="G18" s="147">
        <f>[3]Results!O37</f>
        <v>0</v>
      </c>
      <c r="H18" s="109">
        <f t="shared" si="10"/>
        <v>0</v>
      </c>
      <c r="I18" s="110">
        <f t="shared" si="11"/>
        <v>0</v>
      </c>
      <c r="K18" s="88">
        <v>2020</v>
      </c>
      <c r="L18" s="146">
        <f>[4]Results!O37</f>
        <v>0.37413296407465724</v>
      </c>
      <c r="M18" s="109">
        <f t="shared" si="12"/>
        <v>7.8567922455678021</v>
      </c>
      <c r="N18" s="110">
        <f t="shared" si="13"/>
        <v>7.8567922455678021</v>
      </c>
      <c r="P18" s="88">
        <v>2020</v>
      </c>
      <c r="Q18" s="169">
        <f>[5]Results!O37</f>
        <v>1.3645236825999833E-2</v>
      </c>
      <c r="R18" s="132">
        <f t="shared" si="14"/>
        <v>0.28654997334599647</v>
      </c>
      <c r="S18" s="170">
        <f t="shared" si="15"/>
        <v>0.28654997334599647</v>
      </c>
    </row>
    <row r="19" spans="1:19" x14ac:dyDescent="0.25">
      <c r="A19" s="88">
        <v>2021</v>
      </c>
      <c r="B19" s="147">
        <f>[2]Results!O38</f>
        <v>0.53611102192805882</v>
      </c>
      <c r="C19" s="109">
        <f t="shared" si="8"/>
        <v>11.258331460489234</v>
      </c>
      <c r="D19" s="110">
        <f t="shared" si="9"/>
        <v>11.258331460489234</v>
      </c>
      <c r="E19" s="111"/>
      <c r="F19" s="88">
        <v>2021</v>
      </c>
      <c r="G19" s="147">
        <f>[3]Results!O38</f>
        <v>0</v>
      </c>
      <c r="H19" s="109">
        <f t="shared" si="10"/>
        <v>0</v>
      </c>
      <c r="I19" s="110">
        <f t="shared" si="11"/>
        <v>0</v>
      </c>
      <c r="K19" s="88">
        <v>2021</v>
      </c>
      <c r="L19" s="146">
        <f>[4]Results!O38</f>
        <v>0.37810610142627715</v>
      </c>
      <c r="M19" s="109">
        <f t="shared" si="12"/>
        <v>7.9402281299518203</v>
      </c>
      <c r="N19" s="110">
        <f t="shared" si="13"/>
        <v>7.9402281299518203</v>
      </c>
      <c r="P19" s="88">
        <v>2021</v>
      </c>
      <c r="Q19" s="169">
        <f>[5]Results!O38</f>
        <v>1.7009165496928234E-2</v>
      </c>
      <c r="R19" s="132">
        <f t="shared" si="14"/>
        <v>0.35719247543549293</v>
      </c>
      <c r="S19" s="170">
        <f t="shared" si="15"/>
        <v>0.35719247543549293</v>
      </c>
    </row>
    <row r="20" spans="1:19" x14ac:dyDescent="0.25">
      <c r="A20" s="88">
        <v>2022</v>
      </c>
      <c r="B20" s="147">
        <f>[2]Results!O39</f>
        <v>0.55725531827443453</v>
      </c>
      <c r="C20" s="109">
        <f t="shared" si="8"/>
        <v>11.702361683763126</v>
      </c>
      <c r="D20" s="110">
        <f t="shared" si="9"/>
        <v>11.702361683763126</v>
      </c>
      <c r="E20" s="111"/>
      <c r="F20" s="88">
        <v>2022</v>
      </c>
      <c r="G20" s="147">
        <f>[3]Results!O39</f>
        <v>0</v>
      </c>
      <c r="H20" s="109">
        <f t="shared" si="10"/>
        <v>0</v>
      </c>
      <c r="I20" s="110">
        <f t="shared" si="11"/>
        <v>0</v>
      </c>
      <c r="K20" s="88">
        <v>2022</v>
      </c>
      <c r="L20" s="146">
        <f>[4]Results!O39</f>
        <v>0.38127423281068112</v>
      </c>
      <c r="M20" s="109">
        <f t="shared" si="12"/>
        <v>8.0067588890243044</v>
      </c>
      <c r="N20" s="110">
        <f t="shared" si="13"/>
        <v>8.0067588890243044</v>
      </c>
      <c r="P20" s="88">
        <v>2022</v>
      </c>
      <c r="Q20" s="169">
        <f>[5]Results!O39</f>
        <v>2.0171323007032768E-2</v>
      </c>
      <c r="R20" s="132">
        <f t="shared" si="14"/>
        <v>0.42359778314768815</v>
      </c>
      <c r="S20" s="170">
        <f t="shared" si="15"/>
        <v>0.42359778314768815</v>
      </c>
    </row>
    <row r="21" spans="1:19" x14ac:dyDescent="0.25">
      <c r="A21" s="88">
        <v>2023</v>
      </c>
      <c r="B21" s="147">
        <f>[2]Results!O40</f>
        <v>0.58009676636101259</v>
      </c>
      <c r="C21" s="109">
        <f t="shared" si="8"/>
        <v>12.182032093581265</v>
      </c>
      <c r="D21" s="110">
        <f t="shared" si="9"/>
        <v>12.182032093581265</v>
      </c>
      <c r="E21" s="111"/>
      <c r="F21" s="88">
        <v>2023</v>
      </c>
      <c r="G21" s="147">
        <f>[3]Results!O40</f>
        <v>0</v>
      </c>
      <c r="H21" s="109">
        <f t="shared" si="10"/>
        <v>0</v>
      </c>
      <c r="I21" s="110">
        <f t="shared" si="11"/>
        <v>0</v>
      </c>
      <c r="K21" s="88">
        <v>2023</v>
      </c>
      <c r="L21" s="146">
        <f>[4]Results!O40</f>
        <v>0.38378749088795006</v>
      </c>
      <c r="M21" s="109">
        <f t="shared" si="12"/>
        <v>8.0595373086469504</v>
      </c>
      <c r="N21" s="110">
        <f t="shared" si="13"/>
        <v>8.0595373086469504</v>
      </c>
      <c r="P21" s="88">
        <v>2023</v>
      </c>
      <c r="Q21" s="169">
        <f>[5]Results!O40</f>
        <v>2.3266248448080239E-2</v>
      </c>
      <c r="R21" s="132">
        <f t="shared" si="14"/>
        <v>0.48859121740968503</v>
      </c>
      <c r="S21" s="170">
        <f t="shared" si="15"/>
        <v>0.48859121740968503</v>
      </c>
    </row>
    <row r="22" spans="1:19" x14ac:dyDescent="0.25">
      <c r="A22" s="88">
        <v>2024</v>
      </c>
      <c r="B22" s="147">
        <f>[2]Results!O41</f>
        <v>0.60437882079865413</v>
      </c>
      <c r="C22" s="109">
        <f t="shared" si="8"/>
        <v>12.691955236771737</v>
      </c>
      <c r="D22" s="110">
        <f t="shared" si="9"/>
        <v>12.691955236771737</v>
      </c>
      <c r="E22" s="111"/>
      <c r="F22" s="88">
        <v>2024</v>
      </c>
      <c r="G22" s="147">
        <f>[3]Results!O41</f>
        <v>0</v>
      </c>
      <c r="H22" s="109">
        <f t="shared" si="10"/>
        <v>0</v>
      </c>
      <c r="I22" s="110">
        <f t="shared" si="11"/>
        <v>0</v>
      </c>
      <c r="K22" s="88">
        <v>2024</v>
      </c>
      <c r="L22" s="146">
        <f>[4]Results!O41</f>
        <v>0.38575446712761008</v>
      </c>
      <c r="M22" s="109">
        <f t="shared" si="12"/>
        <v>8.1008438096798123</v>
      </c>
      <c r="N22" s="110">
        <f t="shared" si="13"/>
        <v>8.1008438096798123</v>
      </c>
      <c r="P22" s="88">
        <v>2024</v>
      </c>
      <c r="Q22" s="169">
        <f>[5]Results!O41</f>
        <v>2.639212513117168E-2</v>
      </c>
      <c r="R22" s="132">
        <f t="shared" si="14"/>
        <v>0.5542346277546053</v>
      </c>
      <c r="S22" s="170">
        <f t="shared" si="15"/>
        <v>0.5542346277546053</v>
      </c>
    </row>
    <row r="23" spans="1:19" x14ac:dyDescent="0.25">
      <c r="A23" s="88">
        <v>2025</v>
      </c>
      <c r="B23" s="147">
        <f>[2]Results!O42</f>
        <v>0.62992585382117328</v>
      </c>
      <c r="C23" s="109">
        <f t="shared" si="8"/>
        <v>13.228442930244638</v>
      </c>
      <c r="D23" s="110">
        <f t="shared" si="9"/>
        <v>13.228442930244638</v>
      </c>
      <c r="E23" s="111"/>
      <c r="F23" s="88">
        <v>2025</v>
      </c>
      <c r="G23" s="147">
        <f>[3]Results!O42</f>
        <v>0</v>
      </c>
      <c r="H23" s="109">
        <f t="shared" si="10"/>
        <v>0</v>
      </c>
      <c r="I23" s="110">
        <f t="shared" si="11"/>
        <v>0</v>
      </c>
      <c r="K23" s="88">
        <v>2025</v>
      </c>
      <c r="L23" s="146">
        <f>[4]Results!O42</f>
        <v>0.3872551790205449</v>
      </c>
      <c r="M23" s="109">
        <f t="shared" si="12"/>
        <v>8.1323587594314422</v>
      </c>
      <c r="N23" s="110">
        <f t="shared" si="13"/>
        <v>8.1323587594314422</v>
      </c>
      <c r="P23" s="88">
        <v>2025</v>
      </c>
      <c r="Q23" s="169">
        <f>[5]Results!O42</f>
        <v>2.9623159877794958E-2</v>
      </c>
      <c r="R23" s="132">
        <f t="shared" si="14"/>
        <v>0.62208635743369411</v>
      </c>
      <c r="S23" s="170">
        <f t="shared" si="15"/>
        <v>0.62208635743369411</v>
      </c>
    </row>
    <row r="24" spans="1:19" x14ac:dyDescent="0.25">
      <c r="A24" s="88">
        <v>2026</v>
      </c>
      <c r="B24" s="147">
        <f>[2]Results!O43</f>
        <v>0.65661672398731474</v>
      </c>
      <c r="C24" s="109">
        <f t="shared" si="8"/>
        <v>13.78895120373361</v>
      </c>
      <c r="D24" s="110">
        <f t="shared" si="9"/>
        <v>13.78895120373361</v>
      </c>
      <c r="E24" s="111"/>
      <c r="F24" s="88">
        <v>2026</v>
      </c>
      <c r="G24" s="147">
        <f>[3]Results!O43</f>
        <v>0</v>
      </c>
      <c r="H24" s="109">
        <f t="shared" si="10"/>
        <v>0</v>
      </c>
      <c r="I24" s="110">
        <f t="shared" si="11"/>
        <v>0</v>
      </c>
      <c r="K24" s="88">
        <v>2026</v>
      </c>
      <c r="L24" s="146">
        <f>[4]Results!O43</f>
        <v>0.38834985618113271</v>
      </c>
      <c r="M24" s="109">
        <f t="shared" si="12"/>
        <v>8.1553469798037863</v>
      </c>
      <c r="N24" s="110">
        <f t="shared" si="13"/>
        <v>8.1553469798037863</v>
      </c>
      <c r="P24" s="88">
        <v>2026</v>
      </c>
      <c r="Q24" s="169">
        <f>[5]Results!O43</f>
        <v>3.3017957485873391E-2</v>
      </c>
      <c r="R24" s="132">
        <f t="shared" si="14"/>
        <v>0.69337710720334123</v>
      </c>
      <c r="S24" s="170">
        <f t="shared" si="15"/>
        <v>0.69337710720334123</v>
      </c>
    </row>
    <row r="25" spans="1:19" x14ac:dyDescent="0.25">
      <c r="A25" s="88">
        <v>2027</v>
      </c>
      <c r="B25" s="147">
        <f>[2]Results!O44</f>
        <v>0.68436686612157449</v>
      </c>
      <c r="C25" s="109">
        <f t="shared" si="8"/>
        <v>14.371704188553064</v>
      </c>
      <c r="D25" s="110">
        <f t="shared" si="9"/>
        <v>14.371704188553064</v>
      </c>
      <c r="E25" s="111"/>
      <c r="F25" s="88">
        <v>2027</v>
      </c>
      <c r="G25" s="147">
        <f>[3]Results!O44</f>
        <v>0</v>
      </c>
      <c r="H25" s="109">
        <f t="shared" si="10"/>
        <v>0</v>
      </c>
      <c r="I25" s="110">
        <f t="shared" si="11"/>
        <v>0</v>
      </c>
      <c r="K25" s="88">
        <v>2027</v>
      </c>
      <c r="L25" s="146">
        <f>[4]Results!O44</f>
        <v>0.38908490981247618</v>
      </c>
      <c r="M25" s="109">
        <f t="shared" si="12"/>
        <v>8.1707831060620002</v>
      </c>
      <c r="N25" s="110">
        <f t="shared" si="13"/>
        <v>8.1707831060620002</v>
      </c>
      <c r="P25" s="88">
        <v>2027</v>
      </c>
      <c r="Q25" s="169">
        <f>[5]Results!O44</f>
        <v>3.6625210304650532E-2</v>
      </c>
      <c r="R25" s="132">
        <f t="shared" si="14"/>
        <v>0.76912941639766119</v>
      </c>
      <c r="S25" s="170">
        <f t="shared" si="15"/>
        <v>0.76912941639766119</v>
      </c>
    </row>
    <row r="26" spans="1:19" x14ac:dyDescent="0.25">
      <c r="A26" s="88">
        <v>2028</v>
      </c>
      <c r="B26" s="147">
        <f>[2]Results!O45</f>
        <v>0.71311610584874807</v>
      </c>
      <c r="C26" s="109">
        <f t="shared" si="8"/>
        <v>14.97543822282371</v>
      </c>
      <c r="D26" s="110">
        <f t="shared" si="9"/>
        <v>14.97543822282371</v>
      </c>
      <c r="E26" s="111"/>
      <c r="F26" s="88">
        <v>2028</v>
      </c>
      <c r="G26" s="147">
        <f>[3]Results!O45</f>
        <v>0</v>
      </c>
      <c r="H26" s="109">
        <f t="shared" si="10"/>
        <v>0</v>
      </c>
      <c r="I26" s="110">
        <f t="shared" si="11"/>
        <v>0</v>
      </c>
      <c r="K26" s="88">
        <v>2028</v>
      </c>
      <c r="L26" s="146">
        <f>[4]Results!O45</f>
        <v>0.3894970023216705</v>
      </c>
      <c r="M26" s="109">
        <f t="shared" si="12"/>
        <v>8.17943704875508</v>
      </c>
      <c r="N26" s="110">
        <f t="shared" si="13"/>
        <v>8.17943704875508</v>
      </c>
      <c r="P26" s="88">
        <v>2028</v>
      </c>
      <c r="Q26" s="169">
        <f>[5]Results!O45</f>
        <v>4.0487588695927265E-2</v>
      </c>
      <c r="R26" s="132">
        <f t="shared" si="14"/>
        <v>0.85023936261447253</v>
      </c>
      <c r="S26" s="170">
        <f t="shared" si="15"/>
        <v>0.85023936261447253</v>
      </c>
    </row>
    <row r="27" spans="1:19" x14ac:dyDescent="0.25">
      <c r="A27" s="88">
        <v>2029</v>
      </c>
      <c r="B27" s="147">
        <f>[2]Results!O46</f>
        <v>0.74282032057459157</v>
      </c>
      <c r="C27" s="109">
        <f t="shared" si="8"/>
        <v>15.599226732066423</v>
      </c>
      <c r="D27" s="110">
        <f t="shared" si="9"/>
        <v>15.599226732066423</v>
      </c>
      <c r="E27" s="111"/>
      <c r="F27" s="88">
        <v>2029</v>
      </c>
      <c r="G27" s="147">
        <f>[3]Results!O46</f>
        <v>0</v>
      </c>
      <c r="H27" s="109">
        <f t="shared" si="10"/>
        <v>0</v>
      </c>
      <c r="I27" s="110">
        <f t="shared" si="11"/>
        <v>0</v>
      </c>
      <c r="K27" s="88">
        <v>2029</v>
      </c>
      <c r="L27" s="146">
        <f>[4]Results!O46</f>
        <v>0.38961583344382367</v>
      </c>
      <c r="M27" s="109">
        <f t="shared" si="12"/>
        <v>8.1819325023202971</v>
      </c>
      <c r="N27" s="110">
        <f t="shared" si="13"/>
        <v>8.1819325023202971</v>
      </c>
      <c r="P27" s="88">
        <v>2029</v>
      </c>
      <c r="Q27" s="169">
        <f>[5]Results!O46</f>
        <v>4.4644427055805645E-2</v>
      </c>
      <c r="R27" s="132">
        <f t="shared" si="14"/>
        <v>0.93753296817191856</v>
      </c>
      <c r="S27" s="170">
        <f t="shared" si="15"/>
        <v>0.93753296817191856</v>
      </c>
    </row>
    <row r="28" spans="1:19" x14ac:dyDescent="0.25">
      <c r="A28" s="88">
        <v>2030</v>
      </c>
      <c r="B28" s="147">
        <f>[2]Results!O47</f>
        <v>0.77341984901868255</v>
      </c>
      <c r="C28" s="109">
        <f t="shared" si="8"/>
        <v>16.241816829392334</v>
      </c>
      <c r="D28" s="110">
        <f t="shared" si="9"/>
        <v>16.241816829392334</v>
      </c>
      <c r="E28" s="111"/>
      <c r="F28" s="88">
        <v>2030</v>
      </c>
      <c r="G28" s="147">
        <f>[3]Results!O47</f>
        <v>0</v>
      </c>
      <c r="H28" s="109">
        <f t="shared" si="10"/>
        <v>0</v>
      </c>
      <c r="I28" s="110">
        <f t="shared" si="11"/>
        <v>0</v>
      </c>
      <c r="K28" s="88">
        <v>2030</v>
      </c>
      <c r="L28" s="146">
        <f>[4]Results!O47</f>
        <v>0.38946605756744002</v>
      </c>
      <c r="M28" s="109">
        <f t="shared" si="12"/>
        <v>8.1787872089162406</v>
      </c>
      <c r="N28" s="110">
        <f t="shared" si="13"/>
        <v>8.1787872089162406</v>
      </c>
      <c r="P28" s="88">
        <v>2030</v>
      </c>
      <c r="Q28" s="169">
        <f>[5]Results!O47</f>
        <v>4.9133604877563242E-2</v>
      </c>
      <c r="R28" s="132">
        <f t="shared" si="14"/>
        <v>1.0318057024288281</v>
      </c>
      <c r="S28" s="170">
        <f t="shared" si="15"/>
        <v>1.0318057024288281</v>
      </c>
    </row>
    <row r="29" spans="1:19" x14ac:dyDescent="0.25">
      <c r="A29" s="88">
        <v>2031</v>
      </c>
      <c r="B29" s="147"/>
      <c r="C29" s="109">
        <f t="shared" si="8"/>
        <v>0</v>
      </c>
      <c r="D29" s="110">
        <f t="shared" si="9"/>
        <v>0</v>
      </c>
      <c r="E29" s="111"/>
      <c r="F29" s="88">
        <v>2031</v>
      </c>
      <c r="G29" s="147"/>
      <c r="H29" s="109">
        <f t="shared" si="10"/>
        <v>0</v>
      </c>
      <c r="I29" s="110">
        <f t="shared" si="11"/>
        <v>0</v>
      </c>
      <c r="K29" s="88">
        <v>2031</v>
      </c>
      <c r="L29" s="146"/>
      <c r="M29" s="109">
        <f t="shared" si="12"/>
        <v>0</v>
      </c>
      <c r="N29" s="110">
        <f t="shared" si="13"/>
        <v>0</v>
      </c>
      <c r="P29" s="88">
        <v>2031</v>
      </c>
      <c r="Q29" s="169"/>
      <c r="R29" s="132">
        <f t="shared" si="14"/>
        <v>0</v>
      </c>
      <c r="S29" s="170">
        <f t="shared" si="15"/>
        <v>0</v>
      </c>
    </row>
    <row r="31" spans="1:19" ht="15.75" thickBot="1" x14ac:dyDescent="0.3">
      <c r="A31" s="112" t="s">
        <v>125</v>
      </c>
    </row>
    <row r="32" spans="1:19" ht="15.75" thickBot="1" x14ac:dyDescent="0.3">
      <c r="A32" s="204" t="s">
        <v>10</v>
      </c>
      <c r="B32" s="206" t="s">
        <v>80</v>
      </c>
      <c r="C32" s="207"/>
      <c r="D32" s="207"/>
      <c r="E32" s="207"/>
      <c r="F32" s="208"/>
    </row>
    <row r="33" spans="1:6" ht="18.75" thickBot="1" x14ac:dyDescent="0.3">
      <c r="A33" s="205"/>
      <c r="B33" s="206" t="s">
        <v>127</v>
      </c>
      <c r="C33" s="208"/>
      <c r="D33" s="206" t="s">
        <v>131</v>
      </c>
      <c r="E33" s="208"/>
      <c r="F33" s="209" t="s">
        <v>128</v>
      </c>
    </row>
    <row r="34" spans="1:6" ht="18" x14ac:dyDescent="0.25">
      <c r="A34" s="205"/>
      <c r="B34" s="113" t="s">
        <v>129</v>
      </c>
      <c r="C34" s="113" t="s">
        <v>130</v>
      </c>
      <c r="D34" s="113" t="s">
        <v>132</v>
      </c>
      <c r="E34" s="113" t="s">
        <v>130</v>
      </c>
      <c r="F34" s="210"/>
    </row>
    <row r="35" spans="1:6" x14ac:dyDescent="0.25">
      <c r="A35" s="88">
        <v>2011</v>
      </c>
      <c r="B35" s="109">
        <f>[6]REKAPITULASI!B6</f>
        <v>1.6028387999999999E-3</v>
      </c>
      <c r="C35" s="109">
        <f>B35*21</f>
        <v>3.3659614800000001E-2</v>
      </c>
      <c r="D35" s="109">
        <f>[6]REKAPITULASI!D6</f>
        <v>1.2021290999999999E-4</v>
      </c>
      <c r="E35" s="109">
        <f>D35*310</f>
        <v>3.7266002099999994E-2</v>
      </c>
      <c r="F35" s="110">
        <f>E35+C35</f>
        <v>7.0925616899999988E-2</v>
      </c>
    </row>
    <row r="36" spans="1:6" x14ac:dyDescent="0.25">
      <c r="A36" s="88">
        <v>2012</v>
      </c>
      <c r="B36" s="109">
        <f>[6]REKAPITULASI!B7</f>
        <v>1.6425612000000001E-3</v>
      </c>
      <c r="C36" s="109">
        <f t="shared" ref="C36:C45" si="16">B36*21</f>
        <v>3.4493785200000002E-2</v>
      </c>
      <c r="D36" s="109">
        <f>[6]REKAPITULASI!D7</f>
        <v>1.2319209000000002E-4</v>
      </c>
      <c r="E36" s="109">
        <f t="shared" ref="E36:E45" si="17">D36*310</f>
        <v>3.8189547900000002E-2</v>
      </c>
      <c r="F36" s="110">
        <f t="shared" ref="F36:F45" si="18">E36+C36</f>
        <v>7.2683333099999997E-2</v>
      </c>
    </row>
    <row r="37" spans="1:6" x14ac:dyDescent="0.25">
      <c r="A37" s="88">
        <v>2013</v>
      </c>
      <c r="B37" s="109">
        <f>[6]REKAPITULASI!B8</f>
        <v>1.6835039999999999E-3</v>
      </c>
      <c r="C37" s="109">
        <f t="shared" si="16"/>
        <v>3.5353584E-2</v>
      </c>
      <c r="D37" s="109">
        <f>[6]REKAPITULASI!D8</f>
        <v>1.2626279999999998E-4</v>
      </c>
      <c r="E37" s="109">
        <f t="shared" si="17"/>
        <v>3.9141467999999992E-2</v>
      </c>
      <c r="F37" s="110">
        <f t="shared" si="18"/>
        <v>7.4495051999999992E-2</v>
      </c>
    </row>
    <row r="38" spans="1:6" x14ac:dyDescent="0.25">
      <c r="A38" s="88">
        <v>2014</v>
      </c>
      <c r="B38" s="109">
        <f>[6]REKAPITULASI!B9</f>
        <v>1.7238312E-3</v>
      </c>
      <c r="C38" s="109">
        <f t="shared" si="16"/>
        <v>3.6200455200000002E-2</v>
      </c>
      <c r="D38" s="109">
        <f>[6]REKAPITULASI!D9</f>
        <v>1.2928734000000001E-4</v>
      </c>
      <c r="E38" s="109">
        <f t="shared" si="17"/>
        <v>4.0079075400000004E-2</v>
      </c>
      <c r="F38" s="110">
        <f t="shared" si="18"/>
        <v>7.6279530600000006E-2</v>
      </c>
    </row>
    <row r="39" spans="1:6" x14ac:dyDescent="0.25">
      <c r="A39" s="88">
        <v>2015</v>
      </c>
      <c r="B39" s="109">
        <f>[6]REKAPITULASI!B10</f>
        <v>1.7639208E-3</v>
      </c>
      <c r="C39" s="109">
        <f t="shared" si="16"/>
        <v>3.7042336799999999E-2</v>
      </c>
      <c r="D39" s="109">
        <f>[6]REKAPITULASI!D10</f>
        <v>1.3229405999999998E-4</v>
      </c>
      <c r="E39" s="109">
        <f t="shared" si="17"/>
        <v>4.1011158599999993E-2</v>
      </c>
      <c r="F39" s="110">
        <f t="shared" si="18"/>
        <v>7.8053495399999992E-2</v>
      </c>
    </row>
    <row r="40" spans="1:6" x14ac:dyDescent="0.25">
      <c r="A40" s="88">
        <v>2016</v>
      </c>
      <c r="B40" s="109">
        <f>[6]REKAPITULASI!B11</f>
        <v>1.8021743999999998E-3</v>
      </c>
      <c r="C40" s="109">
        <f t="shared" si="16"/>
        <v>3.7845662399999994E-2</v>
      </c>
      <c r="D40" s="109">
        <f>[6]REKAPITULASI!D11</f>
        <v>1.3516307999999997E-4</v>
      </c>
      <c r="E40" s="109">
        <f t="shared" si="17"/>
        <v>4.1900554799999989E-2</v>
      </c>
      <c r="F40" s="110">
        <f t="shared" si="18"/>
        <v>7.9746217199999983E-2</v>
      </c>
    </row>
    <row r="41" spans="1:6" x14ac:dyDescent="0.25">
      <c r="A41" s="88">
        <v>2017</v>
      </c>
      <c r="B41" s="109">
        <f>[6]REKAPITULASI!B12</f>
        <v>1.9207074585600001E-3</v>
      </c>
      <c r="C41" s="109">
        <f t="shared" si="16"/>
        <v>4.0334856629760003E-2</v>
      </c>
      <c r="D41" s="109">
        <f>[6]REKAPITULASI!D12</f>
        <v>1.44053059392E-4</v>
      </c>
      <c r="E41" s="109">
        <f t="shared" si="17"/>
        <v>4.465644841152E-2</v>
      </c>
      <c r="F41" s="110">
        <f t="shared" si="18"/>
        <v>8.4991305041279996E-2</v>
      </c>
    </row>
    <row r="42" spans="1:6" x14ac:dyDescent="0.25">
      <c r="A42" s="88">
        <v>2018</v>
      </c>
      <c r="B42" s="109">
        <f>[6]REKAPITULASI!B13</f>
        <v>2.0243999139972295E-3</v>
      </c>
      <c r="C42" s="109">
        <f t="shared" si="16"/>
        <v>4.2512398193941821E-2</v>
      </c>
      <c r="D42" s="109">
        <f>[6]REKAPITULASI!D13</f>
        <v>1.5182999354979224E-4</v>
      </c>
      <c r="E42" s="109">
        <f t="shared" si="17"/>
        <v>4.7067298000435596E-2</v>
      </c>
      <c r="F42" s="110">
        <f t="shared" si="18"/>
        <v>8.9579696194377417E-2</v>
      </c>
    </row>
    <row r="43" spans="1:6" x14ac:dyDescent="0.25">
      <c r="A43" s="88">
        <v>2019</v>
      </c>
      <c r="B43" s="109">
        <f>[6]REKAPITULASI!B14</f>
        <v>2.1324427447611664E-3</v>
      </c>
      <c r="C43" s="109">
        <f t="shared" si="16"/>
        <v>4.4781297639984494E-2</v>
      </c>
      <c r="D43" s="109">
        <f>[6]REKAPITULASI!D14</f>
        <v>1.5993320585708744E-4</v>
      </c>
      <c r="E43" s="109">
        <f t="shared" si="17"/>
        <v>4.9579293815697104E-2</v>
      </c>
      <c r="F43" s="110">
        <f t="shared" si="18"/>
        <v>9.4360591455681597E-2</v>
      </c>
    </row>
    <row r="44" spans="1:6" x14ac:dyDescent="0.25">
      <c r="A44" s="88">
        <v>2020</v>
      </c>
      <c r="B44" s="109">
        <f>[6]REKAPITULASI!B15</f>
        <v>2.2449996980485032E-3</v>
      </c>
      <c r="C44" s="109">
        <f t="shared" si="16"/>
        <v>4.7144993659018565E-2</v>
      </c>
      <c r="D44" s="109">
        <f>[6]REKAPITULASI!D15</f>
        <v>1.6837497735363774E-4</v>
      </c>
      <c r="E44" s="109">
        <f t="shared" si="17"/>
        <v>5.2196242979627702E-2</v>
      </c>
      <c r="F44" s="110">
        <f t="shared" si="18"/>
        <v>9.9341236638646274E-2</v>
      </c>
    </row>
    <row r="45" spans="1:6" x14ac:dyDescent="0.25">
      <c r="A45" s="88">
        <v>2021</v>
      </c>
      <c r="B45" s="109">
        <f>[6]REKAPITULASI!B16</f>
        <v>2.3622403210537862E-3</v>
      </c>
      <c r="C45" s="109">
        <f t="shared" si="16"/>
        <v>4.9607046742129512E-2</v>
      </c>
      <c r="D45" s="109">
        <f>[6]REKAPITULASI!D16</f>
        <v>1.7716802407903394E-4</v>
      </c>
      <c r="E45" s="109">
        <f t="shared" si="17"/>
        <v>5.4922087464500523E-2</v>
      </c>
      <c r="F45" s="110">
        <f t="shared" si="18"/>
        <v>0.10452913420663004</v>
      </c>
    </row>
    <row r="46" spans="1:6" x14ac:dyDescent="0.25">
      <c r="A46" s="88">
        <v>2022</v>
      </c>
      <c r="B46" s="109">
        <f>[6]REKAPITULASI!B17</f>
        <v>2.4843401585656309E-3</v>
      </c>
      <c r="C46" s="109">
        <f t="shared" ref="C46:C55" si="19">B46*21</f>
        <v>5.2171143329878253E-2</v>
      </c>
      <c r="D46" s="109">
        <f>[6]REKAPITULASI!D17</f>
        <v>1.8632551189242229E-4</v>
      </c>
      <c r="E46" s="109">
        <f t="shared" ref="E46:E55" si="20">D46*310</f>
        <v>5.7760908686650909E-2</v>
      </c>
      <c r="F46" s="110">
        <f t="shared" ref="F46:F55" si="21">E46+C46</f>
        <v>0.10993205201652917</v>
      </c>
    </row>
    <row r="47" spans="1:6" x14ac:dyDescent="0.25">
      <c r="A47" s="88">
        <v>2023</v>
      </c>
      <c r="B47" s="109">
        <f>[6]REKAPITULASI!B18</f>
        <v>2.6114809571148733E-3</v>
      </c>
      <c r="C47" s="109">
        <f t="shared" si="19"/>
        <v>5.4841100099412336E-2</v>
      </c>
      <c r="D47" s="109">
        <f>[6]REKAPITULASI!D18</f>
        <v>1.9586107178361551E-4</v>
      </c>
      <c r="E47" s="109">
        <f t="shared" si="20"/>
        <v>6.0716932252920811E-2</v>
      </c>
      <c r="F47" s="110">
        <f t="shared" si="21"/>
        <v>0.11555803235233314</v>
      </c>
    </row>
    <row r="48" spans="1:6" x14ac:dyDescent="0.25">
      <c r="A48" s="88">
        <v>2024</v>
      </c>
      <c r="B48" s="109">
        <f>[6]REKAPITULASI!B19</f>
        <v>2.7438508758876289E-3</v>
      </c>
      <c r="C48" s="109">
        <f t="shared" si="19"/>
        <v>5.7620868393640209E-2</v>
      </c>
      <c r="D48" s="109">
        <f>[6]REKAPITULASI!D19</f>
        <v>2.0578881569157214E-4</v>
      </c>
      <c r="E48" s="109">
        <f t="shared" si="20"/>
        <v>6.3794532864387368E-2</v>
      </c>
      <c r="F48" s="110">
        <f t="shared" si="21"/>
        <v>0.12141540125802758</v>
      </c>
    </row>
    <row r="49" spans="1:10" x14ac:dyDescent="0.25">
      <c r="A49" s="88">
        <v>2025</v>
      </c>
      <c r="B49" s="109">
        <f>[6]REKAPITULASI!B20</f>
        <v>2.8816447046230145E-3</v>
      </c>
      <c r="C49" s="109">
        <f t="shared" si="19"/>
        <v>6.0514538797083302E-2</v>
      </c>
      <c r="D49" s="109">
        <f>[6]REKAPITULASI!D20</f>
        <v>2.161233528467261E-4</v>
      </c>
      <c r="E49" s="109">
        <f t="shared" si="20"/>
        <v>6.6998239382485086E-2</v>
      </c>
      <c r="F49" s="110">
        <f t="shared" si="21"/>
        <v>0.12751277817956838</v>
      </c>
    </row>
    <row r="50" spans="1:10" x14ac:dyDescent="0.25">
      <c r="A50" s="88">
        <v>2026</v>
      </c>
      <c r="B50" s="109">
        <f>[6]REKAPITULASI!B21</f>
        <v>3.0250640887223772E-3</v>
      </c>
      <c r="C50" s="109">
        <f t="shared" si="19"/>
        <v>6.3526345863169922E-2</v>
      </c>
      <c r="D50" s="109">
        <f>[6]REKAPITULASI!D21</f>
        <v>2.2687980665417825E-4</v>
      </c>
      <c r="E50" s="109">
        <f t="shared" si="20"/>
        <v>7.033274006279526E-2</v>
      </c>
      <c r="F50" s="110">
        <f t="shared" si="21"/>
        <v>0.13385908592596518</v>
      </c>
    </row>
    <row r="51" spans="1:10" x14ac:dyDescent="0.25">
      <c r="A51" s="88">
        <v>2027</v>
      </c>
      <c r="B51" s="109">
        <f>[6]REKAPITULASI!B22</f>
        <v>3.1743177618040732E-3</v>
      </c>
      <c r="C51" s="109">
        <f t="shared" si="19"/>
        <v>6.6660672997885542E-2</v>
      </c>
      <c r="D51" s="109">
        <f>[6]REKAPITULASI!D22</f>
        <v>2.3807383213530551E-4</v>
      </c>
      <c r="E51" s="109">
        <f t="shared" si="20"/>
        <v>7.3802887961944702E-2</v>
      </c>
      <c r="F51" s="110">
        <f t="shared" si="21"/>
        <v>0.14046356095983026</v>
      </c>
    </row>
    <row r="52" spans="1:10" x14ac:dyDescent="0.25">
      <c r="A52" s="88">
        <v>2028</v>
      </c>
      <c r="B52" s="109">
        <f>[6]REKAPITULASI!B23</f>
        <v>3.3296217859453622E-3</v>
      </c>
      <c r="C52" s="109">
        <f t="shared" si="19"/>
        <v>6.9922057504852614E-2</v>
      </c>
      <c r="D52" s="109">
        <f>[6]REKAPITULASI!D23</f>
        <v>2.4972163394590212E-4</v>
      </c>
      <c r="E52" s="109">
        <f t="shared" si="20"/>
        <v>7.7413706523229653E-2</v>
      </c>
      <c r="F52" s="110">
        <f t="shared" si="21"/>
        <v>0.14733576402808227</v>
      </c>
    </row>
    <row r="53" spans="1:10" x14ac:dyDescent="0.25">
      <c r="A53" s="88">
        <v>2029</v>
      </c>
      <c r="B53" s="109">
        <f>[6]REKAPITULASI!B24</f>
        <v>3.4911997998606789E-3</v>
      </c>
      <c r="C53" s="109">
        <f t="shared" si="19"/>
        <v>7.3315195797074253E-2</v>
      </c>
      <c r="D53" s="109">
        <f>[6]REKAPITULASI!D24</f>
        <v>2.618399849895509E-4</v>
      </c>
      <c r="E53" s="109">
        <f t="shared" si="20"/>
        <v>8.1170395346760779E-2</v>
      </c>
      <c r="F53" s="110">
        <f t="shared" si="21"/>
        <v>0.15448559114383503</v>
      </c>
    </row>
    <row r="54" spans="1:10" x14ac:dyDescent="0.25">
      <c r="A54" s="88">
        <v>2030</v>
      </c>
      <c r="B54" s="109">
        <f>[6]REKAPITULASI!B25</f>
        <v>3.6579023999999999E-3</v>
      </c>
      <c r="C54" s="109">
        <f t="shared" si="19"/>
        <v>7.6815950399999999E-2</v>
      </c>
      <c r="D54" s="109">
        <f>[6]REKAPITULASI!D25</f>
        <v>2.7434267999999995E-4</v>
      </c>
      <c r="E54" s="109">
        <f t="shared" si="20"/>
        <v>8.5046230799999983E-2</v>
      </c>
      <c r="F54" s="110">
        <f t="shared" si="21"/>
        <v>0.16186218119999998</v>
      </c>
    </row>
    <row r="55" spans="1:10" x14ac:dyDescent="0.25">
      <c r="A55" s="88">
        <v>2031</v>
      </c>
      <c r="B55" s="98"/>
      <c r="C55" s="109">
        <f t="shared" si="19"/>
        <v>0</v>
      </c>
      <c r="D55" s="109"/>
      <c r="E55" s="109">
        <f t="shared" si="20"/>
        <v>0</v>
      </c>
      <c r="F55" s="110">
        <f t="shared" si="21"/>
        <v>0</v>
      </c>
    </row>
    <row r="57" spans="1:10" ht="15.75" thickBot="1" x14ac:dyDescent="0.3">
      <c r="A57" s="103" t="s">
        <v>87</v>
      </c>
      <c r="J57" s="94">
        <v>1000</v>
      </c>
    </row>
    <row r="58" spans="1:10" ht="15.75" thickBot="1" x14ac:dyDescent="0.3">
      <c r="A58" s="198" t="s">
        <v>10</v>
      </c>
      <c r="B58" s="200" t="s">
        <v>88</v>
      </c>
      <c r="C58" s="201"/>
      <c r="D58" s="201"/>
      <c r="E58" s="201"/>
      <c r="F58" s="201"/>
    </row>
    <row r="59" spans="1:10" ht="18.75" thickBot="1" x14ac:dyDescent="0.3">
      <c r="A59" s="199"/>
      <c r="B59" s="200" t="s">
        <v>127</v>
      </c>
      <c r="C59" s="202"/>
      <c r="D59" s="200" t="s">
        <v>131</v>
      </c>
      <c r="E59" s="202"/>
      <c r="F59" s="114" t="s">
        <v>133</v>
      </c>
      <c r="H59" s="188" t="s">
        <v>10</v>
      </c>
      <c r="I59" s="188" t="s">
        <v>143</v>
      </c>
      <c r="J59" s="188"/>
    </row>
    <row r="60" spans="1:10" ht="18" x14ac:dyDescent="0.25">
      <c r="A60" s="199"/>
      <c r="B60" s="115" t="s">
        <v>129</v>
      </c>
      <c r="C60" s="115" t="s">
        <v>130</v>
      </c>
      <c r="D60" s="115" t="s">
        <v>132</v>
      </c>
      <c r="E60" s="115" t="s">
        <v>130</v>
      </c>
      <c r="F60" s="115" t="s">
        <v>134</v>
      </c>
      <c r="H60" s="188"/>
      <c r="I60" s="138" t="s">
        <v>144</v>
      </c>
      <c r="J60" s="138" t="s">
        <v>145</v>
      </c>
    </row>
    <row r="61" spans="1:10" x14ac:dyDescent="0.25">
      <c r="A61" s="88">
        <v>2011</v>
      </c>
      <c r="B61" s="133">
        <f>[6]REKAPITULASI!B32</f>
        <v>1.5113054994894999E-2</v>
      </c>
      <c r="C61" s="117">
        <f>B61*21</f>
        <v>0.31737415489279497</v>
      </c>
      <c r="D61" s="133">
        <f>[6]REKAPITULASI!D32</f>
        <v>3.4876280757449997E-4</v>
      </c>
      <c r="E61" s="117">
        <f>D61*310</f>
        <v>0.10811647034809499</v>
      </c>
      <c r="F61" s="118">
        <f>SUM(C61+E61)</f>
        <v>0.42549062524088999</v>
      </c>
      <c r="H61" s="88">
        <v>2011</v>
      </c>
      <c r="I61" s="139">
        <f>D9+I9+N9+F35+F61-S9</f>
        <v>16.101270944879388</v>
      </c>
      <c r="J61" s="140">
        <f>I61*$J$57</f>
        <v>16101.270944879388</v>
      </c>
    </row>
    <row r="62" spans="1:10" x14ac:dyDescent="0.25">
      <c r="A62" s="88">
        <v>2012</v>
      </c>
      <c r="B62" s="133">
        <f>[6]REKAPITULASI!B33</f>
        <v>1.5487594727605001E-2</v>
      </c>
      <c r="C62" s="117">
        <f t="shared" ref="C62:C81" si="22">B62*21</f>
        <v>0.32523948927970503</v>
      </c>
      <c r="D62" s="133">
        <f>[6]REKAPITULASI!D33</f>
        <v>3.5740603217550006E-4</v>
      </c>
      <c r="E62" s="117">
        <f t="shared" ref="E62:E81" si="23">D62*310</f>
        <v>0.11079586997440502</v>
      </c>
      <c r="F62" s="118">
        <f t="shared" ref="F62:F81" si="24">SUM(C62+E62)</f>
        <v>0.43603535925411008</v>
      </c>
      <c r="H62" s="88">
        <v>2012</v>
      </c>
      <c r="I62" s="139">
        <f t="shared" ref="I62:I81" si="25">D10+I10+N10+F36+F62-S10</f>
        <v>16.393710530051898</v>
      </c>
      <c r="J62" s="140">
        <f t="shared" ref="J62:J70" si="26">I62*$J$57</f>
        <v>16393.7105300519</v>
      </c>
    </row>
    <row r="63" spans="1:10" x14ac:dyDescent="0.25">
      <c r="A63" s="88">
        <v>2013</v>
      </c>
      <c r="B63" s="133">
        <f>[6]REKAPITULASI!B34</f>
        <v>1.5873641526599997E-2</v>
      </c>
      <c r="C63" s="117">
        <f t="shared" si="22"/>
        <v>0.33334647205859996</v>
      </c>
      <c r="D63" s="133">
        <f>[6]REKAPITULASI!D34</f>
        <v>3.6631480445999993E-4</v>
      </c>
      <c r="E63" s="117">
        <f t="shared" si="23"/>
        <v>0.11355758938259998</v>
      </c>
      <c r="F63" s="118">
        <f t="shared" si="24"/>
        <v>0.44690406144119993</v>
      </c>
      <c r="H63" s="88">
        <v>2013</v>
      </c>
      <c r="I63" s="139">
        <f t="shared" si="25"/>
        <v>16.755451697914236</v>
      </c>
      <c r="J63" s="140">
        <f t="shared" si="26"/>
        <v>16755.451697914235</v>
      </c>
    </row>
    <row r="64" spans="1:10" x14ac:dyDescent="0.25">
      <c r="A64" s="88">
        <v>2014</v>
      </c>
      <c r="B64" s="133">
        <f>[6]REKAPITULASI!B35</f>
        <v>1.6253883876229999E-2</v>
      </c>
      <c r="C64" s="117">
        <f t="shared" si="22"/>
        <v>0.34133156140082999</v>
      </c>
      <c r="D64" s="133">
        <f>[6]REKAPITULASI!D35</f>
        <v>3.7508962791299997E-4</v>
      </c>
      <c r="E64" s="117">
        <f t="shared" si="23"/>
        <v>0.11627778465302999</v>
      </c>
      <c r="F64" s="118">
        <f t="shared" si="24"/>
        <v>0.45760934605385994</v>
      </c>
      <c r="H64" s="88">
        <v>2014</v>
      </c>
      <c r="I64" s="139">
        <f t="shared" si="25"/>
        <v>17.165419225759635</v>
      </c>
      <c r="J64" s="140">
        <f t="shared" si="26"/>
        <v>17165.419225759633</v>
      </c>
    </row>
    <row r="65" spans="1:10" x14ac:dyDescent="0.25">
      <c r="A65" s="88">
        <v>2015</v>
      </c>
      <c r="B65" s="133">
        <f>[6]REKAPITULASI!B36</f>
        <v>1.6631885912069998E-2</v>
      </c>
      <c r="C65" s="117">
        <f t="shared" si="22"/>
        <v>0.34926960415346997</v>
      </c>
      <c r="D65" s="133">
        <f>[6]REKAPITULASI!D36</f>
        <v>3.8381275181700002E-4</v>
      </c>
      <c r="E65" s="117">
        <f t="shared" si="23"/>
        <v>0.11898195306327</v>
      </c>
      <c r="F65" s="118">
        <f t="shared" si="24"/>
        <v>0.46825155721673994</v>
      </c>
      <c r="H65" s="88">
        <v>2015</v>
      </c>
      <c r="I65" s="139">
        <f t="shared" si="25"/>
        <v>17.605153806205266</v>
      </c>
      <c r="J65" s="140">
        <f t="shared" si="26"/>
        <v>17605.153806205264</v>
      </c>
    </row>
    <row r="66" spans="1:10" x14ac:dyDescent="0.25">
      <c r="A66" s="88">
        <v>2016</v>
      </c>
      <c r="B66" s="133">
        <f>[6]REKAPITULASI!B37</f>
        <v>1.6992576432260001E-2</v>
      </c>
      <c r="C66" s="117">
        <f t="shared" si="22"/>
        <v>0.35684410507746001</v>
      </c>
      <c r="D66" s="133">
        <f>[6]REKAPITULASI!D37</f>
        <v>3.92136379206E-4</v>
      </c>
      <c r="E66" s="117">
        <f t="shared" si="23"/>
        <v>0.12156227755386</v>
      </c>
      <c r="F66" s="118">
        <f t="shared" si="24"/>
        <v>0.47840638263132002</v>
      </c>
      <c r="H66" s="88">
        <v>2016</v>
      </c>
      <c r="I66" s="139">
        <f t="shared" si="25"/>
        <v>18.062791006763256</v>
      </c>
      <c r="J66" s="140">
        <f t="shared" si="26"/>
        <v>18062.791006763255</v>
      </c>
    </row>
    <row r="67" spans="1:10" x14ac:dyDescent="0.25">
      <c r="A67" s="88">
        <v>2017</v>
      </c>
      <c r="B67" s="133">
        <f>[6]REKAPITULASI!B38</f>
        <v>1.7608377593663998E-2</v>
      </c>
      <c r="C67" s="117">
        <f t="shared" si="22"/>
        <v>0.36977592946694393</v>
      </c>
      <c r="D67" s="133">
        <f>[6]REKAPITULASI!D38</f>
        <v>4.0634717523840001E-4</v>
      </c>
      <c r="E67" s="117">
        <f t="shared" si="23"/>
        <v>0.12596762432390401</v>
      </c>
      <c r="F67" s="118">
        <f t="shared" si="24"/>
        <v>0.49574355379084795</v>
      </c>
      <c r="H67" s="88">
        <v>2017</v>
      </c>
      <c r="I67" s="139">
        <f t="shared" si="25"/>
        <v>18.095864165928781</v>
      </c>
      <c r="J67" s="140">
        <f t="shared" si="26"/>
        <v>18095.864165928782</v>
      </c>
    </row>
    <row r="68" spans="1:10" x14ac:dyDescent="0.25">
      <c r="A68" s="88">
        <v>2018</v>
      </c>
      <c r="B68" s="133">
        <f>[6]REKAPITULASI!B39</f>
        <v>1.8044719437244502E-2</v>
      </c>
      <c r="C68" s="117">
        <f t="shared" si="22"/>
        <v>0.37893910818213455</v>
      </c>
      <c r="D68" s="133">
        <f>[6]REKAPITULASI!D39</f>
        <v>4.1641660239795001E-4</v>
      </c>
      <c r="E68" s="117">
        <f t="shared" si="23"/>
        <v>0.1290891467433645</v>
      </c>
      <c r="F68" s="118">
        <f t="shared" si="24"/>
        <v>0.50802825492549908</v>
      </c>
      <c r="H68" s="88">
        <v>2018</v>
      </c>
      <c r="I68" s="139">
        <f t="shared" si="25"/>
        <v>18.341962742914905</v>
      </c>
      <c r="J68" s="140">
        <f t="shared" si="26"/>
        <v>18341.962742914904</v>
      </c>
    </row>
    <row r="69" spans="1:10" x14ac:dyDescent="0.25">
      <c r="A69" s="88">
        <v>2019</v>
      </c>
      <c r="B69" s="133">
        <f>[6]REKAPITULASI!B40</f>
        <v>1.8481061280825002E-2</v>
      </c>
      <c r="C69" s="117">
        <f t="shared" si="22"/>
        <v>0.38810228689732507</v>
      </c>
      <c r="D69" s="133">
        <f>[6]REKAPITULASI!D40</f>
        <v>4.2648602955750001E-4</v>
      </c>
      <c r="E69" s="117">
        <f t="shared" si="23"/>
        <v>0.13221066916282501</v>
      </c>
      <c r="F69" s="118">
        <f t="shared" si="24"/>
        <v>0.52031295606015004</v>
      </c>
      <c r="H69" s="88">
        <v>2019</v>
      </c>
      <c r="I69" s="139">
        <f t="shared" si="25"/>
        <v>18.671564245710965</v>
      </c>
      <c r="J69" s="140">
        <f t="shared" si="26"/>
        <v>18671.564245710964</v>
      </c>
    </row>
    <row r="70" spans="1:10" x14ac:dyDescent="0.25">
      <c r="A70" s="88">
        <v>2020</v>
      </c>
      <c r="B70" s="133">
        <f>[6]REKAPITULASI!B41</f>
        <v>1.8917403124405499E-2</v>
      </c>
      <c r="C70" s="117">
        <f t="shared" si="22"/>
        <v>0.39726546561251547</v>
      </c>
      <c r="D70" s="133">
        <f>[6]REKAPITULASI!D41</f>
        <v>4.3655545671705007E-4</v>
      </c>
      <c r="E70" s="117">
        <f t="shared" si="23"/>
        <v>0.13533219158228552</v>
      </c>
      <c r="F70" s="118">
        <f t="shared" si="24"/>
        <v>0.53259765719480101</v>
      </c>
      <c r="H70" s="88">
        <v>2020</v>
      </c>
      <c r="I70" s="139">
        <f t="shared" si="25"/>
        <v>19.060030804996369</v>
      </c>
      <c r="J70" s="140">
        <f t="shared" si="26"/>
        <v>19060.030804996368</v>
      </c>
    </row>
    <row r="71" spans="1:10" x14ac:dyDescent="0.25">
      <c r="A71" s="88">
        <v>2021</v>
      </c>
      <c r="B71" s="133">
        <f>[6]REKAPITULASI!B42</f>
        <v>1.9353744967985996E-2</v>
      </c>
      <c r="C71" s="117">
        <f t="shared" si="22"/>
        <v>0.40642864432770592</v>
      </c>
      <c r="D71" s="133">
        <f>[6]REKAPITULASI!D42</f>
        <v>4.4662488387659996E-4</v>
      </c>
      <c r="E71" s="117">
        <f t="shared" si="23"/>
        <v>0.138453714001746</v>
      </c>
      <c r="F71" s="118">
        <f t="shared" si="24"/>
        <v>0.54488235832945198</v>
      </c>
      <c r="H71" s="88">
        <v>2021</v>
      </c>
      <c r="I71" s="139">
        <f t="shared" si="25"/>
        <v>19.490778607541642</v>
      </c>
      <c r="J71" s="140">
        <f>I71*$J$57</f>
        <v>19490.778607541644</v>
      </c>
    </row>
    <row r="72" spans="1:10" x14ac:dyDescent="0.25">
      <c r="A72" s="88">
        <v>2022</v>
      </c>
      <c r="B72" s="133">
        <f>[6]REKAPITULASI!B43</f>
        <v>1.9790086811566503E-2</v>
      </c>
      <c r="C72" s="117">
        <f t="shared" si="22"/>
        <v>0.41559182304289655</v>
      </c>
      <c r="D72" s="133">
        <f>[6]REKAPITULASI!D43</f>
        <v>4.5669431103615007E-4</v>
      </c>
      <c r="E72" s="117">
        <f t="shared" si="23"/>
        <v>0.14157523642120654</v>
      </c>
      <c r="F72" s="118">
        <f t="shared" si="24"/>
        <v>0.55716705946410305</v>
      </c>
      <c r="H72" s="88">
        <v>2022</v>
      </c>
      <c r="I72" s="139">
        <f t="shared" si="25"/>
        <v>19.952621901120374</v>
      </c>
      <c r="J72" s="140">
        <f t="shared" ref="J72:J81" si="27">I72*$J$57</f>
        <v>19952.621901120372</v>
      </c>
    </row>
    <row r="73" spans="1:10" x14ac:dyDescent="0.25">
      <c r="A73" s="88">
        <v>2023</v>
      </c>
      <c r="B73" s="133">
        <f>[6]REKAPITULASI!B44</f>
        <v>2.0226428655147E-2</v>
      </c>
      <c r="C73" s="117">
        <f t="shared" si="22"/>
        <v>0.424755001758087</v>
      </c>
      <c r="D73" s="133">
        <f>[6]REKAPITULASI!D44</f>
        <v>4.6676373819570002E-4</v>
      </c>
      <c r="E73" s="117">
        <f t="shared" si="23"/>
        <v>0.14469675884066702</v>
      </c>
      <c r="F73" s="118">
        <f t="shared" si="24"/>
        <v>0.56945176059875402</v>
      </c>
      <c r="H73" s="88">
        <v>2023</v>
      </c>
      <c r="I73" s="139">
        <f t="shared" si="25"/>
        <v>20.437987977769616</v>
      </c>
      <c r="J73" s="140">
        <f t="shared" si="27"/>
        <v>20437.987977769615</v>
      </c>
    </row>
    <row r="74" spans="1:10" x14ac:dyDescent="0.25">
      <c r="A74" s="88">
        <v>2024</v>
      </c>
      <c r="B74" s="133">
        <f>[6]REKAPITULASI!B45</f>
        <v>2.0662770498727501E-2</v>
      </c>
      <c r="C74" s="117">
        <f t="shared" si="22"/>
        <v>0.43391818047327751</v>
      </c>
      <c r="D74" s="133">
        <f>[6]REKAPITULASI!D45</f>
        <v>4.7683316535524997E-4</v>
      </c>
      <c r="E74" s="117">
        <f t="shared" si="23"/>
        <v>0.1478182812601275</v>
      </c>
      <c r="F74" s="118">
        <f t="shared" si="24"/>
        <v>0.58173646173340499</v>
      </c>
      <c r="H74" s="88">
        <v>2024</v>
      </c>
      <c r="I74" s="139">
        <f t="shared" si="25"/>
        <v>20.941716281688375</v>
      </c>
      <c r="J74" s="140">
        <f t="shared" si="27"/>
        <v>20941.716281688376</v>
      </c>
    </row>
    <row r="75" spans="1:10" x14ac:dyDescent="0.25">
      <c r="A75" s="88">
        <v>2025</v>
      </c>
      <c r="B75" s="133">
        <f>[6]REKAPITULASI!B46</f>
        <v>2.1099112342307994E-2</v>
      </c>
      <c r="C75" s="117">
        <f t="shared" si="22"/>
        <v>0.44308135918846786</v>
      </c>
      <c r="D75" s="133">
        <f>[6]REKAPITULASI!D46</f>
        <v>4.8690259251479991E-4</v>
      </c>
      <c r="E75" s="117">
        <f t="shared" si="23"/>
        <v>0.15093980367958798</v>
      </c>
      <c r="F75" s="118">
        <f t="shared" si="24"/>
        <v>0.59402116286805584</v>
      </c>
      <c r="H75" s="88">
        <v>2025</v>
      </c>
      <c r="I75" s="139">
        <f t="shared" si="25"/>
        <v>21.46024927329001</v>
      </c>
      <c r="J75" s="140">
        <f t="shared" si="27"/>
        <v>21460.24927329001</v>
      </c>
    </row>
    <row r="76" spans="1:10" x14ac:dyDescent="0.25">
      <c r="A76" s="88">
        <v>2026</v>
      </c>
      <c r="B76" s="133">
        <f>[6]REKAPITULASI!B47</f>
        <v>2.1535454185888498E-2</v>
      </c>
      <c r="C76" s="117">
        <f t="shared" si="22"/>
        <v>0.45224453790365848</v>
      </c>
      <c r="D76" s="133">
        <f>[6]REKAPITULASI!D47</f>
        <v>4.9697201967434997E-4</v>
      </c>
      <c r="E76" s="117">
        <f t="shared" si="23"/>
        <v>0.15406132609904849</v>
      </c>
      <c r="F76" s="118">
        <f t="shared" si="24"/>
        <v>0.60630586400270703</v>
      </c>
      <c r="H76" s="88">
        <v>2026</v>
      </c>
      <c r="I76" s="139">
        <f t="shared" si="25"/>
        <v>21.991086026262728</v>
      </c>
      <c r="J76" s="140">
        <f t="shared" si="27"/>
        <v>21991.086026262728</v>
      </c>
    </row>
    <row r="77" spans="1:10" x14ac:dyDescent="0.25">
      <c r="A77" s="88">
        <v>2027</v>
      </c>
      <c r="B77" s="133">
        <f>[6]REKAPITULASI!B48</f>
        <v>2.1971796029468998E-2</v>
      </c>
      <c r="C77" s="117">
        <f t="shared" si="22"/>
        <v>0.46140771661884894</v>
      </c>
      <c r="D77" s="133">
        <f>[6]REKAPITULASI!D48</f>
        <v>5.0704144683390003E-4</v>
      </c>
      <c r="E77" s="117">
        <f t="shared" si="23"/>
        <v>0.157182848518509</v>
      </c>
      <c r="F77" s="118">
        <f t="shared" si="24"/>
        <v>0.61859056513735799</v>
      </c>
      <c r="H77" s="88">
        <v>2027</v>
      </c>
      <c r="I77" s="139">
        <f t="shared" si="25"/>
        <v>22.53241200431459</v>
      </c>
      <c r="J77" s="140">
        <f t="shared" si="27"/>
        <v>22532.412004314589</v>
      </c>
    </row>
    <row r="78" spans="1:10" x14ac:dyDescent="0.25">
      <c r="A78" s="88">
        <v>2028</v>
      </c>
      <c r="B78" s="133">
        <f>[6]REKAPITULASI!B49</f>
        <v>2.2408137873049499E-2</v>
      </c>
      <c r="C78" s="117">
        <f t="shared" si="22"/>
        <v>0.47057089533403945</v>
      </c>
      <c r="D78" s="133">
        <f>[6]REKAPITULASI!D49</f>
        <v>5.1711087399344987E-4</v>
      </c>
      <c r="E78" s="117">
        <f t="shared" si="23"/>
        <v>0.16030437093796945</v>
      </c>
      <c r="F78" s="118">
        <f t="shared" si="24"/>
        <v>0.63087526627200896</v>
      </c>
      <c r="H78" s="88">
        <v>2028</v>
      </c>
      <c r="I78" s="139">
        <f t="shared" si="25"/>
        <v>23.082846939264407</v>
      </c>
      <c r="J78" s="140">
        <f t="shared" si="27"/>
        <v>23082.846939264407</v>
      </c>
    </row>
    <row r="79" spans="1:10" x14ac:dyDescent="0.25">
      <c r="A79" s="88">
        <v>2029</v>
      </c>
      <c r="B79" s="133">
        <f>[6]REKAPITULASI!B50</f>
        <v>2.2844479716629999E-2</v>
      </c>
      <c r="C79" s="117">
        <f t="shared" si="22"/>
        <v>0.47973407404922996</v>
      </c>
      <c r="D79" s="133">
        <f>[6]REKAPITULASI!D50</f>
        <v>5.2718030115299992E-4</v>
      </c>
      <c r="E79" s="117">
        <f t="shared" si="23"/>
        <v>0.16342589335742996</v>
      </c>
      <c r="F79" s="118">
        <f t="shared" si="24"/>
        <v>0.64315996740665993</v>
      </c>
      <c r="H79" s="88">
        <v>2029</v>
      </c>
      <c r="I79" s="139">
        <f t="shared" si="25"/>
        <v>23.641271824765298</v>
      </c>
      <c r="J79" s="140">
        <f t="shared" si="27"/>
        <v>23641.271824765299</v>
      </c>
    </row>
    <row r="80" spans="1:10" x14ac:dyDescent="0.25">
      <c r="A80" s="88">
        <v>2030</v>
      </c>
      <c r="B80" s="133">
        <f>[6]REKAPITULASI!B51</f>
        <v>2.3280821560210496E-2</v>
      </c>
      <c r="C80" s="117">
        <f t="shared" si="22"/>
        <v>0.48889725276442042</v>
      </c>
      <c r="D80" s="133">
        <f>[6]REKAPITULASI!D51</f>
        <v>5.3724972831254998E-4</v>
      </c>
      <c r="E80" s="117">
        <f t="shared" si="23"/>
        <v>0.1665474157768905</v>
      </c>
      <c r="F80" s="118">
        <f t="shared" si="24"/>
        <v>0.65544466854131089</v>
      </c>
      <c r="H80" s="88">
        <v>2030</v>
      </c>
      <c r="I80" s="139">
        <f t="shared" si="25"/>
        <v>24.206105185621059</v>
      </c>
      <c r="J80" s="140">
        <f t="shared" si="27"/>
        <v>24206.105185621058</v>
      </c>
    </row>
    <row r="81" spans="1:10" x14ac:dyDescent="0.25">
      <c r="A81" s="88">
        <v>2031</v>
      </c>
      <c r="B81" s="116"/>
      <c r="C81" s="117">
        <f t="shared" si="22"/>
        <v>0</v>
      </c>
      <c r="D81" s="116"/>
      <c r="E81" s="117">
        <f t="shared" si="23"/>
        <v>0</v>
      </c>
      <c r="F81" s="118">
        <f t="shared" si="24"/>
        <v>0</v>
      </c>
      <c r="H81" s="88">
        <v>2031</v>
      </c>
      <c r="I81" s="139">
        <f t="shared" si="25"/>
        <v>0</v>
      </c>
      <c r="J81" s="140">
        <f t="shared" si="27"/>
        <v>0</v>
      </c>
    </row>
    <row r="84" spans="1:10" x14ac:dyDescent="0.25">
      <c r="A84" s="119"/>
      <c r="B84" s="99"/>
      <c r="C84" s="100"/>
      <c r="D84" s="99"/>
      <c r="E84" s="100"/>
      <c r="F84" s="100"/>
    </row>
    <row r="85" spans="1:10" ht="15.75" thickBot="1" x14ac:dyDescent="0.3">
      <c r="A85" s="120" t="s">
        <v>142</v>
      </c>
      <c r="B85" s="100"/>
      <c r="C85" s="99"/>
      <c r="D85" s="100"/>
      <c r="G85" s="94">
        <v>1000</v>
      </c>
    </row>
    <row r="86" spans="1:10" ht="18.75" thickBot="1" x14ac:dyDescent="0.3">
      <c r="A86" s="191" t="s">
        <v>10</v>
      </c>
      <c r="B86" s="193" t="s">
        <v>135</v>
      </c>
      <c r="C86" s="194"/>
      <c r="D86" s="186" t="s">
        <v>136</v>
      </c>
      <c r="E86" s="187"/>
      <c r="F86" s="189" t="s">
        <v>94</v>
      </c>
      <c r="G86" s="190"/>
    </row>
    <row r="87" spans="1:10" ht="81.75" thickBot="1" x14ac:dyDescent="0.3">
      <c r="A87" s="192"/>
      <c r="B87" s="121" t="s">
        <v>137</v>
      </c>
      <c r="C87" s="121" t="s">
        <v>138</v>
      </c>
      <c r="D87" s="122" t="s">
        <v>139</v>
      </c>
      <c r="E87" s="122" t="s">
        <v>140</v>
      </c>
      <c r="F87" s="123" t="s">
        <v>141</v>
      </c>
      <c r="G87" s="123" t="s">
        <v>146</v>
      </c>
    </row>
    <row r="88" spans="1:10" ht="15.75" thickBot="1" x14ac:dyDescent="0.3">
      <c r="A88" s="192"/>
      <c r="B88" s="195" t="s">
        <v>100</v>
      </c>
      <c r="C88" s="124" t="s">
        <v>101</v>
      </c>
      <c r="D88" s="125" t="s">
        <v>102</v>
      </c>
      <c r="E88" s="126" t="s">
        <v>103</v>
      </c>
      <c r="F88" s="127" t="s">
        <v>104</v>
      </c>
      <c r="G88" s="127" t="s">
        <v>104</v>
      </c>
    </row>
    <row r="89" spans="1:10" x14ac:dyDescent="0.25">
      <c r="A89" s="192"/>
      <c r="B89" s="196"/>
      <c r="C89" s="128" t="s">
        <v>105</v>
      </c>
      <c r="D89" s="129"/>
      <c r="E89" s="130" t="s">
        <v>106</v>
      </c>
      <c r="F89" s="131" t="s">
        <v>107</v>
      </c>
      <c r="G89" s="131" t="s">
        <v>107</v>
      </c>
    </row>
    <row r="90" spans="1:10" x14ac:dyDescent="0.25">
      <c r="A90" s="88">
        <v>2011</v>
      </c>
      <c r="B90" s="134">
        <f>[6]REKAPITULASI!B59</f>
        <v>0.15128660037360001</v>
      </c>
      <c r="C90" s="137">
        <f>B90*21</f>
        <v>3.1770186078456</v>
      </c>
      <c r="D90" s="136">
        <f>[6]REKAPITULASI!D59</f>
        <v>5.1414938677142854E-3</v>
      </c>
      <c r="E90" s="132">
        <f>D90*310</f>
        <v>1.5938630989914284</v>
      </c>
      <c r="F90" s="135">
        <f>C90+E90</f>
        <v>4.7708817068370282</v>
      </c>
      <c r="G90" s="141">
        <f>F90*$G$85</f>
        <v>4770.8817068370281</v>
      </c>
    </row>
    <row r="91" spans="1:10" x14ac:dyDescent="0.25">
      <c r="A91" s="88">
        <v>2012</v>
      </c>
      <c r="B91" s="134">
        <f>[6]REKAPITULASI!B60</f>
        <v>0.15512907170640003</v>
      </c>
      <c r="C91" s="137">
        <f t="shared" ref="C91:C110" si="28">B91*21</f>
        <v>3.2577105058344005</v>
      </c>
      <c r="D91" s="136">
        <f>[6]REKAPITULASI!D60</f>
        <v>5.0821420885714293E-3</v>
      </c>
      <c r="E91" s="132">
        <f t="shared" ref="E91:E110" si="29">D91*310</f>
        <v>1.5754640474571431</v>
      </c>
      <c r="F91" s="135">
        <f t="shared" ref="F91:F110" si="30">C91+E91</f>
        <v>4.8331745532915438</v>
      </c>
      <c r="G91" s="141">
        <f t="shared" ref="G91:G109" si="31">F91*$G$85</f>
        <v>4833.1745532915438</v>
      </c>
    </row>
    <row r="92" spans="1:10" x14ac:dyDescent="0.25">
      <c r="A92" s="88">
        <v>2013</v>
      </c>
      <c r="B92" s="134">
        <f>[6]REKAPITULASI!B61</f>
        <v>0.159089596128</v>
      </c>
      <c r="C92" s="137">
        <f t="shared" si="28"/>
        <v>3.3408815186880001</v>
      </c>
      <c r="D92" s="136">
        <f>[6]REKAPITULASI!D61</f>
        <v>5.1381882514285717E-3</v>
      </c>
      <c r="E92" s="132">
        <f t="shared" si="29"/>
        <v>1.5928383579428571</v>
      </c>
      <c r="F92" s="135">
        <f t="shared" si="30"/>
        <v>4.9337198766308568</v>
      </c>
      <c r="G92" s="141">
        <f t="shared" si="31"/>
        <v>4933.7198766308566</v>
      </c>
    </row>
    <row r="93" spans="1:10" x14ac:dyDescent="0.25">
      <c r="A93" s="88">
        <v>2014</v>
      </c>
      <c r="B93" s="134">
        <f>[6]REKAPITULASI!B62</f>
        <v>0.16299057164640002</v>
      </c>
      <c r="C93" s="137">
        <f t="shared" si="28"/>
        <v>3.4228020045744003</v>
      </c>
      <c r="D93" s="136">
        <f>[6]REKAPITULASI!D62</f>
        <v>5.3810417278095249E-3</v>
      </c>
      <c r="E93" s="132">
        <f t="shared" si="29"/>
        <v>1.6681229356209528</v>
      </c>
      <c r="F93" s="135">
        <f t="shared" si="30"/>
        <v>5.0909249401953529</v>
      </c>
      <c r="G93" s="141">
        <f t="shared" si="31"/>
        <v>5090.924940195353</v>
      </c>
    </row>
    <row r="94" spans="1:10" x14ac:dyDescent="0.25">
      <c r="A94" s="88">
        <v>2015</v>
      </c>
      <c r="B94" s="134">
        <f>[6]REKAPITULASI!B63</f>
        <v>0.1668685633776</v>
      </c>
      <c r="C94" s="137">
        <f t="shared" si="28"/>
        <v>3.5042398309295999</v>
      </c>
      <c r="D94" s="136">
        <f>[6]REKAPITULASI!D63</f>
        <v>5.5090714360000008E-3</v>
      </c>
      <c r="E94" s="132">
        <f t="shared" si="29"/>
        <v>1.7078121451600003</v>
      </c>
      <c r="F94" s="135">
        <f t="shared" si="30"/>
        <v>5.2120519760896</v>
      </c>
      <c r="G94" s="141">
        <f t="shared" si="31"/>
        <v>5212.0519760896004</v>
      </c>
    </row>
    <row r="95" spans="1:10" x14ac:dyDescent="0.25">
      <c r="A95" s="88">
        <v>2016</v>
      </c>
      <c r="B95" s="134">
        <f>[6]REKAPITULASI!B64</f>
        <v>0.17056895311680001</v>
      </c>
      <c r="C95" s="137">
        <f t="shared" si="28"/>
        <v>3.5819480154528001</v>
      </c>
      <c r="D95" s="136">
        <f>[6]REKAPITULASI!D64</f>
        <v>5.6312377146666686E-3</v>
      </c>
      <c r="E95" s="132">
        <f t="shared" si="29"/>
        <v>1.7456836915466674</v>
      </c>
      <c r="F95" s="135">
        <f t="shared" si="30"/>
        <v>5.3276317069994672</v>
      </c>
      <c r="G95" s="141">
        <f t="shared" si="31"/>
        <v>5327.6317069994675</v>
      </c>
    </row>
    <row r="96" spans="1:10" x14ac:dyDescent="0.25">
      <c r="A96" s="88">
        <v>2017</v>
      </c>
      <c r="B96" s="134">
        <f>[6]REKAPITULASI!B65</f>
        <v>0.17688656938752001</v>
      </c>
      <c r="C96" s="137">
        <f t="shared" si="28"/>
        <v>3.7146179571379201</v>
      </c>
      <c r="D96" s="136">
        <f>[6]REKAPITULASI!D65</f>
        <v>5.8398102500571451E-3</v>
      </c>
      <c r="E96" s="132">
        <f t="shared" si="29"/>
        <v>1.810341177517715</v>
      </c>
      <c r="F96" s="135">
        <f t="shared" si="30"/>
        <v>5.524959134655635</v>
      </c>
      <c r="G96" s="141">
        <f t="shared" si="31"/>
        <v>5524.9591346556354</v>
      </c>
    </row>
    <row r="97" spans="1:7" x14ac:dyDescent="0.25">
      <c r="A97" s="88">
        <v>2018</v>
      </c>
      <c r="B97" s="134">
        <f>[6]REKAPITULASI!B66</f>
        <v>0.18136307983175998</v>
      </c>
      <c r="C97" s="137">
        <f t="shared" si="28"/>
        <v>3.8086246764669593</v>
      </c>
      <c r="D97" s="136">
        <f>[6]REKAPITULASI!D66</f>
        <v>5.9875997157428562E-3</v>
      </c>
      <c r="E97" s="132">
        <f t="shared" si="29"/>
        <v>1.8561559118802855</v>
      </c>
      <c r="F97" s="135">
        <f t="shared" si="30"/>
        <v>5.6647805883472451</v>
      </c>
      <c r="G97" s="141">
        <f t="shared" si="31"/>
        <v>5664.7805883472447</v>
      </c>
    </row>
    <row r="98" spans="1:7" x14ac:dyDescent="0.25">
      <c r="A98" s="88">
        <v>2019</v>
      </c>
      <c r="B98" s="134">
        <f>[6]REKAPITULASI!B67</f>
        <v>0.185839590276</v>
      </c>
      <c r="C98" s="137">
        <f t="shared" si="28"/>
        <v>3.9026313957959999</v>
      </c>
      <c r="D98" s="136">
        <f>[6]REKAPITULASI!D67</f>
        <v>6.1353891814285725E-3</v>
      </c>
      <c r="E98" s="132">
        <f t="shared" si="29"/>
        <v>1.9019706462428574</v>
      </c>
      <c r="F98" s="135">
        <f t="shared" si="30"/>
        <v>5.8046020420388569</v>
      </c>
      <c r="G98" s="141">
        <f t="shared" si="31"/>
        <v>5804.6020420388568</v>
      </c>
    </row>
    <row r="99" spans="1:7" x14ac:dyDescent="0.25">
      <c r="A99" s="88">
        <v>2020</v>
      </c>
      <c r="B99" s="134">
        <f>[6]REKAPITULASI!B68</f>
        <v>0.19031610072024002</v>
      </c>
      <c r="C99" s="137">
        <f t="shared" si="28"/>
        <v>3.9966381151250405</v>
      </c>
      <c r="D99" s="136">
        <f>[6]REKAPITULASI!D68</f>
        <v>6.283178647114287E-3</v>
      </c>
      <c r="E99" s="132">
        <f t="shared" si="29"/>
        <v>1.9477853806054291</v>
      </c>
      <c r="F99" s="135">
        <f t="shared" si="30"/>
        <v>5.9444234957304696</v>
      </c>
      <c r="G99" s="141">
        <f t="shared" si="31"/>
        <v>5944.4234957304698</v>
      </c>
    </row>
    <row r="100" spans="1:7" x14ac:dyDescent="0.25">
      <c r="A100" s="88">
        <v>2021</v>
      </c>
      <c r="B100" s="134">
        <f>[6]REKAPITULASI!B69</f>
        <v>0.19479261116447996</v>
      </c>
      <c r="C100" s="137">
        <f t="shared" si="28"/>
        <v>4.0906448344540793</v>
      </c>
      <c r="D100" s="136">
        <f>[6]REKAPITULASI!D69</f>
        <v>6.430968112799999E-3</v>
      </c>
      <c r="E100" s="132">
        <f t="shared" si="29"/>
        <v>1.9936001149679996</v>
      </c>
      <c r="F100" s="135">
        <f t="shared" si="30"/>
        <v>6.0842449494220787</v>
      </c>
      <c r="G100" s="141">
        <f t="shared" si="31"/>
        <v>6084.2449494220791</v>
      </c>
    </row>
    <row r="101" spans="1:7" x14ac:dyDescent="0.25">
      <c r="A101" s="88">
        <v>2022</v>
      </c>
      <c r="B101" s="134">
        <f>[6]REKAPITULASI!B70</f>
        <v>0.19926912160872001</v>
      </c>
      <c r="C101" s="137">
        <f t="shared" si="28"/>
        <v>4.1846515537831204</v>
      </c>
      <c r="D101" s="136">
        <f>[6]REKAPITULASI!D70</f>
        <v>6.5787575784857152E-3</v>
      </c>
      <c r="E101" s="132">
        <f t="shared" si="29"/>
        <v>2.0394148493305719</v>
      </c>
      <c r="F101" s="135">
        <f t="shared" si="30"/>
        <v>6.2240664031136923</v>
      </c>
      <c r="G101" s="141">
        <f t="shared" si="31"/>
        <v>6224.0664031136921</v>
      </c>
    </row>
    <row r="102" spans="1:7" x14ac:dyDescent="0.25">
      <c r="A102" s="88">
        <v>2023</v>
      </c>
      <c r="B102" s="134">
        <f>[6]REKAPITULASI!B71</f>
        <v>0.20374563205295998</v>
      </c>
      <c r="C102" s="137">
        <f t="shared" si="28"/>
        <v>4.2786582731121596</v>
      </c>
      <c r="D102" s="136">
        <f>[6]REKAPITULASI!D71</f>
        <v>6.7265470441714289E-3</v>
      </c>
      <c r="E102" s="132">
        <f t="shared" si="29"/>
        <v>2.0852295836931432</v>
      </c>
      <c r="F102" s="135">
        <f t="shared" si="30"/>
        <v>6.3638878568053023</v>
      </c>
      <c r="G102" s="141">
        <f t="shared" si="31"/>
        <v>6363.8878568053024</v>
      </c>
    </row>
    <row r="103" spans="1:7" x14ac:dyDescent="0.25">
      <c r="A103" s="88">
        <v>2024</v>
      </c>
      <c r="B103" s="134">
        <f>[6]REKAPITULASI!B72</f>
        <v>0.20822214249719997</v>
      </c>
      <c r="C103" s="137">
        <f t="shared" si="28"/>
        <v>4.3726649924411998</v>
      </c>
      <c r="D103" s="136">
        <f>[6]REKAPITULASI!D72</f>
        <v>6.8743365098571452E-3</v>
      </c>
      <c r="E103" s="132">
        <f t="shared" si="29"/>
        <v>2.1310443180557148</v>
      </c>
      <c r="F103" s="135">
        <f t="shared" si="30"/>
        <v>6.5037093104969141</v>
      </c>
      <c r="G103" s="141">
        <f t="shared" si="31"/>
        <v>6503.7093104969144</v>
      </c>
    </row>
    <row r="104" spans="1:7" x14ac:dyDescent="0.25">
      <c r="A104" s="88">
        <v>2025</v>
      </c>
      <c r="B104" s="134">
        <f>[6]REKAPITULASI!B73</f>
        <v>0.21269865294143997</v>
      </c>
      <c r="C104" s="137">
        <f t="shared" si="28"/>
        <v>4.466671711770239</v>
      </c>
      <c r="D104" s="136">
        <f>[6]REKAPITULASI!D73</f>
        <v>7.0221259755428572E-3</v>
      </c>
      <c r="E104" s="132">
        <f t="shared" si="29"/>
        <v>2.1768590524182856</v>
      </c>
      <c r="F104" s="135">
        <f t="shared" si="30"/>
        <v>6.6435307641885242</v>
      </c>
      <c r="G104" s="141">
        <f t="shared" si="31"/>
        <v>6643.5307641885238</v>
      </c>
    </row>
    <row r="105" spans="1:7" x14ac:dyDescent="0.25">
      <c r="A105" s="88">
        <v>2026</v>
      </c>
      <c r="B105" s="134">
        <f>[6]REKAPITULASI!B74</f>
        <v>0.21717516338567999</v>
      </c>
      <c r="C105" s="137">
        <f t="shared" si="28"/>
        <v>4.5606784310992801</v>
      </c>
      <c r="D105" s="136">
        <f>[6]REKAPITULASI!D74</f>
        <v>7.1699154412285726E-3</v>
      </c>
      <c r="E105" s="132">
        <f t="shared" si="29"/>
        <v>2.2226737867808577</v>
      </c>
      <c r="F105" s="135">
        <f t="shared" si="30"/>
        <v>6.7833522178801378</v>
      </c>
      <c r="G105" s="141">
        <f t="shared" si="31"/>
        <v>6783.3522178801377</v>
      </c>
    </row>
    <row r="106" spans="1:7" x14ac:dyDescent="0.25">
      <c r="A106" s="88">
        <v>2027</v>
      </c>
      <c r="B106" s="134">
        <f>[6]REKAPITULASI!B75</f>
        <v>0.22165167382991996</v>
      </c>
      <c r="C106" s="137">
        <f t="shared" si="28"/>
        <v>4.6546851504283193</v>
      </c>
      <c r="D106" s="136">
        <f>[6]REKAPITULASI!D75</f>
        <v>7.3177049069142871E-3</v>
      </c>
      <c r="E106" s="132">
        <f t="shared" si="29"/>
        <v>2.2684885211434289</v>
      </c>
      <c r="F106" s="135">
        <f t="shared" si="30"/>
        <v>6.9231736715717478</v>
      </c>
      <c r="G106" s="141">
        <f t="shared" si="31"/>
        <v>6923.1736715717479</v>
      </c>
    </row>
    <row r="107" spans="1:7" x14ac:dyDescent="0.25">
      <c r="A107" s="88">
        <v>2028</v>
      </c>
      <c r="B107" s="134">
        <f>[6]REKAPITULASI!B76</f>
        <v>0.22612818427415998</v>
      </c>
      <c r="C107" s="137">
        <f t="shared" si="28"/>
        <v>4.7486918697573595</v>
      </c>
      <c r="D107" s="136">
        <f>[6]REKAPITULASI!D76</f>
        <v>7.4654943725999991E-3</v>
      </c>
      <c r="E107" s="132">
        <f t="shared" si="29"/>
        <v>2.3143032555059997</v>
      </c>
      <c r="F107" s="135">
        <f t="shared" si="30"/>
        <v>7.0629951252633596</v>
      </c>
      <c r="G107" s="141">
        <f t="shared" si="31"/>
        <v>7062.99512526336</v>
      </c>
    </row>
    <row r="108" spans="1:7" x14ac:dyDescent="0.25">
      <c r="A108" s="88">
        <v>2029</v>
      </c>
      <c r="B108" s="134">
        <f>[6]REKAPITULASI!B77</f>
        <v>0.23060469471840001</v>
      </c>
      <c r="C108" s="137">
        <f t="shared" si="28"/>
        <v>4.8426985890864005</v>
      </c>
      <c r="D108" s="136">
        <f>[6]REKAPITULASI!D77</f>
        <v>7.6132838382857154E-3</v>
      </c>
      <c r="E108" s="132">
        <f t="shared" si="29"/>
        <v>2.3601179898685718</v>
      </c>
      <c r="F108" s="135">
        <f t="shared" si="30"/>
        <v>7.2028165789549723</v>
      </c>
      <c r="G108" s="141">
        <f t="shared" si="31"/>
        <v>7202.8165789549721</v>
      </c>
    </row>
    <row r="109" spans="1:7" x14ac:dyDescent="0.25">
      <c r="A109" s="88">
        <v>2030</v>
      </c>
      <c r="B109" s="134">
        <f>[6]REKAPITULASI!B78</f>
        <v>0.23508120516264003</v>
      </c>
      <c r="C109" s="137">
        <f t="shared" si="28"/>
        <v>4.9367053084154406</v>
      </c>
      <c r="D109" s="136">
        <f>[6]REKAPITULASI!D78</f>
        <v>7.7610733039714282E-3</v>
      </c>
      <c r="E109" s="132">
        <f t="shared" si="29"/>
        <v>2.4059327242311426</v>
      </c>
      <c r="F109" s="135">
        <f t="shared" si="30"/>
        <v>7.3426380326465832</v>
      </c>
      <c r="G109" s="141">
        <f t="shared" si="31"/>
        <v>7342.6380326465833</v>
      </c>
    </row>
    <row r="110" spans="1:7" x14ac:dyDescent="0.25">
      <c r="A110" s="88">
        <v>2031</v>
      </c>
      <c r="B110" s="134"/>
      <c r="C110" s="137">
        <f t="shared" si="28"/>
        <v>0</v>
      </c>
      <c r="D110" s="136"/>
      <c r="E110" s="132">
        <f t="shared" si="29"/>
        <v>0</v>
      </c>
      <c r="F110" s="135">
        <f t="shared" si="30"/>
        <v>0</v>
      </c>
      <c r="G110" s="97"/>
    </row>
  </sheetData>
  <mergeCells count="32">
    <mergeCell ref="P6:P8"/>
    <mergeCell ref="Q6:S6"/>
    <mergeCell ref="Q7:R7"/>
    <mergeCell ref="S7:S8"/>
    <mergeCell ref="F6:F8"/>
    <mergeCell ref="G6:I6"/>
    <mergeCell ref="G7:H7"/>
    <mergeCell ref="I7:I8"/>
    <mergeCell ref="K6:K8"/>
    <mergeCell ref="L6:N6"/>
    <mergeCell ref="L7:M7"/>
    <mergeCell ref="N7:N8"/>
    <mergeCell ref="A6:A8"/>
    <mergeCell ref="B7:C7"/>
    <mergeCell ref="A58:A60"/>
    <mergeCell ref="B58:F58"/>
    <mergeCell ref="B59:C59"/>
    <mergeCell ref="D59:E59"/>
    <mergeCell ref="D7:D8"/>
    <mergeCell ref="B6:D6"/>
    <mergeCell ref="A32:A34"/>
    <mergeCell ref="B32:F32"/>
    <mergeCell ref="B33:C33"/>
    <mergeCell ref="D33:E33"/>
    <mergeCell ref="F33:F34"/>
    <mergeCell ref="D86:E86"/>
    <mergeCell ref="H59:H60"/>
    <mergeCell ref="I59:J59"/>
    <mergeCell ref="F86:G86"/>
    <mergeCell ref="A86:A89"/>
    <mergeCell ref="B86:C86"/>
    <mergeCell ref="B88:B8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5"/>
  <sheetViews>
    <sheetView tabSelected="1" topLeftCell="A15" workbookViewId="0">
      <selection activeCell="D24" sqref="C5:D24"/>
    </sheetView>
  </sheetViews>
  <sheetFormatPr defaultRowHeight="12.75" x14ac:dyDescent="0.25"/>
  <cols>
    <col min="1" max="2" width="9.140625" style="143"/>
    <col min="3" max="3" width="14.5703125" style="143" customWidth="1"/>
    <col min="4" max="4" width="19.140625" style="143" customWidth="1"/>
    <col min="5" max="16384" width="9.140625" style="143"/>
  </cols>
  <sheetData>
    <row r="3" spans="2:4" x14ac:dyDescent="0.25">
      <c r="B3" s="211" t="s">
        <v>10</v>
      </c>
      <c r="C3" s="211" t="s">
        <v>150</v>
      </c>
      <c r="D3" s="211"/>
    </row>
    <row r="4" spans="2:4" x14ac:dyDescent="0.25">
      <c r="B4" s="211"/>
      <c r="C4" s="144" t="s">
        <v>149</v>
      </c>
      <c r="D4" s="144" t="s">
        <v>145</v>
      </c>
    </row>
    <row r="5" spans="2:4" ht="15" x14ac:dyDescent="0.25">
      <c r="B5" s="88">
        <v>2011</v>
      </c>
      <c r="C5" s="175">
        <f>'[7]4D2_CH4_Industrial_Wastewater'!G12</f>
        <v>0</v>
      </c>
      <c r="D5" s="175">
        <f>(C5*21)/1000</f>
        <v>0</v>
      </c>
    </row>
    <row r="6" spans="2:4" ht="15" x14ac:dyDescent="0.25">
      <c r="B6" s="88">
        <v>2012</v>
      </c>
      <c r="C6" s="175">
        <f>'[7]4D2_CH4_Industrial_Wastewater'!G13</f>
        <v>0</v>
      </c>
      <c r="D6" s="175">
        <f t="shared" ref="D6:D15" si="0">(C6*21)/1000</f>
        <v>0</v>
      </c>
    </row>
    <row r="7" spans="2:4" ht="15" x14ac:dyDescent="0.25">
      <c r="B7" s="88">
        <v>2013</v>
      </c>
      <c r="C7" s="175">
        <f>'[7]4D2_CH4_Industrial_Wastewater'!G14</f>
        <v>0</v>
      </c>
      <c r="D7" s="175">
        <f t="shared" si="0"/>
        <v>0</v>
      </c>
    </row>
    <row r="8" spans="2:4" ht="15" x14ac:dyDescent="0.25">
      <c r="B8" s="88">
        <v>2014</v>
      </c>
      <c r="C8" s="175">
        <f>'[7]4D2_CH4_Industrial_Wastewater'!G15</f>
        <v>0</v>
      </c>
      <c r="D8" s="175">
        <f t="shared" si="0"/>
        <v>0</v>
      </c>
    </row>
    <row r="9" spans="2:4" ht="15" x14ac:dyDescent="0.25">
      <c r="B9" s="88">
        <v>2015</v>
      </c>
      <c r="C9" s="175">
        <f>'[7]4D2_CH4_Industrial_Wastewater'!G16</f>
        <v>0</v>
      </c>
      <c r="D9" s="175">
        <f t="shared" si="0"/>
        <v>0</v>
      </c>
    </row>
    <row r="10" spans="2:4" ht="15" x14ac:dyDescent="0.25">
      <c r="B10" s="88">
        <v>2016</v>
      </c>
      <c r="C10" s="175">
        <f>'[7]4D2_CH4_Industrial_Wastewater'!G17</f>
        <v>0</v>
      </c>
      <c r="D10" s="175">
        <f t="shared" si="0"/>
        <v>0</v>
      </c>
    </row>
    <row r="11" spans="2:4" ht="15" x14ac:dyDescent="0.25">
      <c r="B11" s="88">
        <v>2017</v>
      </c>
      <c r="C11" s="175">
        <f>'[7]4D2_CH4_Industrial_Wastewater'!G18</f>
        <v>8905.3738799999992</v>
      </c>
      <c r="D11" s="175">
        <f t="shared" si="0"/>
        <v>187.01285147999999</v>
      </c>
    </row>
    <row r="12" spans="2:4" ht="15" x14ac:dyDescent="0.25">
      <c r="B12" s="88">
        <v>2018</v>
      </c>
      <c r="C12" s="175">
        <f>'[7]4D2_CH4_Industrial_Wastewater'!G19</f>
        <v>11107.165854719999</v>
      </c>
      <c r="D12" s="175">
        <f t="shared" si="0"/>
        <v>233.25048294911997</v>
      </c>
    </row>
    <row r="13" spans="2:4" ht="15" x14ac:dyDescent="0.25">
      <c r="B13" s="88">
        <v>2019</v>
      </c>
      <c r="C13" s="175">
        <f>'[7]4D2_CH4_Industrial_Wastewater'!G20</f>
        <v>13847.661019913759</v>
      </c>
      <c r="D13" s="175">
        <f t="shared" si="0"/>
        <v>290.80088141818896</v>
      </c>
    </row>
    <row r="14" spans="2:4" ht="15" x14ac:dyDescent="0.25">
      <c r="B14" s="88">
        <v>2020</v>
      </c>
      <c r="C14" s="175">
        <f>'[7]4D2_CH4_Industrial_Wastewater'!G21</f>
        <v>17257.530476469525</v>
      </c>
      <c r="D14" s="175">
        <f t="shared" si="0"/>
        <v>362.40814000585999</v>
      </c>
    </row>
    <row r="15" spans="2:4" ht="15" x14ac:dyDescent="0.25">
      <c r="B15" s="88">
        <v>2021</v>
      </c>
      <c r="C15" s="175">
        <f>'[7]4D2_CH4_Industrial_Wastewater'!G22</f>
        <v>21498.913846030624</v>
      </c>
      <c r="D15" s="175">
        <f t="shared" si="0"/>
        <v>451.4771907666431</v>
      </c>
    </row>
    <row r="16" spans="2:4" ht="15" x14ac:dyDescent="0.25">
      <c r="B16" s="88">
        <v>2022</v>
      </c>
      <c r="C16" s="175">
        <f>'[7]4D2_CH4_Industrial_Wastewater'!G23</f>
        <v>26772.951299674525</v>
      </c>
      <c r="D16" s="175">
        <f t="shared" ref="D16:D25" si="1">(C16*21)/1000</f>
        <v>562.23197729316507</v>
      </c>
    </row>
    <row r="17" spans="2:4" ht="15" x14ac:dyDescent="0.25">
      <c r="B17" s="88">
        <v>2023</v>
      </c>
      <c r="C17" s="175">
        <f>'[7]4D2_CH4_Industrial_Wastewater'!G24</f>
        <v>33329.108912748547</v>
      </c>
      <c r="D17" s="175">
        <f t="shared" si="1"/>
        <v>699.91128716771948</v>
      </c>
    </row>
    <row r="18" spans="2:4" ht="15" x14ac:dyDescent="0.25">
      <c r="B18" s="88">
        <v>2024</v>
      </c>
      <c r="C18" s="175">
        <f>'[7]4D2_CH4_Industrial_Wastewater'!G25</f>
        <v>41476.722374174278</v>
      </c>
      <c r="D18" s="175">
        <f t="shared" si="1"/>
        <v>871.01116985765987</v>
      </c>
    </row>
    <row r="19" spans="2:4" ht="15" x14ac:dyDescent="0.25">
      <c r="B19" s="88">
        <v>2025</v>
      </c>
      <c r="C19" s="175">
        <f>'[7]4D2_CH4_Industrial_Wastewater'!G26</f>
        <v>51599.284408817126</v>
      </c>
      <c r="D19" s="175">
        <f t="shared" si="1"/>
        <v>1083.5849725851597</v>
      </c>
    </row>
    <row r="20" spans="2:4" ht="15" x14ac:dyDescent="0.25">
      <c r="B20" s="88">
        <v>2026</v>
      </c>
      <c r="C20" s="175">
        <f>'[7]4D2_CH4_Industrial_Wastewater'!G27</f>
        <v>64172.125201352595</v>
      </c>
      <c r="D20" s="175">
        <f t="shared" si="1"/>
        <v>1347.6146292284045</v>
      </c>
    </row>
    <row r="21" spans="2:4" ht="15" x14ac:dyDescent="0.25">
      <c r="B21" s="88">
        <v>2027</v>
      </c>
      <c r="C21" s="175">
        <f>'[7]4D2_CH4_Industrial_Wastewater'!G28</f>
        <v>79784.288172969667</v>
      </c>
      <c r="D21" s="175">
        <f t="shared" si="1"/>
        <v>1675.470051632363</v>
      </c>
    </row>
    <row r="22" spans="2:4" ht="15" x14ac:dyDescent="0.25">
      <c r="B22" s="88">
        <v>2028</v>
      </c>
      <c r="C22" s="175">
        <f>'[7]4D2_CH4_Industrial_Wastewater'!G29</f>
        <v>99165.592485561268</v>
      </c>
      <c r="D22" s="175">
        <f t="shared" si="1"/>
        <v>2082.4774421967868</v>
      </c>
    </row>
    <row r="23" spans="2:4" ht="15" x14ac:dyDescent="0.25">
      <c r="B23" s="88">
        <v>2029</v>
      </c>
      <c r="C23" s="175">
        <f>'[7]4D2_CH4_Industrial_Wastewater'!G30</f>
        <v>123220.10705462692</v>
      </c>
      <c r="D23" s="175">
        <f t="shared" si="1"/>
        <v>2587.6222481471655</v>
      </c>
    </row>
    <row r="24" spans="2:4" ht="15" x14ac:dyDescent="0.25">
      <c r="B24" s="88">
        <v>2030</v>
      </c>
      <c r="C24" s="175">
        <f>'[7]4D2_CH4_Industrial_Wastewater'!G31</f>
        <v>153067.54903229928</v>
      </c>
      <c r="D24" s="175">
        <f t="shared" si="1"/>
        <v>3214.4185296782853</v>
      </c>
    </row>
    <row r="25" spans="2:4" ht="15" x14ac:dyDescent="0.25">
      <c r="B25" s="88">
        <v>2031</v>
      </c>
      <c r="C25" s="145">
        <f>'[7]4D2_CH4_Industrial_Wastewater'!G32</f>
        <v>0</v>
      </c>
      <c r="D25" s="145">
        <f t="shared" si="1"/>
        <v>0</v>
      </c>
    </row>
  </sheetData>
  <mergeCells count="2">
    <mergeCell ref="C3:D3"/>
    <mergeCell ref="B3:B4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76"/>
  <sheetViews>
    <sheetView zoomScale="85" zoomScaleNormal="85" workbookViewId="0">
      <selection activeCell="E24" sqref="E24:H33"/>
    </sheetView>
  </sheetViews>
  <sheetFormatPr defaultRowHeight="15" x14ac:dyDescent="0.25"/>
  <cols>
    <col min="1" max="1" width="18" customWidth="1"/>
    <col min="2" max="2" width="29.5703125" customWidth="1"/>
    <col min="3" max="3" width="16.42578125" customWidth="1"/>
    <col min="4" max="4" width="11.7109375" customWidth="1"/>
    <col min="5" max="8" width="11.5703125" customWidth="1"/>
    <col min="9" max="9" width="19.7109375" customWidth="1"/>
    <col min="11" max="11" width="23.42578125" customWidth="1"/>
    <col min="12" max="12" width="6.42578125" customWidth="1"/>
    <col min="13" max="13" width="2.42578125" customWidth="1"/>
    <col min="14" max="14" width="7.140625" customWidth="1"/>
    <col min="16" max="17" width="4" customWidth="1"/>
    <col min="19" max="19" width="1.42578125" customWidth="1"/>
    <col min="20" max="20" width="7.140625" customWidth="1"/>
    <col min="21" max="21" width="49.85546875" customWidth="1"/>
  </cols>
  <sheetData>
    <row r="3" spans="1:9" ht="18.75" x14ac:dyDescent="0.3">
      <c r="A3" s="12" t="s">
        <v>64</v>
      </c>
    </row>
    <row r="5" spans="1:9" s="20" customFormat="1" ht="47.25" customHeight="1" x14ac:dyDescent="0.25">
      <c r="A5" s="25" t="s">
        <v>45</v>
      </c>
      <c r="B5" s="26" t="s">
        <v>46</v>
      </c>
      <c r="C5" s="21" t="s">
        <v>54</v>
      </c>
      <c r="D5" s="242" t="s">
        <v>53</v>
      </c>
      <c r="E5" s="242"/>
      <c r="F5" s="243" t="s">
        <v>63</v>
      </c>
      <c r="G5" s="243"/>
      <c r="H5" s="243"/>
      <c r="I5" s="243"/>
    </row>
    <row r="6" spans="1:9" s="20" customFormat="1" ht="16.5" customHeight="1" x14ac:dyDescent="0.25">
      <c r="A6" s="239" t="s">
        <v>47</v>
      </c>
      <c r="B6" s="239" t="s">
        <v>49</v>
      </c>
      <c r="C6" s="240"/>
      <c r="D6" s="228" t="s">
        <v>69</v>
      </c>
      <c r="E6" s="228"/>
      <c r="F6" s="229" t="s">
        <v>55</v>
      </c>
      <c r="G6" s="229"/>
      <c r="H6" s="229"/>
      <c r="I6" s="229"/>
    </row>
    <row r="7" spans="1:9" s="20" customFormat="1" ht="29.25" customHeight="1" x14ac:dyDescent="0.25">
      <c r="A7" s="239"/>
      <c r="B7" s="239"/>
      <c r="C7" s="240"/>
      <c r="D7" s="228"/>
      <c r="E7" s="228"/>
      <c r="F7" s="229" t="s">
        <v>56</v>
      </c>
      <c r="G7" s="229"/>
      <c r="H7" s="229"/>
      <c r="I7" s="229"/>
    </row>
    <row r="8" spans="1:9" s="20" customFormat="1" ht="51" customHeight="1" x14ac:dyDescent="0.25">
      <c r="A8" s="239"/>
      <c r="B8" s="29" t="s">
        <v>58</v>
      </c>
      <c r="C8" s="22"/>
      <c r="D8" s="228" t="s">
        <v>57</v>
      </c>
      <c r="E8" s="228"/>
      <c r="F8" s="229" t="s">
        <v>60</v>
      </c>
      <c r="G8" s="229"/>
      <c r="H8" s="229"/>
      <c r="I8" s="229"/>
    </row>
    <row r="9" spans="1:9" s="20" customFormat="1" ht="31.5" customHeight="1" x14ac:dyDescent="0.25">
      <c r="A9" s="239"/>
      <c r="B9" s="227" t="s">
        <v>50</v>
      </c>
      <c r="C9" s="22"/>
      <c r="D9" s="228" t="s">
        <v>59</v>
      </c>
      <c r="E9" s="228"/>
      <c r="F9" s="236" t="s">
        <v>65</v>
      </c>
      <c r="G9" s="237"/>
      <c r="H9" s="237"/>
      <c r="I9" s="238"/>
    </row>
    <row r="10" spans="1:9" s="20" customFormat="1" ht="20.25" customHeight="1" x14ac:dyDescent="0.25">
      <c r="A10" s="239"/>
      <c r="B10" s="227"/>
      <c r="C10" s="22"/>
      <c r="D10" s="228"/>
      <c r="E10" s="228"/>
      <c r="F10" s="229" t="s">
        <v>61</v>
      </c>
      <c r="G10" s="229"/>
      <c r="H10" s="229"/>
      <c r="I10" s="229"/>
    </row>
    <row r="11" spans="1:9" s="20" customFormat="1" ht="17.25" customHeight="1" x14ac:dyDescent="0.25">
      <c r="A11" s="239"/>
      <c r="B11" s="227"/>
      <c r="C11" s="22"/>
      <c r="D11" s="228"/>
      <c r="E11" s="228"/>
      <c r="F11" s="229" t="s">
        <v>62</v>
      </c>
      <c r="G11" s="229"/>
      <c r="H11" s="229"/>
      <c r="I11" s="229"/>
    </row>
    <row r="12" spans="1:9" s="20" customFormat="1" ht="60" customHeight="1" x14ac:dyDescent="0.25">
      <c r="A12" s="239" t="s">
        <v>48</v>
      </c>
      <c r="B12" s="27" t="s">
        <v>51</v>
      </c>
      <c r="C12" s="23"/>
      <c r="D12" s="24"/>
      <c r="E12" s="22"/>
      <c r="F12" s="230" t="s">
        <v>66</v>
      </c>
      <c r="G12" s="231"/>
      <c r="H12" s="231"/>
      <c r="I12" s="232"/>
    </row>
    <row r="13" spans="1:9" s="20" customFormat="1" ht="30" x14ac:dyDescent="0.25">
      <c r="A13" s="239"/>
      <c r="B13" s="28" t="s">
        <v>52</v>
      </c>
      <c r="C13" s="23"/>
      <c r="D13" s="24"/>
      <c r="E13" s="22"/>
      <c r="F13" s="233"/>
      <c r="G13" s="234"/>
      <c r="H13" s="234"/>
      <c r="I13" s="235"/>
    </row>
    <row r="18" spans="1:22" ht="21" x14ac:dyDescent="0.35">
      <c r="A18" s="241" t="s">
        <v>73</v>
      </c>
      <c r="B18" s="241"/>
      <c r="C18" s="241"/>
      <c r="D18" s="241"/>
      <c r="E18" s="241"/>
      <c r="F18" s="241"/>
      <c r="G18" s="241"/>
      <c r="H18" s="241"/>
      <c r="I18" s="241"/>
    </row>
    <row r="19" spans="1:22" ht="21" x14ac:dyDescent="0.35">
      <c r="A19" s="30"/>
      <c r="B19" s="30"/>
      <c r="C19" s="30"/>
      <c r="D19" s="30"/>
      <c r="E19" s="30"/>
      <c r="F19" s="30"/>
      <c r="G19" s="30"/>
      <c r="H19" s="30"/>
      <c r="I19" s="30"/>
    </row>
    <row r="20" spans="1:22" s="4" customFormat="1" ht="21" x14ac:dyDescent="0.35">
      <c r="A20" s="33" t="s">
        <v>68</v>
      </c>
      <c r="B20" s="31"/>
      <c r="C20" s="31"/>
      <c r="D20" s="31"/>
      <c r="E20" s="31"/>
      <c r="F20" s="31"/>
      <c r="G20" s="31"/>
      <c r="H20" s="31"/>
      <c r="I20" s="31"/>
    </row>
    <row r="21" spans="1:22" x14ac:dyDescent="0.25">
      <c r="A21" s="212" t="s">
        <v>8</v>
      </c>
      <c r="B21" s="225" t="s">
        <v>39</v>
      </c>
      <c r="C21" s="225"/>
      <c r="D21" s="225"/>
      <c r="E21" s="225"/>
      <c r="F21" s="225"/>
      <c r="G21" s="225"/>
      <c r="H21" s="225"/>
      <c r="I21" s="226"/>
      <c r="K21" t="s">
        <v>21</v>
      </c>
      <c r="L21" t="s">
        <v>24</v>
      </c>
    </row>
    <row r="22" spans="1:22" ht="38.25" x14ac:dyDescent="0.25">
      <c r="A22" s="212"/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226"/>
      <c r="O22" s="8" t="s">
        <v>18</v>
      </c>
    </row>
    <row r="23" spans="1:22" ht="38.25" x14ac:dyDescent="0.25">
      <c r="A23" s="2">
        <v>2010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34"/>
      <c r="J23" s="9" t="s">
        <v>40</v>
      </c>
      <c r="K23" s="10" t="s">
        <v>42</v>
      </c>
    </row>
    <row r="24" spans="1:22" ht="15" customHeight="1" x14ac:dyDescent="0.25">
      <c r="A24" s="2">
        <v>2011</v>
      </c>
      <c r="B24" s="218" t="s">
        <v>70</v>
      </c>
      <c r="C24" s="35">
        <v>0</v>
      </c>
      <c r="D24" s="218" t="s">
        <v>72</v>
      </c>
      <c r="E24" s="218" t="s">
        <v>78</v>
      </c>
      <c r="F24" s="218"/>
      <c r="G24" s="218"/>
      <c r="H24" s="218"/>
      <c r="I24" s="34"/>
      <c r="K24" t="s">
        <v>25</v>
      </c>
      <c r="L24" s="15">
        <v>4000</v>
      </c>
      <c r="M24" s="16" t="s">
        <v>32</v>
      </c>
      <c r="N24" s="15">
        <v>6000</v>
      </c>
      <c r="O24" s="8" t="s">
        <v>27</v>
      </c>
      <c r="R24" s="18">
        <f>L24*1000/365</f>
        <v>10958.904109589041</v>
      </c>
      <c r="S24" s="19" t="s">
        <v>32</v>
      </c>
      <c r="T24" s="18">
        <f>N24*1000/365</f>
        <v>16438.35616438356</v>
      </c>
      <c r="U24" s="11" t="s">
        <v>30</v>
      </c>
      <c r="V24" t="s">
        <v>71</v>
      </c>
    </row>
    <row r="25" spans="1:22" ht="60" customHeight="1" x14ac:dyDescent="0.25">
      <c r="A25" s="2">
        <v>2012</v>
      </c>
      <c r="B25" s="218"/>
      <c r="C25" s="35">
        <v>0</v>
      </c>
      <c r="D25" s="218"/>
      <c r="E25" s="218"/>
      <c r="F25" s="218"/>
      <c r="G25" s="218"/>
      <c r="H25" s="218"/>
      <c r="I25" s="34"/>
      <c r="K25" t="s">
        <v>26</v>
      </c>
      <c r="L25" s="216">
        <v>1000</v>
      </c>
      <c r="M25" s="216"/>
      <c r="N25" s="216"/>
      <c r="O25" s="8" t="s">
        <v>27</v>
      </c>
      <c r="R25" s="217">
        <f>L25*1000/365</f>
        <v>2739.7260273972602</v>
      </c>
      <c r="S25" s="217"/>
      <c r="T25" s="217"/>
      <c r="U25" s="11" t="s">
        <v>44</v>
      </c>
    </row>
    <row r="26" spans="1:22" x14ac:dyDescent="0.25">
      <c r="A26" s="2">
        <v>2013</v>
      </c>
      <c r="B26" s="218"/>
      <c r="C26" s="35">
        <v>0</v>
      </c>
      <c r="D26" s="218"/>
      <c r="E26" s="218"/>
      <c r="F26" s="218"/>
      <c r="G26" s="218"/>
      <c r="H26" s="218"/>
      <c r="I26" s="34"/>
      <c r="K26" t="s">
        <v>28</v>
      </c>
      <c r="L26" s="216">
        <v>3000</v>
      </c>
      <c r="M26" s="216"/>
      <c r="N26" s="216"/>
      <c r="O26" s="8" t="s">
        <v>27</v>
      </c>
    </row>
    <row r="27" spans="1:22" x14ac:dyDescent="0.25">
      <c r="A27" s="2">
        <v>2014</v>
      </c>
      <c r="B27" s="218"/>
      <c r="C27" s="35">
        <v>0</v>
      </c>
      <c r="D27" s="218"/>
      <c r="E27" s="218"/>
      <c r="F27" s="218"/>
      <c r="G27" s="218"/>
      <c r="H27" s="218"/>
      <c r="I27" s="34"/>
      <c r="K27" s="9" t="s">
        <v>29</v>
      </c>
      <c r="L27" s="15">
        <v>8000</v>
      </c>
      <c r="M27" s="16" t="s">
        <v>32</v>
      </c>
      <c r="N27" s="15">
        <v>10000</v>
      </c>
      <c r="O27" s="8" t="s">
        <v>18</v>
      </c>
    </row>
    <row r="28" spans="1:22" x14ac:dyDescent="0.25">
      <c r="A28" s="2">
        <v>2015</v>
      </c>
      <c r="B28" s="218"/>
      <c r="C28" s="35">
        <v>0</v>
      </c>
      <c r="D28" s="218"/>
      <c r="E28" s="218"/>
      <c r="F28" s="218"/>
      <c r="G28" s="218"/>
      <c r="H28" s="218"/>
      <c r="I28" s="34"/>
    </row>
    <row r="29" spans="1:22" x14ac:dyDescent="0.25">
      <c r="A29" s="2">
        <v>2016</v>
      </c>
      <c r="B29" s="218"/>
      <c r="C29" s="35">
        <v>0</v>
      </c>
      <c r="D29" s="218"/>
      <c r="E29" s="218"/>
      <c r="F29" s="218"/>
      <c r="G29" s="218"/>
      <c r="H29" s="218"/>
      <c r="I29" s="34"/>
    </row>
    <row r="30" spans="1:22" x14ac:dyDescent="0.25">
      <c r="A30" s="2">
        <v>2017</v>
      </c>
      <c r="B30" s="218"/>
      <c r="C30" s="35">
        <v>0</v>
      </c>
      <c r="D30" s="218"/>
      <c r="E30" s="218"/>
      <c r="F30" s="218"/>
      <c r="G30" s="218"/>
      <c r="H30" s="218"/>
      <c r="I30" s="34"/>
    </row>
    <row r="31" spans="1:22" ht="25.5" x14ac:dyDescent="0.25">
      <c r="A31" s="2">
        <v>2018</v>
      </c>
      <c r="B31" s="218"/>
      <c r="C31" s="35">
        <v>0</v>
      </c>
      <c r="D31" s="218"/>
      <c r="E31" s="218"/>
      <c r="F31" s="218"/>
      <c r="G31" s="218"/>
      <c r="H31" s="218"/>
      <c r="I31" s="34"/>
      <c r="J31" s="9" t="s">
        <v>41</v>
      </c>
      <c r="K31" s="10" t="s">
        <v>43</v>
      </c>
    </row>
    <row r="32" spans="1:22" x14ac:dyDescent="0.25">
      <c r="A32" s="2">
        <v>2019</v>
      </c>
      <c r="B32" s="218"/>
      <c r="C32" s="35">
        <v>0</v>
      </c>
      <c r="D32" s="218"/>
      <c r="E32" s="218"/>
      <c r="F32" s="218"/>
      <c r="G32" s="218"/>
      <c r="H32" s="218"/>
      <c r="I32" s="34"/>
      <c r="K32" t="s">
        <v>25</v>
      </c>
      <c r="L32" s="17">
        <f>0.6*L35</f>
        <v>360</v>
      </c>
      <c r="M32" s="8" t="s">
        <v>27</v>
      </c>
      <c r="R32" s="18">
        <f>L32*1000/365</f>
        <v>986.30136986301375</v>
      </c>
      <c r="S32" s="11" t="s">
        <v>30</v>
      </c>
      <c r="T32" s="11"/>
    </row>
    <row r="33" spans="1:20" x14ac:dyDescent="0.25">
      <c r="A33" s="2">
        <v>2020</v>
      </c>
      <c r="B33" s="218"/>
      <c r="C33" s="35">
        <v>0</v>
      </c>
      <c r="D33" s="218"/>
      <c r="E33" s="218"/>
      <c r="F33" s="218"/>
      <c r="G33" s="218"/>
      <c r="H33" s="218"/>
      <c r="I33" s="34"/>
      <c r="K33" t="s">
        <v>26</v>
      </c>
      <c r="L33" s="17">
        <f>0.1*L35</f>
        <v>60</v>
      </c>
      <c r="M33" s="8" t="s">
        <v>27</v>
      </c>
      <c r="R33" s="18">
        <f>L33*1000/365</f>
        <v>164.38356164383561</v>
      </c>
      <c r="S33" s="11" t="s">
        <v>31</v>
      </c>
      <c r="T33" s="11"/>
    </row>
    <row r="34" spans="1:20" s="4" customFormat="1" ht="21" x14ac:dyDescent="0.35">
      <c r="A34" s="31"/>
      <c r="B34" s="31"/>
      <c r="C34" s="31"/>
      <c r="D34" s="31"/>
      <c r="E34" s="31"/>
      <c r="F34" s="31"/>
      <c r="G34" s="31"/>
      <c r="H34" s="31"/>
      <c r="I34" s="31"/>
      <c r="J34"/>
      <c r="K34" t="s">
        <v>28</v>
      </c>
      <c r="L34" s="17">
        <f>0.3*L35</f>
        <v>180</v>
      </c>
      <c r="M34" s="8" t="s">
        <v>27</v>
      </c>
      <c r="N34"/>
      <c r="O34"/>
      <c r="P34"/>
      <c r="Q34"/>
      <c r="R34"/>
      <c r="S34"/>
      <c r="T34"/>
    </row>
    <row r="35" spans="1:20" s="4" customFormat="1" ht="21" x14ac:dyDescent="0.35">
      <c r="A35" s="31"/>
      <c r="B35" s="31"/>
      <c r="C35" s="31"/>
      <c r="D35" s="31"/>
      <c r="E35" s="31"/>
      <c r="F35" s="31"/>
      <c r="G35" s="31"/>
      <c r="H35" s="31"/>
      <c r="I35" s="31"/>
      <c r="J35"/>
      <c r="K35" s="9" t="s">
        <v>29</v>
      </c>
      <c r="L35" s="17">
        <v>600</v>
      </c>
      <c r="M35" s="8" t="s">
        <v>18</v>
      </c>
      <c r="N35"/>
      <c r="O35"/>
      <c r="P35"/>
      <c r="Q35"/>
      <c r="R35"/>
      <c r="S35"/>
      <c r="T35"/>
    </row>
    <row r="36" spans="1:20" s="4" customFormat="1" ht="21" x14ac:dyDescent="0.35">
      <c r="A36" s="32" t="s">
        <v>67</v>
      </c>
      <c r="B36" s="31"/>
      <c r="C36" s="31"/>
      <c r="D36" s="31"/>
      <c r="E36" s="31"/>
      <c r="F36" s="31"/>
      <c r="G36" s="31"/>
      <c r="H36" s="31"/>
      <c r="I36" s="31"/>
      <c r="J36"/>
      <c r="K36"/>
      <c r="L36"/>
      <c r="M36"/>
      <c r="N36"/>
      <c r="O36"/>
      <c r="P36"/>
      <c r="Q36"/>
      <c r="R36"/>
      <c r="S36"/>
      <c r="T36"/>
    </row>
    <row r="37" spans="1:20" x14ac:dyDescent="0.25">
      <c r="A37" s="212" t="s">
        <v>8</v>
      </c>
      <c r="B37" s="219" t="s">
        <v>77</v>
      </c>
      <c r="C37" s="220"/>
      <c r="D37" s="220"/>
      <c r="E37" s="220"/>
      <c r="F37" s="220"/>
      <c r="G37" s="220"/>
      <c r="H37" s="221"/>
      <c r="I37" s="214" t="s">
        <v>39</v>
      </c>
    </row>
    <row r="38" spans="1:20" ht="38.25" x14ac:dyDescent="0.25">
      <c r="A38" s="212"/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215"/>
    </row>
    <row r="39" spans="1:20" x14ac:dyDescent="0.25">
      <c r="A39" s="2">
        <v>2010</v>
      </c>
      <c r="B39" s="222" t="s">
        <v>74</v>
      </c>
      <c r="C39" s="222" t="s">
        <v>75</v>
      </c>
      <c r="D39" s="222" t="s">
        <v>74</v>
      </c>
      <c r="E39" s="222" t="s">
        <v>75</v>
      </c>
      <c r="F39" s="222" t="s">
        <v>75</v>
      </c>
      <c r="G39" s="222" t="s">
        <v>75</v>
      </c>
      <c r="H39" s="222" t="s">
        <v>75</v>
      </c>
      <c r="I39" s="14">
        <f>'timbulan sampah'!E5</f>
        <v>29.682200000000002</v>
      </c>
    </row>
    <row r="40" spans="1:20" x14ac:dyDescent="0.25">
      <c r="A40" s="2">
        <v>2011</v>
      </c>
      <c r="B40" s="223"/>
      <c r="C40" s="223"/>
      <c r="D40" s="223"/>
      <c r="E40" s="223"/>
      <c r="F40" s="223"/>
      <c r="G40" s="223"/>
      <c r="H40" s="223"/>
      <c r="I40" s="14">
        <f>'timbulan sampah'!E6</f>
        <v>30.417800000000003</v>
      </c>
      <c r="K40" t="s">
        <v>19</v>
      </c>
      <c r="O40" s="8" t="s">
        <v>20</v>
      </c>
    </row>
    <row r="41" spans="1:20" x14ac:dyDescent="0.25">
      <c r="A41" s="2">
        <v>2012</v>
      </c>
      <c r="B41" s="223"/>
      <c r="C41" s="223"/>
      <c r="D41" s="223"/>
      <c r="E41" s="223"/>
      <c r="F41" s="223"/>
      <c r="G41" s="223"/>
      <c r="H41" s="223"/>
      <c r="I41" s="14">
        <f>'timbulan sampah'!E7</f>
        <v>31.175999999999998</v>
      </c>
      <c r="K41" t="s">
        <v>22</v>
      </c>
      <c r="O41" s="8" t="s">
        <v>23</v>
      </c>
    </row>
    <row r="42" spans="1:20" x14ac:dyDescent="0.25">
      <c r="A42" s="2">
        <v>2013</v>
      </c>
      <c r="B42" s="223"/>
      <c r="C42" s="223"/>
      <c r="D42" s="223"/>
      <c r="E42" s="223"/>
      <c r="F42" s="223"/>
      <c r="G42" s="223"/>
      <c r="H42" s="223"/>
      <c r="I42" s="14">
        <f>'timbulan sampah'!E8</f>
        <v>31.922800000000002</v>
      </c>
    </row>
    <row r="43" spans="1:20" x14ac:dyDescent="0.25">
      <c r="A43" s="2">
        <v>2014</v>
      </c>
      <c r="B43" s="223"/>
      <c r="C43" s="223"/>
      <c r="D43" s="223"/>
      <c r="E43" s="223"/>
      <c r="F43" s="223"/>
      <c r="G43" s="223"/>
      <c r="H43" s="223"/>
      <c r="I43" s="14">
        <f>'timbulan sampah'!E9</f>
        <v>32.665199999999999</v>
      </c>
    </row>
    <row r="44" spans="1:20" x14ac:dyDescent="0.25">
      <c r="A44" s="2">
        <v>2015</v>
      </c>
      <c r="B44" s="223"/>
      <c r="C44" s="223"/>
      <c r="D44" s="223"/>
      <c r="E44" s="223"/>
      <c r="F44" s="223"/>
      <c r="G44" s="223"/>
      <c r="H44" s="223"/>
      <c r="I44" s="14">
        <f>'timbulan sampah'!E10</f>
        <v>33.373599999999996</v>
      </c>
    </row>
    <row r="45" spans="1:20" x14ac:dyDescent="0.25">
      <c r="A45" s="2">
        <v>2016</v>
      </c>
      <c r="B45" s="223"/>
      <c r="C45" s="223"/>
      <c r="D45" s="223"/>
      <c r="E45" s="223"/>
      <c r="F45" s="223"/>
      <c r="G45" s="223"/>
      <c r="H45" s="223"/>
      <c r="I45" s="14">
        <f>'timbulan sampah'!E11</f>
        <v>34.583040000000004</v>
      </c>
    </row>
    <row r="46" spans="1:20" x14ac:dyDescent="0.25">
      <c r="A46" s="2">
        <v>2017</v>
      </c>
      <c r="B46" s="223"/>
      <c r="C46" s="223"/>
      <c r="D46" s="223"/>
      <c r="E46" s="223"/>
      <c r="F46" s="223"/>
      <c r="G46" s="223"/>
      <c r="H46" s="223"/>
      <c r="I46" s="14">
        <f>'timbulan sampah'!E12</f>
        <v>35.440019999999997</v>
      </c>
    </row>
    <row r="47" spans="1:20" x14ac:dyDescent="0.25">
      <c r="A47" s="2">
        <v>2018</v>
      </c>
      <c r="B47" s="223"/>
      <c r="C47" s="223"/>
      <c r="D47" s="223"/>
      <c r="E47" s="223"/>
      <c r="F47" s="223"/>
      <c r="G47" s="223"/>
      <c r="H47" s="223"/>
      <c r="I47" s="14">
        <f>'timbulan sampah'!E13</f>
        <v>36.296999999999997</v>
      </c>
    </row>
    <row r="48" spans="1:20" x14ac:dyDescent="0.25">
      <c r="A48" s="2">
        <v>2019</v>
      </c>
      <c r="B48" s="223"/>
      <c r="C48" s="223"/>
      <c r="D48" s="223"/>
      <c r="E48" s="223"/>
      <c r="F48" s="223"/>
      <c r="G48" s="223"/>
      <c r="H48" s="223"/>
      <c r="I48" s="14">
        <f>'timbulan sampah'!E14</f>
        <v>37.153980000000004</v>
      </c>
    </row>
    <row r="49" spans="1:21" x14ac:dyDescent="0.25">
      <c r="A49" s="2">
        <v>2020</v>
      </c>
      <c r="B49" s="224"/>
      <c r="C49" s="224"/>
      <c r="D49" s="224"/>
      <c r="E49" s="224"/>
      <c r="F49" s="224"/>
      <c r="G49" s="224"/>
      <c r="H49" s="224"/>
      <c r="I49" s="14">
        <f>'timbulan sampah'!E15</f>
        <v>38.010959999999997</v>
      </c>
    </row>
    <row r="52" spans="1:21" x14ac:dyDescent="0.25">
      <c r="A52" s="212" t="s">
        <v>8</v>
      </c>
      <c r="B52" s="213" t="s">
        <v>0</v>
      </c>
      <c r="C52" s="213"/>
      <c r="D52" s="213"/>
      <c r="E52" s="213"/>
      <c r="F52" s="213"/>
      <c r="G52" s="213"/>
      <c r="H52" s="213"/>
      <c r="I52" s="214" t="s">
        <v>9</v>
      </c>
    </row>
    <row r="53" spans="1:21" ht="42.75" customHeight="1" x14ac:dyDescent="0.25">
      <c r="A53" s="212"/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1" t="s">
        <v>6</v>
      </c>
      <c r="H53" s="1" t="s">
        <v>7</v>
      </c>
      <c r="I53" s="215"/>
    </row>
    <row r="54" spans="1:21" ht="17.25" customHeight="1" x14ac:dyDescent="0.25">
      <c r="A54" s="2">
        <v>2010</v>
      </c>
      <c r="B54" s="244" t="s">
        <v>76</v>
      </c>
      <c r="C54" s="244" t="s">
        <v>76</v>
      </c>
      <c r="D54" s="244" t="s">
        <v>76</v>
      </c>
      <c r="E54" s="244" t="s">
        <v>76</v>
      </c>
      <c r="F54" s="244" t="s">
        <v>76</v>
      </c>
      <c r="G54" s="244" t="s">
        <v>76</v>
      </c>
      <c r="H54" s="244" t="s">
        <v>76</v>
      </c>
      <c r="I54" s="3">
        <v>1</v>
      </c>
    </row>
    <row r="55" spans="1:21" x14ac:dyDescent="0.25">
      <c r="A55" s="2">
        <v>2011</v>
      </c>
      <c r="B55" s="245"/>
      <c r="C55" s="245"/>
      <c r="D55" s="245"/>
      <c r="E55" s="245"/>
      <c r="F55" s="245"/>
      <c r="G55" s="245"/>
      <c r="H55" s="245"/>
      <c r="I55" s="3">
        <v>1</v>
      </c>
    </row>
    <row r="56" spans="1:21" x14ac:dyDescent="0.25">
      <c r="A56" s="2">
        <v>2012</v>
      </c>
      <c r="B56" s="245"/>
      <c r="C56" s="245"/>
      <c r="D56" s="245"/>
      <c r="E56" s="245"/>
      <c r="F56" s="245"/>
      <c r="G56" s="245"/>
      <c r="H56" s="245"/>
      <c r="I56" s="3">
        <v>1</v>
      </c>
    </row>
    <row r="57" spans="1:21" x14ac:dyDescent="0.25">
      <c r="A57" s="2">
        <v>2013</v>
      </c>
      <c r="B57" s="245"/>
      <c r="C57" s="245"/>
      <c r="D57" s="245"/>
      <c r="E57" s="245"/>
      <c r="F57" s="245"/>
      <c r="G57" s="245"/>
      <c r="H57" s="245"/>
      <c r="I57" s="3">
        <v>1</v>
      </c>
    </row>
    <row r="58" spans="1:21" x14ac:dyDescent="0.25">
      <c r="A58" s="2">
        <v>2014</v>
      </c>
      <c r="B58" s="245"/>
      <c r="C58" s="245"/>
      <c r="D58" s="245"/>
      <c r="E58" s="245"/>
      <c r="F58" s="245"/>
      <c r="G58" s="245"/>
      <c r="H58" s="245"/>
      <c r="I58" s="3">
        <v>1</v>
      </c>
    </row>
    <row r="59" spans="1:21" x14ac:dyDescent="0.25">
      <c r="A59" s="2">
        <v>2015</v>
      </c>
      <c r="B59" s="245"/>
      <c r="C59" s="245"/>
      <c r="D59" s="245"/>
      <c r="E59" s="245"/>
      <c r="F59" s="245"/>
      <c r="G59" s="245"/>
      <c r="H59" s="245"/>
      <c r="I59" s="3">
        <v>1</v>
      </c>
    </row>
    <row r="60" spans="1:21" x14ac:dyDescent="0.25">
      <c r="A60" s="2">
        <v>2016</v>
      </c>
      <c r="B60" s="245"/>
      <c r="C60" s="245"/>
      <c r="D60" s="245"/>
      <c r="E60" s="245"/>
      <c r="F60" s="245"/>
      <c r="G60" s="245"/>
      <c r="H60" s="245"/>
      <c r="I60" s="3">
        <v>1</v>
      </c>
    </row>
    <row r="61" spans="1:21" x14ac:dyDescent="0.25">
      <c r="A61" s="2">
        <v>2017</v>
      </c>
      <c r="B61" s="245"/>
      <c r="C61" s="245"/>
      <c r="D61" s="245"/>
      <c r="E61" s="245"/>
      <c r="F61" s="245"/>
      <c r="G61" s="245"/>
      <c r="H61" s="245"/>
      <c r="I61" s="3">
        <v>1</v>
      </c>
    </row>
    <row r="62" spans="1:21" x14ac:dyDescent="0.25">
      <c r="A62" s="2">
        <v>2018</v>
      </c>
      <c r="B62" s="245"/>
      <c r="C62" s="245"/>
      <c r="D62" s="245"/>
      <c r="E62" s="245"/>
      <c r="F62" s="245"/>
      <c r="G62" s="245"/>
      <c r="H62" s="245"/>
      <c r="I62" s="3">
        <v>1</v>
      </c>
    </row>
    <row r="63" spans="1:21" x14ac:dyDescent="0.25">
      <c r="A63" s="2">
        <v>2019</v>
      </c>
      <c r="B63" s="245"/>
      <c r="C63" s="245"/>
      <c r="D63" s="245"/>
      <c r="E63" s="245"/>
      <c r="F63" s="245"/>
      <c r="G63" s="245"/>
      <c r="H63" s="245"/>
      <c r="I63" s="3">
        <v>1</v>
      </c>
      <c r="U63" s="4"/>
    </row>
    <row r="64" spans="1:21" x14ac:dyDescent="0.25">
      <c r="A64" s="2">
        <v>2020</v>
      </c>
      <c r="B64" s="246"/>
      <c r="C64" s="246"/>
      <c r="D64" s="246"/>
      <c r="E64" s="246"/>
      <c r="F64" s="246"/>
      <c r="G64" s="246"/>
      <c r="H64" s="246"/>
      <c r="I64" s="3">
        <v>1</v>
      </c>
      <c r="U64" s="4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5"/>
      <c r="B76" s="5"/>
      <c r="C76" s="5"/>
    </row>
  </sheetData>
  <mergeCells count="47">
    <mergeCell ref="F39:F49"/>
    <mergeCell ref="G39:G49"/>
    <mergeCell ref="H39:H49"/>
    <mergeCell ref="B54:B64"/>
    <mergeCell ref="C54:C64"/>
    <mergeCell ref="D54:D64"/>
    <mergeCell ref="E54:E64"/>
    <mergeCell ref="F54:F64"/>
    <mergeCell ref="G54:G64"/>
    <mergeCell ref="H54:H64"/>
    <mergeCell ref="D5:E5"/>
    <mergeCell ref="F5:I5"/>
    <mergeCell ref="F6:I6"/>
    <mergeCell ref="F7:I7"/>
    <mergeCell ref="F8:I8"/>
    <mergeCell ref="A21:A22"/>
    <mergeCell ref="B21:H21"/>
    <mergeCell ref="I21:I22"/>
    <mergeCell ref="B9:B11"/>
    <mergeCell ref="D8:E8"/>
    <mergeCell ref="D9:E11"/>
    <mergeCell ref="F10:I10"/>
    <mergeCell ref="F11:I11"/>
    <mergeCell ref="F12:I13"/>
    <mergeCell ref="F9:I9"/>
    <mergeCell ref="A6:A11"/>
    <mergeCell ref="A12:A13"/>
    <mergeCell ref="B6:B7"/>
    <mergeCell ref="C6:C7"/>
    <mergeCell ref="A18:I18"/>
    <mergeCell ref="D6:E7"/>
    <mergeCell ref="A52:A53"/>
    <mergeCell ref="B52:H52"/>
    <mergeCell ref="I52:I53"/>
    <mergeCell ref="L25:N25"/>
    <mergeCell ref="R25:T25"/>
    <mergeCell ref="B24:B33"/>
    <mergeCell ref="A37:A38"/>
    <mergeCell ref="B37:H37"/>
    <mergeCell ref="I37:I38"/>
    <mergeCell ref="L26:N26"/>
    <mergeCell ref="D24:D33"/>
    <mergeCell ref="E24:H33"/>
    <mergeCell ref="B39:B49"/>
    <mergeCell ref="C39:C49"/>
    <mergeCell ref="D39:D49"/>
    <mergeCell ref="E39:E4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2"/>
  <sheetViews>
    <sheetView zoomScale="85" zoomScaleNormal="85" workbookViewId="0">
      <selection activeCell="F26" sqref="F26"/>
    </sheetView>
  </sheetViews>
  <sheetFormatPr defaultRowHeight="15" x14ac:dyDescent="0.25"/>
  <sheetData>
    <row r="2" spans="1:19" ht="23.25" x14ac:dyDescent="0.35">
      <c r="A2" s="76" t="s">
        <v>115</v>
      </c>
      <c r="B2" s="76"/>
      <c r="C2" s="76"/>
      <c r="D2" s="77"/>
      <c r="E2" s="77"/>
      <c r="F2" s="77"/>
      <c r="G2" s="77"/>
      <c r="H2" s="77"/>
      <c r="I2" s="77"/>
    </row>
    <row r="3" spans="1:19" x14ac:dyDescent="0.25">
      <c r="A3" s="41"/>
    </row>
    <row r="4" spans="1:19" x14ac:dyDescent="0.25">
      <c r="A4" s="75" t="s">
        <v>108</v>
      </c>
    </row>
    <row r="6" spans="1:19" ht="54" customHeight="1" x14ac:dyDescent="0.25">
      <c r="A6" s="247" t="s">
        <v>10</v>
      </c>
      <c r="B6" s="248" t="s">
        <v>109</v>
      </c>
      <c r="C6" s="248"/>
      <c r="D6" s="248"/>
      <c r="E6" s="71" t="s">
        <v>113</v>
      </c>
      <c r="F6" s="247" t="s">
        <v>10</v>
      </c>
      <c r="G6" s="248" t="s">
        <v>110</v>
      </c>
      <c r="H6" s="248"/>
      <c r="I6" s="248"/>
      <c r="J6" s="72" t="s">
        <v>114</v>
      </c>
      <c r="K6" s="247" t="s">
        <v>10</v>
      </c>
      <c r="L6" s="248" t="s">
        <v>111</v>
      </c>
      <c r="M6" s="248"/>
      <c r="N6" s="248"/>
      <c r="O6" s="72" t="s">
        <v>114</v>
      </c>
      <c r="P6" s="247" t="s">
        <v>10</v>
      </c>
      <c r="Q6" s="248" t="s">
        <v>112</v>
      </c>
      <c r="R6" s="248"/>
      <c r="S6" s="248"/>
    </row>
    <row r="7" spans="1:19" x14ac:dyDescent="0.25">
      <c r="A7" s="247"/>
      <c r="B7" s="247" t="s">
        <v>81</v>
      </c>
      <c r="C7" s="247"/>
      <c r="D7" s="248" t="s">
        <v>83</v>
      </c>
      <c r="E7" s="69"/>
      <c r="F7" s="247"/>
      <c r="G7" s="247" t="s">
        <v>81</v>
      </c>
      <c r="H7" s="247"/>
      <c r="I7" s="248" t="s">
        <v>83</v>
      </c>
      <c r="K7" s="247"/>
      <c r="L7" s="247" t="s">
        <v>81</v>
      </c>
      <c r="M7" s="247"/>
      <c r="N7" s="248" t="s">
        <v>83</v>
      </c>
      <c r="P7" s="247"/>
      <c r="Q7" s="247" t="s">
        <v>81</v>
      </c>
      <c r="R7" s="247"/>
      <c r="S7" s="248" t="s">
        <v>83</v>
      </c>
    </row>
    <row r="8" spans="1:19" x14ac:dyDescent="0.25">
      <c r="A8" s="247"/>
      <c r="B8" s="74" t="s">
        <v>84</v>
      </c>
      <c r="C8" s="74" t="s">
        <v>85</v>
      </c>
      <c r="D8" s="248"/>
      <c r="E8" s="6"/>
      <c r="F8" s="247"/>
      <c r="G8" s="74" t="s">
        <v>84</v>
      </c>
      <c r="H8" s="74" t="s">
        <v>85</v>
      </c>
      <c r="I8" s="248"/>
      <c r="K8" s="247"/>
      <c r="L8" s="74" t="s">
        <v>84</v>
      </c>
      <c r="M8" s="74" t="s">
        <v>85</v>
      </c>
      <c r="N8" s="248"/>
      <c r="P8" s="247"/>
      <c r="Q8" s="74" t="s">
        <v>84</v>
      </c>
      <c r="R8" s="74" t="s">
        <v>85</v>
      </c>
      <c r="S8" s="248"/>
    </row>
    <row r="9" spans="1:19" x14ac:dyDescent="0.25">
      <c r="A9" s="37">
        <v>2010</v>
      </c>
      <c r="B9" s="38"/>
      <c r="C9" s="39">
        <f>B9*21</f>
        <v>0</v>
      </c>
      <c r="D9" s="40">
        <f t="shared" ref="D9:D19" si="0">E9+C9</f>
        <v>0</v>
      </c>
      <c r="E9" s="70"/>
      <c r="F9" s="37">
        <v>2010</v>
      </c>
      <c r="G9" s="38"/>
      <c r="H9" s="39">
        <f>G9*21</f>
        <v>0</v>
      </c>
      <c r="I9" s="40">
        <f t="shared" ref="I9:I19" si="1">J9+H9</f>
        <v>0</v>
      </c>
      <c r="K9" s="37">
        <v>2010</v>
      </c>
      <c r="L9" s="38"/>
      <c r="M9" s="39">
        <f>L9*21</f>
        <v>0</v>
      </c>
      <c r="N9" s="40">
        <f t="shared" ref="N9:N19" si="2">O9+M9</f>
        <v>0</v>
      </c>
      <c r="P9" s="37">
        <v>2010</v>
      </c>
      <c r="Q9" s="38"/>
      <c r="R9" s="39">
        <f>Q9*21</f>
        <v>0</v>
      </c>
      <c r="S9" s="40">
        <f t="shared" ref="S9:S19" si="3">T9+R9</f>
        <v>0</v>
      </c>
    </row>
    <row r="10" spans="1:19" x14ac:dyDescent="0.25">
      <c r="A10" s="37">
        <v>2011</v>
      </c>
      <c r="B10" s="38"/>
      <c r="C10" s="39">
        <f t="shared" ref="C10:C19" si="4">B10*21</f>
        <v>0</v>
      </c>
      <c r="D10" s="40">
        <f t="shared" si="0"/>
        <v>0</v>
      </c>
      <c r="E10" s="70"/>
      <c r="F10" s="37">
        <v>2011</v>
      </c>
      <c r="G10" s="38"/>
      <c r="H10" s="39">
        <f t="shared" ref="H10:H19" si="5">G10*21</f>
        <v>0</v>
      </c>
      <c r="I10" s="40">
        <f t="shared" si="1"/>
        <v>0</v>
      </c>
      <c r="K10" s="37">
        <v>2011</v>
      </c>
      <c r="L10" s="38"/>
      <c r="M10" s="39">
        <f t="shared" ref="M10:M19" si="6">L10*21</f>
        <v>0</v>
      </c>
      <c r="N10" s="40">
        <f t="shared" si="2"/>
        <v>0</v>
      </c>
      <c r="P10" s="37">
        <v>2011</v>
      </c>
      <c r="Q10" s="38"/>
      <c r="R10" s="39">
        <f t="shared" ref="R10:R19" si="7">Q10*21</f>
        <v>0</v>
      </c>
      <c r="S10" s="40">
        <f t="shared" si="3"/>
        <v>0</v>
      </c>
    </row>
    <row r="11" spans="1:19" x14ac:dyDescent="0.25">
      <c r="A11" s="37">
        <v>2012</v>
      </c>
      <c r="B11" s="38"/>
      <c r="C11" s="39">
        <f t="shared" si="4"/>
        <v>0</v>
      </c>
      <c r="D11" s="40">
        <f t="shared" si="0"/>
        <v>0</v>
      </c>
      <c r="E11" s="70"/>
      <c r="F11" s="37">
        <v>2012</v>
      </c>
      <c r="G11" s="38"/>
      <c r="H11" s="39">
        <f t="shared" si="5"/>
        <v>0</v>
      </c>
      <c r="I11" s="40">
        <f t="shared" si="1"/>
        <v>0</v>
      </c>
      <c r="K11" s="37">
        <v>2012</v>
      </c>
      <c r="L11" s="38"/>
      <c r="M11" s="39">
        <f t="shared" si="6"/>
        <v>0</v>
      </c>
      <c r="N11" s="40">
        <f t="shared" si="2"/>
        <v>0</v>
      </c>
      <c r="P11" s="37">
        <v>2012</v>
      </c>
      <c r="Q11" s="38"/>
      <c r="R11" s="39">
        <f t="shared" si="7"/>
        <v>0</v>
      </c>
      <c r="S11" s="40">
        <f t="shared" si="3"/>
        <v>0</v>
      </c>
    </row>
    <row r="12" spans="1:19" x14ac:dyDescent="0.25">
      <c r="A12" s="37">
        <v>2013</v>
      </c>
      <c r="B12" s="38"/>
      <c r="C12" s="39">
        <f t="shared" si="4"/>
        <v>0</v>
      </c>
      <c r="D12" s="40">
        <f t="shared" si="0"/>
        <v>0</v>
      </c>
      <c r="E12" s="70"/>
      <c r="F12" s="37">
        <v>2013</v>
      </c>
      <c r="G12" s="38"/>
      <c r="H12" s="39">
        <f t="shared" si="5"/>
        <v>0</v>
      </c>
      <c r="I12" s="40">
        <f t="shared" si="1"/>
        <v>0</v>
      </c>
      <c r="K12" s="37">
        <v>2013</v>
      </c>
      <c r="L12" s="38"/>
      <c r="M12" s="39">
        <f t="shared" si="6"/>
        <v>0</v>
      </c>
      <c r="N12" s="40">
        <f t="shared" si="2"/>
        <v>0</v>
      </c>
      <c r="P12" s="37">
        <v>2013</v>
      </c>
      <c r="Q12" s="38"/>
      <c r="R12" s="39">
        <f t="shared" si="7"/>
        <v>0</v>
      </c>
      <c r="S12" s="40">
        <f t="shared" si="3"/>
        <v>0</v>
      </c>
    </row>
    <row r="13" spans="1:19" x14ac:dyDescent="0.25">
      <c r="A13" s="37">
        <v>2014</v>
      </c>
      <c r="B13" s="38"/>
      <c r="C13" s="39">
        <f t="shared" si="4"/>
        <v>0</v>
      </c>
      <c r="D13" s="40">
        <f t="shared" si="0"/>
        <v>0</v>
      </c>
      <c r="E13" s="70"/>
      <c r="F13" s="37">
        <v>2014</v>
      </c>
      <c r="G13" s="38"/>
      <c r="H13" s="39">
        <f t="shared" si="5"/>
        <v>0</v>
      </c>
      <c r="I13" s="40">
        <f t="shared" si="1"/>
        <v>0</v>
      </c>
      <c r="K13" s="37">
        <v>2014</v>
      </c>
      <c r="L13" s="38"/>
      <c r="M13" s="39">
        <f t="shared" si="6"/>
        <v>0</v>
      </c>
      <c r="N13" s="40">
        <f t="shared" si="2"/>
        <v>0</v>
      </c>
      <c r="P13" s="37">
        <v>2014</v>
      </c>
      <c r="Q13" s="38"/>
      <c r="R13" s="39">
        <f t="shared" si="7"/>
        <v>0</v>
      </c>
      <c r="S13" s="40">
        <f t="shared" si="3"/>
        <v>0</v>
      </c>
    </row>
    <row r="14" spans="1:19" x14ac:dyDescent="0.25">
      <c r="A14" s="37">
        <v>2015</v>
      </c>
      <c r="B14" s="38"/>
      <c r="C14" s="39">
        <f t="shared" si="4"/>
        <v>0</v>
      </c>
      <c r="D14" s="40">
        <f t="shared" si="0"/>
        <v>0</v>
      </c>
      <c r="E14" s="70"/>
      <c r="F14" s="37">
        <v>2015</v>
      </c>
      <c r="G14" s="38"/>
      <c r="H14" s="39">
        <f t="shared" si="5"/>
        <v>0</v>
      </c>
      <c r="I14" s="40">
        <f t="shared" si="1"/>
        <v>0</v>
      </c>
      <c r="K14" s="37">
        <v>2015</v>
      </c>
      <c r="L14" s="38"/>
      <c r="M14" s="39">
        <f t="shared" si="6"/>
        <v>0</v>
      </c>
      <c r="N14" s="40">
        <f t="shared" si="2"/>
        <v>0</v>
      </c>
      <c r="P14" s="37">
        <v>2015</v>
      </c>
      <c r="Q14" s="38"/>
      <c r="R14" s="39">
        <f t="shared" si="7"/>
        <v>0</v>
      </c>
      <c r="S14" s="40">
        <f t="shared" si="3"/>
        <v>0</v>
      </c>
    </row>
    <row r="15" spans="1:19" x14ac:dyDescent="0.25">
      <c r="A15" s="37">
        <v>2016</v>
      </c>
      <c r="B15" s="38"/>
      <c r="C15" s="39">
        <f t="shared" si="4"/>
        <v>0</v>
      </c>
      <c r="D15" s="40">
        <f t="shared" si="0"/>
        <v>0</v>
      </c>
      <c r="E15" s="70"/>
      <c r="F15" s="37">
        <v>2016</v>
      </c>
      <c r="G15" s="38"/>
      <c r="H15" s="39">
        <f t="shared" si="5"/>
        <v>0</v>
      </c>
      <c r="I15" s="40">
        <f t="shared" si="1"/>
        <v>0</v>
      </c>
      <c r="K15" s="37">
        <v>2016</v>
      </c>
      <c r="L15" s="38"/>
      <c r="M15" s="39">
        <f t="shared" si="6"/>
        <v>0</v>
      </c>
      <c r="N15" s="40">
        <f t="shared" si="2"/>
        <v>0</v>
      </c>
      <c r="P15" s="37">
        <v>2016</v>
      </c>
      <c r="Q15" s="38"/>
      <c r="R15" s="39">
        <f t="shared" si="7"/>
        <v>0</v>
      </c>
      <c r="S15" s="40">
        <f t="shared" si="3"/>
        <v>0</v>
      </c>
    </row>
    <row r="16" spans="1:19" x14ac:dyDescent="0.25">
      <c r="A16" s="37">
        <v>2017</v>
      </c>
      <c r="B16" s="38"/>
      <c r="C16" s="39">
        <f t="shared" si="4"/>
        <v>0</v>
      </c>
      <c r="D16" s="40">
        <f t="shared" si="0"/>
        <v>0</v>
      </c>
      <c r="E16" s="70"/>
      <c r="F16" s="37">
        <v>2017</v>
      </c>
      <c r="G16" s="38"/>
      <c r="H16" s="39">
        <f t="shared" si="5"/>
        <v>0</v>
      </c>
      <c r="I16" s="40">
        <f t="shared" si="1"/>
        <v>0</v>
      </c>
      <c r="K16" s="37">
        <v>2017</v>
      </c>
      <c r="L16" s="38"/>
      <c r="M16" s="39">
        <f t="shared" si="6"/>
        <v>0</v>
      </c>
      <c r="N16" s="40">
        <f t="shared" si="2"/>
        <v>0</v>
      </c>
      <c r="P16" s="37">
        <v>2017</v>
      </c>
      <c r="Q16" s="38"/>
      <c r="R16" s="39">
        <f t="shared" si="7"/>
        <v>0</v>
      </c>
      <c r="S16" s="40">
        <f t="shared" si="3"/>
        <v>0</v>
      </c>
    </row>
    <row r="17" spans="1:19" x14ac:dyDescent="0.25">
      <c r="A17" s="37">
        <v>2018</v>
      </c>
      <c r="B17" s="38"/>
      <c r="C17" s="39">
        <f t="shared" si="4"/>
        <v>0</v>
      </c>
      <c r="D17" s="40">
        <f t="shared" si="0"/>
        <v>0</v>
      </c>
      <c r="E17" s="70"/>
      <c r="F17" s="37">
        <v>2018</v>
      </c>
      <c r="G17" s="38"/>
      <c r="H17" s="39">
        <f t="shared" si="5"/>
        <v>0</v>
      </c>
      <c r="I17" s="40">
        <f t="shared" si="1"/>
        <v>0</v>
      </c>
      <c r="K17" s="37">
        <v>2018</v>
      </c>
      <c r="L17" s="38"/>
      <c r="M17" s="39">
        <f t="shared" si="6"/>
        <v>0</v>
      </c>
      <c r="N17" s="40">
        <f t="shared" si="2"/>
        <v>0</v>
      </c>
      <c r="P17" s="37">
        <v>2018</v>
      </c>
      <c r="Q17" s="38"/>
      <c r="R17" s="39">
        <f t="shared" si="7"/>
        <v>0</v>
      </c>
      <c r="S17" s="40">
        <f t="shared" si="3"/>
        <v>0</v>
      </c>
    </row>
    <row r="18" spans="1:19" x14ac:dyDescent="0.25">
      <c r="A18" s="37">
        <v>2019</v>
      </c>
      <c r="B18" s="38"/>
      <c r="C18" s="39">
        <f t="shared" si="4"/>
        <v>0</v>
      </c>
      <c r="D18" s="40">
        <f t="shared" si="0"/>
        <v>0</v>
      </c>
      <c r="E18" s="70"/>
      <c r="F18" s="37">
        <v>2019</v>
      </c>
      <c r="G18" s="38"/>
      <c r="H18" s="39">
        <f t="shared" si="5"/>
        <v>0</v>
      </c>
      <c r="I18" s="40">
        <f t="shared" si="1"/>
        <v>0</v>
      </c>
      <c r="K18" s="37">
        <v>2019</v>
      </c>
      <c r="L18" s="38"/>
      <c r="M18" s="39">
        <f t="shared" si="6"/>
        <v>0</v>
      </c>
      <c r="N18" s="40">
        <f t="shared" si="2"/>
        <v>0</v>
      </c>
      <c r="P18" s="37">
        <v>2019</v>
      </c>
      <c r="Q18" s="38"/>
      <c r="R18" s="39">
        <f t="shared" si="7"/>
        <v>0</v>
      </c>
      <c r="S18" s="40">
        <f t="shared" si="3"/>
        <v>0</v>
      </c>
    </row>
    <row r="19" spans="1:19" x14ac:dyDescent="0.25">
      <c r="A19" s="37">
        <v>2020</v>
      </c>
      <c r="B19" s="38"/>
      <c r="C19" s="39">
        <f t="shared" si="4"/>
        <v>0</v>
      </c>
      <c r="D19" s="40">
        <f t="shared" si="0"/>
        <v>0</v>
      </c>
      <c r="E19" s="70"/>
      <c r="F19" s="37">
        <v>2020</v>
      </c>
      <c r="G19" s="38"/>
      <c r="H19" s="39">
        <f t="shared" si="5"/>
        <v>0</v>
      </c>
      <c r="I19" s="40">
        <f t="shared" si="1"/>
        <v>0</v>
      </c>
      <c r="K19" s="37">
        <v>2020</v>
      </c>
      <c r="L19" s="38"/>
      <c r="M19" s="39">
        <f t="shared" si="6"/>
        <v>0</v>
      </c>
      <c r="N19" s="40">
        <f t="shared" si="2"/>
        <v>0</v>
      </c>
      <c r="P19" s="37">
        <v>2020</v>
      </c>
      <c r="Q19" s="38"/>
      <c r="R19" s="39">
        <f t="shared" si="7"/>
        <v>0</v>
      </c>
      <c r="S19" s="40">
        <f t="shared" si="3"/>
        <v>0</v>
      </c>
    </row>
    <row r="22" spans="1:19" ht="15.75" thickBot="1" x14ac:dyDescent="0.3">
      <c r="A22" s="73" t="s">
        <v>79</v>
      </c>
      <c r="K22" t="s">
        <v>119</v>
      </c>
      <c r="L22">
        <v>16000</v>
      </c>
    </row>
    <row r="23" spans="1:19" ht="15.75" thickBot="1" x14ac:dyDescent="0.3">
      <c r="A23" s="255" t="s">
        <v>10</v>
      </c>
      <c r="B23" s="257" t="s">
        <v>80</v>
      </c>
      <c r="C23" s="258"/>
      <c r="D23" s="258"/>
      <c r="E23" s="258"/>
      <c r="F23" s="259"/>
      <c r="K23" t="s">
        <v>120</v>
      </c>
      <c r="L23">
        <v>280</v>
      </c>
      <c r="M23" t="s">
        <v>122</v>
      </c>
    </row>
    <row r="24" spans="1:19" ht="15.75" thickBot="1" x14ac:dyDescent="0.3">
      <c r="A24" s="256"/>
      <c r="B24" s="257" t="s">
        <v>81</v>
      </c>
      <c r="C24" s="259"/>
      <c r="D24" s="257" t="s">
        <v>82</v>
      </c>
      <c r="E24" s="259"/>
      <c r="F24" s="260" t="s">
        <v>83</v>
      </c>
      <c r="K24" t="s">
        <v>121</v>
      </c>
      <c r="L24">
        <v>4800</v>
      </c>
      <c r="M24" t="s">
        <v>122</v>
      </c>
    </row>
    <row r="25" spans="1:19" x14ac:dyDescent="0.25">
      <c r="A25" s="256"/>
      <c r="B25" s="36" t="s">
        <v>84</v>
      </c>
      <c r="C25" s="36" t="s">
        <v>85</v>
      </c>
      <c r="D25" s="36" t="s">
        <v>86</v>
      </c>
      <c r="E25" s="36" t="s">
        <v>85</v>
      </c>
      <c r="F25" s="261"/>
    </row>
    <row r="26" spans="1:19" x14ac:dyDescent="0.25">
      <c r="A26" s="37">
        <v>2010</v>
      </c>
      <c r="B26" s="38"/>
      <c r="C26" s="39">
        <f>B26*21</f>
        <v>0</v>
      </c>
      <c r="D26" s="38"/>
      <c r="E26" s="39">
        <f>D26*310</f>
        <v>0</v>
      </c>
      <c r="F26" s="40">
        <f>E26+C26</f>
        <v>0</v>
      </c>
    </row>
    <row r="27" spans="1:19" x14ac:dyDescent="0.25">
      <c r="A27" s="37">
        <v>2011</v>
      </c>
      <c r="B27" s="38"/>
      <c r="C27" s="39">
        <f t="shared" ref="C27:C36" si="8">B27*21</f>
        <v>0</v>
      </c>
      <c r="D27" s="38"/>
      <c r="E27" s="39">
        <f t="shared" ref="E27:E36" si="9">D27*310</f>
        <v>0</v>
      </c>
      <c r="F27" s="40">
        <f t="shared" ref="F27:F36" si="10">E27+C27</f>
        <v>0</v>
      </c>
    </row>
    <row r="28" spans="1:19" x14ac:dyDescent="0.25">
      <c r="A28" s="37">
        <v>2012</v>
      </c>
      <c r="B28" s="38"/>
      <c r="C28" s="39">
        <f t="shared" si="8"/>
        <v>0</v>
      </c>
      <c r="D28" s="38"/>
      <c r="E28" s="39">
        <f t="shared" si="9"/>
        <v>0</v>
      </c>
      <c r="F28" s="40">
        <f t="shared" si="10"/>
        <v>0</v>
      </c>
    </row>
    <row r="29" spans="1:19" x14ac:dyDescent="0.25">
      <c r="A29" s="37">
        <v>2013</v>
      </c>
      <c r="B29" s="38"/>
      <c r="C29" s="39">
        <f t="shared" si="8"/>
        <v>0</v>
      </c>
      <c r="D29" s="38"/>
      <c r="E29" s="39">
        <f t="shared" si="9"/>
        <v>0</v>
      </c>
      <c r="F29" s="40">
        <f t="shared" si="10"/>
        <v>0</v>
      </c>
    </row>
    <row r="30" spans="1:19" x14ac:dyDescent="0.25">
      <c r="A30" s="37">
        <v>2014</v>
      </c>
      <c r="B30" s="38"/>
      <c r="C30" s="39">
        <f t="shared" si="8"/>
        <v>0</v>
      </c>
      <c r="D30" s="38"/>
      <c r="E30" s="39">
        <f t="shared" si="9"/>
        <v>0</v>
      </c>
      <c r="F30" s="40">
        <f t="shared" si="10"/>
        <v>0</v>
      </c>
    </row>
    <row r="31" spans="1:19" x14ac:dyDescent="0.25">
      <c r="A31" s="37">
        <v>2015</v>
      </c>
      <c r="B31" s="38"/>
      <c r="C31" s="39">
        <f t="shared" si="8"/>
        <v>0</v>
      </c>
      <c r="D31" s="38"/>
      <c r="E31" s="39">
        <f t="shared" si="9"/>
        <v>0</v>
      </c>
      <c r="F31" s="40">
        <f t="shared" si="10"/>
        <v>0</v>
      </c>
    </row>
    <row r="32" spans="1:19" x14ac:dyDescent="0.25">
      <c r="A32" s="37">
        <v>2016</v>
      </c>
      <c r="B32" s="38"/>
      <c r="C32" s="39">
        <f t="shared" si="8"/>
        <v>0</v>
      </c>
      <c r="D32" s="38"/>
      <c r="E32" s="39">
        <f t="shared" si="9"/>
        <v>0</v>
      </c>
      <c r="F32" s="40">
        <f t="shared" si="10"/>
        <v>0</v>
      </c>
    </row>
    <row r="33" spans="1:6" x14ac:dyDescent="0.25">
      <c r="A33" s="37">
        <v>2017</v>
      </c>
      <c r="B33" s="38"/>
      <c r="C33" s="39">
        <f t="shared" si="8"/>
        <v>0</v>
      </c>
      <c r="D33" s="38"/>
      <c r="E33" s="39">
        <f t="shared" si="9"/>
        <v>0</v>
      </c>
      <c r="F33" s="40">
        <f t="shared" si="10"/>
        <v>0</v>
      </c>
    </row>
    <row r="34" spans="1:6" x14ac:dyDescent="0.25">
      <c r="A34" s="37">
        <v>2018</v>
      </c>
      <c r="B34" s="38"/>
      <c r="C34" s="39">
        <f t="shared" si="8"/>
        <v>0</v>
      </c>
      <c r="D34" s="38"/>
      <c r="E34" s="39">
        <f t="shared" si="9"/>
        <v>0</v>
      </c>
      <c r="F34" s="40">
        <f t="shared" si="10"/>
        <v>0</v>
      </c>
    </row>
    <row r="35" spans="1:6" x14ac:dyDescent="0.25">
      <c r="A35" s="37">
        <v>2019</v>
      </c>
      <c r="B35" s="38"/>
      <c r="C35" s="39">
        <f t="shared" si="8"/>
        <v>0</v>
      </c>
      <c r="D35" s="38"/>
      <c r="E35" s="39">
        <f t="shared" si="9"/>
        <v>0</v>
      </c>
      <c r="F35" s="40">
        <f t="shared" si="10"/>
        <v>0</v>
      </c>
    </row>
    <row r="36" spans="1:6" x14ac:dyDescent="0.25">
      <c r="A36" s="37">
        <v>2020</v>
      </c>
      <c r="B36" s="38"/>
      <c r="C36" s="39">
        <f t="shared" si="8"/>
        <v>0</v>
      </c>
      <c r="D36" s="38"/>
      <c r="E36" s="39">
        <f t="shared" si="9"/>
        <v>0</v>
      </c>
      <c r="F36" s="40">
        <f t="shared" si="10"/>
        <v>0</v>
      </c>
    </row>
    <row r="39" spans="1:6" ht="15.75" thickBot="1" x14ac:dyDescent="0.3">
      <c r="A39" s="41" t="s">
        <v>87</v>
      </c>
    </row>
    <row r="40" spans="1:6" ht="15.75" thickBot="1" x14ac:dyDescent="0.3">
      <c r="A40" s="262" t="s">
        <v>10</v>
      </c>
      <c r="B40" s="42" t="s">
        <v>88</v>
      </c>
      <c r="C40" s="43"/>
      <c r="D40" s="43"/>
      <c r="E40" s="43"/>
      <c r="F40" s="43"/>
    </row>
    <row r="41" spans="1:6" ht="15.75" thickBot="1" x14ac:dyDescent="0.3">
      <c r="A41" s="263"/>
      <c r="B41" s="42" t="s">
        <v>81</v>
      </c>
      <c r="C41" s="44"/>
      <c r="D41" s="42" t="s">
        <v>82</v>
      </c>
      <c r="E41" s="44"/>
      <c r="F41" s="45" t="s">
        <v>89</v>
      </c>
    </row>
    <row r="42" spans="1:6" x14ac:dyDescent="0.25">
      <c r="A42" s="263"/>
      <c r="B42" s="46" t="s">
        <v>84</v>
      </c>
      <c r="C42" s="46" t="s">
        <v>85</v>
      </c>
      <c r="D42" s="46" t="s">
        <v>86</v>
      </c>
      <c r="E42" s="46" t="s">
        <v>85</v>
      </c>
      <c r="F42" s="46" t="s">
        <v>90</v>
      </c>
    </row>
    <row r="43" spans="1:6" x14ac:dyDescent="0.25">
      <c r="A43" s="37">
        <v>2010</v>
      </c>
      <c r="B43" s="47"/>
      <c r="C43" s="39">
        <f>B43*21</f>
        <v>0</v>
      </c>
      <c r="D43" s="47"/>
      <c r="E43" s="39">
        <f>D43*310</f>
        <v>0</v>
      </c>
      <c r="F43" s="48" t="e">
        <v>#REF!</v>
      </c>
    </row>
    <row r="44" spans="1:6" x14ac:dyDescent="0.25">
      <c r="A44" s="37">
        <v>2011</v>
      </c>
      <c r="B44" s="47"/>
      <c r="C44" s="39">
        <f t="shared" ref="C44:C53" si="11">B44*21</f>
        <v>0</v>
      </c>
      <c r="D44" s="47"/>
      <c r="E44" s="39">
        <f t="shared" ref="E44:E53" si="12">D44*310</f>
        <v>0</v>
      </c>
      <c r="F44" s="48">
        <v>0.42329860210320874</v>
      </c>
    </row>
    <row r="45" spans="1:6" x14ac:dyDescent="0.25">
      <c r="A45" s="37">
        <v>2012</v>
      </c>
      <c r="B45" s="47"/>
      <c r="C45" s="39">
        <f t="shared" si="11"/>
        <v>0</v>
      </c>
      <c r="D45" s="47"/>
      <c r="E45" s="39">
        <f t="shared" si="12"/>
        <v>0</v>
      </c>
      <c r="F45" s="48">
        <v>0.43343843389852171</v>
      </c>
    </row>
    <row r="46" spans="1:6" x14ac:dyDescent="0.25">
      <c r="A46" s="37">
        <v>2013</v>
      </c>
      <c r="B46" s="47"/>
      <c r="C46" s="39">
        <f t="shared" si="11"/>
        <v>0</v>
      </c>
      <c r="D46" s="47"/>
      <c r="E46" s="39">
        <f t="shared" si="12"/>
        <v>0</v>
      </c>
      <c r="F46" s="48">
        <v>0.44351852378181084</v>
      </c>
    </row>
    <row r="47" spans="1:6" x14ac:dyDescent="0.25">
      <c r="A47" s="37">
        <v>2014</v>
      </c>
      <c r="B47" s="47"/>
      <c r="C47" s="39">
        <f t="shared" si="11"/>
        <v>0</v>
      </c>
      <c r="D47" s="47"/>
      <c r="E47" s="39">
        <f t="shared" si="12"/>
        <v>0</v>
      </c>
      <c r="F47" s="48">
        <v>0.45313697161764338</v>
      </c>
    </row>
    <row r="48" spans="1:6" x14ac:dyDescent="0.25">
      <c r="A48" s="37">
        <v>2015</v>
      </c>
      <c r="B48" s="47"/>
      <c r="C48" s="39">
        <f t="shared" si="11"/>
        <v>0</v>
      </c>
      <c r="D48" s="47"/>
      <c r="E48" s="39">
        <f t="shared" si="12"/>
        <v>0</v>
      </c>
      <c r="F48" s="48">
        <v>0.46955839390811371</v>
      </c>
    </row>
    <row r="49" spans="1:6" x14ac:dyDescent="0.25">
      <c r="A49" s="37">
        <v>2016</v>
      </c>
      <c r="B49" s="47"/>
      <c r="C49" s="39">
        <f t="shared" si="11"/>
        <v>0</v>
      </c>
      <c r="D49" s="47"/>
      <c r="E49" s="39">
        <f t="shared" si="12"/>
        <v>0</v>
      </c>
      <c r="F49" s="48">
        <v>0.48119421749133184</v>
      </c>
    </row>
    <row r="50" spans="1:6" x14ac:dyDescent="0.25">
      <c r="A50" s="37">
        <v>2017</v>
      </c>
      <c r="B50" s="47"/>
      <c r="C50" s="39">
        <f t="shared" si="11"/>
        <v>0</v>
      </c>
      <c r="D50" s="47"/>
      <c r="E50" s="39">
        <f t="shared" si="12"/>
        <v>0</v>
      </c>
      <c r="F50" s="48">
        <v>0.49283004107454992</v>
      </c>
    </row>
    <row r="51" spans="1:6" x14ac:dyDescent="0.25">
      <c r="A51" s="37">
        <v>2018</v>
      </c>
      <c r="B51" s="47"/>
      <c r="C51" s="39">
        <f t="shared" si="11"/>
        <v>0</v>
      </c>
      <c r="D51" s="47"/>
      <c r="E51" s="39">
        <f t="shared" si="12"/>
        <v>0</v>
      </c>
      <c r="F51" s="48">
        <v>0.5044658646577681</v>
      </c>
    </row>
    <row r="52" spans="1:6" x14ac:dyDescent="0.25">
      <c r="A52" s="37">
        <v>2019</v>
      </c>
      <c r="B52" s="47"/>
      <c r="C52" s="39">
        <f t="shared" si="11"/>
        <v>0</v>
      </c>
      <c r="D52" s="47"/>
      <c r="E52" s="39">
        <f t="shared" si="12"/>
        <v>0</v>
      </c>
      <c r="F52" s="48">
        <v>0.51610168824098601</v>
      </c>
    </row>
    <row r="53" spans="1:6" x14ac:dyDescent="0.25">
      <c r="A53" s="37">
        <v>2020</v>
      </c>
      <c r="B53" s="47"/>
      <c r="C53" s="39">
        <f t="shared" si="11"/>
        <v>0</v>
      </c>
      <c r="D53" s="47"/>
      <c r="E53" s="39">
        <f t="shared" si="12"/>
        <v>0</v>
      </c>
      <c r="F53" s="48">
        <v>0.52773751182420425</v>
      </c>
    </row>
    <row r="56" spans="1:6" x14ac:dyDescent="0.25">
      <c r="A56" s="49"/>
      <c r="B56" s="50"/>
      <c r="C56" s="51"/>
      <c r="D56" s="50"/>
      <c r="E56" s="51"/>
      <c r="F56" s="51"/>
    </row>
    <row r="57" spans="1:6" ht="15.75" thickBot="1" x14ac:dyDescent="0.3">
      <c r="A57" s="52" t="s">
        <v>91</v>
      </c>
      <c r="B57" s="51"/>
      <c r="C57" s="50"/>
      <c r="D57" s="51"/>
    </row>
    <row r="58" spans="1:6" ht="15.75" thickBot="1" x14ac:dyDescent="0.3">
      <c r="A58" s="249" t="s">
        <v>10</v>
      </c>
      <c r="B58" s="251" t="s">
        <v>92</v>
      </c>
      <c r="C58" s="252"/>
      <c r="D58" s="53" t="s">
        <v>93</v>
      </c>
      <c r="E58" s="54"/>
      <c r="F58" s="55" t="s">
        <v>94</v>
      </c>
    </row>
    <row r="59" spans="1:6" ht="63.75" thickBot="1" x14ac:dyDescent="0.3">
      <c r="A59" s="250"/>
      <c r="B59" s="56" t="s">
        <v>95</v>
      </c>
      <c r="C59" s="56" t="s">
        <v>96</v>
      </c>
      <c r="D59" s="57" t="s">
        <v>97</v>
      </c>
      <c r="E59" s="57" t="s">
        <v>98</v>
      </c>
      <c r="F59" s="58" t="s">
        <v>99</v>
      </c>
    </row>
    <row r="60" spans="1:6" ht="15.75" thickBot="1" x14ac:dyDescent="0.3">
      <c r="A60" s="250"/>
      <c r="B60" s="253" t="s">
        <v>100</v>
      </c>
      <c r="C60" s="59" t="s">
        <v>101</v>
      </c>
      <c r="D60" s="60" t="s">
        <v>102</v>
      </c>
      <c r="E60" s="61" t="s">
        <v>103</v>
      </c>
      <c r="F60" s="62" t="s">
        <v>104</v>
      </c>
    </row>
    <row r="61" spans="1:6" ht="26.25" x14ac:dyDescent="0.25">
      <c r="A61" s="250"/>
      <c r="B61" s="254"/>
      <c r="C61" s="63" t="s">
        <v>105</v>
      </c>
      <c r="D61" s="64"/>
      <c r="E61" s="65" t="s">
        <v>106</v>
      </c>
      <c r="F61" s="66" t="s">
        <v>107</v>
      </c>
    </row>
    <row r="62" spans="1:6" x14ac:dyDescent="0.25">
      <c r="A62" s="37">
        <v>2010</v>
      </c>
      <c r="B62" s="48"/>
      <c r="C62" s="39">
        <f>B62*21</f>
        <v>0</v>
      </c>
      <c r="D62" s="67"/>
      <c r="E62" s="39">
        <f>D62*310</f>
        <v>0</v>
      </c>
      <c r="F62" s="68">
        <f>C62+E62</f>
        <v>0</v>
      </c>
    </row>
    <row r="63" spans="1:6" x14ac:dyDescent="0.25">
      <c r="A63" s="37">
        <v>2011</v>
      </c>
      <c r="B63" s="48"/>
      <c r="C63" s="39">
        <f t="shared" ref="C63:C72" si="13">B63*21</f>
        <v>0</v>
      </c>
      <c r="D63" s="67"/>
      <c r="E63" s="39">
        <f t="shared" ref="E63:E72" si="14">D63*310</f>
        <v>0</v>
      </c>
      <c r="F63" s="68">
        <f t="shared" ref="F63:F72" si="15">C63+E63</f>
        <v>0</v>
      </c>
    </row>
    <row r="64" spans="1:6" x14ac:dyDescent="0.25">
      <c r="A64" s="37">
        <v>2012</v>
      </c>
      <c r="B64" s="48"/>
      <c r="C64" s="39">
        <f t="shared" si="13"/>
        <v>0</v>
      </c>
      <c r="D64" s="67"/>
      <c r="E64" s="39">
        <f t="shared" si="14"/>
        <v>0</v>
      </c>
      <c r="F64" s="68">
        <f t="shared" si="15"/>
        <v>0</v>
      </c>
    </row>
    <row r="65" spans="1:6" x14ac:dyDescent="0.25">
      <c r="A65" s="37">
        <v>2013</v>
      </c>
      <c r="B65" s="48"/>
      <c r="C65" s="39">
        <f t="shared" si="13"/>
        <v>0</v>
      </c>
      <c r="D65" s="67"/>
      <c r="E65" s="39">
        <f t="shared" si="14"/>
        <v>0</v>
      </c>
      <c r="F65" s="68">
        <f t="shared" si="15"/>
        <v>0</v>
      </c>
    </row>
    <row r="66" spans="1:6" x14ac:dyDescent="0.25">
      <c r="A66" s="37">
        <v>2014</v>
      </c>
      <c r="B66" s="48"/>
      <c r="C66" s="39">
        <f t="shared" si="13"/>
        <v>0</v>
      </c>
      <c r="D66" s="67"/>
      <c r="E66" s="39">
        <f t="shared" si="14"/>
        <v>0</v>
      </c>
      <c r="F66" s="68">
        <f t="shared" si="15"/>
        <v>0</v>
      </c>
    </row>
    <row r="67" spans="1:6" x14ac:dyDescent="0.25">
      <c r="A67" s="37">
        <v>2015</v>
      </c>
      <c r="B67" s="48"/>
      <c r="C67" s="39">
        <f t="shared" si="13"/>
        <v>0</v>
      </c>
      <c r="D67" s="67"/>
      <c r="E67" s="39">
        <f t="shared" si="14"/>
        <v>0</v>
      </c>
      <c r="F67" s="68">
        <f t="shared" si="15"/>
        <v>0</v>
      </c>
    </row>
    <row r="68" spans="1:6" x14ac:dyDescent="0.25">
      <c r="A68" s="37">
        <v>2016</v>
      </c>
      <c r="B68" s="48"/>
      <c r="C68" s="39">
        <f t="shared" si="13"/>
        <v>0</v>
      </c>
      <c r="D68" s="67"/>
      <c r="E68" s="39">
        <f t="shared" si="14"/>
        <v>0</v>
      </c>
      <c r="F68" s="68">
        <f t="shared" si="15"/>
        <v>0</v>
      </c>
    </row>
    <row r="69" spans="1:6" x14ac:dyDescent="0.25">
      <c r="A69" s="37">
        <v>2017</v>
      </c>
      <c r="B69" s="48"/>
      <c r="C69" s="39">
        <f t="shared" si="13"/>
        <v>0</v>
      </c>
      <c r="D69" s="67"/>
      <c r="E69" s="39">
        <f t="shared" si="14"/>
        <v>0</v>
      </c>
      <c r="F69" s="68">
        <f t="shared" si="15"/>
        <v>0</v>
      </c>
    </row>
    <row r="70" spans="1:6" x14ac:dyDescent="0.25">
      <c r="A70" s="37">
        <v>2018</v>
      </c>
      <c r="B70" s="48"/>
      <c r="C70" s="39">
        <f t="shared" si="13"/>
        <v>0</v>
      </c>
      <c r="D70" s="67"/>
      <c r="E70" s="39">
        <f t="shared" si="14"/>
        <v>0</v>
      </c>
      <c r="F70" s="68">
        <f t="shared" si="15"/>
        <v>0</v>
      </c>
    </row>
    <row r="71" spans="1:6" x14ac:dyDescent="0.25">
      <c r="A71" s="37">
        <v>2019</v>
      </c>
      <c r="B71" s="48"/>
      <c r="C71" s="39">
        <f t="shared" si="13"/>
        <v>0</v>
      </c>
      <c r="D71" s="67"/>
      <c r="E71" s="39">
        <f t="shared" si="14"/>
        <v>0</v>
      </c>
      <c r="F71" s="68">
        <f t="shared" si="15"/>
        <v>0</v>
      </c>
    </row>
    <row r="72" spans="1:6" x14ac:dyDescent="0.25">
      <c r="A72" s="37">
        <v>2020</v>
      </c>
      <c r="B72" s="48"/>
      <c r="C72" s="39">
        <f t="shared" si="13"/>
        <v>0</v>
      </c>
      <c r="D72" s="67"/>
      <c r="E72" s="39">
        <f t="shared" si="14"/>
        <v>0</v>
      </c>
      <c r="F72" s="68">
        <f t="shared" si="15"/>
        <v>0</v>
      </c>
    </row>
  </sheetData>
  <mergeCells count="25">
    <mergeCell ref="A58:A61"/>
    <mergeCell ref="B58:C58"/>
    <mergeCell ref="B60:B61"/>
    <mergeCell ref="A23:A25"/>
    <mergeCell ref="B23:F23"/>
    <mergeCell ref="B24:C24"/>
    <mergeCell ref="D24:E24"/>
    <mergeCell ref="F24:F25"/>
    <mergeCell ref="A40:A42"/>
    <mergeCell ref="P6:P8"/>
    <mergeCell ref="Q6:S6"/>
    <mergeCell ref="B7:C7"/>
    <mergeCell ref="D7:D8"/>
    <mergeCell ref="G7:H7"/>
    <mergeCell ref="I7:I8"/>
    <mergeCell ref="L7:M7"/>
    <mergeCell ref="N7:N8"/>
    <mergeCell ref="Q7:R7"/>
    <mergeCell ref="S7:S8"/>
    <mergeCell ref="L6:N6"/>
    <mergeCell ref="A6:A8"/>
    <mergeCell ref="B6:D6"/>
    <mergeCell ref="F6:F8"/>
    <mergeCell ref="G6:I6"/>
    <mergeCell ref="K6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timbulan sampah</vt:lpstr>
      <vt:lpstr>Fraksi pengelolaan sampah BaU</vt:lpstr>
      <vt:lpstr>Rekapitulasi BaU Emisi GRK</vt:lpstr>
      <vt:lpstr>Rekap BAU Emisi Industri Sawitt</vt:lpstr>
      <vt:lpstr>Frksi pengelolaan smph Mitigasi</vt:lpstr>
      <vt:lpstr>Rekaptlasi Mitigasi Emisi 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Iwied</cp:lastModifiedBy>
  <dcterms:created xsi:type="dcterms:W3CDTF">2015-08-21T01:15:24Z</dcterms:created>
  <dcterms:modified xsi:type="dcterms:W3CDTF">2017-09-27T07:21:33Z</dcterms:modified>
</cp:coreProperties>
</file>