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2.xml" ContentType="application/vnd.openxmlformats-officedocument.drawing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Mitigasi_2010-2030_IW\Mahulu\"/>
    </mc:Choice>
  </mc:AlternateContent>
  <bookViews>
    <workbookView xWindow="0" yWindow="0" windowWidth="20490" windowHeight="7755" tabRatio="917" firstSheet="7" activeTab="11"/>
  </bookViews>
  <sheets>
    <sheet name="4A_DOC" sheetId="21" r:id="rId1"/>
    <sheet name="4B_CH4 emissions" sheetId="1" r:id="rId2"/>
    <sheet name="4B_N2O emission" sheetId="2" r:id="rId3"/>
    <sheet name="REKAPITULASI" sheetId="22" r:id="rId4"/>
    <sheet name="4C1_Amount_Waste_OpenBurned" sheetId="4" r:id="rId5"/>
    <sheet name="4C2_CO2_OpenBurning" sheetId="5" r:id="rId6"/>
    <sheet name="4C2_CH4_OpenBurning" sheetId="8" r:id="rId7"/>
    <sheet name="4C2_N2O_OpenBurning" sheetId="10" r:id="rId8"/>
    <sheet name="4D1_TOW_DomesticWastewater" sheetId="11" r:id="rId9"/>
    <sheet name="4D1_CH4_EF_DomesticWastewater" sheetId="12" r:id="rId10"/>
    <sheet name="4D1_CH4_Domestic_Wastewater" sheetId="13" r:id="rId11"/>
    <sheet name="4D1_N_effluent" sheetId="17" r:id="rId12"/>
    <sheet name="4D1_Indirect_N2O" sheetId="18" r:id="rId13"/>
  </sheets>
  <externalReferences>
    <externalReference r:id="rId14"/>
  </externalReferences>
  <definedNames>
    <definedName name="_xlnm.Print_Area" localSheetId="2">'4B_N2O emission'!$A$2:$E$41</definedName>
    <definedName name="_xlnm.Print_Area" localSheetId="4">'4C1_Amount_Waste_OpenBurned'!$A$2:$G$33</definedName>
    <definedName name="_xlnm.Print_Area" localSheetId="6">'4C2_CH4_OpenBurning'!$A$2:$D$34</definedName>
    <definedName name="_xlnm.Print_Area" localSheetId="5">'4C2_CO2_OpenBurning'!$A$2:$I$29</definedName>
    <definedName name="_xlnm.Print_Area" localSheetId="7">'4C2_N2O_OpenBurning'!$A$2:$D$35</definedName>
    <definedName name="_xlnm.Print_Area" localSheetId="10">'4D1_CH4_Domestic_Wastewater'!$A$2:$I$27</definedName>
    <definedName name="_xlnm.Print_Area" localSheetId="9">'4D1_CH4_EF_DomesticWastewater'!$A$2:$D$26</definedName>
    <definedName name="_xlnm.Print_Area" localSheetId="12">'4D1_Indirect_N2O'!$A$2:$F$22</definedName>
    <definedName name="_xlnm.Print_Area" localSheetId="11">'4D1_N_effluent'!$A$2:$H$22</definedName>
    <definedName name="_xlnm.Print_Area" localSheetId="8">'4D1_TOW_DomesticWastewater'!$A$2:$E$34</definedName>
  </definedNames>
  <calcPr calcId="152511"/>
</workbook>
</file>

<file path=xl/calcChain.xml><?xml version="1.0" encoding="utf-8"?>
<calcChain xmlns="http://schemas.openxmlformats.org/spreadsheetml/2006/main">
  <c r="C14" i="4" l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13" i="4"/>
  <c r="C17" i="17" l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16" i="17"/>
  <c r="C15" i="17"/>
  <c r="B32" i="4" l="1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2" i="17" s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A70" i="22" l="1"/>
  <c r="A71" i="22"/>
  <c r="A72" i="22"/>
  <c r="A73" i="22"/>
  <c r="A74" i="22"/>
  <c r="A75" i="22"/>
  <c r="A76" i="22"/>
  <c r="A77" i="22"/>
  <c r="A78" i="22"/>
  <c r="A48" i="22"/>
  <c r="A49" i="22"/>
  <c r="A50" i="22"/>
  <c r="A17" i="22"/>
  <c r="A43" i="22" s="1"/>
  <c r="A18" i="22"/>
  <c r="A44" i="22" s="1"/>
  <c r="A19" i="22"/>
  <c r="A45" i="22" s="1"/>
  <c r="A20" i="22"/>
  <c r="A46" i="22" s="1"/>
  <c r="A21" i="22"/>
  <c r="A47" i="22" s="1"/>
  <c r="A22" i="22"/>
  <c r="A23" i="22"/>
  <c r="A24" i="22"/>
  <c r="A25" i="22"/>
  <c r="A51" i="22" s="1"/>
  <c r="E562" i="13"/>
  <c r="E561" i="13"/>
  <c r="E560" i="13"/>
  <c r="E559" i="13"/>
  <c r="E557" i="13"/>
  <c r="E556" i="13"/>
  <c r="E555" i="13"/>
  <c r="E554" i="13"/>
  <c r="E552" i="13"/>
  <c r="E551" i="13"/>
  <c r="E550" i="13"/>
  <c r="E549" i="13"/>
  <c r="E534" i="13"/>
  <c r="E533" i="13"/>
  <c r="E532" i="13"/>
  <c r="E531" i="13"/>
  <c r="E529" i="13"/>
  <c r="E528" i="13"/>
  <c r="E527" i="13"/>
  <c r="E526" i="13"/>
  <c r="E524" i="13"/>
  <c r="E523" i="13"/>
  <c r="E522" i="13"/>
  <c r="E521" i="13"/>
  <c r="E506" i="13"/>
  <c r="E505" i="13"/>
  <c r="E504" i="13"/>
  <c r="E503" i="13"/>
  <c r="E501" i="13"/>
  <c r="E500" i="13"/>
  <c r="E499" i="13"/>
  <c r="E498" i="13"/>
  <c r="E496" i="13"/>
  <c r="E495" i="13"/>
  <c r="E494" i="13"/>
  <c r="E493" i="13"/>
  <c r="E478" i="13"/>
  <c r="E477" i="13"/>
  <c r="E476" i="13"/>
  <c r="E475" i="13"/>
  <c r="E473" i="13"/>
  <c r="E472" i="13"/>
  <c r="E471" i="13"/>
  <c r="E470" i="13"/>
  <c r="E468" i="13"/>
  <c r="E467" i="13"/>
  <c r="E466" i="13"/>
  <c r="E465" i="13"/>
  <c r="E450" i="13"/>
  <c r="E449" i="13"/>
  <c r="E448" i="13"/>
  <c r="E447" i="13"/>
  <c r="E445" i="13"/>
  <c r="E444" i="13"/>
  <c r="E443" i="13"/>
  <c r="E442" i="13"/>
  <c r="E440" i="13"/>
  <c r="E439" i="13"/>
  <c r="E438" i="13"/>
  <c r="E437" i="13"/>
  <c r="E422" i="13"/>
  <c r="E421" i="13"/>
  <c r="E420" i="13"/>
  <c r="E419" i="13"/>
  <c r="E417" i="13"/>
  <c r="E416" i="13"/>
  <c r="E415" i="13"/>
  <c r="E414" i="13"/>
  <c r="E412" i="13"/>
  <c r="E411" i="13"/>
  <c r="E410" i="13"/>
  <c r="E409" i="13"/>
  <c r="E394" i="13"/>
  <c r="E393" i="13"/>
  <c r="E392" i="13"/>
  <c r="E391" i="13"/>
  <c r="E389" i="13"/>
  <c r="E388" i="13"/>
  <c r="E387" i="13"/>
  <c r="E386" i="13"/>
  <c r="E384" i="13"/>
  <c r="E383" i="13"/>
  <c r="E382" i="13"/>
  <c r="E381" i="13"/>
  <c r="E366" i="13"/>
  <c r="E365" i="13"/>
  <c r="E364" i="13"/>
  <c r="E363" i="13"/>
  <c r="E361" i="13"/>
  <c r="E360" i="13"/>
  <c r="E359" i="13"/>
  <c r="E358" i="13"/>
  <c r="E356" i="13"/>
  <c r="E355" i="13"/>
  <c r="E354" i="13"/>
  <c r="E353" i="13"/>
  <c r="E338" i="13"/>
  <c r="E337" i="13"/>
  <c r="E336" i="13"/>
  <c r="E335" i="13"/>
  <c r="E333" i="13"/>
  <c r="E332" i="13"/>
  <c r="E331" i="13"/>
  <c r="E330" i="13"/>
  <c r="E328" i="13"/>
  <c r="E327" i="13"/>
  <c r="E326" i="13"/>
  <c r="E325" i="13"/>
  <c r="H597" i="5"/>
  <c r="H596" i="5"/>
  <c r="H595" i="5"/>
  <c r="H594" i="5"/>
  <c r="F594" i="5"/>
  <c r="H593" i="5"/>
  <c r="F593" i="5"/>
  <c r="H592" i="5"/>
  <c r="F592" i="5"/>
  <c r="H591" i="5"/>
  <c r="H590" i="5"/>
  <c r="F590" i="5"/>
  <c r="H589" i="5"/>
  <c r="H567" i="5"/>
  <c r="H566" i="5"/>
  <c r="H565" i="5"/>
  <c r="H564" i="5"/>
  <c r="F564" i="5"/>
  <c r="H563" i="5"/>
  <c r="F563" i="5"/>
  <c r="H562" i="5"/>
  <c r="F562" i="5"/>
  <c r="H561" i="5"/>
  <c r="H560" i="5"/>
  <c r="F560" i="5"/>
  <c r="H559" i="5"/>
  <c r="H537" i="5"/>
  <c r="H536" i="5"/>
  <c r="H535" i="5"/>
  <c r="H534" i="5"/>
  <c r="F534" i="5"/>
  <c r="H533" i="5"/>
  <c r="F533" i="5"/>
  <c r="H532" i="5"/>
  <c r="F532" i="5"/>
  <c r="H531" i="5"/>
  <c r="H530" i="5"/>
  <c r="F530" i="5"/>
  <c r="H529" i="5"/>
  <c r="H507" i="5"/>
  <c r="H506" i="5"/>
  <c r="H505" i="5"/>
  <c r="H504" i="5"/>
  <c r="F504" i="5"/>
  <c r="H503" i="5"/>
  <c r="F503" i="5"/>
  <c r="H502" i="5"/>
  <c r="F502" i="5"/>
  <c r="H501" i="5"/>
  <c r="H500" i="5"/>
  <c r="F500" i="5"/>
  <c r="H499" i="5"/>
  <c r="H477" i="5"/>
  <c r="H476" i="5"/>
  <c r="H475" i="5"/>
  <c r="H474" i="5"/>
  <c r="F474" i="5"/>
  <c r="H473" i="5"/>
  <c r="F473" i="5"/>
  <c r="H472" i="5"/>
  <c r="F472" i="5"/>
  <c r="H471" i="5"/>
  <c r="H470" i="5"/>
  <c r="F470" i="5"/>
  <c r="H469" i="5"/>
  <c r="H447" i="5"/>
  <c r="H446" i="5"/>
  <c r="H445" i="5"/>
  <c r="H444" i="5"/>
  <c r="F444" i="5"/>
  <c r="H443" i="5"/>
  <c r="F443" i="5"/>
  <c r="H442" i="5"/>
  <c r="F442" i="5"/>
  <c r="H441" i="5"/>
  <c r="H440" i="5"/>
  <c r="F440" i="5"/>
  <c r="H439" i="5"/>
  <c r="H417" i="5"/>
  <c r="H416" i="5"/>
  <c r="H415" i="5"/>
  <c r="H414" i="5"/>
  <c r="F414" i="5"/>
  <c r="H413" i="5"/>
  <c r="F413" i="5"/>
  <c r="H412" i="5"/>
  <c r="F412" i="5"/>
  <c r="H411" i="5"/>
  <c r="H410" i="5"/>
  <c r="F410" i="5"/>
  <c r="H409" i="5"/>
  <c r="H387" i="5"/>
  <c r="H386" i="5"/>
  <c r="H385" i="5"/>
  <c r="H384" i="5"/>
  <c r="F384" i="5"/>
  <c r="H383" i="5"/>
  <c r="F383" i="5"/>
  <c r="H382" i="5"/>
  <c r="F382" i="5"/>
  <c r="H381" i="5"/>
  <c r="H380" i="5"/>
  <c r="F380" i="5"/>
  <c r="H379" i="5"/>
  <c r="H357" i="5"/>
  <c r="H356" i="5"/>
  <c r="H355" i="5"/>
  <c r="H354" i="5"/>
  <c r="F354" i="5"/>
  <c r="H353" i="5"/>
  <c r="F353" i="5"/>
  <c r="H352" i="5"/>
  <c r="F352" i="5"/>
  <c r="H351" i="5"/>
  <c r="H350" i="5"/>
  <c r="F350" i="5"/>
  <c r="H349" i="5"/>
  <c r="E310" i="13" l="1"/>
  <c r="E309" i="13"/>
  <c r="E308" i="13"/>
  <c r="E307" i="13"/>
  <c r="E305" i="13"/>
  <c r="E304" i="13"/>
  <c r="E303" i="13"/>
  <c r="E302" i="13"/>
  <c r="E300" i="13"/>
  <c r="E299" i="13"/>
  <c r="E298" i="13"/>
  <c r="E297" i="13"/>
  <c r="E282" i="13"/>
  <c r="E281" i="13"/>
  <c r="E280" i="13"/>
  <c r="E279" i="13"/>
  <c r="E277" i="13"/>
  <c r="E276" i="13"/>
  <c r="E275" i="13"/>
  <c r="E274" i="13"/>
  <c r="E272" i="13"/>
  <c r="E271" i="13"/>
  <c r="E270" i="13"/>
  <c r="E269" i="13"/>
  <c r="E254" i="13"/>
  <c r="E253" i="13"/>
  <c r="E252" i="13"/>
  <c r="E251" i="13"/>
  <c r="E249" i="13"/>
  <c r="E248" i="13"/>
  <c r="E247" i="13"/>
  <c r="E246" i="13"/>
  <c r="E244" i="13"/>
  <c r="E243" i="13"/>
  <c r="E242" i="13"/>
  <c r="E241" i="13"/>
  <c r="E226" i="13"/>
  <c r="E225" i="13"/>
  <c r="E224" i="13"/>
  <c r="E223" i="13"/>
  <c r="E221" i="13"/>
  <c r="E220" i="13"/>
  <c r="E219" i="13"/>
  <c r="E218" i="13"/>
  <c r="E216" i="13"/>
  <c r="E215" i="13"/>
  <c r="E214" i="13"/>
  <c r="E213" i="13"/>
  <c r="E198" i="13"/>
  <c r="E197" i="13"/>
  <c r="E196" i="13"/>
  <c r="E195" i="13"/>
  <c r="E193" i="13"/>
  <c r="E192" i="13"/>
  <c r="E191" i="13"/>
  <c r="E190" i="13"/>
  <c r="E188" i="13"/>
  <c r="E187" i="13"/>
  <c r="E186" i="13"/>
  <c r="E185" i="13"/>
  <c r="E170" i="13"/>
  <c r="E169" i="13"/>
  <c r="E168" i="13"/>
  <c r="E167" i="13"/>
  <c r="E165" i="13"/>
  <c r="E164" i="13"/>
  <c r="E163" i="13"/>
  <c r="E162" i="13"/>
  <c r="E160" i="13"/>
  <c r="E159" i="13"/>
  <c r="E158" i="13"/>
  <c r="E157" i="13"/>
  <c r="E142" i="13"/>
  <c r="E141" i="13"/>
  <c r="E140" i="13"/>
  <c r="E139" i="13"/>
  <c r="E137" i="13"/>
  <c r="E136" i="13"/>
  <c r="E135" i="13"/>
  <c r="E134" i="13"/>
  <c r="E132" i="13"/>
  <c r="E131" i="13"/>
  <c r="E130" i="13"/>
  <c r="E129" i="13"/>
  <c r="E114" i="13"/>
  <c r="E113" i="13"/>
  <c r="E112" i="13"/>
  <c r="E111" i="13"/>
  <c r="E109" i="13"/>
  <c r="E108" i="13"/>
  <c r="E107" i="13"/>
  <c r="E106" i="13"/>
  <c r="E104" i="13"/>
  <c r="E103" i="13"/>
  <c r="E102" i="13"/>
  <c r="E101" i="13"/>
  <c r="E86" i="13"/>
  <c r="E85" i="13"/>
  <c r="E84" i="13"/>
  <c r="E83" i="13"/>
  <c r="E81" i="13"/>
  <c r="E80" i="13"/>
  <c r="E79" i="13"/>
  <c r="E78" i="13"/>
  <c r="E76" i="13"/>
  <c r="E75" i="13"/>
  <c r="E74" i="13"/>
  <c r="E73" i="13"/>
  <c r="E58" i="13"/>
  <c r="E57" i="13"/>
  <c r="E56" i="13"/>
  <c r="E55" i="13"/>
  <c r="E53" i="13"/>
  <c r="E52" i="13"/>
  <c r="E51" i="13"/>
  <c r="E50" i="13"/>
  <c r="E48" i="13"/>
  <c r="E47" i="13"/>
  <c r="E46" i="13"/>
  <c r="E45" i="13"/>
  <c r="E25" i="13"/>
  <c r="E24" i="13"/>
  <c r="E23" i="13"/>
  <c r="E22" i="13"/>
  <c r="E20" i="13"/>
  <c r="E19" i="13"/>
  <c r="E18" i="13"/>
  <c r="E17" i="13"/>
  <c r="E15" i="13"/>
  <c r="E14" i="13"/>
  <c r="E13" i="13"/>
  <c r="E12" i="13"/>
  <c r="H327" i="5"/>
  <c r="H326" i="5"/>
  <c r="H325" i="5"/>
  <c r="H324" i="5"/>
  <c r="F324" i="5"/>
  <c r="H323" i="5"/>
  <c r="F323" i="5"/>
  <c r="H322" i="5"/>
  <c r="F322" i="5"/>
  <c r="H321" i="5"/>
  <c r="H320" i="5"/>
  <c r="F320" i="5"/>
  <c r="H319" i="5"/>
  <c r="H297" i="5"/>
  <c r="H296" i="5"/>
  <c r="H295" i="5"/>
  <c r="H294" i="5"/>
  <c r="F294" i="5"/>
  <c r="H293" i="5"/>
  <c r="F293" i="5"/>
  <c r="H292" i="5"/>
  <c r="F292" i="5"/>
  <c r="H291" i="5"/>
  <c r="H290" i="5"/>
  <c r="F290" i="5"/>
  <c r="H289" i="5"/>
  <c r="H267" i="5"/>
  <c r="H266" i="5"/>
  <c r="H265" i="5"/>
  <c r="H264" i="5"/>
  <c r="F264" i="5"/>
  <c r="H263" i="5"/>
  <c r="F263" i="5"/>
  <c r="H262" i="5"/>
  <c r="F262" i="5"/>
  <c r="H261" i="5"/>
  <c r="H260" i="5"/>
  <c r="F260" i="5"/>
  <c r="H259" i="5"/>
  <c r="H237" i="5"/>
  <c r="H236" i="5"/>
  <c r="H235" i="5"/>
  <c r="H234" i="5"/>
  <c r="F234" i="5"/>
  <c r="H233" i="5"/>
  <c r="F233" i="5"/>
  <c r="H232" i="5"/>
  <c r="F232" i="5"/>
  <c r="H231" i="5"/>
  <c r="H230" i="5"/>
  <c r="F230" i="5"/>
  <c r="H229" i="5"/>
  <c r="H207" i="5"/>
  <c r="H206" i="5"/>
  <c r="H205" i="5"/>
  <c r="H204" i="5"/>
  <c r="F204" i="5"/>
  <c r="H203" i="5"/>
  <c r="F203" i="5"/>
  <c r="H202" i="5"/>
  <c r="F202" i="5"/>
  <c r="H201" i="5"/>
  <c r="H200" i="5"/>
  <c r="F200" i="5"/>
  <c r="H199" i="5"/>
  <c r="H177" i="5"/>
  <c r="H176" i="5"/>
  <c r="H175" i="5"/>
  <c r="H174" i="5"/>
  <c r="F174" i="5"/>
  <c r="H173" i="5"/>
  <c r="F173" i="5"/>
  <c r="H172" i="5"/>
  <c r="F172" i="5"/>
  <c r="H171" i="5"/>
  <c r="H170" i="5"/>
  <c r="F170" i="5"/>
  <c r="H169" i="5"/>
  <c r="H147" i="5"/>
  <c r="H146" i="5"/>
  <c r="H145" i="5"/>
  <c r="H144" i="5"/>
  <c r="F144" i="5"/>
  <c r="H143" i="5"/>
  <c r="F143" i="5"/>
  <c r="H142" i="5"/>
  <c r="F142" i="5"/>
  <c r="H141" i="5"/>
  <c r="H140" i="5"/>
  <c r="F140" i="5"/>
  <c r="H139" i="5"/>
  <c r="H116" i="5"/>
  <c r="H115" i="5"/>
  <c r="H114" i="5"/>
  <c r="H113" i="5"/>
  <c r="F113" i="5"/>
  <c r="H112" i="5"/>
  <c r="F112" i="5"/>
  <c r="H111" i="5"/>
  <c r="F111" i="5"/>
  <c r="H110" i="5"/>
  <c r="H109" i="5"/>
  <c r="F109" i="5"/>
  <c r="H108" i="5"/>
  <c r="H85" i="5"/>
  <c r="H84" i="5"/>
  <c r="H83" i="5"/>
  <c r="H82" i="5"/>
  <c r="F82" i="5"/>
  <c r="H81" i="5"/>
  <c r="F81" i="5"/>
  <c r="H80" i="5"/>
  <c r="F80" i="5"/>
  <c r="H79" i="5"/>
  <c r="H78" i="5"/>
  <c r="F78" i="5"/>
  <c r="H77" i="5"/>
  <c r="H55" i="5"/>
  <c r="H54" i="5"/>
  <c r="H53" i="5"/>
  <c r="H52" i="5"/>
  <c r="F52" i="5"/>
  <c r="H51" i="5"/>
  <c r="F51" i="5"/>
  <c r="H50" i="5"/>
  <c r="F50" i="5"/>
  <c r="H49" i="5"/>
  <c r="H48" i="5"/>
  <c r="F48" i="5"/>
  <c r="H47" i="5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12" i="11"/>
  <c r="C11" i="8"/>
  <c r="B79" i="22" l="1"/>
  <c r="C79" i="22" s="1"/>
  <c r="D22" i="18"/>
  <c r="D23" i="18"/>
  <c r="D24" i="18"/>
  <c r="D25" i="18"/>
  <c r="D26" i="18"/>
  <c r="D27" i="18"/>
  <c r="D28" i="18"/>
  <c r="D29" i="18"/>
  <c r="D30" i="18"/>
  <c r="D31" i="18"/>
  <c r="H23" i="17"/>
  <c r="B22" i="18" s="1"/>
  <c r="F22" i="18" s="1"/>
  <c r="G22" i="18" s="1"/>
  <c r="D70" i="22" s="1"/>
  <c r="E70" i="22" s="1"/>
  <c r="H24" i="17"/>
  <c r="B23" i="18" s="1"/>
  <c r="F23" i="18" s="1"/>
  <c r="G23" i="18" s="1"/>
  <c r="D71" i="22" s="1"/>
  <c r="E71" i="22" s="1"/>
  <c r="H25" i="17"/>
  <c r="B24" i="18" s="1"/>
  <c r="F24" i="18" s="1"/>
  <c r="G24" i="18" s="1"/>
  <c r="D72" i="22" s="1"/>
  <c r="E72" i="22" s="1"/>
  <c r="H26" i="17"/>
  <c r="B25" i="18" s="1"/>
  <c r="F25" i="18" s="1"/>
  <c r="G25" i="18" s="1"/>
  <c r="D73" i="22" s="1"/>
  <c r="E73" i="22" s="1"/>
  <c r="H27" i="17"/>
  <c r="B26" i="18" s="1"/>
  <c r="F26" i="18" s="1"/>
  <c r="G26" i="18" s="1"/>
  <c r="D74" i="22" s="1"/>
  <c r="E74" i="22" s="1"/>
  <c r="H28" i="17"/>
  <c r="B27" i="18" s="1"/>
  <c r="F27" i="18" s="1"/>
  <c r="G27" i="18" s="1"/>
  <c r="D75" i="22" s="1"/>
  <c r="E75" i="22" s="1"/>
  <c r="H29" i="17"/>
  <c r="B28" i="18" s="1"/>
  <c r="F28" i="18" s="1"/>
  <c r="G28" i="18" s="1"/>
  <c r="D76" i="22" s="1"/>
  <c r="E76" i="22" s="1"/>
  <c r="H30" i="17"/>
  <c r="B29" i="18" s="1"/>
  <c r="F29" i="18" s="1"/>
  <c r="G29" i="18" s="1"/>
  <c r="D77" i="22" s="1"/>
  <c r="E77" i="22" s="1"/>
  <c r="H31" i="17"/>
  <c r="B30" i="18" s="1"/>
  <c r="F30" i="18" s="1"/>
  <c r="G30" i="18" s="1"/>
  <c r="D78" i="22" s="1"/>
  <c r="E78" i="22" s="1"/>
  <c r="H32" i="17"/>
  <c r="B31" i="18" s="1"/>
  <c r="F31" i="18" s="1"/>
  <c r="G31" i="18" s="1"/>
  <c r="D79" i="22" s="1"/>
  <c r="E79" i="22" s="1"/>
  <c r="C14" i="2"/>
  <c r="C15" i="2"/>
  <c r="C16" i="2"/>
  <c r="C17" i="2"/>
  <c r="C18" i="2"/>
  <c r="C19" i="2"/>
  <c r="C20" i="2"/>
  <c r="C21" i="2"/>
  <c r="E21" i="2" s="1"/>
  <c r="D15" i="22" s="1"/>
  <c r="C22" i="2"/>
  <c r="E22" i="2" s="1"/>
  <c r="D16" i="22" s="1"/>
  <c r="C23" i="2"/>
  <c r="E23" i="2" s="1"/>
  <c r="D17" i="22" s="1"/>
  <c r="E17" i="22" s="1"/>
  <c r="C24" i="2"/>
  <c r="E24" i="2" s="1"/>
  <c r="D18" i="22" s="1"/>
  <c r="E18" i="22" s="1"/>
  <c r="C25" i="2"/>
  <c r="E25" i="2" s="1"/>
  <c r="D19" i="22" s="1"/>
  <c r="E19" i="22" s="1"/>
  <c r="C26" i="2"/>
  <c r="E26" i="2" s="1"/>
  <c r="D20" i="22" s="1"/>
  <c r="E20" i="22" s="1"/>
  <c r="C27" i="2"/>
  <c r="E27" i="2" s="1"/>
  <c r="D21" i="22" s="1"/>
  <c r="E21" i="22" s="1"/>
  <c r="C28" i="2"/>
  <c r="E28" i="2" s="1"/>
  <c r="D22" i="22" s="1"/>
  <c r="E22" i="22" s="1"/>
  <c r="C29" i="2"/>
  <c r="E29" i="2" s="1"/>
  <c r="D23" i="22" s="1"/>
  <c r="E23" i="22" s="1"/>
  <c r="C30" i="2"/>
  <c r="E30" i="2" s="1"/>
  <c r="D24" i="22" s="1"/>
  <c r="E24" i="22" s="1"/>
  <c r="C31" i="2"/>
  <c r="C32" i="2"/>
  <c r="B31" i="2"/>
  <c r="B3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E14" i="1"/>
  <c r="E15" i="1"/>
  <c r="E16" i="1"/>
  <c r="E17" i="1"/>
  <c r="E18" i="1"/>
  <c r="E19" i="1"/>
  <c r="E20" i="1"/>
  <c r="E21" i="1"/>
  <c r="E22" i="1"/>
  <c r="G22" i="1" s="1"/>
  <c r="B16" i="22" s="1"/>
  <c r="E23" i="1"/>
  <c r="G23" i="1" s="1"/>
  <c r="B17" i="22" s="1"/>
  <c r="C17" i="22" s="1"/>
  <c r="E24" i="1"/>
  <c r="G24" i="1" s="1"/>
  <c r="B18" i="22" s="1"/>
  <c r="C18" i="22" s="1"/>
  <c r="E25" i="1"/>
  <c r="G25" i="1" s="1"/>
  <c r="B19" i="22" s="1"/>
  <c r="C19" i="22" s="1"/>
  <c r="E26" i="1"/>
  <c r="G26" i="1" s="1"/>
  <c r="B20" i="22" s="1"/>
  <c r="C20" i="22" s="1"/>
  <c r="E27" i="1"/>
  <c r="G27" i="1" s="1"/>
  <c r="B21" i="22" s="1"/>
  <c r="C21" i="22" s="1"/>
  <c r="E28" i="1"/>
  <c r="G28" i="1" s="1"/>
  <c r="B22" i="22" s="1"/>
  <c r="C22" i="22" s="1"/>
  <c r="E29" i="1"/>
  <c r="G29" i="1" s="1"/>
  <c r="B23" i="22" s="1"/>
  <c r="C23" i="22" s="1"/>
  <c r="E30" i="1"/>
  <c r="G30" i="1" s="1"/>
  <c r="B24" i="22" s="1"/>
  <c r="C24" i="22" s="1"/>
  <c r="E31" i="1"/>
  <c r="G31" i="1" s="1"/>
  <c r="B25" i="22" s="1"/>
  <c r="C25" i="22" s="1"/>
  <c r="E32" i="1"/>
  <c r="E23" i="11"/>
  <c r="M23" i="13" s="1"/>
  <c r="E24" i="11"/>
  <c r="M24" i="13" s="1"/>
  <c r="E25" i="11"/>
  <c r="M25" i="13" s="1"/>
  <c r="E26" i="11"/>
  <c r="M26" i="13" s="1"/>
  <c r="E27" i="11"/>
  <c r="M27" i="13" s="1"/>
  <c r="E28" i="11"/>
  <c r="M28" i="13" s="1"/>
  <c r="E29" i="11"/>
  <c r="M29" i="13" s="1"/>
  <c r="E30" i="11"/>
  <c r="M30" i="13" s="1"/>
  <c r="E31" i="11"/>
  <c r="M31" i="13" s="1"/>
  <c r="E32" i="11"/>
  <c r="M32" i="13" s="1"/>
  <c r="C23" i="11"/>
  <c r="C24" i="11"/>
  <c r="C25" i="11"/>
  <c r="C26" i="11"/>
  <c r="C27" i="11"/>
  <c r="C28" i="11"/>
  <c r="C29" i="11"/>
  <c r="C30" i="11"/>
  <c r="C31" i="11"/>
  <c r="C32" i="11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20" i="8"/>
  <c r="C22" i="8"/>
  <c r="C23" i="8"/>
  <c r="C24" i="8"/>
  <c r="C25" i="8"/>
  <c r="C26" i="8"/>
  <c r="C27" i="8"/>
  <c r="C28" i="8"/>
  <c r="C29" i="8"/>
  <c r="C30" i="8"/>
  <c r="C31" i="8"/>
  <c r="G22" i="4"/>
  <c r="L23" i="5" s="1"/>
  <c r="G23" i="4"/>
  <c r="B22" i="8" s="1"/>
  <c r="D22" i="8" s="1"/>
  <c r="B43" i="22" s="1"/>
  <c r="C43" i="22" s="1"/>
  <c r="G24" i="4"/>
  <c r="B23" i="8" s="1"/>
  <c r="D23" i="8" s="1"/>
  <c r="B44" i="22" s="1"/>
  <c r="C44" i="22" s="1"/>
  <c r="G25" i="4"/>
  <c r="B24" i="8" s="1"/>
  <c r="D24" i="8" s="1"/>
  <c r="B45" i="22" s="1"/>
  <c r="C45" i="22" s="1"/>
  <c r="G26" i="4"/>
  <c r="L27" i="5" s="1"/>
  <c r="G27" i="4"/>
  <c r="B27" i="10" s="1"/>
  <c r="D27" i="10" s="1"/>
  <c r="D47" i="22" s="1"/>
  <c r="E47" i="22" s="1"/>
  <c r="G28" i="4"/>
  <c r="B27" i="8" s="1"/>
  <c r="D27" i="8" s="1"/>
  <c r="B48" i="22" s="1"/>
  <c r="C48" i="22" s="1"/>
  <c r="G29" i="4"/>
  <c r="L30" i="5" s="1"/>
  <c r="G30" i="4"/>
  <c r="B30" i="10" s="1"/>
  <c r="D30" i="10" s="1"/>
  <c r="D50" i="22" s="1"/>
  <c r="E50" i="22" s="1"/>
  <c r="G31" i="4"/>
  <c r="B30" i="8" s="1"/>
  <c r="D30" i="8" s="1"/>
  <c r="B51" i="22" s="1"/>
  <c r="C51" i="22" s="1"/>
  <c r="F22" i="22" l="1"/>
  <c r="F21" i="22"/>
  <c r="L26" i="5"/>
  <c r="C410" i="5" s="1"/>
  <c r="I410" i="5" s="1"/>
  <c r="F387" i="13"/>
  <c r="I387" i="13" s="1"/>
  <c r="J387" i="13" s="1"/>
  <c r="F395" i="13"/>
  <c r="I395" i="13" s="1"/>
  <c r="J395" i="13" s="1"/>
  <c r="F389" i="13"/>
  <c r="I389" i="13" s="1"/>
  <c r="J389" i="13" s="1"/>
  <c r="F385" i="13"/>
  <c r="I385" i="13" s="1"/>
  <c r="J385" i="13" s="1"/>
  <c r="F393" i="13"/>
  <c r="I393" i="13" s="1"/>
  <c r="J393" i="13" s="1"/>
  <c r="F386" i="13"/>
  <c r="I386" i="13" s="1"/>
  <c r="J386" i="13" s="1"/>
  <c r="F394" i="13"/>
  <c r="I394" i="13" s="1"/>
  <c r="J394" i="13" s="1"/>
  <c r="F391" i="13"/>
  <c r="I391" i="13" s="1"/>
  <c r="J391" i="13" s="1"/>
  <c r="F392" i="13"/>
  <c r="I392" i="13" s="1"/>
  <c r="J392" i="13" s="1"/>
  <c r="F381" i="13"/>
  <c r="I381" i="13" s="1"/>
  <c r="F382" i="13"/>
  <c r="I382" i="13" s="1"/>
  <c r="J382" i="13" s="1"/>
  <c r="F383" i="13"/>
  <c r="I383" i="13" s="1"/>
  <c r="J383" i="13" s="1"/>
  <c r="F388" i="13"/>
  <c r="I388" i="13" s="1"/>
  <c r="J388" i="13" s="1"/>
  <c r="F390" i="13"/>
  <c r="I390" i="13" s="1"/>
  <c r="J390" i="13" s="1"/>
  <c r="F384" i="13"/>
  <c r="I384" i="13" s="1"/>
  <c r="J384" i="13" s="1"/>
  <c r="F442" i="13"/>
  <c r="I442" i="13" s="1"/>
  <c r="J442" i="13" s="1"/>
  <c r="F450" i="13"/>
  <c r="I450" i="13" s="1"/>
  <c r="J450" i="13" s="1"/>
  <c r="F443" i="13"/>
  <c r="I443" i="13" s="1"/>
  <c r="J443" i="13" s="1"/>
  <c r="F451" i="13"/>
  <c r="I451" i="13" s="1"/>
  <c r="J451" i="13" s="1"/>
  <c r="F444" i="13"/>
  <c r="I444" i="13" s="1"/>
  <c r="J444" i="13" s="1"/>
  <c r="F437" i="13"/>
  <c r="I437" i="13" s="1"/>
  <c r="F445" i="13"/>
  <c r="I445" i="13" s="1"/>
  <c r="J445" i="13" s="1"/>
  <c r="F440" i="13"/>
  <c r="I440" i="13" s="1"/>
  <c r="J440" i="13" s="1"/>
  <c r="F448" i="13"/>
  <c r="I448" i="13" s="1"/>
  <c r="J448" i="13" s="1"/>
  <c r="F441" i="13"/>
  <c r="I441" i="13" s="1"/>
  <c r="J441" i="13" s="1"/>
  <c r="F449" i="13"/>
  <c r="I449" i="13" s="1"/>
  <c r="J449" i="13" s="1"/>
  <c r="F438" i="13"/>
  <c r="I438" i="13" s="1"/>
  <c r="J438" i="13" s="1"/>
  <c r="F439" i="13"/>
  <c r="I439" i="13" s="1"/>
  <c r="J439" i="13" s="1"/>
  <c r="F446" i="13"/>
  <c r="I446" i="13" s="1"/>
  <c r="J446" i="13" s="1"/>
  <c r="F447" i="13"/>
  <c r="I447" i="13" s="1"/>
  <c r="J447" i="13" s="1"/>
  <c r="C536" i="5"/>
  <c r="I536" i="5" s="1"/>
  <c r="C534" i="5"/>
  <c r="I534" i="5" s="1"/>
  <c r="C530" i="5"/>
  <c r="I530" i="5" s="1"/>
  <c r="C537" i="5"/>
  <c r="I537" i="5" s="1"/>
  <c r="C532" i="5"/>
  <c r="I532" i="5" s="1"/>
  <c r="C531" i="5"/>
  <c r="I531" i="5" s="1"/>
  <c r="C535" i="5"/>
  <c r="I535" i="5" s="1"/>
  <c r="C533" i="5"/>
  <c r="I533" i="5" s="1"/>
  <c r="C529" i="5"/>
  <c r="I529" i="5" s="1"/>
  <c r="C411" i="5"/>
  <c r="I411" i="5" s="1"/>
  <c r="F498" i="13"/>
  <c r="I498" i="13" s="1"/>
  <c r="J498" i="13" s="1"/>
  <c r="F506" i="13"/>
  <c r="I506" i="13" s="1"/>
  <c r="J506" i="13" s="1"/>
  <c r="F499" i="13"/>
  <c r="I499" i="13" s="1"/>
  <c r="J499" i="13" s="1"/>
  <c r="F507" i="13"/>
  <c r="I507" i="13" s="1"/>
  <c r="J507" i="13" s="1"/>
  <c r="F500" i="13"/>
  <c r="I500" i="13" s="1"/>
  <c r="J500" i="13" s="1"/>
  <c r="F493" i="13"/>
  <c r="I493" i="13" s="1"/>
  <c r="F501" i="13"/>
  <c r="I501" i="13" s="1"/>
  <c r="J501" i="13" s="1"/>
  <c r="F496" i="13"/>
  <c r="I496" i="13" s="1"/>
  <c r="J496" i="13" s="1"/>
  <c r="F504" i="13"/>
  <c r="I504" i="13" s="1"/>
  <c r="J504" i="13" s="1"/>
  <c r="F497" i="13"/>
  <c r="I497" i="13" s="1"/>
  <c r="J497" i="13" s="1"/>
  <c r="F505" i="13"/>
  <c r="I505" i="13" s="1"/>
  <c r="J505" i="13" s="1"/>
  <c r="F494" i="13"/>
  <c r="I494" i="13" s="1"/>
  <c r="J494" i="13" s="1"/>
  <c r="F495" i="13"/>
  <c r="I495" i="13" s="1"/>
  <c r="J495" i="13" s="1"/>
  <c r="F502" i="13"/>
  <c r="I502" i="13" s="1"/>
  <c r="J502" i="13" s="1"/>
  <c r="F503" i="13"/>
  <c r="I503" i="13" s="1"/>
  <c r="J503" i="13" s="1"/>
  <c r="F24" i="22"/>
  <c r="F469" i="13"/>
  <c r="I469" i="13" s="1"/>
  <c r="J469" i="13" s="1"/>
  <c r="F477" i="13"/>
  <c r="I477" i="13" s="1"/>
  <c r="J477" i="13" s="1"/>
  <c r="F470" i="13"/>
  <c r="I470" i="13" s="1"/>
  <c r="J470" i="13" s="1"/>
  <c r="F478" i="13"/>
  <c r="I478" i="13" s="1"/>
  <c r="J478" i="13" s="1"/>
  <c r="F471" i="13"/>
  <c r="I471" i="13" s="1"/>
  <c r="J471" i="13" s="1"/>
  <c r="F479" i="13"/>
  <c r="I479" i="13" s="1"/>
  <c r="J479" i="13" s="1"/>
  <c r="F472" i="13"/>
  <c r="I472" i="13" s="1"/>
  <c r="J472" i="13" s="1"/>
  <c r="F465" i="13"/>
  <c r="I465" i="13" s="1"/>
  <c r="F467" i="13"/>
  <c r="I467" i="13" s="1"/>
  <c r="J467" i="13" s="1"/>
  <c r="F475" i="13"/>
  <c r="I475" i="13" s="1"/>
  <c r="J475" i="13" s="1"/>
  <c r="F468" i="13"/>
  <c r="I468" i="13" s="1"/>
  <c r="J468" i="13" s="1"/>
  <c r="F476" i="13"/>
  <c r="I476" i="13" s="1"/>
  <c r="J476" i="13" s="1"/>
  <c r="F466" i="13"/>
  <c r="I466" i="13" s="1"/>
  <c r="J466" i="13" s="1"/>
  <c r="F473" i="13"/>
  <c r="I473" i="13" s="1"/>
  <c r="J473" i="13" s="1"/>
  <c r="F474" i="13"/>
  <c r="I474" i="13" s="1"/>
  <c r="J474" i="13" s="1"/>
  <c r="F23" i="22"/>
  <c r="C446" i="5"/>
  <c r="I446" i="5" s="1"/>
  <c r="C444" i="5"/>
  <c r="I444" i="5" s="1"/>
  <c r="C440" i="5"/>
  <c r="I440" i="5" s="1"/>
  <c r="C447" i="5"/>
  <c r="I447" i="5" s="1"/>
  <c r="C445" i="5"/>
  <c r="I445" i="5" s="1"/>
  <c r="C443" i="5"/>
  <c r="I443" i="5" s="1"/>
  <c r="C442" i="5"/>
  <c r="I442" i="5" s="1"/>
  <c r="C441" i="5"/>
  <c r="I441" i="5" s="1"/>
  <c r="C439" i="5"/>
  <c r="I439" i="5" s="1"/>
  <c r="F414" i="13"/>
  <c r="I414" i="13" s="1"/>
  <c r="J414" i="13" s="1"/>
  <c r="F422" i="13"/>
  <c r="I422" i="13" s="1"/>
  <c r="J422" i="13" s="1"/>
  <c r="F415" i="13"/>
  <c r="I415" i="13" s="1"/>
  <c r="J415" i="13" s="1"/>
  <c r="F423" i="13"/>
  <c r="I423" i="13" s="1"/>
  <c r="J423" i="13" s="1"/>
  <c r="F416" i="13"/>
  <c r="I416" i="13" s="1"/>
  <c r="J416" i="13" s="1"/>
  <c r="F409" i="13"/>
  <c r="I409" i="13" s="1"/>
  <c r="F417" i="13"/>
  <c r="I417" i="13" s="1"/>
  <c r="J417" i="13" s="1"/>
  <c r="F412" i="13"/>
  <c r="I412" i="13" s="1"/>
  <c r="J412" i="13" s="1"/>
  <c r="F420" i="13"/>
  <c r="I420" i="13" s="1"/>
  <c r="J420" i="13" s="1"/>
  <c r="F413" i="13"/>
  <c r="I413" i="13" s="1"/>
  <c r="J413" i="13" s="1"/>
  <c r="F421" i="13"/>
  <c r="I421" i="13" s="1"/>
  <c r="J421" i="13" s="1"/>
  <c r="F410" i="13"/>
  <c r="I410" i="13" s="1"/>
  <c r="J410" i="13" s="1"/>
  <c r="F418" i="13"/>
  <c r="I418" i="13" s="1"/>
  <c r="J418" i="13" s="1"/>
  <c r="F419" i="13"/>
  <c r="I419" i="13" s="1"/>
  <c r="J419" i="13" s="1"/>
  <c r="F411" i="13"/>
  <c r="I411" i="13" s="1"/>
  <c r="J411" i="13" s="1"/>
  <c r="B31" i="10"/>
  <c r="D31" i="10" s="1"/>
  <c r="D51" i="22" s="1"/>
  <c r="E51" i="22" s="1"/>
  <c r="F20" i="22"/>
  <c r="B26" i="10"/>
  <c r="D26" i="10" s="1"/>
  <c r="D46" i="22" s="1"/>
  <c r="E46" i="22" s="1"/>
  <c r="F360" i="13"/>
  <c r="I360" i="13" s="1"/>
  <c r="J360" i="13" s="1"/>
  <c r="F353" i="13"/>
  <c r="I353" i="13" s="1"/>
  <c r="F354" i="13"/>
  <c r="I354" i="13" s="1"/>
  <c r="J354" i="13" s="1"/>
  <c r="F362" i="13"/>
  <c r="I362" i="13" s="1"/>
  <c r="J362" i="13" s="1"/>
  <c r="F358" i="13"/>
  <c r="I358" i="13" s="1"/>
  <c r="J358" i="13" s="1"/>
  <c r="F366" i="13"/>
  <c r="I366" i="13" s="1"/>
  <c r="J366" i="13" s="1"/>
  <c r="F365" i="13"/>
  <c r="I365" i="13" s="1"/>
  <c r="J365" i="13" s="1"/>
  <c r="F355" i="13"/>
  <c r="I355" i="13" s="1"/>
  <c r="J355" i="13" s="1"/>
  <c r="F367" i="13"/>
  <c r="I367" i="13" s="1"/>
  <c r="J367" i="13" s="1"/>
  <c r="F359" i="13"/>
  <c r="I359" i="13" s="1"/>
  <c r="J359" i="13" s="1"/>
  <c r="F356" i="13"/>
  <c r="I356" i="13" s="1"/>
  <c r="J356" i="13" s="1"/>
  <c r="F357" i="13"/>
  <c r="I357" i="13" s="1"/>
  <c r="J357" i="13" s="1"/>
  <c r="F363" i="13"/>
  <c r="I363" i="13" s="1"/>
  <c r="J363" i="13" s="1"/>
  <c r="F364" i="13"/>
  <c r="I364" i="13" s="1"/>
  <c r="J364" i="13" s="1"/>
  <c r="F361" i="13"/>
  <c r="I361" i="13" s="1"/>
  <c r="J361" i="13" s="1"/>
  <c r="F19" i="22"/>
  <c r="B23" i="10"/>
  <c r="D23" i="10" s="1"/>
  <c r="D43" i="22" s="1"/>
  <c r="E43" i="22" s="1"/>
  <c r="F552" i="13"/>
  <c r="I552" i="13" s="1"/>
  <c r="J552" i="13" s="1"/>
  <c r="F560" i="13"/>
  <c r="I560" i="13" s="1"/>
  <c r="J560" i="13" s="1"/>
  <c r="F553" i="13"/>
  <c r="I553" i="13" s="1"/>
  <c r="J553" i="13" s="1"/>
  <c r="F561" i="13"/>
  <c r="I561" i="13" s="1"/>
  <c r="J561" i="13" s="1"/>
  <c r="F554" i="13"/>
  <c r="I554" i="13" s="1"/>
  <c r="J554" i="13" s="1"/>
  <c r="F562" i="13"/>
  <c r="I562" i="13" s="1"/>
  <c r="J562" i="13" s="1"/>
  <c r="F555" i="13"/>
  <c r="I555" i="13" s="1"/>
  <c r="J555" i="13" s="1"/>
  <c r="F563" i="13"/>
  <c r="I563" i="13" s="1"/>
  <c r="J563" i="13" s="1"/>
  <c r="F550" i="13"/>
  <c r="I550" i="13" s="1"/>
  <c r="J550" i="13" s="1"/>
  <c r="F558" i="13"/>
  <c r="I558" i="13" s="1"/>
  <c r="J558" i="13" s="1"/>
  <c r="F551" i="13"/>
  <c r="I551" i="13" s="1"/>
  <c r="J551" i="13" s="1"/>
  <c r="F559" i="13"/>
  <c r="I559" i="13" s="1"/>
  <c r="J559" i="13" s="1"/>
  <c r="F556" i="13"/>
  <c r="I556" i="13" s="1"/>
  <c r="J556" i="13" s="1"/>
  <c r="F557" i="13"/>
  <c r="I557" i="13" s="1"/>
  <c r="J557" i="13" s="1"/>
  <c r="F549" i="13"/>
  <c r="I549" i="13" s="1"/>
  <c r="F332" i="13"/>
  <c r="I332" i="13" s="1"/>
  <c r="J332" i="13" s="1"/>
  <c r="F325" i="13"/>
  <c r="I325" i="13" s="1"/>
  <c r="F326" i="13"/>
  <c r="I326" i="13" s="1"/>
  <c r="J326" i="13" s="1"/>
  <c r="F334" i="13"/>
  <c r="I334" i="13" s="1"/>
  <c r="J334" i="13" s="1"/>
  <c r="F330" i="13"/>
  <c r="I330" i="13" s="1"/>
  <c r="J330" i="13" s="1"/>
  <c r="F338" i="13"/>
  <c r="I338" i="13" s="1"/>
  <c r="J338" i="13" s="1"/>
  <c r="F337" i="13"/>
  <c r="I337" i="13" s="1"/>
  <c r="J337" i="13" s="1"/>
  <c r="F327" i="13"/>
  <c r="I327" i="13" s="1"/>
  <c r="J327" i="13" s="1"/>
  <c r="F339" i="13"/>
  <c r="I339" i="13" s="1"/>
  <c r="J339" i="13" s="1"/>
  <c r="F331" i="13"/>
  <c r="I331" i="13" s="1"/>
  <c r="J331" i="13" s="1"/>
  <c r="F328" i="13"/>
  <c r="I328" i="13" s="1"/>
  <c r="J328" i="13" s="1"/>
  <c r="F329" i="13"/>
  <c r="I329" i="13" s="1"/>
  <c r="J329" i="13" s="1"/>
  <c r="F335" i="13"/>
  <c r="I335" i="13" s="1"/>
  <c r="J335" i="13" s="1"/>
  <c r="F336" i="13"/>
  <c r="I336" i="13" s="1"/>
  <c r="J336" i="13" s="1"/>
  <c r="F333" i="13"/>
  <c r="I333" i="13" s="1"/>
  <c r="J333" i="13" s="1"/>
  <c r="F18" i="22"/>
  <c r="F525" i="13"/>
  <c r="I525" i="13" s="1"/>
  <c r="J525" i="13" s="1"/>
  <c r="F533" i="13"/>
  <c r="I533" i="13" s="1"/>
  <c r="J533" i="13" s="1"/>
  <c r="F526" i="13"/>
  <c r="I526" i="13" s="1"/>
  <c r="J526" i="13" s="1"/>
  <c r="F534" i="13"/>
  <c r="I534" i="13" s="1"/>
  <c r="J534" i="13" s="1"/>
  <c r="F527" i="13"/>
  <c r="I527" i="13" s="1"/>
  <c r="J527" i="13" s="1"/>
  <c r="F535" i="13"/>
  <c r="I535" i="13" s="1"/>
  <c r="J535" i="13" s="1"/>
  <c r="F528" i="13"/>
  <c r="I528" i="13" s="1"/>
  <c r="J528" i="13" s="1"/>
  <c r="F521" i="13"/>
  <c r="I521" i="13" s="1"/>
  <c r="F523" i="13"/>
  <c r="I523" i="13" s="1"/>
  <c r="J523" i="13" s="1"/>
  <c r="F531" i="13"/>
  <c r="I531" i="13" s="1"/>
  <c r="J531" i="13" s="1"/>
  <c r="F524" i="13"/>
  <c r="I524" i="13" s="1"/>
  <c r="J524" i="13" s="1"/>
  <c r="F532" i="13"/>
  <c r="I532" i="13" s="1"/>
  <c r="J532" i="13" s="1"/>
  <c r="F530" i="13"/>
  <c r="I530" i="13" s="1"/>
  <c r="J530" i="13" s="1"/>
  <c r="F522" i="13"/>
  <c r="I522" i="13" s="1"/>
  <c r="J522" i="13" s="1"/>
  <c r="F529" i="13"/>
  <c r="I529" i="13" s="1"/>
  <c r="J529" i="13" s="1"/>
  <c r="F17" i="22"/>
  <c r="L25" i="5"/>
  <c r="L24" i="5"/>
  <c r="B25" i="10"/>
  <c r="D25" i="10" s="1"/>
  <c r="D45" i="22" s="1"/>
  <c r="E45" i="22" s="1"/>
  <c r="B28" i="10"/>
  <c r="D28" i="10" s="1"/>
  <c r="D48" i="22" s="1"/>
  <c r="E48" i="22" s="1"/>
  <c r="C324" i="5"/>
  <c r="I324" i="5" s="1"/>
  <c r="C322" i="5"/>
  <c r="I322" i="5" s="1"/>
  <c r="C327" i="5"/>
  <c r="I327" i="5" s="1"/>
  <c r="C319" i="5"/>
  <c r="I319" i="5" s="1"/>
  <c r="C326" i="5"/>
  <c r="I326" i="5" s="1"/>
  <c r="C325" i="5"/>
  <c r="I325" i="5" s="1"/>
  <c r="C321" i="5"/>
  <c r="I321" i="5" s="1"/>
  <c r="C320" i="5"/>
  <c r="I320" i="5" s="1"/>
  <c r="C323" i="5"/>
  <c r="I323" i="5" s="1"/>
  <c r="L32" i="5"/>
  <c r="B29" i="10"/>
  <c r="D29" i="10" s="1"/>
  <c r="D49" i="22" s="1"/>
  <c r="E49" i="22" s="1"/>
  <c r="A28" i="4"/>
  <c r="A28" i="10"/>
  <c r="A27" i="8"/>
  <c r="K29" i="5"/>
  <c r="A28" i="17"/>
  <c r="L28" i="13"/>
  <c r="A27" i="18"/>
  <c r="A28" i="11"/>
  <c r="A30" i="18"/>
  <c r="A31" i="11"/>
  <c r="A30" i="8"/>
  <c r="A31" i="17"/>
  <c r="A31" i="10"/>
  <c r="A31" i="4"/>
  <c r="L31" i="13"/>
  <c r="K32" i="5"/>
  <c r="A26" i="8"/>
  <c r="A27" i="11"/>
  <c r="L27" i="13"/>
  <c r="K28" i="5"/>
  <c r="A26" i="18"/>
  <c r="A27" i="4"/>
  <c r="A27" i="17"/>
  <c r="A27" i="10"/>
  <c r="L26" i="13"/>
  <c r="K27" i="5"/>
  <c r="A25" i="8"/>
  <c r="A25" i="18"/>
  <c r="A26" i="11"/>
  <c r="A26" i="17"/>
  <c r="A26" i="10"/>
  <c r="A26" i="4"/>
  <c r="L25" i="13"/>
  <c r="K26" i="5"/>
  <c r="A24" i="8"/>
  <c r="A24" i="18"/>
  <c r="A25" i="11"/>
  <c r="A25" i="17"/>
  <c r="A25" i="10"/>
  <c r="A25" i="4"/>
  <c r="A22" i="18"/>
  <c r="A23" i="11"/>
  <c r="A22" i="8"/>
  <c r="K24" i="5"/>
  <c r="A23" i="17"/>
  <c r="A23" i="10"/>
  <c r="A23" i="4"/>
  <c r="L23" i="13"/>
  <c r="A29" i="18"/>
  <c r="A30" i="17"/>
  <c r="A30" i="10"/>
  <c r="A30" i="11"/>
  <c r="A30" i="4"/>
  <c r="A29" i="8"/>
  <c r="K31" i="5"/>
  <c r="L30" i="13"/>
  <c r="K25" i="5"/>
  <c r="A23" i="18"/>
  <c r="A24" i="11"/>
  <c r="A24" i="4"/>
  <c r="A24" i="17"/>
  <c r="A24" i="10"/>
  <c r="L24" i="13"/>
  <c r="A23" i="8"/>
  <c r="A29" i="17"/>
  <c r="A29" i="10"/>
  <c r="L29" i="13"/>
  <c r="A29" i="4"/>
  <c r="A28" i="8"/>
  <c r="K30" i="5"/>
  <c r="A28" i="18"/>
  <c r="A29" i="11"/>
  <c r="K33" i="5"/>
  <c r="A31" i="18"/>
  <c r="A32" i="11"/>
  <c r="A32" i="17"/>
  <c r="A32" i="10"/>
  <c r="A32" i="4"/>
  <c r="A31" i="8"/>
  <c r="L32" i="13"/>
  <c r="K23" i="5"/>
  <c r="A22" i="17"/>
  <c r="A22" i="10"/>
  <c r="A21" i="8"/>
  <c r="A16" i="22"/>
  <c r="A42" i="22" s="1"/>
  <c r="A69" i="22" s="1"/>
  <c r="A22" i="4"/>
  <c r="L22" i="13"/>
  <c r="A21" i="18"/>
  <c r="A22" i="11"/>
  <c r="A20" i="4"/>
  <c r="L20" i="13"/>
  <c r="A19" i="8"/>
  <c r="A14" i="22"/>
  <c r="A40" i="22" s="1"/>
  <c r="A67" i="22" s="1"/>
  <c r="A19" i="18"/>
  <c r="A20" i="11"/>
  <c r="K21" i="5"/>
  <c r="A20" i="17"/>
  <c r="A20" i="10"/>
  <c r="A18" i="8"/>
  <c r="A19" i="4"/>
  <c r="L19" i="13"/>
  <c r="A13" i="22"/>
  <c r="A39" i="22" s="1"/>
  <c r="A66" i="22" s="1"/>
  <c r="A18" i="18"/>
  <c r="A19" i="11"/>
  <c r="K20" i="5"/>
  <c r="A19" i="17"/>
  <c r="A19" i="10"/>
  <c r="A18" i="4"/>
  <c r="A17" i="8"/>
  <c r="L18" i="13"/>
  <c r="A12" i="22"/>
  <c r="A38" i="22" s="1"/>
  <c r="A65" i="22" s="1"/>
  <c r="A17" i="18"/>
  <c r="A18" i="11"/>
  <c r="K19" i="5"/>
  <c r="A18" i="17"/>
  <c r="A18" i="10"/>
  <c r="A21" i="17"/>
  <c r="A21" i="10"/>
  <c r="A20" i="8"/>
  <c r="A21" i="4"/>
  <c r="L21" i="13"/>
  <c r="A15" i="22"/>
  <c r="A41" i="22" s="1"/>
  <c r="A68" i="22" s="1"/>
  <c r="A20" i="18"/>
  <c r="A21" i="11"/>
  <c r="K22" i="5"/>
  <c r="L17" i="13"/>
  <c r="A16" i="18"/>
  <c r="A17" i="11"/>
  <c r="K18" i="5"/>
  <c r="A17" i="4"/>
  <c r="A11" i="22"/>
  <c r="A37" i="22" s="1"/>
  <c r="A64" i="22" s="1"/>
  <c r="A17" i="17"/>
  <c r="A17" i="10"/>
  <c r="A16" i="8"/>
  <c r="A16" i="10"/>
  <c r="A10" i="22"/>
  <c r="A36" i="22" s="1"/>
  <c r="A63" i="22" s="1"/>
  <c r="A15" i="18"/>
  <c r="A16" i="11"/>
  <c r="K17" i="5"/>
  <c r="A16" i="17"/>
  <c r="A15" i="8"/>
  <c r="A16" i="4"/>
  <c r="L16" i="13"/>
  <c r="A9" i="22"/>
  <c r="A35" i="22" s="1"/>
  <c r="A62" i="22" s="1"/>
  <c r="A14" i="18"/>
  <c r="A15" i="11"/>
  <c r="A15" i="10"/>
  <c r="K16" i="5"/>
  <c r="A15" i="17"/>
  <c r="A14" i="8"/>
  <c r="A15" i="4"/>
  <c r="L15" i="13"/>
  <c r="A14" i="17"/>
  <c r="A14" i="4"/>
  <c r="A14" i="10"/>
  <c r="L14" i="13"/>
  <c r="A13" i="8"/>
  <c r="A14" i="11"/>
  <c r="A8" i="22"/>
  <c r="A34" i="22" s="1"/>
  <c r="A61" i="22" s="1"/>
  <c r="K15" i="5"/>
  <c r="A13" i="18"/>
  <c r="B28" i="8"/>
  <c r="D28" i="8" s="1"/>
  <c r="B49" i="22" s="1"/>
  <c r="C49" i="22" s="1"/>
  <c r="L31" i="5"/>
  <c r="B26" i="8"/>
  <c r="D26" i="8" s="1"/>
  <c r="B47" i="22" s="1"/>
  <c r="C47" i="22" s="1"/>
  <c r="B25" i="8"/>
  <c r="D25" i="8" s="1"/>
  <c r="B46" i="22" s="1"/>
  <c r="C46" i="22" s="1"/>
  <c r="L29" i="5"/>
  <c r="B24" i="10"/>
  <c r="D24" i="10" s="1"/>
  <c r="D44" i="22" s="1"/>
  <c r="E44" i="22" s="1"/>
  <c r="B29" i="8"/>
  <c r="D29" i="8" s="1"/>
  <c r="B50" i="22" s="1"/>
  <c r="C50" i="22" s="1"/>
  <c r="L28" i="5"/>
  <c r="B21" i="8"/>
  <c r="B22" i="10"/>
  <c r="D22" i="10" s="1"/>
  <c r="F79" i="22"/>
  <c r="E32" i="2"/>
  <c r="E16" i="22" s="1"/>
  <c r="E31" i="2"/>
  <c r="E20" i="2"/>
  <c r="D14" i="22" s="1"/>
  <c r="E14" i="22" s="1"/>
  <c r="E18" i="2"/>
  <c r="D12" i="22" s="1"/>
  <c r="E12" i="22" s="1"/>
  <c r="E17" i="2"/>
  <c r="D11" i="22" s="1"/>
  <c r="E11" i="22" s="1"/>
  <c r="E16" i="2"/>
  <c r="D10" i="22" s="1"/>
  <c r="E10" i="22" s="1"/>
  <c r="E14" i="2"/>
  <c r="D8" i="22" s="1"/>
  <c r="E8" i="22" s="1"/>
  <c r="C13" i="2"/>
  <c r="E13" i="2" s="1"/>
  <c r="D7" i="22" s="1"/>
  <c r="E7" i="22" s="1"/>
  <c r="C12" i="2"/>
  <c r="E12" i="2" s="1"/>
  <c r="D6" i="22" s="1"/>
  <c r="E6" i="22" s="1"/>
  <c r="G12" i="4"/>
  <c r="B11" i="8" s="1"/>
  <c r="D12" i="18"/>
  <c r="D13" i="18"/>
  <c r="D14" i="18"/>
  <c r="D15" i="18"/>
  <c r="D16" i="18"/>
  <c r="D17" i="18"/>
  <c r="D18" i="18"/>
  <c r="D19" i="18"/>
  <c r="D20" i="18"/>
  <c r="D21" i="18"/>
  <c r="H13" i="17"/>
  <c r="B12" i="18" s="1"/>
  <c r="F12" i="18" s="1"/>
  <c r="G12" i="18" s="1"/>
  <c r="D60" i="22" s="1"/>
  <c r="E60" i="22" s="1"/>
  <c r="C13" i="11"/>
  <c r="H14" i="17"/>
  <c r="B13" i="18" s="1"/>
  <c r="F13" i="18" s="1"/>
  <c r="G13" i="18" s="1"/>
  <c r="D61" i="22" s="1"/>
  <c r="E61" i="22" s="1"/>
  <c r="C14" i="11"/>
  <c r="H15" i="17"/>
  <c r="B14" i="18" s="1"/>
  <c r="F14" i="18" s="1"/>
  <c r="G14" i="18" s="1"/>
  <c r="D62" i="22" s="1"/>
  <c r="E62" i="22" s="1"/>
  <c r="C15" i="11"/>
  <c r="H16" i="17"/>
  <c r="B15" i="18" s="1"/>
  <c r="F15" i="18" s="1"/>
  <c r="G15" i="18" s="1"/>
  <c r="D63" i="22" s="1"/>
  <c r="E63" i="22" s="1"/>
  <c r="C16" i="11"/>
  <c r="E17" i="11"/>
  <c r="M17" i="13" s="1"/>
  <c r="C17" i="11"/>
  <c r="C18" i="11"/>
  <c r="H19" i="17"/>
  <c r="B18" i="18" s="1"/>
  <c r="F18" i="18" s="1"/>
  <c r="G18" i="18" s="1"/>
  <c r="D66" i="22" s="1"/>
  <c r="E66" i="22" s="1"/>
  <c r="C19" i="11"/>
  <c r="H20" i="17"/>
  <c r="B19" i="18" s="1"/>
  <c r="F19" i="18" s="1"/>
  <c r="G19" i="18" s="1"/>
  <c r="D67" i="22" s="1"/>
  <c r="E67" i="22" s="1"/>
  <c r="C20" i="11"/>
  <c r="H21" i="17"/>
  <c r="B20" i="18" s="1"/>
  <c r="F20" i="18" s="1"/>
  <c r="G20" i="18" s="1"/>
  <c r="D68" i="22" s="1"/>
  <c r="E68" i="22" s="1"/>
  <c r="C21" i="11"/>
  <c r="H22" i="17"/>
  <c r="B21" i="18" s="1"/>
  <c r="F21" i="18" s="1"/>
  <c r="G21" i="18" s="1"/>
  <c r="D69" i="22" s="1"/>
  <c r="E69" i="22" s="1"/>
  <c r="C22" i="11"/>
  <c r="C12" i="11"/>
  <c r="C13" i="10"/>
  <c r="C12" i="10"/>
  <c r="C12" i="8"/>
  <c r="C13" i="8"/>
  <c r="C14" i="8"/>
  <c r="C15" i="8"/>
  <c r="C16" i="8"/>
  <c r="C17" i="8"/>
  <c r="C18" i="8"/>
  <c r="C19" i="8"/>
  <c r="C21" i="8"/>
  <c r="G13" i="4"/>
  <c r="B12" i="8" s="1"/>
  <c r="G14" i="4"/>
  <c r="G15" i="4"/>
  <c r="G16" i="4"/>
  <c r="G17" i="4"/>
  <c r="G18" i="4"/>
  <c r="G19" i="4"/>
  <c r="G20" i="4"/>
  <c r="G21" i="4"/>
  <c r="G32" i="4"/>
  <c r="H12" i="17"/>
  <c r="B11" i="18" s="1"/>
  <c r="F11" i="18" s="1"/>
  <c r="G11" i="18" s="1"/>
  <c r="D59" i="22" s="1"/>
  <c r="E59" i="22" s="1"/>
  <c r="E15" i="2"/>
  <c r="D9" i="22" s="1"/>
  <c r="E9" i="22" s="1"/>
  <c r="E19" i="2"/>
  <c r="D13" i="22" s="1"/>
  <c r="E13" i="22" s="1"/>
  <c r="E13" i="1"/>
  <c r="G13" i="1" s="1"/>
  <c r="B7" i="22" s="1"/>
  <c r="C7" i="22" s="1"/>
  <c r="G14" i="1"/>
  <c r="B8" i="22" s="1"/>
  <c r="C8" i="22" s="1"/>
  <c r="G15" i="1"/>
  <c r="B9" i="22" s="1"/>
  <c r="C9" i="22" s="1"/>
  <c r="G18" i="1"/>
  <c r="B12" i="22" s="1"/>
  <c r="C12" i="22" s="1"/>
  <c r="G19" i="1"/>
  <c r="B13" i="22" s="1"/>
  <c r="C13" i="22" s="1"/>
  <c r="B13" i="2"/>
  <c r="B12" i="2"/>
  <c r="B47" i="21"/>
  <c r="D47" i="21"/>
  <c r="B46" i="21"/>
  <c r="D46" i="21" s="1"/>
  <c r="B45" i="21"/>
  <c r="D45" i="21"/>
  <c r="B44" i="21"/>
  <c r="B42" i="21"/>
  <c r="D42" i="21" s="1"/>
  <c r="B40" i="21"/>
  <c r="B39" i="21"/>
  <c r="B36" i="21"/>
  <c r="B35" i="21"/>
  <c r="D35" i="21"/>
  <c r="B34" i="21"/>
  <c r="B33" i="21"/>
  <c r="D33" i="21" s="1"/>
  <c r="B32" i="21"/>
  <c r="D32" i="21" s="1"/>
  <c r="B31" i="21"/>
  <c r="D31" i="21" s="1"/>
  <c r="B30" i="21"/>
  <c r="B29" i="21"/>
  <c r="D29" i="21" s="1"/>
  <c r="D37" i="21" s="1"/>
  <c r="B28" i="21"/>
  <c r="D40" i="21"/>
  <c r="D41" i="21"/>
  <c r="D43" i="21"/>
  <c r="D36" i="21"/>
  <c r="D34" i="21"/>
  <c r="D30" i="21"/>
  <c r="D28" i="21"/>
  <c r="B25" i="21"/>
  <c r="D25" i="21" s="1"/>
  <c r="D17" i="21"/>
  <c r="D24" i="21"/>
  <c r="D23" i="21"/>
  <c r="D22" i="21"/>
  <c r="D21" i="21"/>
  <c r="D20" i="21"/>
  <c r="D19" i="21"/>
  <c r="D18" i="21"/>
  <c r="D26" i="21" s="1"/>
  <c r="D11" i="18"/>
  <c r="D18" i="12"/>
  <c r="D19" i="12"/>
  <c r="D20" i="12"/>
  <c r="D21" i="12"/>
  <c r="D22" i="12"/>
  <c r="D23" i="12"/>
  <c r="D24" i="12"/>
  <c r="D25" i="12"/>
  <c r="D26" i="12"/>
  <c r="D17" i="12"/>
  <c r="D14" i="12"/>
  <c r="D15" i="12"/>
  <c r="D13" i="12"/>
  <c r="H21" i="5"/>
  <c r="H20" i="5"/>
  <c r="H19" i="5"/>
  <c r="H18" i="5"/>
  <c r="F18" i="5"/>
  <c r="H17" i="5"/>
  <c r="F17" i="5"/>
  <c r="H16" i="5"/>
  <c r="F16" i="5"/>
  <c r="H15" i="5"/>
  <c r="H14" i="5"/>
  <c r="F14" i="5"/>
  <c r="H13" i="5"/>
  <c r="E14" i="11"/>
  <c r="M14" i="13" s="1"/>
  <c r="G32" i="1"/>
  <c r="C16" i="22" s="1"/>
  <c r="G21" i="1"/>
  <c r="B15" i="22" s="1"/>
  <c r="C15" i="22" s="1"/>
  <c r="E12" i="1"/>
  <c r="G20" i="1"/>
  <c r="B14" i="22" s="1"/>
  <c r="C14" i="22" s="1"/>
  <c r="G17" i="1"/>
  <c r="B11" i="22" s="1"/>
  <c r="C11" i="22" s="1"/>
  <c r="G16" i="1"/>
  <c r="B10" i="22" s="1"/>
  <c r="C10" i="22" s="1"/>
  <c r="C414" i="5" l="1"/>
  <c r="I414" i="5" s="1"/>
  <c r="C415" i="5"/>
  <c r="I415" i="5" s="1"/>
  <c r="C413" i="5"/>
  <c r="I413" i="5" s="1"/>
  <c r="C412" i="5"/>
  <c r="I412" i="5" s="1"/>
  <c r="C417" i="5"/>
  <c r="I417" i="5" s="1"/>
  <c r="C409" i="5"/>
  <c r="I409" i="5" s="1"/>
  <c r="C416" i="5"/>
  <c r="I416" i="5" s="1"/>
  <c r="C472" i="5"/>
  <c r="I472" i="5" s="1"/>
  <c r="C470" i="5"/>
  <c r="I470" i="5" s="1"/>
  <c r="C474" i="5"/>
  <c r="I474" i="5" s="1"/>
  <c r="C477" i="5"/>
  <c r="I477" i="5" s="1"/>
  <c r="C476" i="5"/>
  <c r="I476" i="5" s="1"/>
  <c r="C475" i="5"/>
  <c r="I475" i="5" s="1"/>
  <c r="C473" i="5"/>
  <c r="I473" i="5" s="1"/>
  <c r="C471" i="5"/>
  <c r="I471" i="5" s="1"/>
  <c r="C469" i="5"/>
  <c r="I469" i="5" s="1"/>
  <c r="I329" i="5"/>
  <c r="M23" i="5" s="1"/>
  <c r="F42" i="22" s="1"/>
  <c r="I536" i="13"/>
  <c r="J521" i="13"/>
  <c r="J536" i="13" s="1"/>
  <c r="N30" i="13" s="1"/>
  <c r="B77" i="22" s="1"/>
  <c r="C77" i="22" s="1"/>
  <c r="F77" i="22" s="1"/>
  <c r="J549" i="13"/>
  <c r="J564" i="13" s="1"/>
  <c r="N31" i="13" s="1"/>
  <c r="B78" i="22" s="1"/>
  <c r="C78" i="22" s="1"/>
  <c r="F78" i="22" s="1"/>
  <c r="I564" i="13"/>
  <c r="J353" i="13"/>
  <c r="J368" i="13" s="1"/>
  <c r="N24" i="13" s="1"/>
  <c r="B71" i="22" s="1"/>
  <c r="C71" i="22" s="1"/>
  <c r="F71" i="22" s="1"/>
  <c r="I368" i="13"/>
  <c r="I424" i="13"/>
  <c r="J409" i="13"/>
  <c r="J424" i="13" s="1"/>
  <c r="N26" i="13" s="1"/>
  <c r="B73" i="22" s="1"/>
  <c r="C73" i="22" s="1"/>
  <c r="F73" i="22" s="1"/>
  <c r="I449" i="5"/>
  <c r="M27" i="5" s="1"/>
  <c r="F46" i="22" s="1"/>
  <c r="G46" i="22" s="1"/>
  <c r="I539" i="5"/>
  <c r="M30" i="5" s="1"/>
  <c r="F49" i="22" s="1"/>
  <c r="G49" i="22" s="1"/>
  <c r="E15" i="22"/>
  <c r="F15" i="22" s="1"/>
  <c r="D25" i="22"/>
  <c r="E25" i="22" s="1"/>
  <c r="F25" i="22" s="1"/>
  <c r="I508" i="13"/>
  <c r="J493" i="13"/>
  <c r="J508" i="13" s="1"/>
  <c r="N29" i="13" s="1"/>
  <c r="B76" i="22" s="1"/>
  <c r="C76" i="22" s="1"/>
  <c r="F76" i="22" s="1"/>
  <c r="C506" i="5"/>
  <c r="I506" i="5" s="1"/>
  <c r="C504" i="5"/>
  <c r="I504" i="5" s="1"/>
  <c r="C500" i="5"/>
  <c r="I500" i="5" s="1"/>
  <c r="C501" i="5"/>
  <c r="I501" i="5" s="1"/>
  <c r="C499" i="5"/>
  <c r="I499" i="5" s="1"/>
  <c r="C507" i="5"/>
  <c r="I507" i="5" s="1"/>
  <c r="C503" i="5"/>
  <c r="I503" i="5" s="1"/>
  <c r="C502" i="5"/>
  <c r="I502" i="5" s="1"/>
  <c r="C505" i="5"/>
  <c r="I505" i="5" s="1"/>
  <c r="J437" i="13"/>
  <c r="J452" i="13" s="1"/>
  <c r="N27" i="13" s="1"/>
  <c r="B74" i="22" s="1"/>
  <c r="C74" i="22" s="1"/>
  <c r="F74" i="22" s="1"/>
  <c r="I452" i="13"/>
  <c r="C592" i="5"/>
  <c r="I592" i="5" s="1"/>
  <c r="C590" i="5"/>
  <c r="I590" i="5" s="1"/>
  <c r="C594" i="5"/>
  <c r="I594" i="5" s="1"/>
  <c r="C596" i="5"/>
  <c r="I596" i="5" s="1"/>
  <c r="C595" i="5"/>
  <c r="I595" i="5" s="1"/>
  <c r="C593" i="5"/>
  <c r="I593" i="5" s="1"/>
  <c r="C591" i="5"/>
  <c r="I591" i="5" s="1"/>
  <c r="C597" i="5"/>
  <c r="I597" i="5" s="1"/>
  <c r="C589" i="5"/>
  <c r="I589" i="5" s="1"/>
  <c r="C565" i="5"/>
  <c r="I565" i="5" s="1"/>
  <c r="C563" i="5"/>
  <c r="I563" i="5" s="1"/>
  <c r="C567" i="5"/>
  <c r="I567" i="5" s="1"/>
  <c r="C559" i="5"/>
  <c r="I559" i="5" s="1"/>
  <c r="C562" i="5"/>
  <c r="I562" i="5" s="1"/>
  <c r="C561" i="5"/>
  <c r="I561" i="5" s="1"/>
  <c r="C560" i="5"/>
  <c r="I560" i="5" s="1"/>
  <c r="C566" i="5"/>
  <c r="I566" i="5" s="1"/>
  <c r="C564" i="5"/>
  <c r="I564" i="5" s="1"/>
  <c r="C351" i="5"/>
  <c r="I351" i="5" s="1"/>
  <c r="C357" i="5"/>
  <c r="I357" i="5" s="1"/>
  <c r="C349" i="5"/>
  <c r="I349" i="5" s="1"/>
  <c r="C353" i="5"/>
  <c r="I353" i="5" s="1"/>
  <c r="C354" i="5"/>
  <c r="I354" i="5" s="1"/>
  <c r="C352" i="5"/>
  <c r="I352" i="5" s="1"/>
  <c r="C350" i="5"/>
  <c r="I350" i="5" s="1"/>
  <c r="C356" i="5"/>
  <c r="I356" i="5" s="1"/>
  <c r="C355" i="5"/>
  <c r="I355" i="5" s="1"/>
  <c r="I340" i="13"/>
  <c r="J325" i="13"/>
  <c r="J340" i="13" s="1"/>
  <c r="N23" i="13" s="1"/>
  <c r="B70" i="22" s="1"/>
  <c r="C70" i="22" s="1"/>
  <c r="F70" i="22" s="1"/>
  <c r="J381" i="13"/>
  <c r="J396" i="13" s="1"/>
  <c r="N25" i="13" s="1"/>
  <c r="B72" i="22" s="1"/>
  <c r="C72" i="22" s="1"/>
  <c r="F72" i="22" s="1"/>
  <c r="I396" i="13"/>
  <c r="C380" i="5"/>
  <c r="I380" i="5" s="1"/>
  <c r="C386" i="5"/>
  <c r="I386" i="5" s="1"/>
  <c r="C382" i="5"/>
  <c r="I382" i="5" s="1"/>
  <c r="C387" i="5"/>
  <c r="I387" i="5" s="1"/>
  <c r="C383" i="5"/>
  <c r="I383" i="5" s="1"/>
  <c r="C385" i="5"/>
  <c r="I385" i="5" s="1"/>
  <c r="C384" i="5"/>
  <c r="I384" i="5" s="1"/>
  <c r="C379" i="5"/>
  <c r="I379" i="5" s="1"/>
  <c r="C381" i="5"/>
  <c r="I381" i="5" s="1"/>
  <c r="I480" i="13"/>
  <c r="J465" i="13"/>
  <c r="J480" i="13" s="1"/>
  <c r="N28" i="13" s="1"/>
  <c r="B75" i="22" s="1"/>
  <c r="C75" i="22" s="1"/>
  <c r="F75" i="22" s="1"/>
  <c r="F76" i="13"/>
  <c r="I76" i="13" s="1"/>
  <c r="J76" i="13" s="1"/>
  <c r="F84" i="13"/>
  <c r="I84" i="13" s="1"/>
  <c r="J84" i="13" s="1"/>
  <c r="F78" i="13"/>
  <c r="I78" i="13" s="1"/>
  <c r="J78" i="13" s="1"/>
  <c r="F86" i="13"/>
  <c r="I86" i="13" s="1"/>
  <c r="J86" i="13" s="1"/>
  <c r="F81" i="13"/>
  <c r="I81" i="13" s="1"/>
  <c r="J81" i="13" s="1"/>
  <c r="F74" i="13"/>
  <c r="I74" i="13" s="1"/>
  <c r="J74" i="13" s="1"/>
  <c r="F82" i="13"/>
  <c r="I82" i="13" s="1"/>
  <c r="J82" i="13" s="1"/>
  <c r="F85" i="13"/>
  <c r="I85" i="13" s="1"/>
  <c r="J85" i="13" s="1"/>
  <c r="F87" i="13"/>
  <c r="I87" i="13" s="1"/>
  <c r="J87" i="13" s="1"/>
  <c r="F75" i="13"/>
  <c r="I75" i="13" s="1"/>
  <c r="J75" i="13" s="1"/>
  <c r="F77" i="13"/>
  <c r="I77" i="13" s="1"/>
  <c r="J77" i="13" s="1"/>
  <c r="F73" i="13"/>
  <c r="I73" i="13" s="1"/>
  <c r="F79" i="13"/>
  <c r="I79" i="13" s="1"/>
  <c r="J79" i="13" s="1"/>
  <c r="F80" i="13"/>
  <c r="I80" i="13" s="1"/>
  <c r="J80" i="13" s="1"/>
  <c r="F83" i="13"/>
  <c r="I83" i="13" s="1"/>
  <c r="J83" i="13" s="1"/>
  <c r="F162" i="13"/>
  <c r="I162" i="13" s="1"/>
  <c r="J162" i="13" s="1"/>
  <c r="F170" i="13"/>
  <c r="I170" i="13" s="1"/>
  <c r="J170" i="13" s="1"/>
  <c r="F163" i="13"/>
  <c r="I163" i="13" s="1"/>
  <c r="J163" i="13" s="1"/>
  <c r="F171" i="13"/>
  <c r="I171" i="13" s="1"/>
  <c r="J171" i="13" s="1"/>
  <c r="F164" i="13"/>
  <c r="I164" i="13" s="1"/>
  <c r="J164" i="13" s="1"/>
  <c r="F157" i="13"/>
  <c r="I157" i="13" s="1"/>
  <c r="F165" i="13"/>
  <c r="I165" i="13" s="1"/>
  <c r="J165" i="13" s="1"/>
  <c r="F159" i="13"/>
  <c r="I159" i="13" s="1"/>
  <c r="J159" i="13" s="1"/>
  <c r="F167" i="13"/>
  <c r="I167" i="13" s="1"/>
  <c r="J167" i="13" s="1"/>
  <c r="F160" i="13"/>
  <c r="I160" i="13" s="1"/>
  <c r="J160" i="13" s="1"/>
  <c r="F168" i="13"/>
  <c r="I168" i="13" s="1"/>
  <c r="J168" i="13" s="1"/>
  <c r="F158" i="13"/>
  <c r="I158" i="13" s="1"/>
  <c r="J158" i="13" s="1"/>
  <c r="F161" i="13"/>
  <c r="I161" i="13" s="1"/>
  <c r="J161" i="13" s="1"/>
  <c r="F169" i="13"/>
  <c r="I169" i="13" s="1"/>
  <c r="J169" i="13" s="1"/>
  <c r="F166" i="13"/>
  <c r="I166" i="13" s="1"/>
  <c r="J166" i="13" s="1"/>
  <c r="B12" i="10"/>
  <c r="D12" i="10" s="1"/>
  <c r="D32" i="22" s="1"/>
  <c r="E32" i="22" s="1"/>
  <c r="L13" i="13"/>
  <c r="A13" i="10"/>
  <c r="A13" i="4"/>
  <c r="A13" i="11"/>
  <c r="A13" i="17"/>
  <c r="K14" i="5"/>
  <c r="A7" i="22"/>
  <c r="A33" i="22" s="1"/>
  <c r="A60" i="22" s="1"/>
  <c r="A12" i="8"/>
  <c r="A12" i="18"/>
  <c r="A6" i="22"/>
  <c r="A32" i="22" s="1"/>
  <c r="A59" i="22" s="1"/>
  <c r="A11" i="8"/>
  <c r="A12" i="11"/>
  <c r="L12" i="13"/>
  <c r="A12" i="17"/>
  <c r="K13" i="5"/>
  <c r="A12" i="10"/>
  <c r="A11" i="18"/>
  <c r="A12" i="4"/>
  <c r="G12" i="1"/>
  <c r="B6" i="22" s="1"/>
  <c r="C6" i="22" s="1"/>
  <c r="F6" i="22" s="1"/>
  <c r="B31" i="8"/>
  <c r="D31" i="8" s="1"/>
  <c r="L33" i="5"/>
  <c r="B32" i="10"/>
  <c r="D32" i="10" s="1"/>
  <c r="L18" i="5"/>
  <c r="B17" i="10"/>
  <c r="D17" i="10" s="1"/>
  <c r="D37" i="22" s="1"/>
  <c r="E37" i="22" s="1"/>
  <c r="B16" i="8"/>
  <c r="D16" i="8" s="1"/>
  <c r="B37" i="22" s="1"/>
  <c r="C37" i="22" s="1"/>
  <c r="B16" i="10"/>
  <c r="D16" i="10" s="1"/>
  <c r="D36" i="22" s="1"/>
  <c r="E36" i="22" s="1"/>
  <c r="B15" i="8"/>
  <c r="D15" i="8" s="1"/>
  <c r="B36" i="22" s="1"/>
  <c r="C36" i="22" s="1"/>
  <c r="L17" i="5"/>
  <c r="L21" i="5"/>
  <c r="B20" i="10"/>
  <c r="D20" i="10" s="1"/>
  <c r="D40" i="22" s="1"/>
  <c r="E40" i="22" s="1"/>
  <c r="B19" i="8"/>
  <c r="D19" i="8" s="1"/>
  <c r="B40" i="22" s="1"/>
  <c r="C40" i="22" s="1"/>
  <c r="L20" i="5"/>
  <c r="B19" i="10"/>
  <c r="D19" i="10" s="1"/>
  <c r="D39" i="22" s="1"/>
  <c r="E39" i="22" s="1"/>
  <c r="B18" i="8"/>
  <c r="D18" i="8" s="1"/>
  <c r="B39" i="22" s="1"/>
  <c r="C39" i="22" s="1"/>
  <c r="L13" i="5"/>
  <c r="C13" i="5" s="1"/>
  <c r="L15" i="5"/>
  <c r="C77" i="5" s="1"/>
  <c r="B14" i="10"/>
  <c r="D14" i="10" s="1"/>
  <c r="D34" i="22" s="1"/>
  <c r="E34" i="22" s="1"/>
  <c r="B13" i="8"/>
  <c r="D13" i="8" s="1"/>
  <c r="B34" i="22" s="1"/>
  <c r="C34" i="22" s="1"/>
  <c r="L19" i="5"/>
  <c r="B18" i="10"/>
  <c r="D18" i="10" s="1"/>
  <c r="D38" i="22" s="1"/>
  <c r="E38" i="22" s="1"/>
  <c r="B17" i="8"/>
  <c r="D17" i="8" s="1"/>
  <c r="B38" i="22" s="1"/>
  <c r="C38" i="22" s="1"/>
  <c r="L16" i="5"/>
  <c r="B15" i="10"/>
  <c r="D15" i="10" s="1"/>
  <c r="D35" i="22" s="1"/>
  <c r="E35" i="22" s="1"/>
  <c r="B14" i="8"/>
  <c r="D14" i="8" s="1"/>
  <c r="B35" i="22" s="1"/>
  <c r="C35" i="22" s="1"/>
  <c r="L22" i="5"/>
  <c r="B20" i="8"/>
  <c r="D20" i="8" s="1"/>
  <c r="B41" i="22" s="1"/>
  <c r="C41" i="22" s="1"/>
  <c r="B21" i="10"/>
  <c r="D21" i="10" s="1"/>
  <c r="D41" i="22" s="1"/>
  <c r="E41" i="22" s="1"/>
  <c r="F8" i="22"/>
  <c r="F14" i="22"/>
  <c r="F12" i="22"/>
  <c r="D11" i="8"/>
  <c r="B32" i="22" s="1"/>
  <c r="C32" i="22" s="1"/>
  <c r="D12" i="8"/>
  <c r="B33" i="22" s="1"/>
  <c r="C33" i="22" s="1"/>
  <c r="H17" i="17"/>
  <c r="B16" i="18" s="1"/>
  <c r="F16" i="18" s="1"/>
  <c r="G16" i="18" s="1"/>
  <c r="D64" i="22" s="1"/>
  <c r="E64" i="22" s="1"/>
  <c r="E15" i="11"/>
  <c r="M15" i="13" s="1"/>
  <c r="E16" i="11"/>
  <c r="M16" i="13" s="1"/>
  <c r="E21" i="11"/>
  <c r="M21" i="13" s="1"/>
  <c r="E20" i="11"/>
  <c r="M20" i="13" s="1"/>
  <c r="E12" i="11"/>
  <c r="M12" i="13" s="1"/>
  <c r="E13" i="11"/>
  <c r="M13" i="13" s="1"/>
  <c r="E19" i="11"/>
  <c r="M19" i="13" s="1"/>
  <c r="F9" i="22"/>
  <c r="F10" i="22"/>
  <c r="F11" i="22"/>
  <c r="F16" i="22"/>
  <c r="F7" i="22"/>
  <c r="D42" i="22"/>
  <c r="E42" i="22" s="1"/>
  <c r="D21" i="8"/>
  <c r="B42" i="22" s="1"/>
  <c r="C42" i="22" s="1"/>
  <c r="H18" i="17"/>
  <c r="B17" i="18" s="1"/>
  <c r="F17" i="18" s="1"/>
  <c r="G17" i="18" s="1"/>
  <c r="D65" i="22" s="1"/>
  <c r="E65" i="22" s="1"/>
  <c r="E18" i="11"/>
  <c r="M18" i="13" s="1"/>
  <c r="B13" i="10"/>
  <c r="D44" i="21"/>
  <c r="E22" i="11"/>
  <c r="M22" i="13" s="1"/>
  <c r="F13" i="22"/>
  <c r="D39" i="21"/>
  <c r="D48" i="21" s="1"/>
  <c r="L14" i="5"/>
  <c r="I419" i="5" l="1"/>
  <c r="M26" i="5" s="1"/>
  <c r="F45" i="22" s="1"/>
  <c r="G45" i="22" s="1"/>
  <c r="I479" i="5"/>
  <c r="M28" i="5" s="1"/>
  <c r="F47" i="22" s="1"/>
  <c r="G47" i="22" s="1"/>
  <c r="I359" i="5"/>
  <c r="M24" i="5" s="1"/>
  <c r="F43" i="22" s="1"/>
  <c r="G43" i="22" s="1"/>
  <c r="I389" i="5"/>
  <c r="M25" i="5" s="1"/>
  <c r="F44" i="22" s="1"/>
  <c r="G44" i="22" s="1"/>
  <c r="I599" i="5"/>
  <c r="M32" i="5" s="1"/>
  <c r="F51" i="22" s="1"/>
  <c r="G51" i="22" s="1"/>
  <c r="I509" i="5"/>
  <c r="M29" i="5" s="1"/>
  <c r="F48" i="22" s="1"/>
  <c r="G48" i="22" s="1"/>
  <c r="I569" i="5"/>
  <c r="M31" i="5" s="1"/>
  <c r="F50" i="22" s="1"/>
  <c r="G50" i="22" s="1"/>
  <c r="F191" i="13"/>
  <c r="I191" i="13" s="1"/>
  <c r="J191" i="13" s="1"/>
  <c r="F199" i="13"/>
  <c r="I199" i="13" s="1"/>
  <c r="J199" i="13" s="1"/>
  <c r="F192" i="13"/>
  <c r="I192" i="13" s="1"/>
  <c r="J192" i="13" s="1"/>
  <c r="F185" i="13"/>
  <c r="I185" i="13" s="1"/>
  <c r="F193" i="13"/>
  <c r="I193" i="13" s="1"/>
  <c r="J193" i="13" s="1"/>
  <c r="F186" i="13"/>
  <c r="I186" i="13" s="1"/>
  <c r="J186" i="13" s="1"/>
  <c r="F194" i="13"/>
  <c r="I194" i="13" s="1"/>
  <c r="J194" i="13" s="1"/>
  <c r="F188" i="13"/>
  <c r="I188" i="13" s="1"/>
  <c r="J188" i="13" s="1"/>
  <c r="F196" i="13"/>
  <c r="I196" i="13" s="1"/>
  <c r="J196" i="13" s="1"/>
  <c r="F189" i="13"/>
  <c r="I189" i="13" s="1"/>
  <c r="J189" i="13" s="1"/>
  <c r="F197" i="13"/>
  <c r="I197" i="13" s="1"/>
  <c r="J197" i="13" s="1"/>
  <c r="F190" i="13"/>
  <c r="I190" i="13" s="1"/>
  <c r="J190" i="13" s="1"/>
  <c r="F195" i="13"/>
  <c r="I195" i="13" s="1"/>
  <c r="J195" i="13" s="1"/>
  <c r="F198" i="13"/>
  <c r="I198" i="13" s="1"/>
  <c r="J198" i="13" s="1"/>
  <c r="F187" i="13"/>
  <c r="I187" i="13" s="1"/>
  <c r="J187" i="13" s="1"/>
  <c r="F214" i="13"/>
  <c r="I214" i="13" s="1"/>
  <c r="J214" i="13" s="1"/>
  <c r="F222" i="13"/>
  <c r="I222" i="13" s="1"/>
  <c r="J222" i="13" s="1"/>
  <c r="F215" i="13"/>
  <c r="I215" i="13" s="1"/>
  <c r="J215" i="13" s="1"/>
  <c r="F223" i="13"/>
  <c r="I223" i="13" s="1"/>
  <c r="J223" i="13" s="1"/>
  <c r="F216" i="13"/>
  <c r="I216" i="13" s="1"/>
  <c r="J216" i="13" s="1"/>
  <c r="F224" i="13"/>
  <c r="I224" i="13" s="1"/>
  <c r="J224" i="13" s="1"/>
  <c r="F217" i="13"/>
  <c r="I217" i="13" s="1"/>
  <c r="J217" i="13" s="1"/>
  <c r="F225" i="13"/>
  <c r="I225" i="13" s="1"/>
  <c r="J225" i="13" s="1"/>
  <c r="F219" i="13"/>
  <c r="I219" i="13" s="1"/>
  <c r="J219" i="13" s="1"/>
  <c r="F227" i="13"/>
  <c r="I227" i="13" s="1"/>
  <c r="J227" i="13" s="1"/>
  <c r="F220" i="13"/>
  <c r="I220" i="13" s="1"/>
  <c r="J220" i="13" s="1"/>
  <c r="F213" i="13"/>
  <c r="I213" i="13" s="1"/>
  <c r="F218" i="13"/>
  <c r="I218" i="13" s="1"/>
  <c r="J218" i="13" s="1"/>
  <c r="F221" i="13"/>
  <c r="I221" i="13" s="1"/>
  <c r="J221" i="13" s="1"/>
  <c r="F226" i="13"/>
  <c r="I226" i="13" s="1"/>
  <c r="J226" i="13" s="1"/>
  <c r="C232" i="5"/>
  <c r="I232" i="5" s="1"/>
  <c r="C230" i="5"/>
  <c r="I230" i="5" s="1"/>
  <c r="C235" i="5"/>
  <c r="I235" i="5" s="1"/>
  <c r="C234" i="5"/>
  <c r="I234" i="5" s="1"/>
  <c r="C233" i="5"/>
  <c r="I233" i="5" s="1"/>
  <c r="C231" i="5"/>
  <c r="I231" i="5" s="1"/>
  <c r="C237" i="5"/>
  <c r="I237" i="5" s="1"/>
  <c r="C236" i="5"/>
  <c r="I236" i="5" s="1"/>
  <c r="C229" i="5"/>
  <c r="I229" i="5" s="1"/>
  <c r="F47" i="13"/>
  <c r="I47" i="13" s="1"/>
  <c r="J47" i="13" s="1"/>
  <c r="F55" i="13"/>
  <c r="I55" i="13" s="1"/>
  <c r="J55" i="13" s="1"/>
  <c r="F49" i="13"/>
  <c r="I49" i="13" s="1"/>
  <c r="J49" i="13" s="1"/>
  <c r="F57" i="13"/>
  <c r="I57" i="13" s="1"/>
  <c r="J57" i="13" s="1"/>
  <c r="F52" i="13"/>
  <c r="I52" i="13" s="1"/>
  <c r="J52" i="13" s="1"/>
  <c r="F45" i="13"/>
  <c r="I45" i="13" s="1"/>
  <c r="F56" i="13"/>
  <c r="I56" i="13" s="1"/>
  <c r="J56" i="13" s="1"/>
  <c r="F58" i="13"/>
  <c r="I58" i="13" s="1"/>
  <c r="J58" i="13" s="1"/>
  <c r="F48" i="13"/>
  <c r="I48" i="13" s="1"/>
  <c r="J48" i="13" s="1"/>
  <c r="F46" i="13"/>
  <c r="I46" i="13" s="1"/>
  <c r="J46" i="13" s="1"/>
  <c r="F59" i="13"/>
  <c r="I59" i="13" s="1"/>
  <c r="J59" i="13" s="1"/>
  <c r="F51" i="13"/>
  <c r="I51" i="13" s="1"/>
  <c r="J51" i="13" s="1"/>
  <c r="F53" i="13"/>
  <c r="I53" i="13" s="1"/>
  <c r="J53" i="13" s="1"/>
  <c r="F54" i="13"/>
  <c r="I54" i="13" s="1"/>
  <c r="J54" i="13" s="1"/>
  <c r="F50" i="13"/>
  <c r="I50" i="13" s="1"/>
  <c r="J50" i="13" s="1"/>
  <c r="C206" i="5"/>
  <c r="I206" i="5" s="1"/>
  <c r="C204" i="5"/>
  <c r="I204" i="5" s="1"/>
  <c r="C201" i="5"/>
  <c r="I201" i="5" s="1"/>
  <c r="C202" i="5"/>
  <c r="I202" i="5" s="1"/>
  <c r="C200" i="5"/>
  <c r="I200" i="5" s="1"/>
  <c r="C199" i="5"/>
  <c r="I199" i="5" s="1"/>
  <c r="C207" i="5"/>
  <c r="I207" i="5" s="1"/>
  <c r="C205" i="5"/>
  <c r="I205" i="5" s="1"/>
  <c r="C203" i="5"/>
  <c r="I203" i="5" s="1"/>
  <c r="C170" i="5"/>
  <c r="I170" i="5" s="1"/>
  <c r="C176" i="5"/>
  <c r="I176" i="5" s="1"/>
  <c r="C173" i="5"/>
  <c r="I173" i="5" s="1"/>
  <c r="C177" i="5"/>
  <c r="I177" i="5" s="1"/>
  <c r="C175" i="5"/>
  <c r="I175" i="5" s="1"/>
  <c r="C172" i="5"/>
  <c r="I172" i="5" s="1"/>
  <c r="C171" i="5"/>
  <c r="I171" i="5" s="1"/>
  <c r="C169" i="5"/>
  <c r="I169" i="5" s="1"/>
  <c r="C174" i="5"/>
  <c r="I174" i="5" s="1"/>
  <c r="F105" i="13"/>
  <c r="I105" i="13" s="1"/>
  <c r="J105" i="13" s="1"/>
  <c r="F113" i="13"/>
  <c r="I113" i="13" s="1"/>
  <c r="J113" i="13" s="1"/>
  <c r="F107" i="13"/>
  <c r="I107" i="13" s="1"/>
  <c r="J107" i="13" s="1"/>
  <c r="F115" i="13"/>
  <c r="I115" i="13" s="1"/>
  <c r="J115" i="13" s="1"/>
  <c r="F102" i="13"/>
  <c r="I102" i="13" s="1"/>
  <c r="J102" i="13" s="1"/>
  <c r="F110" i="13"/>
  <c r="I110" i="13" s="1"/>
  <c r="J110" i="13" s="1"/>
  <c r="F103" i="13"/>
  <c r="I103" i="13" s="1"/>
  <c r="J103" i="13" s="1"/>
  <c r="F111" i="13"/>
  <c r="I111" i="13" s="1"/>
  <c r="J111" i="13" s="1"/>
  <c r="F112" i="13"/>
  <c r="I112" i="13" s="1"/>
  <c r="J112" i="13" s="1"/>
  <c r="F114" i="13"/>
  <c r="I114" i="13" s="1"/>
  <c r="J114" i="13" s="1"/>
  <c r="F101" i="13"/>
  <c r="I101" i="13" s="1"/>
  <c r="F106" i="13"/>
  <c r="I106" i="13" s="1"/>
  <c r="J106" i="13" s="1"/>
  <c r="F108" i="13"/>
  <c r="I108" i="13" s="1"/>
  <c r="J108" i="13" s="1"/>
  <c r="F109" i="13"/>
  <c r="I109" i="13" s="1"/>
  <c r="J109" i="13" s="1"/>
  <c r="F104" i="13"/>
  <c r="I104" i="13" s="1"/>
  <c r="J104" i="13" s="1"/>
  <c r="C115" i="5"/>
  <c r="I115" i="5" s="1"/>
  <c r="C113" i="5"/>
  <c r="I113" i="5" s="1"/>
  <c r="C110" i="5"/>
  <c r="I110" i="5" s="1"/>
  <c r="C111" i="5"/>
  <c r="I111" i="5" s="1"/>
  <c r="C109" i="5"/>
  <c r="I109" i="5" s="1"/>
  <c r="C108" i="5"/>
  <c r="I108" i="5" s="1"/>
  <c r="C116" i="5"/>
  <c r="I116" i="5" s="1"/>
  <c r="C114" i="5"/>
  <c r="I114" i="5" s="1"/>
  <c r="C112" i="5"/>
  <c r="I112" i="5" s="1"/>
  <c r="F304" i="13"/>
  <c r="I304" i="13" s="1"/>
  <c r="J304" i="13" s="1"/>
  <c r="F297" i="13"/>
  <c r="I297" i="13" s="1"/>
  <c r="F305" i="13"/>
  <c r="I305" i="13" s="1"/>
  <c r="J305" i="13" s="1"/>
  <c r="F298" i="13"/>
  <c r="I298" i="13" s="1"/>
  <c r="J298" i="13" s="1"/>
  <c r="F306" i="13"/>
  <c r="I306" i="13" s="1"/>
  <c r="J306" i="13" s="1"/>
  <c r="F299" i="13"/>
  <c r="I299" i="13" s="1"/>
  <c r="J299" i="13" s="1"/>
  <c r="F307" i="13"/>
  <c r="I307" i="13" s="1"/>
  <c r="J307" i="13" s="1"/>
  <c r="F301" i="13"/>
  <c r="I301" i="13" s="1"/>
  <c r="J301" i="13" s="1"/>
  <c r="F309" i="13"/>
  <c r="I309" i="13" s="1"/>
  <c r="J309" i="13" s="1"/>
  <c r="F302" i="13"/>
  <c r="I302" i="13" s="1"/>
  <c r="J302" i="13" s="1"/>
  <c r="F310" i="13"/>
  <c r="I310" i="13" s="1"/>
  <c r="J310" i="13" s="1"/>
  <c r="F303" i="13"/>
  <c r="I303" i="13" s="1"/>
  <c r="J303" i="13" s="1"/>
  <c r="F300" i="13"/>
  <c r="I300" i="13" s="1"/>
  <c r="J300" i="13" s="1"/>
  <c r="F311" i="13"/>
  <c r="I311" i="13" s="1"/>
  <c r="J311" i="13" s="1"/>
  <c r="F308" i="13"/>
  <c r="I308" i="13" s="1"/>
  <c r="J308" i="13" s="1"/>
  <c r="I172" i="13"/>
  <c r="J157" i="13"/>
  <c r="J172" i="13" s="1"/>
  <c r="N17" i="13" s="1"/>
  <c r="B64" i="22" s="1"/>
  <c r="F243" i="13"/>
  <c r="I243" i="13" s="1"/>
  <c r="J243" i="13" s="1"/>
  <c r="F251" i="13"/>
  <c r="I251" i="13" s="1"/>
  <c r="J251" i="13" s="1"/>
  <c r="F244" i="13"/>
  <c r="I244" i="13" s="1"/>
  <c r="J244" i="13" s="1"/>
  <c r="F252" i="13"/>
  <c r="I252" i="13" s="1"/>
  <c r="J252" i="13" s="1"/>
  <c r="F245" i="13"/>
  <c r="I245" i="13" s="1"/>
  <c r="J245" i="13" s="1"/>
  <c r="F253" i="13"/>
  <c r="I253" i="13" s="1"/>
  <c r="J253" i="13" s="1"/>
  <c r="F246" i="13"/>
  <c r="I246" i="13" s="1"/>
  <c r="J246" i="13" s="1"/>
  <c r="F254" i="13"/>
  <c r="I254" i="13" s="1"/>
  <c r="J254" i="13" s="1"/>
  <c r="F248" i="13"/>
  <c r="I248" i="13" s="1"/>
  <c r="J248" i="13" s="1"/>
  <c r="F241" i="13"/>
  <c r="I241" i="13" s="1"/>
  <c r="F249" i="13"/>
  <c r="I249" i="13" s="1"/>
  <c r="J249" i="13" s="1"/>
  <c r="F242" i="13"/>
  <c r="I242" i="13" s="1"/>
  <c r="J242" i="13" s="1"/>
  <c r="F247" i="13"/>
  <c r="I247" i="13" s="1"/>
  <c r="J247" i="13" s="1"/>
  <c r="F250" i="13"/>
  <c r="I250" i="13" s="1"/>
  <c r="J250" i="13" s="1"/>
  <c r="F255" i="13"/>
  <c r="I255" i="13" s="1"/>
  <c r="J255" i="13" s="1"/>
  <c r="C295" i="5"/>
  <c r="I295" i="5" s="1"/>
  <c r="C293" i="5"/>
  <c r="I293" i="5" s="1"/>
  <c r="C290" i="5"/>
  <c r="I290" i="5" s="1"/>
  <c r="C292" i="5"/>
  <c r="I292" i="5" s="1"/>
  <c r="C291" i="5"/>
  <c r="I291" i="5" s="1"/>
  <c r="C289" i="5"/>
  <c r="I289" i="5" s="1"/>
  <c r="C297" i="5"/>
  <c r="I297" i="5" s="1"/>
  <c r="C296" i="5"/>
  <c r="I296" i="5" s="1"/>
  <c r="C294" i="5"/>
  <c r="I294" i="5" s="1"/>
  <c r="C261" i="5"/>
  <c r="I261" i="5" s="1"/>
  <c r="C267" i="5"/>
  <c r="I267" i="5" s="1"/>
  <c r="C259" i="5"/>
  <c r="I259" i="5" s="1"/>
  <c r="C264" i="5"/>
  <c r="I264" i="5" s="1"/>
  <c r="C266" i="5"/>
  <c r="I266" i="5" s="1"/>
  <c r="C265" i="5"/>
  <c r="I265" i="5" s="1"/>
  <c r="C263" i="5"/>
  <c r="I263" i="5" s="1"/>
  <c r="C262" i="5"/>
  <c r="I262" i="5" s="1"/>
  <c r="C260" i="5"/>
  <c r="I260" i="5" s="1"/>
  <c r="J73" i="13"/>
  <c r="J88" i="13" s="1"/>
  <c r="N14" i="13" s="1"/>
  <c r="B61" i="22" s="1"/>
  <c r="I88" i="13"/>
  <c r="F276" i="13"/>
  <c r="I276" i="13" s="1"/>
  <c r="J276" i="13" s="1"/>
  <c r="F269" i="13"/>
  <c r="I269" i="13" s="1"/>
  <c r="F277" i="13"/>
  <c r="I277" i="13" s="1"/>
  <c r="J277" i="13" s="1"/>
  <c r="F270" i="13"/>
  <c r="I270" i="13" s="1"/>
  <c r="J270" i="13" s="1"/>
  <c r="F278" i="13"/>
  <c r="I278" i="13" s="1"/>
  <c r="J278" i="13" s="1"/>
  <c r="F271" i="13"/>
  <c r="I271" i="13" s="1"/>
  <c r="J271" i="13" s="1"/>
  <c r="F279" i="13"/>
  <c r="I279" i="13" s="1"/>
  <c r="J279" i="13" s="1"/>
  <c r="F273" i="13"/>
  <c r="I273" i="13" s="1"/>
  <c r="J273" i="13" s="1"/>
  <c r="F281" i="13"/>
  <c r="I281" i="13" s="1"/>
  <c r="J281" i="13" s="1"/>
  <c r="F274" i="13"/>
  <c r="I274" i="13" s="1"/>
  <c r="J274" i="13" s="1"/>
  <c r="F282" i="13"/>
  <c r="I282" i="13" s="1"/>
  <c r="J282" i="13" s="1"/>
  <c r="F275" i="13"/>
  <c r="I275" i="13" s="1"/>
  <c r="J275" i="13" s="1"/>
  <c r="F280" i="13"/>
  <c r="I280" i="13" s="1"/>
  <c r="J280" i="13" s="1"/>
  <c r="F283" i="13"/>
  <c r="I283" i="13" s="1"/>
  <c r="J283" i="13" s="1"/>
  <c r="F272" i="13"/>
  <c r="I272" i="13" s="1"/>
  <c r="J272" i="13" s="1"/>
  <c r="C79" i="5"/>
  <c r="I79" i="5" s="1"/>
  <c r="C85" i="5"/>
  <c r="I85" i="5" s="1"/>
  <c r="I77" i="5"/>
  <c r="C82" i="5"/>
  <c r="I82" i="5" s="1"/>
  <c r="C78" i="5"/>
  <c r="I78" i="5" s="1"/>
  <c r="C84" i="5"/>
  <c r="I84" i="5" s="1"/>
  <c r="C83" i="5"/>
  <c r="I83" i="5" s="1"/>
  <c r="C81" i="5"/>
  <c r="I81" i="5" s="1"/>
  <c r="C80" i="5"/>
  <c r="I80" i="5" s="1"/>
  <c r="C143" i="5"/>
  <c r="I143" i="5" s="1"/>
  <c r="C141" i="5"/>
  <c r="I141" i="5" s="1"/>
  <c r="C146" i="5"/>
  <c r="I146" i="5" s="1"/>
  <c r="C145" i="5"/>
  <c r="I145" i="5" s="1"/>
  <c r="C144" i="5"/>
  <c r="I144" i="5" s="1"/>
  <c r="C142" i="5"/>
  <c r="I142" i="5" s="1"/>
  <c r="C139" i="5"/>
  <c r="I139" i="5" s="1"/>
  <c r="C147" i="5"/>
  <c r="I147" i="5" s="1"/>
  <c r="C140" i="5"/>
  <c r="I140" i="5" s="1"/>
  <c r="C52" i="5"/>
  <c r="I52" i="5" s="1"/>
  <c r="C50" i="5"/>
  <c r="I50" i="5" s="1"/>
  <c r="C55" i="5"/>
  <c r="I55" i="5" s="1"/>
  <c r="C47" i="5"/>
  <c r="I47" i="5" s="1"/>
  <c r="C51" i="5"/>
  <c r="I51" i="5" s="1"/>
  <c r="C49" i="5"/>
  <c r="I49" i="5" s="1"/>
  <c r="C48" i="5"/>
  <c r="I48" i="5" s="1"/>
  <c r="C54" i="5"/>
  <c r="I54" i="5" s="1"/>
  <c r="C53" i="5"/>
  <c r="I53" i="5" s="1"/>
  <c r="F135" i="13"/>
  <c r="I135" i="13" s="1"/>
  <c r="J135" i="13" s="1"/>
  <c r="F143" i="13"/>
  <c r="I143" i="13" s="1"/>
  <c r="J143" i="13" s="1"/>
  <c r="F136" i="13"/>
  <c r="I136" i="13" s="1"/>
  <c r="J136" i="13" s="1"/>
  <c r="F129" i="13"/>
  <c r="I129" i="13" s="1"/>
  <c r="F137" i="13"/>
  <c r="I137" i="13" s="1"/>
  <c r="J137" i="13" s="1"/>
  <c r="F130" i="13"/>
  <c r="I130" i="13" s="1"/>
  <c r="J130" i="13" s="1"/>
  <c r="F138" i="13"/>
  <c r="I138" i="13" s="1"/>
  <c r="J138" i="13" s="1"/>
  <c r="F132" i="13"/>
  <c r="I132" i="13" s="1"/>
  <c r="J132" i="13" s="1"/>
  <c r="F140" i="13"/>
  <c r="I140" i="13" s="1"/>
  <c r="J140" i="13" s="1"/>
  <c r="F133" i="13"/>
  <c r="I133" i="13" s="1"/>
  <c r="J133" i="13" s="1"/>
  <c r="F141" i="13"/>
  <c r="I141" i="13" s="1"/>
  <c r="J141" i="13" s="1"/>
  <c r="F131" i="13"/>
  <c r="I131" i="13" s="1"/>
  <c r="J131" i="13" s="1"/>
  <c r="F134" i="13"/>
  <c r="I134" i="13" s="1"/>
  <c r="J134" i="13" s="1"/>
  <c r="F142" i="13"/>
  <c r="I142" i="13" s="1"/>
  <c r="J142" i="13" s="1"/>
  <c r="F139" i="13"/>
  <c r="I139" i="13" s="1"/>
  <c r="J139" i="13" s="1"/>
  <c r="F18" i="13"/>
  <c r="I18" i="13" s="1"/>
  <c r="J18" i="13" s="1"/>
  <c r="F26" i="13"/>
  <c r="I26" i="13" s="1"/>
  <c r="J26" i="13" s="1"/>
  <c r="F13" i="13"/>
  <c r="I13" i="13" s="1"/>
  <c r="J13" i="13" s="1"/>
  <c r="F22" i="13"/>
  <c r="I22" i="13" s="1"/>
  <c r="J22" i="13" s="1"/>
  <c r="F17" i="13"/>
  <c r="I17" i="13" s="1"/>
  <c r="J17" i="13" s="1"/>
  <c r="F19" i="13"/>
  <c r="I19" i="13" s="1"/>
  <c r="F12" i="13"/>
  <c r="I12" i="13" s="1"/>
  <c r="J12" i="13" s="1"/>
  <c r="F14" i="13"/>
  <c r="I14" i="13" s="1"/>
  <c r="J14" i="13" s="1"/>
  <c r="F15" i="13"/>
  <c r="I15" i="13" s="1"/>
  <c r="J15" i="13" s="1"/>
  <c r="F24" i="13"/>
  <c r="I24" i="13" s="1"/>
  <c r="J24" i="13" s="1"/>
  <c r="F20" i="13"/>
  <c r="I20" i="13" s="1"/>
  <c r="J20" i="13" s="1"/>
  <c r="F21" i="13"/>
  <c r="I21" i="13" s="1"/>
  <c r="J21" i="13" s="1"/>
  <c r="F23" i="13"/>
  <c r="I23" i="13" s="1"/>
  <c r="J23" i="13" s="1"/>
  <c r="F16" i="13"/>
  <c r="I16" i="13" s="1"/>
  <c r="J16" i="13" s="1"/>
  <c r="F25" i="13"/>
  <c r="I25" i="13" s="1"/>
  <c r="J25" i="13" s="1"/>
  <c r="I13" i="5"/>
  <c r="C20" i="5"/>
  <c r="I20" i="5" s="1"/>
  <c r="C16" i="5"/>
  <c r="I16" i="5" s="1"/>
  <c r="C15" i="5"/>
  <c r="I15" i="5" s="1"/>
  <c r="C19" i="5"/>
  <c r="I19" i="5" s="1"/>
  <c r="C17" i="5"/>
  <c r="I17" i="5" s="1"/>
  <c r="C21" i="5"/>
  <c r="I21" i="5" s="1"/>
  <c r="C18" i="5"/>
  <c r="I18" i="5" s="1"/>
  <c r="C14" i="5"/>
  <c r="I14" i="5" s="1"/>
  <c r="D13" i="10"/>
  <c r="D33" i="22" s="1"/>
  <c r="E33" i="22" s="1"/>
  <c r="G42" i="22"/>
  <c r="I284" i="13" l="1"/>
  <c r="J269" i="13"/>
  <c r="J284" i="13" s="1"/>
  <c r="N21" i="13" s="1"/>
  <c r="B68" i="22" s="1"/>
  <c r="C68" i="22" s="1"/>
  <c r="F68" i="22" s="1"/>
  <c r="I299" i="5"/>
  <c r="M22" i="5" s="1"/>
  <c r="F41" i="22" s="1"/>
  <c r="G41" i="22" s="1"/>
  <c r="I179" i="5"/>
  <c r="M18" i="5" s="1"/>
  <c r="F37" i="22" s="1"/>
  <c r="G37" i="22" s="1"/>
  <c r="I239" i="5"/>
  <c r="M20" i="5" s="1"/>
  <c r="F39" i="22" s="1"/>
  <c r="G39" i="22" s="1"/>
  <c r="C61" i="22"/>
  <c r="F61" i="22" s="1"/>
  <c r="I118" i="5"/>
  <c r="M16" i="5" s="1"/>
  <c r="F35" i="22" s="1"/>
  <c r="G35" i="22" s="1"/>
  <c r="J45" i="13"/>
  <c r="J60" i="13" s="1"/>
  <c r="N13" i="13" s="1"/>
  <c r="B60" i="22" s="1"/>
  <c r="C60" i="22" s="1"/>
  <c r="F60" i="22" s="1"/>
  <c r="I60" i="13"/>
  <c r="I256" i="13"/>
  <c r="J241" i="13"/>
  <c r="J256" i="13" s="1"/>
  <c r="N20" i="13" s="1"/>
  <c r="B67" i="22" s="1"/>
  <c r="C67" i="22" s="1"/>
  <c r="F67" i="22" s="1"/>
  <c r="I209" i="5"/>
  <c r="M19" i="5" s="1"/>
  <c r="F38" i="22" s="1"/>
  <c r="G38" i="22" s="1"/>
  <c r="I200" i="13"/>
  <c r="J185" i="13"/>
  <c r="J200" i="13" s="1"/>
  <c r="N18" i="13" s="1"/>
  <c r="B65" i="22" s="1"/>
  <c r="C65" i="22" s="1"/>
  <c r="F65" i="22" s="1"/>
  <c r="C64" i="22"/>
  <c r="F64" i="22" s="1"/>
  <c r="J129" i="13"/>
  <c r="J144" i="13" s="1"/>
  <c r="N16" i="13" s="1"/>
  <c r="B63" i="22" s="1"/>
  <c r="C63" i="22" s="1"/>
  <c r="F63" i="22" s="1"/>
  <c r="I144" i="13"/>
  <c r="I116" i="13"/>
  <c r="J101" i="13"/>
  <c r="J116" i="13" s="1"/>
  <c r="N15" i="13" s="1"/>
  <c r="B62" i="22" s="1"/>
  <c r="C62" i="22" s="1"/>
  <c r="F62" i="22" s="1"/>
  <c r="J213" i="13"/>
  <c r="J228" i="13" s="1"/>
  <c r="N19" i="13" s="1"/>
  <c r="B66" i="22" s="1"/>
  <c r="I228" i="13"/>
  <c r="I87" i="5"/>
  <c r="M15" i="5" s="1"/>
  <c r="F34" i="22" s="1"/>
  <c r="G34" i="22" s="1"/>
  <c r="I269" i="5"/>
  <c r="M21" i="5" s="1"/>
  <c r="F40" i="22" s="1"/>
  <c r="G40" i="22" s="1"/>
  <c r="I149" i="5"/>
  <c r="M17" i="5" s="1"/>
  <c r="F36" i="22" s="1"/>
  <c r="G36" i="22" s="1"/>
  <c r="I57" i="5"/>
  <c r="M14" i="5" s="1"/>
  <c r="F33" i="22" s="1"/>
  <c r="G33" i="22" s="1"/>
  <c r="I312" i="13"/>
  <c r="J297" i="13"/>
  <c r="J312" i="13" s="1"/>
  <c r="N22" i="13" s="1"/>
  <c r="B69" i="22" s="1"/>
  <c r="C69" i="22" s="1"/>
  <c r="F69" i="22" s="1"/>
  <c r="I23" i="5"/>
  <c r="J19" i="13"/>
  <c r="I27" i="13"/>
  <c r="M13" i="5" l="1"/>
  <c r="F32" i="22" s="1"/>
  <c r="G32" i="22" s="1"/>
  <c r="C66" i="22"/>
  <c r="F66" i="22" s="1"/>
  <c r="J27" i="13"/>
  <c r="N12" i="13" s="1"/>
  <c r="B59" i="22" s="1"/>
  <c r="C59" i="22" s="1"/>
  <c r="F59" i="22" s="1"/>
</calcChain>
</file>

<file path=xl/comments1.xml><?xml version="1.0" encoding="utf-8"?>
<comments xmlns="http://schemas.openxmlformats.org/spreadsheetml/2006/main">
  <authors>
    <author>T- Force 6100 AM2</author>
  </authors>
  <commentList>
    <comment ref="C1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  <comment ref="C2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  <comment ref="C3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</commentList>
</comments>
</file>

<file path=xl/comments10.xml><?xml version="1.0" encoding="utf-8"?>
<comments xmlns="http://schemas.openxmlformats.org/spreadsheetml/2006/main">
  <authors>
    <author>T- Force 6100 AM2</author>
    <author>Indra Budhi K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7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7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7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7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7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8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8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8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0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0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0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0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0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1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1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1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2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2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3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3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3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3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3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4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5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5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5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6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6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7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7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8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8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8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8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8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9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9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9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9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1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1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1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1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1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2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2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2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4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4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4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4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4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5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5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5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6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6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7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7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7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7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7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8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8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9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9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9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0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0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0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0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1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1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3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32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32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3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32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2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3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3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3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3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3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3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3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35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35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3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35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5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5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6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6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6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6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6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38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38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38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8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38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38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8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8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9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9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9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9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9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0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0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0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0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0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1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1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1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1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1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1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2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2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3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3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3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3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3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3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4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4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4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4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4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5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5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6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6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6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6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6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6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6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7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7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7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7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7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7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9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9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9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9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9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9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9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9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0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0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0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5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52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52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5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52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2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2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3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3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3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3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3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5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54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54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5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55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5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5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5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6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</commentList>
</comments>
</file>

<file path=xl/comments11.xml><?xml version="1.0" encoding="utf-8"?>
<comments xmlns="http://schemas.openxmlformats.org/spreadsheetml/2006/main">
  <authors>
    <author>T- Force 6100 AM2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 xml:space="preserve">malahayati:
</t>
        </r>
        <r>
          <rPr>
            <sz val="8"/>
            <color indexed="81"/>
            <rFont val="Tahoma"/>
            <family val="2"/>
          </rPr>
          <t xml:space="preserve">Isi dengan data dari BPS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Equation 6.8
Volume 5
IPCC 2006</t>
        </r>
      </text>
    </comment>
    <comment ref="E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equation 6.8
Deafult value for developing
 country</t>
        </r>
      </text>
    </comment>
    <comment ref="F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Section 6.3.1.3
Volume 6
IPCC 2006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Default = 0
From Equation 6.8
Volume 6
IPCC 2006</t>
        </r>
      </text>
    </comment>
  </commentList>
</comments>
</file>

<file path=xl/comments12.xml><?xml version="1.0" encoding="utf-8"?>
<comments xmlns="http://schemas.openxmlformats.org/spreadsheetml/2006/main">
  <authors>
    <author>T- Force 6100 AM2</author>
  </authors>
  <commentList>
    <comment ref="C1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6.11, Chapter 6
Volume 5
IPCC 2006</t>
        </r>
      </text>
    </comment>
  </commentList>
</comments>
</file>

<file path=xl/comments2.xml><?xml version="1.0" encoding="utf-8"?>
<comments xmlns="http://schemas.openxmlformats.org/spreadsheetml/2006/main">
  <authors>
    <author>Iwied</author>
    <author>T- Force 6100 AM2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Diisi dari kolom Kompos (gg/tahun)</t>
        </r>
      </text>
    </comment>
    <comment ref="D12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 Table 4.1, Volume 5, IPCC 2006</t>
        </r>
      </text>
    </comment>
  </commentList>
</comments>
</file>

<file path=xl/comments3.xml><?xml version="1.0" encoding="utf-8"?>
<comments xmlns="http://schemas.openxmlformats.org/spreadsheetml/2006/main">
  <authors>
    <author>T- Force 6100 AM2</author>
  </authors>
  <commentLis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4.1 
Volume 5
IPCC 2006
wet weight basis</t>
        </r>
      </text>
    </comment>
  </commentList>
</comments>
</file>

<file path=xl/comments4.xml><?xml version="1.0" encoding="utf-8"?>
<comments xmlns="http://schemas.openxmlformats.org/spreadsheetml/2006/main">
  <authors>
    <author>Iwied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Diambil dari mana ?</t>
        </r>
      </text>
    </comment>
  </commentList>
</comments>
</file>

<file path=xl/comments5.xml><?xml version="1.0" encoding="utf-8"?>
<comments xmlns="http://schemas.openxmlformats.org/spreadsheetml/2006/main">
  <authors>
    <author>GIGABYTE</author>
    <author>T- Force 6100 AM2</author>
  </authors>
  <commentList>
    <comment ref="C13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7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08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5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8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1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4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7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0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3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6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9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52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55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58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</commentList>
</comments>
</file>

<file path=xl/comments6.xml><?xml version="1.0" encoding="utf-8"?>
<comments xmlns="http://schemas.openxmlformats.org/spreadsheetml/2006/main">
  <authors>
    <author>GIGABYTE</author>
  </authors>
  <commentList>
    <comment ref="C11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</commentList>
</comments>
</file>

<file path=xl/comments7.xml><?xml version="1.0" encoding="utf-8"?>
<comments xmlns="http://schemas.openxmlformats.org/spreadsheetml/2006/main">
  <authors>
    <author>GIGABYTE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</commentList>
</comments>
</file>

<file path=xl/comments8.xml><?xml version="1.0" encoding="utf-8"?>
<comments xmlns="http://schemas.openxmlformats.org/spreadsheetml/2006/main">
  <authors>
    <author>T- Force 6100 AM2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6.4 
IPCC 2006
Volume 5
Asia, Middle East and Latin America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Section 6.2.2.3
Volume 6
IPCC 2006
"Uncollected"</t>
        </r>
      </text>
    </comment>
  </commentList>
</comments>
</file>

<file path=xl/comments9.xml><?xml version="1.0" encoding="utf-8"?>
<comments xmlns="http://schemas.openxmlformats.org/spreadsheetml/2006/main">
  <authors>
    <author>T- Force 6100 AM2</author>
  </authors>
  <commentList>
    <comment ref="B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6.2
Volume 6
IPCC 2006</t>
        </r>
      </text>
    </comment>
    <comment ref="C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6.3
Volume 6
IPCC 2006</t>
        </r>
      </text>
    </comment>
  </commentList>
</comments>
</file>

<file path=xl/sharedStrings.xml><?xml version="1.0" encoding="utf-8"?>
<sst xmlns="http://schemas.openxmlformats.org/spreadsheetml/2006/main" count="2858" uniqueCount="325">
  <si>
    <t>Sector</t>
  </si>
  <si>
    <t>Waste</t>
  </si>
  <si>
    <t>Category</t>
  </si>
  <si>
    <t>Biological Treatment of Solid Waste</t>
  </si>
  <si>
    <t>Category Code</t>
  </si>
  <si>
    <t>4B</t>
  </si>
  <si>
    <t>Sheet</t>
  </si>
  <si>
    <r>
      <t>1 of 1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Biological Treatment of Solid Waste</t>
    </r>
  </si>
  <si>
    <t>STEP 1</t>
  </si>
  <si>
    <t>STEP 2</t>
  </si>
  <si>
    <t>STEP 3</t>
  </si>
  <si>
    <t>A</t>
  </si>
  <si>
    <t>B</t>
  </si>
  <si>
    <t>C</t>
  </si>
  <si>
    <t>D</t>
  </si>
  <si>
    <t>E</t>
  </si>
  <si>
    <t>Biological Treatment System</t>
  </si>
  <si>
    <r>
      <t>Total Annual amount treated by biological treatment facilities</t>
    </r>
    <r>
      <rPr>
        <vertAlign val="superscript"/>
        <sz val="10"/>
        <rFont val="GillSans"/>
      </rPr>
      <t>3</t>
    </r>
  </si>
  <si>
    <t xml:space="preserve">Emission Factor </t>
  </si>
  <si>
    <t>Gross Annual Methane Generation</t>
  </si>
  <si>
    <t>Recovered/flared Methane per Year</t>
  </si>
  <si>
    <t>Net Annual Methane Emissions</t>
  </si>
  <si>
    <t>(Gg)</t>
  </si>
  <si>
    <r>
      <t>(g CH</t>
    </r>
    <r>
      <rPr>
        <vertAlign val="subscript"/>
        <sz val="10"/>
        <rFont val="GillSans"/>
      </rPr>
      <t>4</t>
    </r>
    <r>
      <rPr>
        <sz val="10"/>
        <rFont val="GillSans"/>
      </rPr>
      <t>/kg waste treated)</t>
    </r>
  </si>
  <si>
    <r>
      <t>(Gg CH</t>
    </r>
    <r>
      <rPr>
        <vertAlign val="subscript"/>
        <sz val="10"/>
        <rFont val="GillSans"/>
      </rPr>
      <t>4</t>
    </r>
    <r>
      <rPr>
        <sz val="10"/>
        <rFont val="GillSans"/>
      </rPr>
      <t>)</t>
    </r>
  </si>
  <si>
    <r>
      <t>C= (A x B) x10</t>
    </r>
    <r>
      <rPr>
        <vertAlign val="superscript"/>
        <sz val="10"/>
        <rFont val="GillSans"/>
      </rPr>
      <t>-3</t>
    </r>
  </si>
  <si>
    <t>E = (C - D)</t>
  </si>
  <si>
    <t>Composting</t>
  </si>
  <si>
    <t>Waste Category/
Types of Waste1</t>
  </si>
  <si>
    <r>
      <t>1 of 1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Biological Treatment of Solid Waste</t>
    </r>
  </si>
  <si>
    <r>
      <t>Waste Category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/Types of Waste</t>
    </r>
    <r>
      <rPr>
        <b/>
        <vertAlign val="superscript"/>
        <sz val="10"/>
        <rFont val="Arial"/>
        <family val="2"/>
      </rPr>
      <t>1</t>
    </r>
  </si>
  <si>
    <t>Net Annual Nitrous Oxide Emissions</t>
  </si>
  <si>
    <r>
      <t>(g N</t>
    </r>
    <r>
      <rPr>
        <vertAlign val="subscript"/>
        <sz val="10"/>
        <rFont val="GillSans"/>
      </rPr>
      <t>2</t>
    </r>
    <r>
      <rPr>
        <sz val="10"/>
        <rFont val="GillSans"/>
      </rPr>
      <t>O/kg waste treated)</t>
    </r>
  </si>
  <si>
    <r>
      <t>(Gg N</t>
    </r>
    <r>
      <rPr>
        <vertAlign val="subscript"/>
        <sz val="10"/>
        <rFont val="GillSans"/>
      </rPr>
      <t>2</t>
    </r>
    <r>
      <rPr>
        <sz val="10"/>
        <rFont val="GillSans"/>
      </rPr>
      <t>O)</t>
    </r>
  </si>
  <si>
    <t xml:space="preserve">Incineration and Open Burning of Waste </t>
  </si>
  <si>
    <t>4C1</t>
  </si>
  <si>
    <t xml:space="preserve">A                               </t>
  </si>
  <si>
    <t xml:space="preserve">(Wet Weight) </t>
  </si>
  <si>
    <t>Conversion Factor</t>
  </si>
  <si>
    <t>dm</t>
  </si>
  <si>
    <t>CF</t>
  </si>
  <si>
    <t>FCF</t>
  </si>
  <si>
    <t>OF</t>
  </si>
  <si>
    <t>(Gg Waste)</t>
  </si>
  <si>
    <t>(fraction)</t>
  </si>
  <si>
    <t>44/12</t>
  </si>
  <si>
    <r>
      <t>(Gg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</si>
  <si>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Textiles</t>
  </si>
  <si>
    <t>Other (specify)</t>
  </si>
  <si>
    <t>1 Information on the waste category should include information of the origin of the waste (MSW, Industrial, Sludge or Other) and type of waste (Food waste or Garden and Park Waste).</t>
  </si>
  <si>
    <t>2 If anaerobic digestion involves recovery and energy use of the gas, the emissions should be reported in the Energy Sector.</t>
  </si>
  <si>
    <t>3 Information on whether the amount treated is given as wet or dry weight should be given.</t>
  </si>
  <si>
    <t>1 Information on the waste category should include information of the origin of the waste (MSW, Industrial, Sludge or Other) and type of waste (Food waste  or Garden and Park Waste).</t>
  </si>
  <si>
    <t>1 For default data and relevant equations on the dry matter content in MSW and other types of waste, see Section 5.3.3 in Chapter 5.</t>
  </si>
  <si>
    <t>2 For default data and relevant equations on the fraction of carbon, see Section 5.4.1.1 in Chapter 5.</t>
  </si>
  <si>
    <t>3 For default data and relevant equations on the fraction of fossil carbon, see Section 5.4.1.2 in Chapter 5.</t>
  </si>
  <si>
    <t>1 of 1  Estimation of total amount of waste open-burned</t>
  </si>
  <si>
    <t xml:space="preserve">D         </t>
  </si>
  <si>
    <t>F</t>
  </si>
  <si>
    <t xml:space="preserve">Population </t>
  </si>
  <si>
    <t>Fraction of Population Burning Waste</t>
  </si>
  <si>
    <t xml:space="preserve">Per Capita Waste Generation        </t>
  </si>
  <si>
    <t>Fraction of the waste amount burned relative to the total amount of waste treated</t>
  </si>
  <si>
    <t xml:space="preserve">Total Amount of MSW Open-burned         </t>
  </si>
  <si>
    <t>P</t>
  </si>
  <si>
    <r>
      <t xml:space="preserve">P </t>
    </r>
    <r>
      <rPr>
        <vertAlign val="subscript"/>
        <sz val="10"/>
        <rFont val="Arial"/>
        <family val="2"/>
      </rPr>
      <t>frac</t>
    </r>
  </si>
  <si>
    <r>
      <t>MSW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</si>
  <si>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B</t>
    </r>
    <r>
      <rPr>
        <vertAlign val="subscript"/>
        <sz val="10"/>
        <rFont val="Arial"/>
        <family val="2"/>
      </rPr>
      <t xml:space="preserve">frac  </t>
    </r>
    <r>
      <rPr>
        <vertAlign val="superscript"/>
        <sz val="10"/>
        <rFont val="Arial"/>
        <family val="2"/>
      </rPr>
      <t>1</t>
    </r>
  </si>
  <si>
    <r>
      <t>MSW</t>
    </r>
    <r>
      <rPr>
        <vertAlign val="subscript"/>
        <sz val="10"/>
        <rFont val="Arial"/>
        <family val="2"/>
      </rPr>
      <t>B</t>
    </r>
  </si>
  <si>
    <t>(Capita)</t>
  </si>
  <si>
    <t>(kg waste/capita/day)</t>
  </si>
  <si>
    <t>(day)</t>
  </si>
  <si>
    <t xml:space="preserve">(Gg/yr) </t>
  </si>
  <si>
    <t>F = A x B x C x D x E</t>
  </si>
  <si>
    <t xml:space="preserve">Number of days by year   
365        </t>
  </si>
  <si>
    <t>Incineration and Open Burning of Waste</t>
  </si>
  <si>
    <t>4C2</t>
  </si>
  <si>
    <r>
      <t>1 of 1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Open Burning of Waste</t>
    </r>
  </si>
  <si>
    <t>G</t>
  </si>
  <si>
    <t>H</t>
  </si>
  <si>
    <t>I</t>
  </si>
  <si>
    <t>J</t>
  </si>
  <si>
    <t>K</t>
  </si>
  <si>
    <t>L</t>
  </si>
  <si>
    <t>Type of Waste</t>
  </si>
  <si>
    <t>Total Amount of Waste open-burned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</si>
  <si>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</t>
    </r>
  </si>
  <si>
    <t>Fraction of Carbon</t>
  </si>
  <si>
    <r>
      <t xml:space="preserve">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</si>
  <si>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t>Fraction of Fossil Carbon</t>
  </si>
  <si>
    <r>
      <t xml:space="preserve">in Total Carbon 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</t>
    </r>
  </si>
  <si>
    <t xml:space="preserve">Oxidation Factor       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</si>
  <si>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             </t>
    </r>
  </si>
  <si>
    <r>
      <t xml:space="preserve">F = (A x B x C x D) </t>
    </r>
    <r>
      <rPr>
        <vertAlign val="superscript"/>
        <sz val="10"/>
        <rFont val="Arial"/>
        <family val="2"/>
      </rPr>
      <t>4</t>
    </r>
  </si>
  <si>
    <t xml:space="preserve">L=  F x G x H x I x J x K </t>
  </si>
  <si>
    <r>
      <t xml:space="preserve">Composition </t>
    </r>
    <r>
      <rPr>
        <vertAlign val="superscript"/>
        <sz val="10"/>
        <rFont val="Arial"/>
        <family val="2"/>
      </rPr>
      <t>5,6</t>
    </r>
  </si>
  <si>
    <r>
      <t>4 The amount MSW can be calculated in the previous sheet</t>
    </r>
    <r>
      <rPr>
        <sz val="8"/>
        <rFont val="Times New Roman"/>
        <family val="1"/>
      </rPr>
      <t xml:space="preserve"> “</t>
    </r>
    <r>
      <rPr>
        <sz val="8"/>
        <rFont val="Arial"/>
        <family val="2"/>
      </rPr>
      <t xml:space="preserve">Estimation of Total Amount of Waste Open-burned”.  See also Equation 5.7. </t>
    </r>
  </si>
  <si>
    <t>5 Users may either enter all MSW incinerated in the MSW row or the amount of waste by composition by adding the appropriate rows.</t>
  </si>
  <si>
    <t xml:space="preserve">Methane Emissions       </t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</si>
  <si>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</si>
  <si>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Open Burning of Waste</t>
    </r>
  </si>
  <si>
    <t xml:space="preserve">Methane Emission Factor    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</si>
  <si>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</si>
  <si>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-6    3</t>
    </r>
  </si>
  <si>
    <t>1 Total amount of MSW open-burned is obtained by estimates in the Worksheet “Total amount of waste open-burned”.</t>
  </si>
  <si>
    <r>
      <t>2 If the total amount of waste is expressed in term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weight instead.</t>
    </r>
  </si>
  <si>
    <r>
      <t>3 Factor of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as emission factor is given in kg /Gg waste incinerated on a wet weight basis.</t>
    </r>
  </si>
  <si>
    <r>
      <t xml:space="preserve">Total Amount of Waste
Open-burned
      (Wet Weight) </t>
    </r>
    <r>
      <rPr>
        <vertAlign val="superscript"/>
        <sz val="10"/>
        <rFont val="Arial"/>
        <family val="2"/>
      </rPr>
      <t>1 ,2</t>
    </r>
  </si>
  <si>
    <t xml:space="preserve">Nitrous Oxide Emission Factor           </t>
  </si>
  <si>
    <t xml:space="preserve">Nitrous Oxide Emissions       </t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</si>
  <si>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</si>
  <si>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Open Burning of Waste</t>
    </r>
  </si>
  <si>
    <t xml:space="preserve">(Gg Waste)  </t>
  </si>
  <si>
    <r>
      <t xml:space="preserve"> 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Dry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</si>
  <si>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-6      3</t>
    </r>
  </si>
  <si>
    <t>2 If the total amount of waste is expressed in terms of dry waste, a fraction of dry matter should not be applied.</t>
  </si>
  <si>
    <r>
      <t xml:space="preserve">Total Amount of Waste Open-burned    
     (Wet Weight) </t>
    </r>
    <r>
      <rPr>
        <vertAlign val="superscript"/>
        <sz val="10"/>
        <rFont val="Arial"/>
        <family val="2"/>
      </rPr>
      <t>1,2</t>
    </r>
  </si>
  <si>
    <t>Domestic Wastewater Treatment and Discharge</t>
  </si>
  <si>
    <t>4D1</t>
  </si>
  <si>
    <t>1 of 3  Estimation of Organically Degradable Material in Domestic Wastewater</t>
  </si>
  <si>
    <t>Region or City</t>
  </si>
  <si>
    <t xml:space="preserve">Degradable organic component </t>
  </si>
  <si>
    <t>Correction factor for industrial BOD discharged in sewers</t>
  </si>
  <si>
    <t>Organically degradable material in wastewater</t>
  </si>
  <si>
    <t>(P)</t>
  </si>
  <si>
    <t>(BOD)</t>
  </si>
  <si>
    <r>
      <t xml:space="preserve">(I)  </t>
    </r>
    <r>
      <rPr>
        <vertAlign val="superscript"/>
        <sz val="10"/>
        <rFont val="Arial"/>
        <family val="2"/>
      </rPr>
      <t>2</t>
    </r>
  </si>
  <si>
    <t>(TOW)</t>
  </si>
  <si>
    <t>cap</t>
  </si>
  <si>
    <r>
      <t xml:space="preserve">(kg BOD/cap.yr) </t>
    </r>
    <r>
      <rPr>
        <vertAlign val="superscript"/>
        <sz val="10"/>
        <rFont val="Arial"/>
        <family val="2"/>
      </rPr>
      <t>1</t>
    </r>
  </si>
  <si>
    <t>(kg BOD/yr)</t>
  </si>
  <si>
    <t>D = A x B x C</t>
  </si>
  <si>
    <t>1 g BOD/cap.day x 0.001 x 365 = kg BOD/cap.yr</t>
  </si>
  <si>
    <t>2 Correction factor for additional industrial BOD discharged into sewers, (for collected the default is 1.25, for uncollected the default is 1.00).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</si>
  <si>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 xml:space="preserve">emission factor </t>
    </r>
    <r>
      <rPr>
        <b/>
        <vertAlign val="subscript"/>
        <sz val="10"/>
        <rFont val="Arial"/>
        <family val="2"/>
      </rPr>
      <t>­</t>
    </r>
    <r>
      <rPr>
        <b/>
        <sz val="10"/>
        <rFont val="Arial"/>
        <family val="2"/>
      </rPr>
      <t>for Domestic Wastewater</t>
    </r>
  </si>
  <si>
    <t>Maximum methane producing capacity</t>
  </si>
  <si>
    <t>Methane correction factor for each treatment system</t>
  </si>
  <si>
    <t>Emission factor</t>
  </si>
  <si>
    <r>
      <t>(B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)</t>
    </r>
  </si>
  <si>
    <r>
      <t>(MCF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</si>
  <si>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</si>
  <si>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/kgBOD)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</si>
  <si>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BOD)</t>
    </r>
  </si>
  <si>
    <t>C = A x B</t>
  </si>
  <si>
    <t>Type of treatment 
or discharge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</si>
  <si>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Domestic Wastewater</t>
    </r>
  </si>
  <si>
    <t>Income group</t>
  </si>
  <si>
    <t>Type of treatment or discharge pathway</t>
  </si>
  <si>
    <t>Fraction of population income group</t>
  </si>
  <si>
    <t>Degree of utilization</t>
  </si>
  <si>
    <t>Emission Factor</t>
  </si>
  <si>
    <t>Sludge removed</t>
  </si>
  <si>
    <t>Methane recovered and flared</t>
  </si>
  <si>
    <t>Net methane emissions</t>
  </si>
  <si>
    <r>
      <t xml:space="preserve">(U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</si>
  <si>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</t>
    </r>
    <r>
      <rPr>
        <vertAlign val="subscript"/>
        <sz val="10"/>
        <rFont val="Arial"/>
        <family val="2"/>
      </rPr>
      <t xml:space="preserve"> i j</t>
    </r>
    <r>
      <rPr>
        <sz val="10"/>
        <rFont val="Arial"/>
        <family val="2"/>
      </rPr>
      <t>)</t>
    </r>
  </si>
  <si>
    <r>
      <t xml:space="preserve">(EF 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</si>
  <si>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t>(S)</t>
  </si>
  <si>
    <t>(R)</t>
  </si>
  <si>
    <r>
      <t>(CH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</si>
  <si>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</si>
  <si>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t>Sheet 2 of 3</t>
  </si>
  <si>
    <t>Sheet 1 of 3</t>
  </si>
  <si>
    <t>G = [(A x B x C) x ( D -E)] - F</t>
  </si>
  <si>
    <t>Rural</t>
  </si>
  <si>
    <t>Urban high income</t>
  </si>
  <si>
    <t>Urban low income</t>
  </si>
  <si>
    <t>1 of 2  Estimation of nitrogen in effluent</t>
  </si>
  <si>
    <t xml:space="preserve">Per capita protein consumption </t>
  </si>
  <si>
    <t>Fraction of nitrogen in protein</t>
  </si>
  <si>
    <t>Fraction of non-consumption protein</t>
  </si>
  <si>
    <t>Fraction of industrial and commercial co-discharged protein</t>
  </si>
  <si>
    <t xml:space="preserve">Total nitrogen in effluent </t>
  </si>
  <si>
    <t>(Protein)</t>
  </si>
  <si>
    <r>
      <t>(F</t>
    </r>
    <r>
      <rPr>
        <vertAlign val="subscript"/>
        <sz val="10"/>
        <rFont val="GillSans"/>
      </rPr>
      <t>NPR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</si>
  <si>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NON-CON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</si>
  <si>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IND-COM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</si>
  <si>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SLUDGE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</si>
  <si>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</si>
  <si>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t>units</t>
  </si>
  <si>
    <t>(people)</t>
  </si>
  <si>
    <t>(kg/person/ year)</t>
  </si>
  <si>
    <t>(kg N/kg protein)</t>
  </si>
  <si>
    <t>(-)</t>
  </si>
  <si>
    <t>(kg)</t>
  </si>
  <si>
    <t>kg N/year)</t>
  </si>
  <si>
    <r>
      <t xml:space="preserve">H = (A x B x C x D  x E) </t>
    </r>
    <r>
      <rPr>
        <sz val="10"/>
        <rFont val="Arial"/>
        <family val="2"/>
      </rPr>
      <t>–</t>
    </r>
    <r>
      <rPr>
        <sz val="10"/>
        <rFont val="GillSans"/>
      </rPr>
      <t xml:space="preserve"> F</t>
    </r>
  </si>
  <si>
    <t>Nitrogen removed with sludge
(default is zero)</t>
  </si>
  <si>
    <r>
      <t>2 of 2  Estimation of emission factor and emissions of indirect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from Wastewater</t>
    </r>
  </si>
  <si>
    <t xml:space="preserve">C </t>
  </si>
  <si>
    <r>
      <t>Nitrogen in effluent 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</si>
  <si>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r>
      <t>Conversion factor of kg N</t>
    </r>
    <r>
      <rPr>
        <vertAlign val="subscript"/>
        <sz val="10"/>
        <rFont val="GillSans"/>
      </rPr>
      <t>2</t>
    </r>
    <r>
      <rPr>
        <sz val="10"/>
        <rFont val="GillSans"/>
      </rPr>
      <t>O-N into kg N</t>
    </r>
    <r>
      <rPr>
        <vertAlign val="subscript"/>
        <sz val="10"/>
        <rFont val="GillSans"/>
      </rPr>
      <t>2</t>
    </r>
    <r>
      <rPr>
        <sz val="10"/>
        <rFont val="GillSans"/>
      </rPr>
      <t>O</t>
    </r>
  </si>
  <si>
    <t>Emissions from Wastewater plants (default = zero)</t>
  </si>
  <si>
    <r>
      <t>Total N</t>
    </r>
    <r>
      <rPr>
        <vertAlign val="subscript"/>
        <sz val="10"/>
        <rFont val="GillSans"/>
      </rPr>
      <t>2</t>
    </r>
    <r>
      <rPr>
        <sz val="10"/>
        <rFont val="GillSans"/>
      </rPr>
      <t>O  emissions</t>
    </r>
  </si>
  <si>
    <t>(kg N/year)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</si>
  <si>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O-N/kg N)</t>
    </r>
  </si>
  <si>
    <t>44/28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</si>
  <si>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O-N/year)</t>
    </r>
  </si>
  <si>
    <r>
      <t xml:space="preserve">E=  A x B  x C </t>
    </r>
    <r>
      <rPr>
        <sz val="10"/>
        <rFont val="Arial"/>
        <family val="2"/>
      </rPr>
      <t>–</t>
    </r>
    <r>
      <rPr>
        <sz val="10"/>
        <rFont val="GillSans"/>
      </rPr>
      <t xml:space="preserve"> D</t>
    </r>
  </si>
  <si>
    <r>
      <t>1 When all the amount of waste is burned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could be considered equal 1. When a substantial quantity of waste in open dumps is burned, a relatively large part of waste is left unburned. In this situation,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should be estimated using survey or research data available or expert judgement.</t>
    </r>
  </si>
  <si>
    <r>
      <t>6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open-burned should be reported here. However,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only once (either for total MSW or the components).</t>
    </r>
  </si>
  <si>
    <t>Municipal Solid Waste</t>
  </si>
  <si>
    <r>
      <t>E = (C - D) x10</t>
    </r>
    <r>
      <rPr>
        <vertAlign val="superscript"/>
        <sz val="10"/>
        <color indexed="10"/>
        <rFont val="GillSans"/>
      </rPr>
      <t>- 3</t>
    </r>
  </si>
  <si>
    <t>Food waste</t>
  </si>
  <si>
    <t>Paper/cardboard</t>
  </si>
  <si>
    <t>Wood</t>
  </si>
  <si>
    <t>Rubber/Leather</t>
  </si>
  <si>
    <t>Plastic</t>
  </si>
  <si>
    <t>Metal</t>
  </si>
  <si>
    <t>Glass</t>
  </si>
  <si>
    <t>Other</t>
  </si>
  <si>
    <t>Treated System</t>
  </si>
  <si>
    <t>Sea, river and lake discharge</t>
  </si>
  <si>
    <t>Stagnant sewer</t>
  </si>
  <si>
    <t>Flowing sewer (open or closed)</t>
  </si>
  <si>
    <t>Untreated System</t>
  </si>
  <si>
    <t>centralized, aerobic treatment plant</t>
  </si>
  <si>
    <t>centralized, aerobic treatment plant (not well managed)</t>
  </si>
  <si>
    <t>Anaerobic digester for sludge</t>
  </si>
  <si>
    <t>Anaerobic shallow lagoon</t>
  </si>
  <si>
    <t>Anaerobic deep lagoon</t>
  </si>
  <si>
    <t>Septic system</t>
  </si>
  <si>
    <t>Latrine (dry climate, ground water table lower than latrine, communal)</t>
  </si>
  <si>
    <t>Latrine (wet climate/flush water use, ground water table higher than latrine)</t>
  </si>
  <si>
    <t>Latrine (regular sediment removal for fertilizer)</t>
  </si>
  <si>
    <t>Septic tank</t>
  </si>
  <si>
    <t>Latrine</t>
  </si>
  <si>
    <t xml:space="preserve">Other </t>
  </si>
  <si>
    <t>Sewer</t>
  </si>
  <si>
    <t>None</t>
  </si>
  <si>
    <t xml:space="preserve"> C = A x B x (10^(-3))</t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</si>
  <si>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</si>
  <si>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O-N/year)</t>
    </r>
  </si>
  <si>
    <t>Solid Waste Disposal</t>
  </si>
  <si>
    <t>4A</t>
  </si>
  <si>
    <t>DOC</t>
  </si>
  <si>
    <t>(Gg C/Gg waste)</t>
  </si>
  <si>
    <t>W i</t>
  </si>
  <si>
    <t>DOC i</t>
  </si>
  <si>
    <t>TOTAL</t>
  </si>
  <si>
    <t>1 of 2  Estimation of DOC Factor</t>
  </si>
  <si>
    <t>Jakarta</t>
  </si>
  <si>
    <t>Study of JICA (Jakarta, Surabaya, Medan, Makassar)</t>
  </si>
  <si>
    <t>Bandung, Study of ITB</t>
  </si>
  <si>
    <t>Total Organically degradable material in wastewater</t>
  </si>
  <si>
    <r>
      <t>Latrine (</t>
    </r>
    <r>
      <rPr>
        <i/>
        <sz val="10"/>
        <rFont val="Arial"/>
        <family val="2"/>
      </rPr>
      <t>dry climate, ground water table lower than latrine, small family 3-5 persons</t>
    </r>
    <r>
      <rPr>
        <sz val="10"/>
        <rFont val="Arial"/>
        <family val="2"/>
      </rPr>
      <t>)</t>
    </r>
  </si>
  <si>
    <r>
      <t>Anaerobic digestion at biogas facilities</t>
    </r>
    <r>
      <rPr>
        <b/>
        <vertAlign val="superscript"/>
        <sz val="10"/>
        <color indexed="51"/>
        <rFont val="Arial"/>
        <family val="2"/>
      </rPr>
      <t>2</t>
    </r>
  </si>
  <si>
    <t>tahun</t>
  </si>
  <si>
    <t>pehitungan ini dibuat per tahun</t>
  </si>
  <si>
    <t>Rekapitulasi emisi CO2 (Gg CO2)</t>
  </si>
  <si>
    <t>Methane Emission factor        =</t>
  </si>
  <si>
    <t>gram/t MSW wet weight</t>
  </si>
  <si>
    <t>g N2O/kg dry matter</t>
  </si>
  <si>
    <t>Nitrous Oxide emission factor value =</t>
  </si>
  <si>
    <t>Degradable Organic component =</t>
  </si>
  <si>
    <t>gram/(person.day)</t>
  </si>
  <si>
    <t>Nilai TOW</t>
  </si>
  <si>
    <t>Rekapitulasi emisi CH4 (Gg CH4)</t>
  </si>
  <si>
    <t>untuk komposting isi dengan 0</t>
  </si>
  <si>
    <t>Tahun</t>
  </si>
  <si>
    <t>B = A x 21</t>
  </si>
  <si>
    <t>D = C x 310</t>
  </si>
  <si>
    <t>E = B+D</t>
  </si>
  <si>
    <t xml:space="preserve"> Emisi GRK Dari Pembakaran Sampah</t>
  </si>
  <si>
    <t xml:space="preserve"> Emisi GRK dari komposting </t>
  </si>
  <si>
    <t>Rekapitulasi   BaU Baseline Emisi GRK dari Pengomposan Sampah</t>
  </si>
  <si>
    <t xml:space="preserve"> Rekapitulasi BaU Baseline Emisi GRK dari Aktifitas Pembakaran Terbuka </t>
  </si>
  <si>
    <t>Jumlah sampah yang dibakar</t>
  </si>
  <si>
    <t>perhitungan ini dibuat per tahun</t>
  </si>
  <si>
    <t>Rekapitulasi BaU Baseline Emisi GRK dari Pengelolaan Air Limbah Domestik</t>
  </si>
  <si>
    <t>SUB TOTAL PADA TAHUN 2011</t>
  </si>
  <si>
    <t>SUB TOTAL PADA TAHUN 2012</t>
  </si>
  <si>
    <t>SUB TOTAL PADA TAHUN 2013</t>
  </si>
  <si>
    <t>SUB TOTAL PADA TAHUN 2014</t>
  </si>
  <si>
    <t>SUB TOTAL PADA TAHUN 2015</t>
  </si>
  <si>
    <t>SUB TOTAL PADA TAHUN 2016</t>
  </si>
  <si>
    <t>SUB TOTAL PADA TAHUN 2017</t>
  </si>
  <si>
    <t>SUB TOTAL PADA TAHUN 2018</t>
  </si>
  <si>
    <t>SUB TOTAL PADA TAHUN 2019</t>
  </si>
  <si>
    <t>SUB TOTAL PADA TAHUN 2020</t>
  </si>
  <si>
    <t>SUB TOTAL PADA TAHUN 2021</t>
  </si>
  <si>
    <t>SUB TOTAL PADA TAHUN 2022</t>
  </si>
  <si>
    <t>SUB TOTAL PADA TAHUN 2023</t>
  </si>
  <si>
    <t>SUB TOTAL PADA TAHUN 2024</t>
  </si>
  <si>
    <t>SUB TOTAL PADA TAHUN 2025</t>
  </si>
  <si>
    <t>SUB TOTAL PADA TAHUN 2026</t>
  </si>
  <si>
    <t>SUB TOTAL PADA TAHUN 2027</t>
  </si>
  <si>
    <t>SUB TOTAL PADA TAHUN 2028</t>
  </si>
  <si>
    <t>SUB TOTAL PADA TAHUN 2029</t>
  </si>
  <si>
    <t>SUB TOTAL PADA TAHUN 2030</t>
  </si>
  <si>
    <t>Total 2011</t>
  </si>
  <si>
    <t>Total 2012</t>
  </si>
  <si>
    <t>Total 2013</t>
  </si>
  <si>
    <t>Total 2014</t>
  </si>
  <si>
    <t>Total 2015</t>
  </si>
  <si>
    <t>Total 2016</t>
  </si>
  <si>
    <t>Total 2017</t>
  </si>
  <si>
    <t>Total 2018</t>
  </si>
  <si>
    <t>Total 2019</t>
  </si>
  <si>
    <t>Total 2020</t>
  </si>
  <si>
    <t>Total 2021</t>
  </si>
  <si>
    <t>Total 2022</t>
  </si>
  <si>
    <t>Total 2023</t>
  </si>
  <si>
    <t>Total 2024</t>
  </si>
  <si>
    <t>Total 2025</t>
  </si>
  <si>
    <t>Total 2026</t>
  </si>
  <si>
    <t>Total 2027</t>
  </si>
  <si>
    <t>Total 2028</t>
  </si>
  <si>
    <t>Total 2029</t>
  </si>
  <si>
    <t>Total 2030</t>
  </si>
  <si>
    <r>
      <t>Emisi CH</t>
    </r>
    <r>
      <rPr>
        <vertAlign val="subscript"/>
        <sz val="10"/>
        <color indexed="9"/>
        <rFont val="Arial"/>
        <family val="2"/>
      </rPr>
      <t>4</t>
    </r>
  </si>
  <si>
    <r>
      <t>Emisi N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O</t>
    </r>
  </si>
  <si>
    <r>
      <t>Total Gg CO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eq</t>
    </r>
  </si>
  <si>
    <r>
      <t>Gg CH</t>
    </r>
    <r>
      <rPr>
        <vertAlign val="subscript"/>
        <sz val="10"/>
        <color indexed="9"/>
        <rFont val="Arial"/>
        <family val="2"/>
      </rPr>
      <t>4</t>
    </r>
  </si>
  <si>
    <r>
      <t>Gg CO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eq</t>
    </r>
  </si>
  <si>
    <r>
      <t>Gg N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O</t>
    </r>
  </si>
  <si>
    <r>
      <t>Emisi CO</t>
    </r>
    <r>
      <rPr>
        <vertAlign val="subscript"/>
        <sz val="10"/>
        <color indexed="9"/>
        <rFont val="Arial"/>
        <family val="2"/>
      </rPr>
      <t>2</t>
    </r>
  </si>
  <si>
    <r>
      <t>Gg CO</t>
    </r>
    <r>
      <rPr>
        <vertAlign val="subscript"/>
        <sz val="10"/>
        <color indexed="9"/>
        <rFont val="Arial"/>
        <family val="2"/>
      </rPr>
      <t>2</t>
    </r>
  </si>
  <si>
    <r>
      <t>Emisi CH</t>
    </r>
    <r>
      <rPr>
        <vertAlign val="subscript"/>
        <sz val="10"/>
        <rFont val="Arial"/>
        <family val="2"/>
      </rPr>
      <t>4</t>
    </r>
  </si>
  <si>
    <r>
      <t>Emisi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</si>
  <si>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r>
      <t>Gg CH</t>
    </r>
    <r>
      <rPr>
        <vertAlign val="subscript"/>
        <sz val="10"/>
        <rFont val="Arial"/>
        <family val="2"/>
      </rPr>
      <t>4</t>
    </r>
  </si>
  <si>
    <r>
      <t>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eq (hasil konversi dari 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</si>
  <si>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</si>
  <si>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r>
      <t>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eq (hasil konversi dari 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</si>
  <si>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eq (hasil penjumlahan)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</si>
</sst>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0.000"/>
    <numFmt numFmtId="165" formatCode="#,##0.000"/>
    <numFmt numFmtId="166" formatCode="_-* #,##0.000_-;\-* #,##0.000_-;_-* &quot;-&quot;??_-;_-@_-"/>
    <numFmt numFmtId="167" formatCode="_-* #,##0_-;\-* #,##0_-;_-* &quot;-&quot;??_-;_-@_-"/>
    <numFmt numFmtId="168" formatCode="_-* #,##0.0000_-;\-* #,##0.0000_-;_-* &quot;-&quot;??_-;_-@_-"/>
    <numFmt numFmtId="169" formatCode="0.00000"/>
    <numFmt numFmtId="170" formatCode="_-* #,##0.00000_-;\-* #,##0.00000_-;_-* &quot;-&quot;??_-;_-@_-"/>
  </numFmts>
  <fonts count="58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GillSans"/>
    </font>
    <font>
      <b/>
      <vertAlign val="subscript"/>
      <sz val="10"/>
      <name val="Arial"/>
      <family val="2"/>
    </font>
    <font>
      <b/>
      <sz val="9"/>
      <color indexed="9"/>
      <name val="GillSans"/>
    </font>
    <font>
      <b/>
      <sz val="10"/>
      <color indexed="9"/>
      <name val="GillSans"/>
    </font>
    <font>
      <sz val="10"/>
      <name val="Arial"/>
      <family val="2"/>
    </font>
    <font>
      <sz val="10"/>
      <name val="GillSans"/>
    </font>
    <font>
      <b/>
      <vertAlign val="superscript"/>
      <sz val="10"/>
      <name val="Arial"/>
      <family val="2"/>
    </font>
    <font>
      <vertAlign val="superscript"/>
      <sz val="10"/>
      <name val="GillSans"/>
    </font>
    <font>
      <vertAlign val="subscript"/>
      <sz val="10"/>
      <name val="GillSans"/>
    </font>
    <font>
      <sz val="8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vertAlign val="subscript"/>
      <sz val="8"/>
      <name val="Arial"/>
      <family val="2"/>
    </font>
    <font>
      <sz val="8"/>
      <name val="Times New Roman"/>
      <family val="1"/>
    </font>
    <font>
      <sz val="9"/>
      <name val="Arial"/>
      <family val="2"/>
    </font>
    <font>
      <vertAlign val="superscript"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0"/>
      <name val="GillSans"/>
    </font>
    <font>
      <vertAlign val="superscript"/>
      <sz val="10"/>
      <color indexed="10"/>
      <name val="GillSans"/>
    </font>
    <font>
      <sz val="10"/>
      <color indexed="18"/>
      <name val="GillSan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10"/>
      <name val="GillSans"/>
      <charset val="1"/>
    </font>
    <font>
      <i/>
      <sz val="10"/>
      <name val="Arial"/>
      <family val="2"/>
    </font>
    <font>
      <b/>
      <vertAlign val="superscript"/>
      <sz val="10"/>
      <color indexed="51"/>
      <name val="Arial"/>
      <family val="2"/>
    </font>
    <font>
      <b/>
      <sz val="10"/>
      <color rgb="FFFFC000"/>
      <name val="Arial"/>
      <family val="2"/>
    </font>
    <font>
      <sz val="10"/>
      <color rgb="FFFF0000"/>
      <name val="GillSans"/>
    </font>
    <font>
      <b/>
      <sz val="10"/>
      <color rgb="FF00B050"/>
      <name val="Arial"/>
      <family val="2"/>
    </font>
    <font>
      <b/>
      <sz val="10"/>
      <color rgb="FFC00000"/>
      <name val="Arial"/>
      <family val="2"/>
    </font>
    <font>
      <b/>
      <sz val="10"/>
      <color rgb="FF0070C0"/>
      <name val="Arial"/>
      <family val="2"/>
    </font>
    <font>
      <sz val="10"/>
      <color theme="0"/>
      <name val="Arial"/>
      <family val="2"/>
    </font>
    <font>
      <vertAlign val="subscript"/>
      <sz val="10"/>
      <color indexed="9"/>
      <name val="Arial"/>
      <family val="2"/>
    </font>
    <font>
      <sz val="10"/>
      <color indexed="9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43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28" fillId="3" borderId="0" applyNumberFormat="0" applyBorder="0" applyAlignment="0" applyProtection="0"/>
    <xf numFmtId="0" fontId="29" fillId="20" borderId="1" applyNumberFormat="0" applyAlignment="0" applyProtection="0"/>
    <xf numFmtId="0" fontId="30" fillId="21" borderId="2" applyNumberFormat="0" applyAlignment="0" applyProtection="0"/>
    <xf numFmtId="43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4" borderId="0" applyNumberFormat="0" applyBorder="0" applyAlignment="0" applyProtection="0"/>
    <xf numFmtId="0" fontId="33" fillId="0" borderId="3" applyNumberFormat="0" applyFill="0" applyAlignment="0" applyProtection="0"/>
    <xf numFmtId="0" fontId="34" fillId="0" borderId="4" applyNumberFormat="0" applyFill="0" applyAlignment="0" applyProtection="0"/>
    <xf numFmtId="0" fontId="35" fillId="0" borderId="5" applyNumberFormat="0" applyFill="0" applyAlignment="0" applyProtection="0"/>
    <xf numFmtId="0" fontId="35" fillId="0" borderId="0" applyNumberFormat="0" applyFill="0" applyBorder="0" applyAlignment="0" applyProtection="0"/>
    <xf numFmtId="0" fontId="36" fillId="7" borderId="1" applyNumberFormat="0" applyAlignment="0" applyProtection="0"/>
    <xf numFmtId="0" fontId="37" fillId="0" borderId="6" applyNumberFormat="0" applyFill="0" applyAlignment="0" applyProtection="0"/>
    <xf numFmtId="0" fontId="38" fillId="22" borderId="0" applyNumberFormat="0" applyBorder="0" applyAlignment="0" applyProtection="0"/>
    <xf numFmtId="0" fontId="7" fillId="23" borderId="7" applyNumberFormat="0" applyFont="0" applyAlignment="0" applyProtection="0"/>
    <xf numFmtId="0" fontId="39" fillId="20" borderId="8" applyNumberFormat="0" applyAlignment="0" applyProtection="0"/>
    <xf numFmtId="0" fontId="40" fillId="0" borderId="0" applyNumberFormat="0" applyFill="0" applyBorder="0" applyAlignment="0" applyProtection="0"/>
    <xf numFmtId="0" fontId="41" fillId="0" borderId="9" applyNumberFormat="0" applyFill="0" applyAlignment="0" applyProtection="0"/>
    <xf numFmtId="0" fontId="42" fillId="0" borderId="0" applyNumberFormat="0" applyFill="0" applyBorder="0" applyAlignment="0" applyProtection="0"/>
  </cellStyleXfs>
  <cellXfs count="288">
    <xf numFmtId="0" fontId="0" fillId="0" borderId="0" xfId="0"/>
    <xf numFmtId="0" fontId="8" fillId="0" borderId="15" xfId="0" applyFont="1" applyBorder="1" applyAlignment="1">
      <alignment horizontal="center" vertical="center" wrapText="1"/>
    </xf>
    <xf numFmtId="0" fontId="7" fillId="0" borderId="12" xfId="0" applyFont="1" applyBorder="1" applyAlignment="1">
      <alignment vertical="center"/>
    </xf>
    <xf numFmtId="0" fontId="2" fillId="0" borderId="14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7" fillId="0" borderId="1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165" fontId="7" fillId="0" borderId="21" xfId="0" applyNumberFormat="1" applyFont="1" applyBorder="1" applyAlignment="1">
      <alignment vertical="center" wrapText="1"/>
    </xf>
    <xf numFmtId="165" fontId="7" fillId="0" borderId="12" xfId="0" applyNumberFormat="1" applyFont="1" applyBorder="1" applyAlignment="1">
      <alignment vertical="center" wrapText="1"/>
    </xf>
    <xf numFmtId="0" fontId="0" fillId="27" borderId="14" xfId="0" applyFill="1" applyBorder="1"/>
    <xf numFmtId="0" fontId="0" fillId="27" borderId="0" xfId="0" applyFill="1"/>
    <xf numFmtId="0" fontId="19" fillId="0" borderId="12" xfId="0" applyNumberFormat="1" applyFont="1" applyBorder="1" applyAlignment="1" applyProtection="1">
      <alignment horizontal="center" vertical="center"/>
    </xf>
    <xf numFmtId="0" fontId="19" fillId="0" borderId="17" xfId="0" quotePrefix="1" applyNumberFormat="1" applyFont="1" applyBorder="1" applyAlignment="1" applyProtection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/>
    <xf numFmtId="0" fontId="0" fillId="0" borderId="13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19" fillId="0" borderId="17" xfId="0" applyNumberFormat="1" applyFont="1" applyBorder="1" applyAlignment="1" applyProtection="1">
      <alignment horizontal="center" vertical="top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2" xfId="0" applyNumberFormat="1" applyBorder="1"/>
    <xf numFmtId="165" fontId="7" fillId="0" borderId="19" xfId="0" applyNumberFormat="1" applyFont="1" applyBorder="1" applyAlignment="1">
      <alignment vertical="top" wrapText="1"/>
    </xf>
    <xf numFmtId="0" fontId="0" fillId="0" borderId="15" xfId="0" applyBorder="1" applyAlignment="1">
      <alignment vertical="center"/>
    </xf>
    <xf numFmtId="165" fontId="2" fillId="0" borderId="12" xfId="0" applyNumberFormat="1" applyFont="1" applyBorder="1"/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1" xfId="0" applyBorder="1"/>
    <xf numFmtId="2" fontId="7" fillId="0" borderId="12" xfId="0" applyNumberFormat="1" applyFont="1" applyBorder="1" applyAlignment="1">
      <alignment vertical="center" wrapText="1"/>
    </xf>
    <xf numFmtId="2" fontId="7" fillId="0" borderId="21" xfId="0" applyNumberFormat="1" applyFont="1" applyBorder="1" applyAlignment="1">
      <alignment vertical="center" wrapText="1"/>
    </xf>
    <xf numFmtId="165" fontId="1" fillId="0" borderId="12" xfId="0" applyNumberFormat="1" applyFont="1" applyBorder="1"/>
    <xf numFmtId="165" fontId="2" fillId="0" borderId="12" xfId="0" applyNumberFormat="1" applyFont="1" applyFill="1" applyBorder="1"/>
    <xf numFmtId="0" fontId="48" fillId="0" borderId="12" xfId="0" applyFont="1" applyBorder="1" applyAlignment="1">
      <alignment vertical="center" wrapText="1"/>
    </xf>
    <xf numFmtId="0" fontId="7" fillId="28" borderId="21" xfId="0" applyFont="1" applyFill="1" applyBorder="1" applyAlignment="1">
      <alignment vertical="center" wrapText="1"/>
    </xf>
    <xf numFmtId="2" fontId="7" fillId="28" borderId="16" xfId="0" applyNumberFormat="1" applyFont="1" applyFill="1" applyBorder="1" applyAlignment="1">
      <alignment vertical="center" wrapText="1"/>
    </xf>
    <xf numFmtId="0" fontId="7" fillId="28" borderId="12" xfId="0" applyFont="1" applyFill="1" applyBorder="1" applyAlignment="1">
      <alignment vertical="center" wrapText="1"/>
    </xf>
    <xf numFmtId="2" fontId="7" fillId="28" borderId="15" xfId="0" applyNumberFormat="1" applyFont="1" applyFill="1" applyBorder="1" applyAlignment="1">
      <alignment vertical="center" wrapText="1"/>
    </xf>
    <xf numFmtId="2" fontId="7" fillId="28" borderId="12" xfId="0" applyNumberFormat="1" applyFont="1" applyFill="1" applyBorder="1" applyAlignment="1">
      <alignment vertical="center" wrapText="1"/>
    </xf>
    <xf numFmtId="0" fontId="7" fillId="30" borderId="16" xfId="0" applyFont="1" applyFill="1" applyBorder="1" applyAlignment="1">
      <alignment vertical="center" wrapText="1"/>
    </xf>
    <xf numFmtId="0" fontId="7" fillId="30" borderId="15" xfId="0" applyFont="1" applyFill="1" applyBorder="1" applyAlignment="1">
      <alignment vertical="center" wrapText="1"/>
    </xf>
    <xf numFmtId="0" fontId="7" fillId="30" borderId="12" xfId="0" applyFont="1" applyFill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5" fillId="24" borderId="10" xfId="0" applyFont="1" applyFill="1" applyBorder="1" applyAlignment="1">
      <alignment horizontal="center" vertical="center" wrapText="1"/>
    </xf>
    <xf numFmtId="0" fontId="5" fillId="24" borderId="11" xfId="0" applyFont="1" applyFill="1" applyBorder="1" applyAlignment="1">
      <alignment horizontal="center" vertical="center" wrapText="1"/>
    </xf>
    <xf numFmtId="0" fontId="6" fillId="24" borderId="11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justify" vertical="center" wrapText="1"/>
    </xf>
    <xf numFmtId="0" fontId="8" fillId="25" borderId="12" xfId="0" applyFont="1" applyFill="1" applyBorder="1" applyAlignment="1">
      <alignment horizontal="justify" vertical="center" wrapText="1"/>
    </xf>
    <xf numFmtId="0" fontId="8" fillId="0" borderId="12" xfId="0" applyFont="1" applyBorder="1" applyAlignment="1">
      <alignment horizontal="justify" vertical="center" wrapText="1"/>
    </xf>
    <xf numFmtId="164" fontId="8" fillId="28" borderId="12" xfId="0" applyNumberFormat="1" applyFont="1" applyFill="1" applyBorder="1" applyAlignment="1">
      <alignment horizontal="right" vertical="center" wrapText="1"/>
    </xf>
    <xf numFmtId="0" fontId="8" fillId="0" borderId="12" xfId="0" applyFont="1" applyBorder="1" applyAlignment="1">
      <alignment horizontal="right" vertical="center" wrapText="1"/>
    </xf>
    <xf numFmtId="164" fontId="8" fillId="0" borderId="12" xfId="0" applyNumberFormat="1" applyFont="1" applyBorder="1" applyAlignment="1">
      <alignment horizontal="right" vertical="center" wrapText="1"/>
    </xf>
    <xf numFmtId="0" fontId="49" fillId="25" borderId="12" xfId="0" applyFont="1" applyFill="1" applyBorder="1" applyAlignment="1">
      <alignment horizontal="justify" vertical="center" wrapText="1"/>
    </xf>
    <xf numFmtId="166" fontId="2" fillId="0" borderId="12" xfId="28" applyNumberFormat="1" applyFont="1" applyBorder="1" applyAlignment="1">
      <alignment vertical="center" wrapText="1"/>
    </xf>
    <xf numFmtId="0" fontId="5" fillId="24" borderId="12" xfId="0" applyFont="1" applyFill="1" applyBorder="1" applyAlignment="1">
      <alignment horizontal="center" vertical="center" wrapText="1"/>
    </xf>
    <xf numFmtId="0" fontId="6" fillId="24" borderId="12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vertical="center" wrapText="1"/>
    </xf>
    <xf numFmtId="0" fontId="23" fillId="0" borderId="13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right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3" xfId="0" applyFont="1" applyBorder="1" applyAlignment="1">
      <alignment vertical="center" wrapText="1"/>
    </xf>
    <xf numFmtId="0" fontId="7" fillId="0" borderId="21" xfId="0" applyFont="1" applyBorder="1" applyAlignment="1">
      <alignment vertical="center" wrapText="1"/>
    </xf>
    <xf numFmtId="167" fontId="7" fillId="28" borderId="12" xfId="28" applyNumberFormat="1" applyFont="1" applyFill="1" applyBorder="1" applyAlignment="1">
      <alignment vertical="center" wrapText="1"/>
    </xf>
    <xf numFmtId="43" fontId="7" fillId="0" borderId="14" xfId="28" applyNumberFormat="1" applyFont="1" applyBorder="1" applyAlignment="1">
      <alignment vertical="center" wrapText="1"/>
    </xf>
    <xf numFmtId="43" fontId="7" fillId="0" borderId="12" xfId="28" applyNumberFormat="1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26" borderId="12" xfId="0" applyFont="1" applyFill="1" applyBorder="1" applyAlignment="1">
      <alignment horizontal="center" vertical="center" wrapText="1"/>
    </xf>
    <xf numFmtId="164" fontId="7" fillId="28" borderId="12" xfId="0" applyNumberFormat="1" applyFont="1" applyFill="1" applyBorder="1" applyAlignment="1">
      <alignment vertical="center" wrapText="1"/>
    </xf>
    <xf numFmtId="164" fontId="7" fillId="0" borderId="12" xfId="0" applyNumberFormat="1" applyFont="1" applyBorder="1" applyAlignment="1">
      <alignment horizontal="right" vertical="center" wrapText="1"/>
    </xf>
    <xf numFmtId="2" fontId="7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horizontal="center" vertical="center"/>
    </xf>
    <xf numFmtId="0" fontId="2" fillId="0" borderId="1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43" fontId="0" fillId="0" borderId="12" xfId="28" applyFont="1" applyBorder="1" applyAlignment="1">
      <alignment horizontal="center" vertical="center"/>
    </xf>
    <xf numFmtId="43" fontId="2" fillId="0" borderId="12" xfId="28" applyFont="1" applyBorder="1" applyAlignment="1">
      <alignment vertical="center" wrapText="1"/>
    </xf>
    <xf numFmtId="43" fontId="0" fillId="0" borderId="12" xfId="28" applyFont="1" applyBorder="1" applyAlignment="1">
      <alignment vertical="center"/>
    </xf>
    <xf numFmtId="1" fontId="53" fillId="34" borderId="12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164" fontId="7" fillId="0" borderId="21" xfId="0" applyNumberFormat="1" applyFont="1" applyBorder="1" applyAlignment="1">
      <alignment horizontal="right" vertical="center" wrapText="1"/>
    </xf>
    <xf numFmtId="164" fontId="7" fillId="0" borderId="15" xfId="0" applyNumberFormat="1" applyFont="1" applyBorder="1" applyAlignment="1">
      <alignment horizontal="right" vertical="center" wrapText="1"/>
    </xf>
    <xf numFmtId="43" fontId="7" fillId="0" borderId="21" xfId="28" applyFont="1" applyBorder="1" applyAlignment="1">
      <alignment horizontal="center" vertical="center" wrapText="1"/>
    </xf>
    <xf numFmtId="43" fontId="7" fillId="0" borderId="12" xfId="28" applyFont="1" applyBorder="1" applyAlignment="1">
      <alignment horizontal="center" vertical="center" wrapText="1"/>
    </xf>
    <xf numFmtId="43" fontId="7" fillId="0" borderId="15" xfId="28" applyFont="1" applyBorder="1" applyAlignment="1">
      <alignment horizontal="center" vertical="center" wrapText="1"/>
    </xf>
    <xf numFmtId="0" fontId="2" fillId="0" borderId="12" xfId="0" applyFont="1" applyBorder="1" applyAlignment="1">
      <alignment horizontal="right" vertical="center" wrapText="1"/>
    </xf>
    <xf numFmtId="0" fontId="7" fillId="29" borderId="15" xfId="0" applyFont="1" applyFill="1" applyBorder="1" applyAlignment="1">
      <alignment vertical="center" wrapText="1"/>
    </xf>
    <xf numFmtId="3" fontId="7" fillId="0" borderId="15" xfId="0" applyNumberFormat="1" applyFont="1" applyBorder="1" applyAlignment="1">
      <alignment vertical="center" wrapText="1"/>
    </xf>
    <xf numFmtId="167" fontId="7" fillId="0" borderId="12" xfId="28" applyNumberFormat="1" applyFont="1" applyFill="1" applyBorder="1" applyAlignment="1">
      <alignment vertical="center" wrapText="1"/>
    </xf>
    <xf numFmtId="0" fontId="7" fillId="0" borderId="19" xfId="0" applyFont="1" applyBorder="1" applyAlignment="1">
      <alignment vertical="center" wrapText="1"/>
    </xf>
    <xf numFmtId="0" fontId="7" fillId="0" borderId="20" xfId="0" applyFont="1" applyBorder="1" applyAlignment="1">
      <alignment vertical="center" wrapText="1"/>
    </xf>
    <xf numFmtId="0" fontId="0" fillId="26" borderId="12" xfId="0" applyFill="1" applyBorder="1" applyAlignment="1">
      <alignment vertical="center"/>
    </xf>
    <xf numFmtId="3" fontId="0" fillId="0" borderId="12" xfId="0" applyNumberFormat="1" applyBorder="1" applyAlignment="1">
      <alignment horizontal="center" vertical="center"/>
    </xf>
    <xf numFmtId="165" fontId="7" fillId="0" borderId="12" xfId="0" applyNumberFormat="1" applyFont="1" applyBorder="1" applyAlignment="1">
      <alignment horizontal="right" vertical="center" wrapText="1"/>
    </xf>
    <xf numFmtId="165" fontId="2" fillId="0" borderId="12" xfId="0" applyNumberFormat="1" applyFont="1" applyBorder="1" applyAlignment="1">
      <alignment horizontal="right" vertical="center" wrapText="1"/>
    </xf>
    <xf numFmtId="1" fontId="53" fillId="34" borderId="17" xfId="0" applyNumberFormat="1" applyFont="1" applyFill="1" applyBorder="1" applyAlignment="1">
      <alignment vertical="center" wrapText="1"/>
    </xf>
    <xf numFmtId="1" fontId="53" fillId="34" borderId="17" xfId="0" applyNumberFormat="1" applyFont="1" applyFill="1" applyBorder="1" applyAlignment="1">
      <alignment wrapText="1"/>
    </xf>
    <xf numFmtId="0" fontId="3" fillId="24" borderId="12" xfId="0" applyFont="1" applyFill="1" applyBorder="1" applyAlignment="1">
      <alignment horizontal="right" vertical="center" wrapText="1"/>
    </xf>
    <xf numFmtId="3" fontId="0" fillId="0" borderId="12" xfId="0" applyNumberFormat="1" applyFill="1" applyBorder="1" applyAlignment="1">
      <alignment vertical="center"/>
    </xf>
    <xf numFmtId="164" fontId="45" fillId="28" borderId="12" xfId="0" applyNumberFormat="1" applyFont="1" applyFill="1" applyBorder="1" applyAlignment="1">
      <alignment vertical="center" wrapText="1"/>
    </xf>
    <xf numFmtId="3" fontId="8" fillId="0" borderId="12" xfId="0" applyNumberFormat="1" applyFont="1" applyBorder="1" applyAlignment="1">
      <alignment horizontal="right" vertical="center" wrapText="1"/>
    </xf>
    <xf numFmtId="0" fontId="8" fillId="0" borderId="22" xfId="0" applyFont="1" applyBorder="1" applyAlignment="1">
      <alignment horizontal="center" vertical="center" wrapText="1"/>
    </xf>
    <xf numFmtId="165" fontId="8" fillId="0" borderId="21" xfId="0" applyNumberFormat="1" applyFont="1" applyBorder="1" applyAlignment="1">
      <alignment vertical="center" wrapText="1"/>
    </xf>
    <xf numFmtId="165" fontId="8" fillId="0" borderId="21" xfId="0" applyNumberFormat="1" applyFont="1" applyBorder="1" applyAlignment="1">
      <alignment horizontal="right" vertical="center" wrapText="1"/>
    </xf>
    <xf numFmtId="165" fontId="8" fillId="0" borderId="21" xfId="0" applyNumberFormat="1" applyFont="1" applyBorder="1" applyAlignment="1">
      <alignment horizontal="center" vertical="center" wrapText="1"/>
    </xf>
    <xf numFmtId="164" fontId="2" fillId="0" borderId="17" xfId="0" applyNumberFormat="1" applyFont="1" applyBorder="1" applyAlignment="1">
      <alignment vertical="center"/>
    </xf>
    <xf numFmtId="165" fontId="8" fillId="0" borderId="12" xfId="0" applyNumberFormat="1" applyFont="1" applyBorder="1" applyAlignment="1">
      <alignment vertical="center" wrapText="1"/>
    </xf>
    <xf numFmtId="165" fontId="8" fillId="0" borderId="12" xfId="0" applyNumberFormat="1" applyFont="1" applyBorder="1" applyAlignment="1">
      <alignment horizontal="right" vertical="center" wrapText="1"/>
    </xf>
    <xf numFmtId="165" fontId="8" fillId="0" borderId="12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vertical="center"/>
    </xf>
    <xf numFmtId="165" fontId="8" fillId="0" borderId="15" xfId="0" applyNumberFormat="1" applyFont="1" applyBorder="1" applyAlignment="1">
      <alignment vertical="center" wrapText="1"/>
    </xf>
    <xf numFmtId="0" fontId="50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165" fontId="0" fillId="0" borderId="12" xfId="0" applyNumberFormat="1" applyBorder="1" applyAlignment="1">
      <alignment vertical="center"/>
    </xf>
    <xf numFmtId="43" fontId="8" fillId="28" borderId="12" xfId="28" applyFont="1" applyFill="1" applyBorder="1" applyAlignment="1">
      <alignment horizontal="right" vertical="center" wrapText="1"/>
    </xf>
    <xf numFmtId="43" fontId="8" fillId="0" borderId="12" xfId="28" applyFont="1" applyBorder="1" applyAlignment="1">
      <alignment horizontal="right" vertical="center" wrapText="1"/>
    </xf>
    <xf numFmtId="0" fontId="7" fillId="28" borderId="14" xfId="0" applyFont="1" applyFill="1" applyBorder="1" applyAlignment="1">
      <alignment horizontal="center" vertical="center" wrapText="1"/>
    </xf>
    <xf numFmtId="166" fontId="1" fillId="0" borderId="12" xfId="28" applyNumberFormat="1" applyFont="1" applyBorder="1" applyAlignment="1">
      <alignment vertical="center"/>
    </xf>
    <xf numFmtId="0" fontId="14" fillId="26" borderId="12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7" fillId="0" borderId="12" xfId="0" applyFont="1" applyBorder="1" applyAlignment="1">
      <alignment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168" fontId="7" fillId="0" borderId="12" xfId="28" applyNumberFormat="1" applyFont="1" applyBorder="1" applyAlignment="1">
      <alignment horizontal="right" vertical="center" wrapText="1"/>
    </xf>
    <xf numFmtId="168" fontId="7" fillId="0" borderId="15" xfId="28" applyNumberFormat="1" applyFont="1" applyBorder="1" applyAlignment="1">
      <alignment horizontal="right" vertical="center" wrapText="1"/>
    </xf>
    <xf numFmtId="0" fontId="1" fillId="0" borderId="0" xfId="0" applyFont="1" applyAlignment="1">
      <alignment vertical="center"/>
    </xf>
    <xf numFmtId="164" fontId="1" fillId="0" borderId="12" xfId="0" applyNumberFormat="1" applyFont="1" applyBorder="1" applyAlignment="1">
      <alignment vertical="center" wrapText="1"/>
    </xf>
    <xf numFmtId="2" fontId="1" fillId="0" borderId="12" xfId="0" applyNumberFormat="1" applyFont="1" applyBorder="1" applyAlignment="1">
      <alignment vertical="center" wrapText="1"/>
    </xf>
    <xf numFmtId="169" fontId="1" fillId="0" borderId="12" xfId="0" applyNumberFormat="1" applyFont="1" applyBorder="1" applyAlignment="1">
      <alignment vertical="center" wrapText="1"/>
    </xf>
    <xf numFmtId="2" fontId="1" fillId="0" borderId="12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 wrapText="1"/>
    </xf>
    <xf numFmtId="169" fontId="1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/>
    </xf>
    <xf numFmtId="168" fontId="1" fillId="0" borderId="12" xfId="28" applyNumberFormat="1" applyFont="1" applyBorder="1" applyAlignment="1">
      <alignment vertical="center" wrapText="1"/>
    </xf>
    <xf numFmtId="170" fontId="1" fillId="0" borderId="12" xfId="28" applyNumberFormat="1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53" fillId="34" borderId="11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3" fillId="32" borderId="23" xfId="0" applyFont="1" applyFill="1" applyBorder="1" applyAlignment="1">
      <alignment horizontal="center" vertical="center"/>
    </xf>
    <xf numFmtId="0" fontId="53" fillId="32" borderId="11" xfId="0" applyFont="1" applyFill="1" applyBorder="1" applyAlignment="1">
      <alignment horizontal="center" vertical="center" wrapText="1"/>
    </xf>
    <xf numFmtId="0" fontId="1" fillId="31" borderId="25" xfId="0" applyFont="1" applyFill="1" applyBorder="1" applyAlignment="1">
      <alignment horizontal="center" vertical="center" wrapText="1"/>
    </xf>
    <xf numFmtId="0" fontId="1" fillId="31" borderId="24" xfId="0" applyFont="1" applyFill="1" applyBorder="1" applyAlignment="1">
      <alignment horizontal="center" vertical="center" wrapText="1"/>
    </xf>
    <xf numFmtId="0" fontId="2" fillId="35" borderId="24" xfId="0" applyFont="1" applyFill="1" applyBorder="1" applyAlignment="1">
      <alignment horizontal="center" vertical="center" wrapText="1"/>
    </xf>
    <xf numFmtId="0" fontId="1" fillId="33" borderId="23" xfId="0" applyFont="1" applyFill="1" applyBorder="1" applyAlignment="1">
      <alignment horizontal="center" vertical="center" wrapText="1"/>
    </xf>
    <xf numFmtId="0" fontId="1" fillId="31" borderId="23" xfId="0" applyFont="1" applyFill="1" applyBorder="1" applyAlignment="1">
      <alignment horizontal="center" vertical="center" wrapText="1"/>
    </xf>
    <xf numFmtId="0" fontId="1" fillId="35" borderId="23" xfId="0" applyFont="1" applyFill="1" applyBorder="1" applyAlignment="1">
      <alignment horizontal="center" vertical="center" wrapText="1"/>
    </xf>
    <xf numFmtId="0" fontId="56" fillId="33" borderId="23" xfId="0" applyFont="1" applyFill="1" applyBorder="1" applyAlignment="1">
      <alignment horizontal="center" vertical="center" wrapText="1"/>
    </xf>
    <xf numFmtId="0" fontId="56" fillId="31" borderId="27" xfId="0" applyFont="1" applyFill="1" applyBorder="1" applyAlignment="1">
      <alignment horizontal="center" vertical="center" wrapText="1"/>
    </xf>
    <xf numFmtId="0" fontId="56" fillId="31" borderId="23" xfId="0" applyFont="1" applyFill="1" applyBorder="1" applyAlignment="1">
      <alignment horizontal="center" vertical="center" wrapText="1"/>
    </xf>
    <xf numFmtId="0" fontId="57" fillId="35" borderId="23" xfId="0" applyFont="1" applyFill="1" applyBorder="1" applyAlignment="1">
      <alignment horizontal="center" vertical="center" wrapText="1"/>
    </xf>
    <xf numFmtId="0" fontId="56" fillId="33" borderId="11" xfId="0" applyFont="1" applyFill="1" applyBorder="1" applyAlignment="1">
      <alignment horizontal="center" vertical="center" wrapText="1"/>
    </xf>
    <xf numFmtId="0" fontId="56" fillId="31" borderId="28" xfId="0" applyFont="1" applyFill="1" applyBorder="1" applyAlignment="1">
      <alignment horizontal="center" vertical="center" wrapText="1"/>
    </xf>
    <xf numFmtId="0" fontId="56" fillId="31" borderId="11" xfId="0" applyFont="1" applyFill="1" applyBorder="1" applyAlignment="1">
      <alignment horizontal="center" vertical="center" wrapText="1"/>
    </xf>
    <xf numFmtId="0" fontId="57" fillId="35" borderId="11" xfId="0" applyFont="1" applyFill="1" applyBorder="1" applyAlignment="1">
      <alignment horizontal="center" vertical="center" wrapText="1"/>
    </xf>
    <xf numFmtId="166" fontId="56" fillId="0" borderId="12" xfId="28" applyNumberFormat="1" applyFont="1" applyBorder="1" applyAlignment="1">
      <alignment horizontal="right" vertical="center" wrapText="1"/>
    </xf>
    <xf numFmtId="2" fontId="56" fillId="0" borderId="12" xfId="0" applyNumberFormat="1" applyFont="1" applyBorder="1" applyAlignment="1">
      <alignment horizontal="right" vertical="center" wrapText="1"/>
    </xf>
    <xf numFmtId="0" fontId="56" fillId="0" borderId="12" xfId="0" applyFont="1" applyBorder="1" applyAlignment="1">
      <alignment horizontal="right" vertical="center" wrapText="1"/>
    </xf>
    <xf numFmtId="0" fontId="7" fillId="0" borderId="12" xfId="0" applyFont="1" applyBorder="1" applyAlignment="1">
      <alignment vertical="center" wrapText="1"/>
    </xf>
    <xf numFmtId="167" fontId="7" fillId="28" borderId="14" xfId="28" applyNumberFormat="1" applyFont="1" applyFill="1" applyBorder="1" applyAlignment="1">
      <alignment vertical="center" wrapText="1"/>
    </xf>
    <xf numFmtId="43" fontId="2" fillId="0" borderId="12" xfId="28" applyNumberFormat="1" applyFont="1" applyBorder="1" applyAlignment="1">
      <alignment vertical="center" wrapText="1"/>
    </xf>
    <xf numFmtId="43" fontId="0" fillId="0" borderId="12" xfId="28" applyNumberFormat="1" applyFont="1" applyBorder="1" applyAlignment="1">
      <alignment vertical="center"/>
    </xf>
    <xf numFmtId="43" fontId="1" fillId="0" borderId="12" xfId="28" applyNumberFormat="1" applyFont="1" applyBorder="1" applyAlignment="1">
      <alignment vertical="center"/>
    </xf>
    <xf numFmtId="0" fontId="7" fillId="28" borderId="16" xfId="0" applyFont="1" applyFill="1" applyBorder="1" applyAlignment="1">
      <alignment vertical="center" wrapText="1"/>
    </xf>
    <xf numFmtId="164" fontId="45" fillId="36" borderId="12" xfId="0" applyNumberFormat="1" applyFont="1" applyFill="1" applyBorder="1" applyAlignment="1">
      <alignment vertical="center" wrapText="1"/>
    </xf>
    <xf numFmtId="0" fontId="7" fillId="36" borderId="21" xfId="0" applyFont="1" applyFill="1" applyBorder="1" applyAlignment="1">
      <alignment horizontal="center" vertical="center" wrapText="1"/>
    </xf>
    <xf numFmtId="0" fontId="7" fillId="36" borderId="12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right" wrapText="1" indent="1"/>
    </xf>
    <xf numFmtId="0" fontId="2" fillId="0" borderId="12" xfId="0" applyFont="1" applyBorder="1" applyAlignment="1">
      <alignment horizontal="left" wrapText="1" indent="1"/>
    </xf>
    <xf numFmtId="0" fontId="2" fillId="0" borderId="1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25" borderId="19" xfId="0" applyFont="1" applyFill="1" applyBorder="1" applyAlignment="1">
      <alignment horizontal="left"/>
    </xf>
    <xf numFmtId="0" fontId="2" fillId="25" borderId="29" xfId="0" applyFont="1" applyFill="1" applyBorder="1" applyAlignment="1">
      <alignment horizontal="left"/>
    </xf>
    <xf numFmtId="0" fontId="2" fillId="25" borderId="20" xfId="0" applyFont="1" applyFill="1" applyBorder="1" applyAlignment="1">
      <alignment horizontal="left"/>
    </xf>
    <xf numFmtId="165" fontId="2" fillId="25" borderId="12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right" vertical="center" wrapText="1"/>
    </xf>
    <xf numFmtId="0" fontId="2" fillId="25" borderId="19" xfId="0" applyFont="1" applyFill="1" applyBorder="1" applyAlignment="1">
      <alignment horizontal="right" vertical="center" wrapText="1"/>
    </xf>
    <xf numFmtId="0" fontId="2" fillId="25" borderId="29" xfId="0" applyFont="1" applyFill="1" applyBorder="1" applyAlignment="1">
      <alignment horizontal="right" vertical="center" wrapText="1"/>
    </xf>
    <xf numFmtId="0" fontId="2" fillId="25" borderId="20" xfId="0" applyFont="1" applyFill="1" applyBorder="1" applyAlignment="1">
      <alignment horizontal="right" vertical="center" wrapText="1"/>
    </xf>
    <xf numFmtId="0" fontId="2" fillId="0" borderId="38" xfId="0" applyFont="1" applyBorder="1" applyAlignment="1">
      <alignment vertical="center" wrapText="1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0" fontId="12" fillId="0" borderId="30" xfId="0" applyFont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6" fillId="24" borderId="10" xfId="0" applyFont="1" applyFill="1" applyBorder="1" applyAlignment="1">
      <alignment horizontal="center" vertical="center" wrapText="1"/>
    </xf>
    <xf numFmtId="0" fontId="6" fillId="24" borderId="33" xfId="0" applyFont="1" applyFill="1" applyBorder="1" applyAlignment="1">
      <alignment horizontal="center" vertical="center" wrapText="1"/>
    </xf>
    <xf numFmtId="0" fontId="6" fillId="24" borderId="34" xfId="0" applyFont="1" applyFill="1" applyBorder="1" applyAlignment="1">
      <alignment horizontal="center" vertical="center" wrapText="1"/>
    </xf>
    <xf numFmtId="0" fontId="12" fillId="0" borderId="22" xfId="0" applyFont="1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36" xfId="0" applyBorder="1" applyAlignment="1">
      <alignment vertical="center" wrapText="1"/>
    </xf>
    <xf numFmtId="0" fontId="12" fillId="0" borderId="37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8" xfId="0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6" fillId="24" borderId="12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1" fillId="35" borderId="27" xfId="0" applyFont="1" applyFill="1" applyBorder="1" applyAlignment="1">
      <alignment horizontal="center" vertical="center" wrapText="1"/>
    </xf>
    <xf numFmtId="0" fontId="1" fillId="35" borderId="28" xfId="0" applyFont="1" applyFill="1" applyBorder="1" applyAlignment="1">
      <alignment horizontal="center" vertical="center" wrapText="1"/>
    </xf>
    <xf numFmtId="0" fontId="1" fillId="33" borderId="25" xfId="0" applyFont="1" applyFill="1" applyBorder="1" applyAlignment="1">
      <alignment horizontal="center" vertical="center"/>
    </xf>
    <xf numFmtId="0" fontId="1" fillId="33" borderId="24" xfId="0" applyFont="1" applyFill="1" applyBorder="1" applyAlignment="1">
      <alignment horizontal="center" vertical="center"/>
    </xf>
    <xf numFmtId="0" fontId="56" fillId="33" borderId="27" xfId="0" applyFont="1" applyFill="1" applyBorder="1" applyAlignment="1">
      <alignment horizontal="center" vertical="center" wrapText="1"/>
    </xf>
    <xf numFmtId="0" fontId="56" fillId="33" borderId="28" xfId="0" applyFont="1" applyFill="1" applyBorder="1" applyAlignment="1">
      <alignment horizontal="center" vertical="center" wrapText="1"/>
    </xf>
    <xf numFmtId="0" fontId="53" fillId="34" borderId="27" xfId="0" applyFont="1" applyFill="1" applyBorder="1" applyAlignment="1">
      <alignment horizontal="center" vertical="center" wrapText="1"/>
    </xf>
    <xf numFmtId="0" fontId="53" fillId="34" borderId="28" xfId="0" applyFont="1" applyFill="1" applyBorder="1" applyAlignment="1">
      <alignment horizontal="center" vertical="center" wrapText="1"/>
    </xf>
    <xf numFmtId="0" fontId="53" fillId="32" borderId="27" xfId="0" applyFont="1" applyFill="1" applyBorder="1" applyAlignment="1">
      <alignment horizontal="center" vertical="center" wrapText="1"/>
    </xf>
    <xf numFmtId="0" fontId="53" fillId="32" borderId="28" xfId="0" applyFont="1" applyFill="1" applyBorder="1" applyAlignment="1">
      <alignment horizontal="center" vertical="center" wrapText="1"/>
    </xf>
    <xf numFmtId="0" fontId="53" fillId="34" borderId="27" xfId="0" applyFont="1" applyFill="1" applyBorder="1" applyAlignment="1">
      <alignment horizontal="center" vertical="center"/>
    </xf>
    <xf numFmtId="0" fontId="53" fillId="34" borderId="28" xfId="0" applyFont="1" applyFill="1" applyBorder="1" applyAlignment="1">
      <alignment horizontal="center" vertical="center"/>
    </xf>
    <xf numFmtId="0" fontId="53" fillId="34" borderId="25" xfId="0" applyFont="1" applyFill="1" applyBorder="1" applyAlignment="1">
      <alignment horizontal="center" vertical="center"/>
    </xf>
    <xf numFmtId="0" fontId="53" fillId="34" borderId="26" xfId="0" applyFont="1" applyFill="1" applyBorder="1" applyAlignment="1">
      <alignment horizontal="center" vertical="center"/>
    </xf>
    <xf numFmtId="0" fontId="53" fillId="34" borderId="24" xfId="0" applyFont="1" applyFill="1" applyBorder="1" applyAlignment="1">
      <alignment horizontal="center" vertical="center"/>
    </xf>
    <xf numFmtId="0" fontId="53" fillId="32" borderId="27" xfId="0" applyFont="1" applyFill="1" applyBorder="1" applyAlignment="1">
      <alignment horizontal="center" vertical="center"/>
    </xf>
    <xf numFmtId="0" fontId="53" fillId="32" borderId="28" xfId="0" applyFont="1" applyFill="1" applyBorder="1" applyAlignment="1">
      <alignment horizontal="center" vertical="center"/>
    </xf>
    <xf numFmtId="0" fontId="53" fillId="32" borderId="25" xfId="0" applyFont="1" applyFill="1" applyBorder="1" applyAlignment="1">
      <alignment horizontal="center" vertical="center"/>
    </xf>
    <xf numFmtId="0" fontId="53" fillId="32" borderId="26" xfId="0" applyFont="1" applyFill="1" applyBorder="1" applyAlignment="1">
      <alignment horizontal="center" vertical="center"/>
    </xf>
    <xf numFmtId="0" fontId="53" fillId="32" borderId="24" xfId="0" applyFont="1" applyFill="1" applyBorder="1" applyAlignment="1">
      <alignment horizontal="center" vertical="center"/>
    </xf>
    <xf numFmtId="0" fontId="12" fillId="0" borderId="12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14" fillId="26" borderId="12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12" fillId="0" borderId="14" xfId="0" applyFont="1" applyBorder="1" applyAlignment="1">
      <alignment vertical="center" wrapText="1"/>
    </xf>
    <xf numFmtId="0" fontId="0" fillId="0" borderId="14" xfId="0" applyBorder="1" applyAlignment="1">
      <alignment vertical="center"/>
    </xf>
    <xf numFmtId="0" fontId="12" fillId="0" borderId="17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12" fillId="0" borderId="15" xfId="0" applyFont="1" applyBorder="1" applyAlignment="1">
      <alignment vertical="center" wrapText="1"/>
    </xf>
    <xf numFmtId="0" fontId="0" fillId="0" borderId="15" xfId="0" applyBorder="1" applyAlignment="1">
      <alignment vertical="center"/>
    </xf>
    <xf numFmtId="0" fontId="7" fillId="0" borderId="14" xfId="0" applyFont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1" fontId="53" fillId="34" borderId="12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2" xfId="0" applyBorder="1" applyAlignment="1">
      <alignment horizontal="left" vertical="center" wrapText="1"/>
    </xf>
    <xf numFmtId="0" fontId="2" fillId="26" borderId="12" xfId="0" applyFont="1" applyFill="1" applyBorder="1" applyAlignment="1">
      <alignment horizontal="center" vertical="center" wrapText="1"/>
    </xf>
    <xf numFmtId="0" fontId="2" fillId="25" borderId="19" xfId="0" applyFont="1" applyFill="1" applyBorder="1" applyAlignment="1">
      <alignment horizontal="left" vertical="center" wrapText="1"/>
    </xf>
    <xf numFmtId="0" fontId="2" fillId="25" borderId="29" xfId="0" applyFont="1" applyFill="1" applyBorder="1" applyAlignment="1">
      <alignment horizontal="left" vertical="center" wrapText="1"/>
    </xf>
    <xf numFmtId="0" fontId="2" fillId="25" borderId="20" xfId="0" applyFont="1" applyFill="1" applyBorder="1" applyAlignment="1">
      <alignment horizontal="left" vertical="center" wrapText="1"/>
    </xf>
    <xf numFmtId="0" fontId="2" fillId="25" borderId="41" xfId="0" applyFont="1" applyFill="1" applyBorder="1" applyAlignment="1">
      <alignment horizontal="left" vertical="center" wrapText="1"/>
    </xf>
    <xf numFmtId="0" fontId="2" fillId="25" borderId="42" xfId="0" applyFont="1" applyFill="1" applyBorder="1" applyAlignment="1">
      <alignment horizontal="left" vertical="center" wrapText="1"/>
    </xf>
    <xf numFmtId="0" fontId="2" fillId="25" borderId="40" xfId="0" applyFont="1" applyFill="1" applyBorder="1" applyAlignment="1">
      <alignment horizontal="left"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2" fillId="25" borderId="12" xfId="0" applyFont="1" applyFill="1" applyBorder="1" applyAlignment="1">
      <alignment horizontal="right" vertical="center" wrapText="1"/>
    </xf>
    <xf numFmtId="0" fontId="2" fillId="0" borderId="12" xfId="0" applyFont="1" applyBorder="1" applyAlignment="1">
      <alignment horizontal="right" vertical="center" wrapText="1"/>
    </xf>
    <xf numFmtId="0" fontId="0" fillId="0" borderId="12" xfId="0" applyBorder="1" applyAlignment="1">
      <alignment horizontal="right" vertical="center" wrapText="1"/>
    </xf>
    <xf numFmtId="0" fontId="0" fillId="0" borderId="12" xfId="0" applyBorder="1" applyAlignment="1">
      <alignment horizontal="left" vertical="center"/>
    </xf>
    <xf numFmtId="0" fontId="2" fillId="0" borderId="0" xfId="0" applyFont="1" applyBorder="1" applyAlignment="1">
      <alignment horizontal="right" vertical="center" wrapText="1"/>
    </xf>
    <xf numFmtId="1" fontId="53" fillId="34" borderId="14" xfId="0" applyNumberFormat="1" applyFont="1" applyFill="1" applyBorder="1" applyAlignment="1">
      <alignment horizontal="center" vertical="center" wrapText="1"/>
    </xf>
    <xf numFmtId="1" fontId="53" fillId="34" borderId="17" xfId="0" applyNumberFormat="1" applyFont="1" applyFill="1" applyBorder="1" applyAlignment="1">
      <alignment horizontal="center" vertical="center" wrapText="1"/>
    </xf>
    <xf numFmtId="1" fontId="53" fillId="34" borderId="15" xfId="0" applyNumberFormat="1" applyFont="1" applyFill="1" applyBorder="1" applyAlignment="1">
      <alignment horizontal="center" vertical="center" wrapText="1"/>
    </xf>
    <xf numFmtId="0" fontId="6" fillId="24" borderId="12" xfId="0" applyFont="1" applyFill="1" applyBorder="1" applyAlignment="1">
      <alignment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29</xdr:row>
      <xdr:rowOff>57150</xdr:rowOff>
    </xdr:from>
    <xdr:to>
      <xdr:col>5</xdr:col>
      <xdr:colOff>742950</xdr:colOff>
      <xdr:row>31</xdr:row>
      <xdr:rowOff>85725</xdr:rowOff>
    </xdr:to>
    <xdr:sp macro="" textlink="">
      <xdr:nvSpPr>
        <xdr:cNvPr id="2" name="Up Arrow 1">
          <a:extLst>
            <a:ext uri="{FF2B5EF4-FFF2-40B4-BE49-F238E27FC236}">
              <a16:creationId xmlns="" xmlns:a16="http://schemas.microsoft.com/office/drawing/2014/main" id="{70F5B018-3675-4F43-AF95-40606019B04C}"/>
            </a:ext>
          </a:extLst>
        </xdr:cNvPr>
        <xdr:cNvSpPr/>
      </xdr:nvSpPr>
      <xdr:spPr>
        <a:xfrm>
          <a:off x="5476875" y="5219700"/>
          <a:ext cx="381000" cy="3524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30</xdr:row>
      <xdr:rowOff>66675</xdr:rowOff>
    </xdr:from>
    <xdr:to>
      <xdr:col>3</xdr:col>
      <xdr:colOff>638175</xdr:colOff>
      <xdr:row>31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1042B5CC-E64E-4B4C-A337-E8B9754C3DE4}"/>
            </a:ext>
          </a:extLst>
        </xdr:cNvPr>
        <xdr:cNvSpPr txBox="1"/>
      </xdr:nvSpPr>
      <xdr:spPr>
        <a:xfrm>
          <a:off x="2019300" y="6448425"/>
          <a:ext cx="142875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/>
            <a:t>contoh pengisian</a:t>
          </a:r>
        </a:p>
      </xdr:txBody>
    </xdr:sp>
    <xdr:clientData/>
  </xdr:twoCellAnchor>
  <xdr:twoCellAnchor>
    <xdr:from>
      <xdr:col>2</xdr:col>
      <xdr:colOff>704850</xdr:colOff>
      <xdr:row>27</xdr:row>
      <xdr:rowOff>123825</xdr:rowOff>
    </xdr:from>
    <xdr:to>
      <xdr:col>3</xdr:col>
      <xdr:colOff>104775</xdr:colOff>
      <xdr:row>29</xdr:row>
      <xdr:rowOff>123825</xdr:rowOff>
    </xdr:to>
    <xdr:sp macro="" textlink="">
      <xdr:nvSpPr>
        <xdr:cNvPr id="3" name="Up Arrow 2">
          <a:extLst>
            <a:ext uri="{FF2B5EF4-FFF2-40B4-BE49-F238E27FC236}">
              <a16:creationId xmlns="" xmlns:a16="http://schemas.microsoft.com/office/drawing/2014/main" id="{A3EA279C-DD6F-446A-BAAB-BCD07F66F161}"/>
            </a:ext>
          </a:extLst>
        </xdr:cNvPr>
        <xdr:cNvSpPr/>
      </xdr:nvSpPr>
      <xdr:spPr>
        <a:xfrm>
          <a:off x="2638425" y="5267325"/>
          <a:ext cx="276225" cy="3238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5</xdr:col>
      <xdr:colOff>409575</xdr:colOff>
      <xdr:row>27</xdr:row>
      <xdr:rowOff>104774</xdr:rowOff>
    </xdr:from>
    <xdr:to>
      <xdr:col>5</xdr:col>
      <xdr:colOff>828675</xdr:colOff>
      <xdr:row>30</xdr:row>
      <xdr:rowOff>133350</xdr:rowOff>
    </xdr:to>
    <xdr:sp macro="" textlink="">
      <xdr:nvSpPr>
        <xdr:cNvPr id="4" name="Up Arrow 3">
          <a:extLst>
            <a:ext uri="{FF2B5EF4-FFF2-40B4-BE49-F238E27FC236}">
              <a16:creationId xmlns="" xmlns:a16="http://schemas.microsoft.com/office/drawing/2014/main" id="{B37E1307-68CB-4469-A154-3B40CDF969E8}"/>
            </a:ext>
          </a:extLst>
        </xdr:cNvPr>
        <xdr:cNvSpPr/>
      </xdr:nvSpPr>
      <xdr:spPr>
        <a:xfrm>
          <a:off x="4819650" y="5876924"/>
          <a:ext cx="419100" cy="514351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HULU_Hitungan%20Mitigasi_2011-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Rekap BAU_Gabung"/>
      <sheetName val="Frksi pengelolaan smph Mitigasi"/>
      <sheetName val="Rekaptlasi Mitigasi Emisi GRK"/>
    </sheetNames>
    <sheetDataSet>
      <sheetData sheetId="0">
        <row r="5">
          <cell r="B5">
            <v>25319</v>
          </cell>
        </row>
        <row r="6">
          <cell r="B6">
            <v>25522</v>
          </cell>
        </row>
        <row r="7">
          <cell r="B7">
            <v>25678</v>
          </cell>
        </row>
        <row r="8">
          <cell r="B8">
            <v>25894</v>
          </cell>
        </row>
        <row r="9">
          <cell r="B9">
            <v>25970</v>
          </cell>
        </row>
        <row r="10">
          <cell r="B10">
            <v>26089</v>
          </cell>
        </row>
        <row r="11">
          <cell r="B11">
            <v>26285.99</v>
          </cell>
        </row>
        <row r="12">
          <cell r="B12">
            <v>26440.560000000001</v>
          </cell>
        </row>
        <row r="13">
          <cell r="B13">
            <v>26595.13</v>
          </cell>
        </row>
        <row r="14">
          <cell r="B14">
            <v>26749.7</v>
          </cell>
        </row>
        <row r="15">
          <cell r="B15">
            <v>26904.27</v>
          </cell>
        </row>
        <row r="16">
          <cell r="B16">
            <v>27058.84</v>
          </cell>
        </row>
        <row r="17">
          <cell r="B17">
            <v>27213.41</v>
          </cell>
        </row>
        <row r="18">
          <cell r="B18">
            <v>27367.98</v>
          </cell>
        </row>
        <row r="19">
          <cell r="B19">
            <v>27522.55</v>
          </cell>
        </row>
        <row r="20">
          <cell r="B20">
            <v>27677.119999999999</v>
          </cell>
        </row>
        <row r="21">
          <cell r="B21">
            <v>27831.69</v>
          </cell>
        </row>
        <row r="22">
          <cell r="B22">
            <v>27986.26</v>
          </cell>
        </row>
        <row r="23">
          <cell r="B23">
            <v>28140.83</v>
          </cell>
        </row>
        <row r="24">
          <cell r="B24">
            <v>28295.4</v>
          </cell>
        </row>
      </sheetData>
      <sheetData sheetId="1">
        <row r="29">
          <cell r="D29">
            <v>6.4943234999999988E-2</v>
          </cell>
        </row>
        <row r="30">
          <cell r="D30">
            <v>6.5463930000000004E-2</v>
          </cell>
        </row>
        <row r="31">
          <cell r="D31">
            <v>6.5864069999999983E-2</v>
          </cell>
        </row>
        <row r="32">
          <cell r="D32">
            <v>6.6418110000000002E-2</v>
          </cell>
        </row>
        <row r="33">
          <cell r="D33">
            <v>6.6613050000000007E-2</v>
          </cell>
        </row>
        <row r="34">
          <cell r="D34">
            <v>6.6918284999999994E-2</v>
          </cell>
        </row>
        <row r="35">
          <cell r="D35">
            <v>6.9345135933974997E-2</v>
          </cell>
        </row>
        <row r="36">
          <cell r="D36">
            <v>7.1740865299365894E-2</v>
          </cell>
        </row>
        <row r="37">
          <cell r="D37">
            <v>7.4216825651921697E-2</v>
          </cell>
        </row>
        <row r="38">
          <cell r="D38">
            <v>7.6775644226733789E-2</v>
          </cell>
        </row>
        <row r="39">
          <cell r="D39">
            <v>7.9420032843674382E-2</v>
          </cell>
        </row>
        <row r="40">
          <cell r="D40">
            <v>8.2152790594757427E-2</v>
          </cell>
        </row>
        <row r="41">
          <cell r="D41">
            <v>8.497680661597494E-2</v>
          </cell>
        </row>
        <row r="42">
          <cell r="D42">
            <v>8.7895062946241234E-2</v>
          </cell>
        </row>
        <row r="43">
          <cell r="D43">
            <v>9.0910637476158893E-2</v>
          </cell>
        </row>
        <row r="44">
          <cell r="D44">
            <v>9.4026706989403797E-2</v>
          </cell>
        </row>
        <row r="45">
          <cell r="D45">
            <v>9.7246550299613627E-2</v>
          </cell>
        </row>
        <row r="46">
          <cell r="D46">
            <v>0.10057355148575327</v>
          </cell>
        </row>
        <row r="47">
          <cell r="D47">
            <v>0.10401120322902203</v>
          </cell>
        </row>
        <row r="48">
          <cell r="D48">
            <v>0.10752252000000001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M48"/>
  <sheetViews>
    <sheetView topLeftCell="A16" zoomScaleNormal="100" workbookViewId="0">
      <selection activeCell="B39" sqref="B39"/>
    </sheetView>
  </sheetViews>
  <sheetFormatPr defaultRowHeight="12.75"/>
  <cols>
    <col min="1" max="1" width="16.5703125" customWidth="1"/>
    <col min="2" max="2" width="12.7109375" customWidth="1"/>
    <col min="3" max="3" width="15.42578125" customWidth="1"/>
    <col min="4" max="4" width="17" customWidth="1"/>
    <col min="5" max="5" width="3.28515625" hidden="1" customWidth="1"/>
    <col min="6" max="6" width="9.140625" hidden="1" customWidth="1"/>
    <col min="7" max="7" width="23.28515625" hidden="1" customWidth="1"/>
    <col min="13" max="13" width="10" bestFit="1" customWidth="1"/>
  </cols>
  <sheetData>
    <row r="2" spans="1:7">
      <c r="A2" s="187" t="s">
        <v>0</v>
      </c>
      <c r="B2" s="187"/>
      <c r="C2" s="188" t="s">
        <v>1</v>
      </c>
      <c r="D2" s="188"/>
      <c r="E2" s="188"/>
      <c r="F2" s="188"/>
      <c r="G2" s="188"/>
    </row>
    <row r="3" spans="1:7">
      <c r="A3" s="187" t="s">
        <v>2</v>
      </c>
      <c r="B3" s="187"/>
      <c r="C3" s="188" t="s">
        <v>233</v>
      </c>
      <c r="D3" s="188"/>
      <c r="E3" s="188"/>
      <c r="F3" s="188"/>
      <c r="G3" s="188"/>
    </row>
    <row r="4" spans="1:7">
      <c r="A4" s="187" t="s">
        <v>4</v>
      </c>
      <c r="B4" s="187"/>
      <c r="C4" s="188" t="s">
        <v>234</v>
      </c>
      <c r="D4" s="188"/>
      <c r="E4" s="188"/>
      <c r="F4" s="188"/>
      <c r="G4" s="188"/>
    </row>
    <row r="5" spans="1:7">
      <c r="A5" s="187" t="s">
        <v>6</v>
      </c>
      <c r="B5" s="187"/>
      <c r="C5" s="188" t="s">
        <v>240</v>
      </c>
      <c r="D5" s="188"/>
      <c r="E5" s="188"/>
      <c r="F5" s="188"/>
      <c r="G5" s="188"/>
    </row>
    <row r="6" spans="1:7">
      <c r="A6" s="16"/>
      <c r="B6" s="17"/>
      <c r="C6" s="17"/>
      <c r="D6" s="17"/>
      <c r="E6" s="17"/>
      <c r="F6" s="17"/>
      <c r="G6" s="17"/>
    </row>
    <row r="7" spans="1:7">
      <c r="B7" s="18" t="s">
        <v>11</v>
      </c>
      <c r="C7" s="28" t="s">
        <v>12</v>
      </c>
      <c r="D7" s="28" t="s">
        <v>13</v>
      </c>
    </row>
    <row r="8" spans="1:7">
      <c r="A8" s="189" t="s">
        <v>84</v>
      </c>
      <c r="B8" s="27" t="s">
        <v>237</v>
      </c>
      <c r="C8" s="21" t="s">
        <v>238</v>
      </c>
      <c r="D8" s="21" t="s">
        <v>235</v>
      </c>
      <c r="E8" s="25"/>
      <c r="F8" s="20"/>
      <c r="G8" s="26"/>
    </row>
    <row r="9" spans="1:7">
      <c r="A9" s="190"/>
      <c r="B9" s="19"/>
      <c r="C9" s="22"/>
      <c r="D9" s="23"/>
      <c r="E9" s="26"/>
      <c r="F9" s="25"/>
      <c r="G9" s="26"/>
    </row>
    <row r="10" spans="1:7">
      <c r="A10" s="190"/>
      <c r="B10" s="19"/>
      <c r="C10" s="22"/>
      <c r="D10" s="23"/>
      <c r="E10" s="26"/>
      <c r="F10" s="25"/>
      <c r="G10" s="26"/>
    </row>
    <row r="11" spans="1:7">
      <c r="A11" s="190"/>
      <c r="B11" s="19"/>
      <c r="C11" s="22"/>
      <c r="D11" s="23"/>
      <c r="E11" s="26"/>
      <c r="F11" s="25"/>
      <c r="G11" s="26"/>
    </row>
    <row r="12" spans="1:7">
      <c r="A12" s="190"/>
      <c r="B12" s="19"/>
      <c r="C12" s="22"/>
      <c r="D12" s="23"/>
      <c r="E12" s="26"/>
      <c r="F12" s="25"/>
      <c r="G12" s="26"/>
    </row>
    <row r="13" spans="1:7">
      <c r="A13" s="190"/>
      <c r="B13" s="19"/>
      <c r="C13" s="22" t="s">
        <v>236</v>
      </c>
      <c r="D13" s="23"/>
      <c r="E13" s="26"/>
      <c r="F13" s="25"/>
      <c r="G13" s="26"/>
    </row>
    <row r="14" spans="1:7" ht="13.5" thickBot="1">
      <c r="A14" s="191"/>
      <c r="B14" s="24"/>
      <c r="C14" s="24"/>
      <c r="D14" s="29" t="s">
        <v>143</v>
      </c>
      <c r="E14" s="26"/>
      <c r="F14" s="26"/>
      <c r="G14" s="26"/>
    </row>
    <row r="15" spans="1:7" ht="13.5" thickTop="1">
      <c r="B15" s="23"/>
      <c r="D15" s="36"/>
      <c r="E15" s="26"/>
      <c r="F15" s="26"/>
      <c r="G15" s="26"/>
    </row>
    <row r="16" spans="1:7">
      <c r="A16" s="192" t="s">
        <v>243</v>
      </c>
      <c r="B16" s="193"/>
      <c r="C16" s="193"/>
      <c r="D16" s="194"/>
      <c r="E16" s="26"/>
      <c r="F16" s="26"/>
      <c r="G16" s="26"/>
    </row>
    <row r="17" spans="1:13">
      <c r="A17" s="31" t="s">
        <v>203</v>
      </c>
      <c r="B17" s="39">
        <v>0.63560000000000005</v>
      </c>
      <c r="C17" s="30">
        <v>0.15</v>
      </c>
      <c r="D17" s="30">
        <f>B17*C17</f>
        <v>9.5340000000000008E-2</v>
      </c>
      <c r="E17" s="26"/>
      <c r="F17" s="26"/>
      <c r="G17" s="26"/>
    </row>
    <row r="18" spans="1:13" ht="12.75" customHeight="1">
      <c r="A18" s="31" t="s">
        <v>204</v>
      </c>
      <c r="B18" s="39">
        <v>0.1042</v>
      </c>
      <c r="C18" s="30">
        <v>0.4</v>
      </c>
      <c r="D18" s="30">
        <f t="shared" ref="D18:D25" si="0">B18*C18</f>
        <v>4.1680000000000002E-2</v>
      </c>
      <c r="E18" s="26"/>
      <c r="F18" s="26"/>
      <c r="G18" s="26"/>
    </row>
    <row r="19" spans="1:13">
      <c r="A19" s="31" t="s">
        <v>205</v>
      </c>
      <c r="B19" s="39">
        <v>0</v>
      </c>
      <c r="C19" s="30">
        <v>0.43</v>
      </c>
      <c r="D19" s="30">
        <f t="shared" si="0"/>
        <v>0</v>
      </c>
      <c r="E19" s="26"/>
      <c r="F19" s="26"/>
      <c r="G19" s="26"/>
      <c r="M19" s="13"/>
    </row>
    <row r="20" spans="1:13">
      <c r="A20" s="31" t="s">
        <v>47</v>
      </c>
      <c r="B20" s="39">
        <v>0</v>
      </c>
      <c r="C20" s="30">
        <v>0.24</v>
      </c>
      <c r="D20" s="30">
        <f t="shared" si="0"/>
        <v>0</v>
      </c>
      <c r="E20" s="26"/>
      <c r="F20" s="26"/>
      <c r="G20" s="26"/>
    </row>
    <row r="21" spans="1:13" ht="14.25" customHeight="1">
      <c r="A21" s="31" t="s">
        <v>206</v>
      </c>
      <c r="B21" s="39">
        <v>0</v>
      </c>
      <c r="C21" s="30">
        <v>0.39</v>
      </c>
      <c r="D21" s="30">
        <f t="shared" si="0"/>
        <v>0</v>
      </c>
    </row>
    <row r="22" spans="1:13">
      <c r="A22" s="31" t="s">
        <v>207</v>
      </c>
      <c r="B22" s="39">
        <v>1.4500000000000001E-2</v>
      </c>
      <c r="C22" s="30">
        <v>0</v>
      </c>
      <c r="D22" s="30">
        <f t="shared" si="0"/>
        <v>0</v>
      </c>
    </row>
    <row r="23" spans="1:13">
      <c r="A23" s="31" t="s">
        <v>208</v>
      </c>
      <c r="B23" s="39">
        <v>9.7600000000000006E-2</v>
      </c>
      <c r="C23" s="30">
        <v>0</v>
      </c>
      <c r="D23" s="30">
        <f t="shared" si="0"/>
        <v>0</v>
      </c>
    </row>
    <row r="24" spans="1:13">
      <c r="A24" s="31" t="s">
        <v>209</v>
      </c>
      <c r="B24" s="39">
        <v>1.7000000000000001E-2</v>
      </c>
      <c r="C24" s="30">
        <v>0</v>
      </c>
      <c r="D24" s="30">
        <f t="shared" si="0"/>
        <v>0</v>
      </c>
    </row>
    <row r="25" spans="1:13">
      <c r="A25" s="31" t="s">
        <v>210</v>
      </c>
      <c r="B25" s="39">
        <f>(0.95+12.16)/100</f>
        <v>0.13109999999999999</v>
      </c>
      <c r="C25" s="30">
        <v>0</v>
      </c>
      <c r="D25" s="30">
        <f t="shared" si="0"/>
        <v>0</v>
      </c>
    </row>
    <row r="26" spans="1:13">
      <c r="A26" s="195" t="s">
        <v>239</v>
      </c>
      <c r="B26" s="195"/>
      <c r="C26" s="195"/>
      <c r="D26" s="40">
        <f>SUM(D17:D25)</f>
        <v>0.13702</v>
      </c>
    </row>
    <row r="27" spans="1:13">
      <c r="A27" s="192" t="s">
        <v>241</v>
      </c>
      <c r="B27" s="193"/>
      <c r="C27" s="193"/>
      <c r="D27" s="194"/>
    </row>
    <row r="28" spans="1:13">
      <c r="A28" s="31" t="s">
        <v>203</v>
      </c>
      <c r="B28" s="39">
        <f>79.37/100</f>
        <v>0.79370000000000007</v>
      </c>
      <c r="C28" s="30">
        <v>0.15</v>
      </c>
      <c r="D28" s="30">
        <f>B28*C28</f>
        <v>0.11905500000000001</v>
      </c>
    </row>
    <row r="29" spans="1:13">
      <c r="A29" s="31" t="s">
        <v>204</v>
      </c>
      <c r="B29" s="39">
        <f>8.57/100</f>
        <v>8.5699999999999998E-2</v>
      </c>
      <c r="C29" s="30">
        <v>0.4</v>
      </c>
      <c r="D29" s="30">
        <f t="shared" ref="D29:D36" si="1">B29*C29</f>
        <v>3.4279999999999998E-2</v>
      </c>
    </row>
    <row r="30" spans="1:13">
      <c r="A30" s="31" t="s">
        <v>205</v>
      </c>
      <c r="B30" s="39">
        <f>0.75/100</f>
        <v>7.4999999999999997E-3</v>
      </c>
      <c r="C30" s="30">
        <v>0.43</v>
      </c>
      <c r="D30" s="30">
        <f t="shared" si="1"/>
        <v>3.225E-3</v>
      </c>
    </row>
    <row r="31" spans="1:13">
      <c r="A31" s="31" t="s">
        <v>47</v>
      </c>
      <c r="B31" s="39">
        <f>0.79/100</f>
        <v>7.9000000000000008E-3</v>
      </c>
      <c r="C31" s="30">
        <v>0.24</v>
      </c>
      <c r="D31" s="30">
        <f t="shared" si="1"/>
        <v>1.8960000000000001E-3</v>
      </c>
    </row>
    <row r="32" spans="1:13">
      <c r="A32" s="31" t="s">
        <v>206</v>
      </c>
      <c r="B32" s="39">
        <f>0.35/100</f>
        <v>3.4999999999999996E-3</v>
      </c>
      <c r="C32" s="30">
        <v>0.39</v>
      </c>
      <c r="D32" s="30">
        <f t="shared" si="1"/>
        <v>1.3649999999999999E-3</v>
      </c>
    </row>
    <row r="33" spans="1:4">
      <c r="A33" s="31" t="s">
        <v>207</v>
      </c>
      <c r="B33" s="39">
        <f>6.51/100</f>
        <v>6.5099999999999991E-2</v>
      </c>
      <c r="C33" s="30">
        <v>0</v>
      </c>
      <c r="D33" s="30">
        <f t="shared" si="1"/>
        <v>0</v>
      </c>
    </row>
    <row r="34" spans="1:4">
      <c r="A34" s="31" t="s">
        <v>208</v>
      </c>
      <c r="B34" s="39">
        <f>1.45/100</f>
        <v>1.4499999999999999E-2</v>
      </c>
      <c r="C34" s="30">
        <v>0</v>
      </c>
      <c r="D34" s="30">
        <f t="shared" si="1"/>
        <v>0</v>
      </c>
    </row>
    <row r="35" spans="1:4">
      <c r="A35" s="31" t="s">
        <v>209</v>
      </c>
      <c r="B35" s="39">
        <f>1.54/100</f>
        <v>1.54E-2</v>
      </c>
      <c r="C35" s="30">
        <v>0</v>
      </c>
      <c r="D35" s="30">
        <f t="shared" si="1"/>
        <v>0</v>
      </c>
    </row>
    <row r="36" spans="1:4">
      <c r="A36" s="31" t="s">
        <v>210</v>
      </c>
      <c r="B36" s="39">
        <f>0.67/100</f>
        <v>6.7000000000000002E-3</v>
      </c>
      <c r="C36" s="30">
        <v>0</v>
      </c>
      <c r="D36" s="30">
        <f t="shared" si="1"/>
        <v>0</v>
      </c>
    </row>
    <row r="37" spans="1:4">
      <c r="A37" s="195" t="s">
        <v>239</v>
      </c>
      <c r="B37" s="195"/>
      <c r="C37" s="195"/>
      <c r="D37" s="33">
        <f>SUM(D28:D36)</f>
        <v>0.15982100000000002</v>
      </c>
    </row>
    <row r="38" spans="1:4">
      <c r="A38" s="192" t="s">
        <v>242</v>
      </c>
      <c r="B38" s="193"/>
      <c r="C38" s="193"/>
      <c r="D38" s="194"/>
    </row>
    <row r="39" spans="1:4">
      <c r="A39" s="31" t="s">
        <v>203</v>
      </c>
      <c r="B39" s="39">
        <f>(59.47+6.92)/100</f>
        <v>0.66390000000000005</v>
      </c>
      <c r="C39" s="30">
        <v>0.15</v>
      </c>
      <c r="D39" s="30">
        <f>B39*C39</f>
        <v>9.9585000000000007E-2</v>
      </c>
    </row>
    <row r="40" spans="1:4">
      <c r="A40" s="31" t="s">
        <v>204</v>
      </c>
      <c r="B40" s="39">
        <f>12.85/100</f>
        <v>0.1285</v>
      </c>
      <c r="C40" s="30">
        <v>0.4</v>
      </c>
      <c r="D40" s="30">
        <f t="shared" ref="D40:D47" si="2">B40*C40</f>
        <v>5.1400000000000001E-2</v>
      </c>
    </row>
    <row r="41" spans="1:4">
      <c r="A41" s="31" t="s">
        <v>205</v>
      </c>
      <c r="B41" s="39">
        <v>0</v>
      </c>
      <c r="C41" s="30">
        <v>0.43</v>
      </c>
      <c r="D41" s="30">
        <f t="shared" si="2"/>
        <v>0</v>
      </c>
    </row>
    <row r="42" spans="1:4">
      <c r="A42" s="31" t="s">
        <v>47</v>
      </c>
      <c r="B42" s="39">
        <f>0.81/100</f>
        <v>8.1000000000000013E-3</v>
      </c>
      <c r="C42" s="30">
        <v>0.24</v>
      </c>
      <c r="D42" s="30">
        <f t="shared" si="2"/>
        <v>1.9440000000000002E-3</v>
      </c>
    </row>
    <row r="43" spans="1:4">
      <c r="A43" s="31" t="s">
        <v>206</v>
      </c>
      <c r="B43" s="39">
        <v>0</v>
      </c>
      <c r="C43" s="30">
        <v>0.39</v>
      </c>
      <c r="D43" s="30">
        <f t="shared" si="2"/>
        <v>0</v>
      </c>
    </row>
    <row r="44" spans="1:4">
      <c r="A44" s="31" t="s">
        <v>207</v>
      </c>
      <c r="B44" s="39">
        <f>10.71/100</f>
        <v>0.10710000000000001</v>
      </c>
      <c r="C44" s="30">
        <v>0</v>
      </c>
      <c r="D44" s="30">
        <f t="shared" si="2"/>
        <v>0</v>
      </c>
    </row>
    <row r="45" spans="1:4">
      <c r="A45" s="31" t="s">
        <v>208</v>
      </c>
      <c r="B45" s="39">
        <f>1.77/100</f>
        <v>1.77E-2</v>
      </c>
      <c r="C45" s="30">
        <v>0</v>
      </c>
      <c r="D45" s="30">
        <f t="shared" si="2"/>
        <v>0</v>
      </c>
    </row>
    <row r="46" spans="1:4">
      <c r="A46" s="31" t="s">
        <v>209</v>
      </c>
      <c r="B46" s="39">
        <f>1.33/100</f>
        <v>1.3300000000000001E-2</v>
      </c>
      <c r="C46" s="30">
        <v>0</v>
      </c>
      <c r="D46" s="30">
        <f t="shared" si="2"/>
        <v>0</v>
      </c>
    </row>
    <row r="47" spans="1:4">
      <c r="A47" s="31" t="s">
        <v>210</v>
      </c>
      <c r="B47" s="39">
        <f>6.21/100</f>
        <v>6.2100000000000002E-2</v>
      </c>
      <c r="C47" s="30">
        <v>0</v>
      </c>
      <c r="D47" s="30">
        <f t="shared" si="2"/>
        <v>0</v>
      </c>
    </row>
    <row r="48" spans="1:4">
      <c r="A48" s="195" t="s">
        <v>239</v>
      </c>
      <c r="B48" s="195"/>
      <c r="C48" s="195"/>
      <c r="D48" s="33">
        <f>SUM(D39:D47)</f>
        <v>0.15292900000000001</v>
      </c>
    </row>
  </sheetData>
  <mergeCells count="15">
    <mergeCell ref="A16:D16"/>
    <mergeCell ref="A27:D27"/>
    <mergeCell ref="A37:C37"/>
    <mergeCell ref="A38:D38"/>
    <mergeCell ref="A48:C48"/>
    <mergeCell ref="A26:C26"/>
    <mergeCell ref="A2:B2"/>
    <mergeCell ref="C2:G2"/>
    <mergeCell ref="A3:B3"/>
    <mergeCell ref="C3:G3"/>
    <mergeCell ref="A8:A14"/>
    <mergeCell ref="A4:B4"/>
    <mergeCell ref="C4:G4"/>
    <mergeCell ref="A5:B5"/>
    <mergeCell ref="C5:G5"/>
  </mergeCells>
  <phoneticPr fontId="13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9" tint="-0.249977111117893"/>
  </sheetPr>
  <dimension ref="A2:D26"/>
  <sheetViews>
    <sheetView topLeftCell="A10" zoomScaleNormal="100" workbookViewId="0">
      <selection activeCell="F12" sqref="F12"/>
    </sheetView>
  </sheetViews>
  <sheetFormatPr defaultRowHeight="12.75"/>
  <cols>
    <col min="1" max="1" width="45.140625" style="6" customWidth="1"/>
    <col min="2" max="4" width="25.7109375" style="6" customWidth="1"/>
    <col min="5" max="16384" width="9.140625" style="6"/>
  </cols>
  <sheetData>
    <row r="2" spans="1:4" ht="14.25" customHeight="1">
      <c r="A2" s="100" t="s">
        <v>0</v>
      </c>
      <c r="B2" s="196" t="s">
        <v>1</v>
      </c>
      <c r="C2" s="266"/>
      <c r="D2" s="266"/>
    </row>
    <row r="3" spans="1:4" ht="14.25" customHeight="1">
      <c r="A3" s="100" t="s">
        <v>2</v>
      </c>
      <c r="B3" s="196" t="s">
        <v>117</v>
      </c>
      <c r="C3" s="266"/>
      <c r="D3" s="266"/>
    </row>
    <row r="4" spans="1:4" ht="14.25" customHeight="1">
      <c r="A4" s="100" t="s">
        <v>4</v>
      </c>
      <c r="B4" s="196" t="s">
        <v>118</v>
      </c>
      <c r="C4" s="266"/>
      <c r="D4" s="266"/>
    </row>
    <row r="5" spans="1:4" ht="14.25" customHeight="1">
      <c r="A5" s="100" t="s">
        <v>6</v>
      </c>
      <c r="B5" s="196" t="s">
        <v>134</v>
      </c>
      <c r="C5" s="266"/>
      <c r="D5" s="266"/>
    </row>
    <row r="6" spans="1:4">
      <c r="A6" s="250" t="s">
        <v>9</v>
      </c>
      <c r="B6" s="267"/>
      <c r="C6" s="267"/>
      <c r="D6" s="267"/>
    </row>
    <row r="7" spans="1:4">
      <c r="A7" s="59"/>
      <c r="B7" s="7" t="s">
        <v>11</v>
      </c>
      <c r="C7" s="7" t="s">
        <v>12</v>
      </c>
      <c r="D7" s="7" t="s">
        <v>13</v>
      </c>
    </row>
    <row r="8" spans="1:4" ht="25.5">
      <c r="A8" s="207" t="s">
        <v>144</v>
      </c>
      <c r="B8" s="59" t="s">
        <v>135</v>
      </c>
      <c r="C8" s="59" t="s">
        <v>136</v>
      </c>
      <c r="D8" s="59" t="s">
        <v>137</v>
      </c>
    </row>
    <row r="9" spans="1:4" ht="15.75">
      <c r="A9" s="208"/>
      <c r="B9" s="76" t="s">
        <v>138</v>
      </c>
      <c r="C9" s="76" t="s">
        <v>139</v>
      </c>
      <c r="D9" s="76" t="s">
        <v>140</v>
      </c>
    </row>
    <row r="10" spans="1:4" ht="15.75">
      <c r="A10" s="208"/>
      <c r="B10" s="8" t="s">
        <v>141</v>
      </c>
      <c r="C10" s="8"/>
      <c r="D10" s="8" t="s">
        <v>142</v>
      </c>
    </row>
    <row r="11" spans="1:4" ht="13.5" thickBot="1">
      <c r="A11" s="209"/>
      <c r="B11" s="5"/>
      <c r="C11" s="5"/>
      <c r="D11" s="5" t="s">
        <v>143</v>
      </c>
    </row>
    <row r="12" spans="1:4" ht="14.25" customHeight="1" thickTop="1">
      <c r="A12" s="271" t="s">
        <v>215</v>
      </c>
      <c r="B12" s="272"/>
      <c r="C12" s="272"/>
      <c r="D12" s="273"/>
    </row>
    <row r="13" spans="1:4">
      <c r="A13" s="104" t="s">
        <v>212</v>
      </c>
      <c r="B13" s="53">
        <v>0.6</v>
      </c>
      <c r="C13" s="105">
        <v>0.1</v>
      </c>
      <c r="D13" s="53">
        <f>B13*C13</f>
        <v>0.06</v>
      </c>
    </row>
    <row r="14" spans="1:4">
      <c r="A14" s="53" t="s">
        <v>213</v>
      </c>
      <c r="B14" s="53">
        <v>0.6</v>
      </c>
      <c r="C14" s="53">
        <v>0.5</v>
      </c>
      <c r="D14" s="53">
        <f>B14*C14</f>
        <v>0.3</v>
      </c>
    </row>
    <row r="15" spans="1:4" ht="13.5" customHeight="1">
      <c r="A15" s="53" t="s">
        <v>214</v>
      </c>
      <c r="B15" s="53">
        <v>0.6</v>
      </c>
      <c r="C15" s="53">
        <v>0</v>
      </c>
      <c r="D15" s="53">
        <f>B15*C15</f>
        <v>0</v>
      </c>
    </row>
    <row r="16" spans="1:4">
      <c r="A16" s="268" t="s">
        <v>211</v>
      </c>
      <c r="B16" s="269"/>
      <c r="C16" s="269"/>
      <c r="D16" s="270"/>
    </row>
    <row r="17" spans="1:4" ht="12.75" customHeight="1">
      <c r="A17" s="53" t="s">
        <v>216</v>
      </c>
      <c r="B17" s="53">
        <v>0.6</v>
      </c>
      <c r="C17" s="53">
        <v>0</v>
      </c>
      <c r="D17" s="53">
        <f>B17*C17</f>
        <v>0</v>
      </c>
    </row>
    <row r="18" spans="1:4" ht="23.25" customHeight="1">
      <c r="A18" s="53" t="s">
        <v>217</v>
      </c>
      <c r="B18" s="53">
        <v>0.6</v>
      </c>
      <c r="C18" s="53">
        <v>0.3</v>
      </c>
      <c r="D18" s="53">
        <f t="shared" ref="D18:D26" si="0">B18*C18</f>
        <v>0.18</v>
      </c>
    </row>
    <row r="19" spans="1:4">
      <c r="A19" s="53" t="s">
        <v>218</v>
      </c>
      <c r="B19" s="53">
        <v>0.6</v>
      </c>
      <c r="C19" s="53">
        <v>0.8</v>
      </c>
      <c r="D19" s="53">
        <f t="shared" si="0"/>
        <v>0.48</v>
      </c>
    </row>
    <row r="20" spans="1:4">
      <c r="A20" s="53" t="s">
        <v>219</v>
      </c>
      <c r="B20" s="53">
        <v>0.6</v>
      </c>
      <c r="C20" s="53">
        <v>0.8</v>
      </c>
      <c r="D20" s="53">
        <f t="shared" si="0"/>
        <v>0.48</v>
      </c>
    </row>
    <row r="21" spans="1:4">
      <c r="A21" s="53" t="s">
        <v>220</v>
      </c>
      <c r="B21" s="53">
        <v>0.6</v>
      </c>
      <c r="C21" s="53">
        <v>0.2</v>
      </c>
      <c r="D21" s="53">
        <f t="shared" si="0"/>
        <v>0.12</v>
      </c>
    </row>
    <row r="22" spans="1:4">
      <c r="A22" s="53" t="s">
        <v>221</v>
      </c>
      <c r="B22" s="53">
        <v>0.6</v>
      </c>
      <c r="C22" s="53">
        <v>0.5</v>
      </c>
      <c r="D22" s="53">
        <f t="shared" si="0"/>
        <v>0.3</v>
      </c>
    </row>
    <row r="23" spans="1:4" ht="28.15" customHeight="1">
      <c r="A23" s="53" t="s">
        <v>245</v>
      </c>
      <c r="B23" s="53">
        <v>0.6</v>
      </c>
      <c r="C23" s="53">
        <v>0.1</v>
      </c>
      <c r="D23" s="53">
        <f t="shared" si="0"/>
        <v>0.06</v>
      </c>
    </row>
    <row r="24" spans="1:4" ht="25.5">
      <c r="A24" s="53" t="s">
        <v>222</v>
      </c>
      <c r="B24" s="53">
        <v>0.6</v>
      </c>
      <c r="C24" s="53">
        <v>0.5</v>
      </c>
      <c r="D24" s="53">
        <f t="shared" si="0"/>
        <v>0.3</v>
      </c>
    </row>
    <row r="25" spans="1:4" ht="29.45" customHeight="1">
      <c r="A25" s="53" t="s">
        <v>223</v>
      </c>
      <c r="B25" s="53">
        <v>0.6</v>
      </c>
      <c r="C25" s="53">
        <v>0.7</v>
      </c>
      <c r="D25" s="53">
        <f t="shared" si="0"/>
        <v>0.42</v>
      </c>
    </row>
    <row r="26" spans="1:4" ht="16.149999999999999" customHeight="1">
      <c r="A26" s="53" t="s">
        <v>224</v>
      </c>
      <c r="B26" s="53">
        <v>0.6</v>
      </c>
      <c r="C26" s="53">
        <v>0.1</v>
      </c>
      <c r="D26" s="53">
        <f t="shared" si="0"/>
        <v>0.06</v>
      </c>
    </row>
  </sheetData>
  <mergeCells count="8">
    <mergeCell ref="A16:D16"/>
    <mergeCell ref="A6:D6"/>
    <mergeCell ref="A8:A11"/>
    <mergeCell ref="B2:D2"/>
    <mergeCell ref="B3:D3"/>
    <mergeCell ref="B4:D4"/>
    <mergeCell ref="B5:D5"/>
    <mergeCell ref="A12:D12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9" tint="-0.249977111117893"/>
  </sheetPr>
  <dimension ref="A1:N564"/>
  <sheetViews>
    <sheetView topLeftCell="A10" zoomScale="85" zoomScaleNormal="85" workbookViewId="0">
      <selection activeCell="N32" sqref="N32"/>
    </sheetView>
  </sheetViews>
  <sheetFormatPr defaultRowHeight="12.75"/>
  <cols>
    <col min="1" max="1" width="14.28515625" style="6" customWidth="1"/>
    <col min="2" max="2" width="14.7109375" style="6" customWidth="1"/>
    <col min="3" max="3" width="13.140625" style="6" customWidth="1"/>
    <col min="4" max="5" width="12" style="6" customWidth="1"/>
    <col min="6" max="6" width="17.28515625" style="6" customWidth="1"/>
    <col min="7" max="7" width="12.140625" style="6" customWidth="1"/>
    <col min="8" max="8" width="13.7109375" style="6" customWidth="1"/>
    <col min="9" max="9" width="22.140625" style="6" customWidth="1"/>
    <col min="10" max="10" width="15.85546875" style="6" customWidth="1"/>
    <col min="11" max="12" width="9.140625" style="6"/>
    <col min="13" max="13" width="12.42578125" style="6" customWidth="1"/>
    <col min="14" max="14" width="17.5703125" style="6" customWidth="1"/>
    <col min="15" max="16384" width="9.140625" style="6"/>
  </cols>
  <sheetData>
    <row r="1" spans="1:14">
      <c r="A1" s="280"/>
      <c r="B1" s="280"/>
      <c r="C1" s="222"/>
      <c r="D1" s="222"/>
      <c r="E1" s="222"/>
      <c r="F1" s="222"/>
      <c r="G1" s="222"/>
      <c r="H1" s="222"/>
      <c r="I1" s="222"/>
    </row>
    <row r="2" spans="1:14">
      <c r="A2" s="277" t="s">
        <v>0</v>
      </c>
      <c r="B2" s="278"/>
      <c r="C2" s="196" t="s">
        <v>1</v>
      </c>
      <c r="D2" s="279"/>
      <c r="E2" s="279"/>
      <c r="F2" s="279"/>
      <c r="G2" s="279"/>
      <c r="H2" s="279"/>
      <c r="I2" s="279"/>
    </row>
    <row r="3" spans="1:14">
      <c r="A3" s="277" t="s">
        <v>2</v>
      </c>
      <c r="B3" s="278"/>
      <c r="C3" s="196" t="s">
        <v>117</v>
      </c>
      <c r="D3" s="279"/>
      <c r="E3" s="279"/>
      <c r="F3" s="279"/>
      <c r="G3" s="279"/>
      <c r="H3" s="279"/>
      <c r="I3" s="279"/>
    </row>
    <row r="4" spans="1:14">
      <c r="A4" s="277" t="s">
        <v>4</v>
      </c>
      <c r="B4" s="278"/>
      <c r="C4" s="196" t="s">
        <v>118</v>
      </c>
      <c r="D4" s="279"/>
      <c r="E4" s="279"/>
      <c r="F4" s="279"/>
      <c r="G4" s="279"/>
      <c r="H4" s="279"/>
      <c r="I4" s="279"/>
    </row>
    <row r="5" spans="1:14" ht="14.25" customHeight="1">
      <c r="A5" s="277" t="s">
        <v>6</v>
      </c>
      <c r="B5" s="278"/>
      <c r="C5" s="196" t="s">
        <v>145</v>
      </c>
      <c r="D5" s="279"/>
      <c r="E5" s="279"/>
      <c r="F5" s="279"/>
      <c r="G5" s="279"/>
      <c r="H5" s="279"/>
      <c r="I5" s="279"/>
    </row>
    <row r="6" spans="1:14">
      <c r="A6" s="250" t="s">
        <v>10</v>
      </c>
      <c r="B6" s="267"/>
      <c r="C6" s="267"/>
      <c r="D6" s="267"/>
      <c r="E6" s="267"/>
      <c r="F6" s="267"/>
      <c r="G6" s="267"/>
      <c r="H6" s="267"/>
      <c r="I6" s="267"/>
      <c r="J6" s="106"/>
    </row>
    <row r="7" spans="1:14" ht="51" customHeight="1">
      <c r="A7" s="59"/>
      <c r="B7" s="59"/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  <c r="H7" s="7" t="s">
        <v>58</v>
      </c>
      <c r="I7" s="7" t="s">
        <v>78</v>
      </c>
      <c r="J7" s="87" t="s">
        <v>79</v>
      </c>
    </row>
    <row r="8" spans="1:14" ht="51">
      <c r="A8" s="207" t="s">
        <v>146</v>
      </c>
      <c r="B8" s="207" t="s">
        <v>147</v>
      </c>
      <c r="C8" s="59" t="s">
        <v>148</v>
      </c>
      <c r="D8" s="59" t="s">
        <v>149</v>
      </c>
      <c r="E8" s="59" t="s">
        <v>150</v>
      </c>
      <c r="F8" s="59" t="s">
        <v>123</v>
      </c>
      <c r="G8" s="59" t="s">
        <v>151</v>
      </c>
      <c r="H8" s="59" t="s">
        <v>152</v>
      </c>
      <c r="I8" s="59" t="s">
        <v>153</v>
      </c>
      <c r="J8" s="59" t="s">
        <v>153</v>
      </c>
      <c r="L8" s="93"/>
      <c r="M8" s="110"/>
      <c r="N8" s="111"/>
    </row>
    <row r="9" spans="1:14" ht="15.75" customHeight="1">
      <c r="A9" s="207"/>
      <c r="B9" s="207"/>
      <c r="C9" s="76" t="s">
        <v>154</v>
      </c>
      <c r="D9" s="76" t="s">
        <v>155</v>
      </c>
      <c r="E9" s="76" t="s">
        <v>156</v>
      </c>
      <c r="F9" s="76" t="s">
        <v>127</v>
      </c>
      <c r="G9" s="76" t="s">
        <v>157</v>
      </c>
      <c r="H9" s="76" t="s">
        <v>158</v>
      </c>
      <c r="I9" s="76" t="s">
        <v>159</v>
      </c>
      <c r="J9" s="76" t="s">
        <v>159</v>
      </c>
      <c r="L9" s="281" t="s">
        <v>247</v>
      </c>
      <c r="M9" s="281" t="s">
        <v>256</v>
      </c>
      <c r="N9" s="281" t="s">
        <v>257</v>
      </c>
    </row>
    <row r="10" spans="1:14" ht="29.25" customHeight="1">
      <c r="A10" s="207"/>
      <c r="B10" s="207"/>
      <c r="C10" s="8" t="s">
        <v>44</v>
      </c>
      <c r="D10" s="8" t="s">
        <v>44</v>
      </c>
      <c r="E10" s="8" t="s">
        <v>142</v>
      </c>
      <c r="F10" s="8" t="s">
        <v>130</v>
      </c>
      <c r="G10" s="8" t="s">
        <v>130</v>
      </c>
      <c r="H10" s="8" t="s">
        <v>160</v>
      </c>
      <c r="I10" s="8" t="s">
        <v>160</v>
      </c>
      <c r="J10" s="8" t="s">
        <v>231</v>
      </c>
      <c r="L10" s="282"/>
      <c r="M10" s="282"/>
      <c r="N10" s="282"/>
    </row>
    <row r="11" spans="1:14" ht="24.75" thickBot="1">
      <c r="A11" s="224"/>
      <c r="B11" s="224"/>
      <c r="C11" s="5"/>
      <c r="D11" s="5"/>
      <c r="E11" s="5" t="s">
        <v>161</v>
      </c>
      <c r="F11" s="5" t="s">
        <v>162</v>
      </c>
      <c r="G11" s="5"/>
      <c r="H11" s="5"/>
      <c r="I11" s="9" t="s">
        <v>163</v>
      </c>
      <c r="J11" s="35"/>
      <c r="L11" s="283"/>
      <c r="M11" s="283"/>
      <c r="N11" s="283"/>
    </row>
    <row r="12" spans="1:14" ht="13.5" thickTop="1">
      <c r="A12" s="274" t="s">
        <v>164</v>
      </c>
      <c r="B12" s="54" t="s">
        <v>225</v>
      </c>
      <c r="C12" s="42">
        <v>0.54</v>
      </c>
      <c r="D12" s="43">
        <v>0</v>
      </c>
      <c r="E12" s="38">
        <f>'4D1_CH4_EF_DomesticWastewater'!$D$14</f>
        <v>0.3</v>
      </c>
      <c r="F12" s="107">
        <f>$M$12</f>
        <v>369657.39999999997</v>
      </c>
      <c r="G12" s="47"/>
      <c r="H12" s="47"/>
      <c r="I12" s="14">
        <f>((C12*D12*E12)*(F12-G12))-H12</f>
        <v>0</v>
      </c>
      <c r="J12" s="32">
        <f>I12/(10^6)</f>
        <v>0</v>
      </c>
      <c r="L12" s="87">
        <f>'4B_N2O emission'!B12</f>
        <v>2011</v>
      </c>
      <c r="M12" s="107">
        <f>'4D1_TOW_DomesticWastewater'!E12</f>
        <v>369657.39999999997</v>
      </c>
      <c r="N12" s="129">
        <f>J27</f>
        <v>2.6451204914399999E-2</v>
      </c>
    </row>
    <row r="13" spans="1:14">
      <c r="A13" s="275"/>
      <c r="B13" s="55" t="s">
        <v>226</v>
      </c>
      <c r="C13" s="44">
        <v>0.54</v>
      </c>
      <c r="D13" s="45">
        <v>0.47</v>
      </c>
      <c r="E13" s="37">
        <f>'4D1_CH4_EF_DomesticWastewater'!$D$23</f>
        <v>0.06</v>
      </c>
      <c r="F13" s="107">
        <f t="shared" ref="F13:F26" si="0">$M$12</f>
        <v>369657.39999999997</v>
      </c>
      <c r="G13" s="48"/>
      <c r="H13" s="48"/>
      <c r="I13" s="15">
        <f t="shared" ref="I13:I26" si="1">((C13*D13*E13)*(F13-G13))-H13</f>
        <v>5629.1428871999997</v>
      </c>
      <c r="J13" s="34">
        <f t="shared" ref="J13:J26" si="2">I13/(10^6)</f>
        <v>5.6291428871999994E-3</v>
      </c>
      <c r="L13" s="87">
        <f>'4B_N2O emission'!B13</f>
        <v>2012</v>
      </c>
      <c r="M13" s="107">
        <f>'4D1_TOW_DomesticWastewater'!E13</f>
        <v>372621.2</v>
      </c>
      <c r="N13" s="129">
        <f>J60</f>
        <v>2.6663282587200004E-2</v>
      </c>
    </row>
    <row r="14" spans="1:14">
      <c r="A14" s="275"/>
      <c r="B14" s="53" t="s">
        <v>227</v>
      </c>
      <c r="C14" s="44">
        <v>0.54</v>
      </c>
      <c r="D14" s="45">
        <v>0</v>
      </c>
      <c r="E14" s="37">
        <f>'4D1_CH4_EF_DomesticWastewater'!$D$13</f>
        <v>0.06</v>
      </c>
      <c r="F14" s="107">
        <f t="shared" si="0"/>
        <v>369657.39999999997</v>
      </c>
      <c r="G14" s="48"/>
      <c r="H14" s="48"/>
      <c r="I14" s="15">
        <f t="shared" si="1"/>
        <v>0</v>
      </c>
      <c r="J14" s="34">
        <f t="shared" si="2"/>
        <v>0</v>
      </c>
      <c r="L14" s="87">
        <f>'4B_N2O emission'!B14</f>
        <v>2013</v>
      </c>
      <c r="M14" s="107">
        <f>'4D1_TOW_DomesticWastewater'!E14</f>
        <v>374898.8</v>
      </c>
      <c r="N14" s="129">
        <f>J88</f>
        <v>2.6826258532800001E-2</v>
      </c>
    </row>
    <row r="15" spans="1:14">
      <c r="A15" s="261"/>
      <c r="B15" s="53" t="s">
        <v>228</v>
      </c>
      <c r="C15" s="44">
        <v>0.54</v>
      </c>
      <c r="D15" s="46">
        <v>0.1</v>
      </c>
      <c r="E15" s="37">
        <f>'4D1_CH4_EF_DomesticWastewater'!$D$14</f>
        <v>0.3</v>
      </c>
      <c r="F15" s="107">
        <f t="shared" si="0"/>
        <v>369657.39999999997</v>
      </c>
      <c r="G15" s="49"/>
      <c r="H15" s="49"/>
      <c r="I15" s="15">
        <f t="shared" si="1"/>
        <v>5988.4498800000001</v>
      </c>
      <c r="J15" s="34">
        <f t="shared" si="2"/>
        <v>5.9884498799999998E-3</v>
      </c>
      <c r="L15" s="87">
        <f>'4B_N2O emission'!B15</f>
        <v>2014</v>
      </c>
      <c r="M15" s="107">
        <f>'4D1_TOW_DomesticWastewater'!E15</f>
        <v>378052.39999999997</v>
      </c>
      <c r="N15" s="129">
        <f>J116</f>
        <v>2.7051917534400005E-2</v>
      </c>
    </row>
    <row r="16" spans="1:14">
      <c r="A16" s="261"/>
      <c r="B16" s="53" t="s">
        <v>229</v>
      </c>
      <c r="C16" s="44">
        <v>0.54</v>
      </c>
      <c r="D16" s="46">
        <v>0.43</v>
      </c>
      <c r="E16" s="37">
        <v>0</v>
      </c>
      <c r="F16" s="107">
        <f t="shared" si="0"/>
        <v>369657.39999999997</v>
      </c>
      <c r="G16" s="49"/>
      <c r="H16" s="49"/>
      <c r="I16" s="15">
        <f t="shared" si="1"/>
        <v>0</v>
      </c>
      <c r="J16" s="34">
        <f t="shared" si="2"/>
        <v>0</v>
      </c>
      <c r="L16" s="87">
        <f>'4B_N2O emission'!B16</f>
        <v>2015</v>
      </c>
      <c r="M16" s="107">
        <f>'4D1_TOW_DomesticWastewater'!E16</f>
        <v>379162</v>
      </c>
      <c r="N16" s="129">
        <f>J144</f>
        <v>2.7131316072000002E-2</v>
      </c>
    </row>
    <row r="17" spans="1:14">
      <c r="A17" s="261" t="s">
        <v>165</v>
      </c>
      <c r="B17" s="53" t="s">
        <v>225</v>
      </c>
      <c r="C17" s="44">
        <v>0.12</v>
      </c>
      <c r="D17" s="46">
        <v>0.18</v>
      </c>
      <c r="E17" s="37">
        <f>'4D1_CH4_EF_DomesticWastewater'!$D$22</f>
        <v>0.3</v>
      </c>
      <c r="F17" s="107">
        <f t="shared" si="0"/>
        <v>369657.39999999997</v>
      </c>
      <c r="G17" s="49"/>
      <c r="H17" s="49"/>
      <c r="I17" s="15">
        <f t="shared" si="1"/>
        <v>2395.3799519999993</v>
      </c>
      <c r="J17" s="34">
        <f t="shared" si="2"/>
        <v>2.3953799519999992E-3</v>
      </c>
      <c r="L17" s="87">
        <f>'4B_N2O emission'!B17</f>
        <v>2016</v>
      </c>
      <c r="M17" s="107">
        <f>'4D1_TOW_DomesticWastewater'!E17</f>
        <v>380899.39999999997</v>
      </c>
      <c r="N17" s="129">
        <f>J172</f>
        <v>2.7255637466399994E-2</v>
      </c>
    </row>
    <row r="18" spans="1:14">
      <c r="A18" s="261"/>
      <c r="B18" s="53" t="s">
        <v>226</v>
      </c>
      <c r="C18" s="44">
        <v>0.12</v>
      </c>
      <c r="D18" s="46">
        <v>0.08</v>
      </c>
      <c r="E18" s="37">
        <f>'4D1_CH4_EF_DomesticWastewater'!$D$23</f>
        <v>0.06</v>
      </c>
      <c r="F18" s="107">
        <f t="shared" si="0"/>
        <v>369657.39999999997</v>
      </c>
      <c r="G18" s="49"/>
      <c r="H18" s="49"/>
      <c r="I18" s="15">
        <f t="shared" si="1"/>
        <v>212.92266239999995</v>
      </c>
      <c r="J18" s="34">
        <f t="shared" si="2"/>
        <v>2.1292266239999994E-4</v>
      </c>
      <c r="L18" s="87">
        <f>'4B_N2O emission'!B18</f>
        <v>2017</v>
      </c>
      <c r="M18" s="107">
        <f>'4D1_TOW_DomesticWastewater'!E18</f>
        <v>383775.45400000003</v>
      </c>
      <c r="N18" s="129">
        <f>J200</f>
        <v>2.7461436386424003E-2</v>
      </c>
    </row>
    <row r="19" spans="1:14">
      <c r="A19" s="261"/>
      <c r="B19" s="53" t="s">
        <v>227</v>
      </c>
      <c r="C19" s="44">
        <v>0.12</v>
      </c>
      <c r="D19" s="46">
        <v>0</v>
      </c>
      <c r="E19" s="37">
        <f>'4D1_CH4_EF_DomesticWastewater'!$D$13</f>
        <v>0.06</v>
      </c>
      <c r="F19" s="107">
        <f t="shared" si="0"/>
        <v>369657.39999999997</v>
      </c>
      <c r="G19" s="49"/>
      <c r="H19" s="49"/>
      <c r="I19" s="15">
        <f t="shared" si="1"/>
        <v>0</v>
      </c>
      <c r="J19" s="34">
        <f t="shared" si="2"/>
        <v>0</v>
      </c>
      <c r="L19" s="87">
        <f>'4B_N2O emission'!B19</f>
        <v>2018</v>
      </c>
      <c r="M19" s="107">
        <f>'4D1_TOW_DomesticWastewater'!E19</f>
        <v>386032.17600000004</v>
      </c>
      <c r="N19" s="129">
        <f>J228</f>
        <v>2.7622918385856007E-2</v>
      </c>
    </row>
    <row r="20" spans="1:14">
      <c r="A20" s="261"/>
      <c r="B20" s="53" t="s">
        <v>228</v>
      </c>
      <c r="C20" s="44">
        <v>0.12</v>
      </c>
      <c r="D20" s="46">
        <v>0.74</v>
      </c>
      <c r="E20" s="37">
        <f>'4D1_CH4_EF_DomesticWastewater'!$D$13</f>
        <v>0.06</v>
      </c>
      <c r="F20" s="107">
        <f t="shared" si="0"/>
        <v>369657.39999999997</v>
      </c>
      <c r="G20" s="49"/>
      <c r="H20" s="49"/>
      <c r="I20" s="15">
        <f t="shared" si="1"/>
        <v>1969.5346271999997</v>
      </c>
      <c r="J20" s="34">
        <f t="shared" si="2"/>
        <v>1.9695346271999996E-3</v>
      </c>
      <c r="L20" s="87">
        <f>'4B_N2O emission'!B20</f>
        <v>2019</v>
      </c>
      <c r="M20" s="107">
        <f>'4D1_TOW_DomesticWastewater'!E20</f>
        <v>388288.89799999999</v>
      </c>
      <c r="N20" s="129">
        <f>J256</f>
        <v>2.7784400385288E-2</v>
      </c>
    </row>
    <row r="21" spans="1:14">
      <c r="A21" s="261"/>
      <c r="B21" s="53" t="s">
        <v>229</v>
      </c>
      <c r="C21" s="44">
        <v>0.12</v>
      </c>
      <c r="D21" s="46">
        <v>0</v>
      </c>
      <c r="E21" s="37">
        <v>0</v>
      </c>
      <c r="F21" s="107">
        <f t="shared" si="0"/>
        <v>369657.39999999997</v>
      </c>
      <c r="G21" s="49"/>
      <c r="H21" s="49"/>
      <c r="I21" s="15">
        <f t="shared" si="1"/>
        <v>0</v>
      </c>
      <c r="J21" s="34">
        <f t="shared" si="2"/>
        <v>0</v>
      </c>
      <c r="L21" s="87">
        <f>'4B_N2O emission'!B21</f>
        <v>2020</v>
      </c>
      <c r="M21" s="107">
        <f>'4D1_TOW_DomesticWastewater'!E21</f>
        <v>390545.62</v>
      </c>
      <c r="N21" s="129">
        <f>J284</f>
        <v>2.7945882384720004E-2</v>
      </c>
    </row>
    <row r="22" spans="1:14">
      <c r="A22" s="261" t="s">
        <v>166</v>
      </c>
      <c r="B22" s="53" t="s">
        <v>225</v>
      </c>
      <c r="C22" s="44">
        <v>0.34</v>
      </c>
      <c r="D22" s="46">
        <v>0.14000000000000001</v>
      </c>
      <c r="E22" s="37">
        <f>'4D1_CH4_EF_DomesticWastewater'!$D$22</f>
        <v>0.3</v>
      </c>
      <c r="F22" s="107">
        <f t="shared" si="0"/>
        <v>369657.39999999997</v>
      </c>
      <c r="G22" s="49"/>
      <c r="H22" s="49"/>
      <c r="I22" s="15">
        <f t="shared" si="1"/>
        <v>5278.7076720000005</v>
      </c>
      <c r="J22" s="34">
        <f t="shared" si="2"/>
        <v>5.2787076720000005E-3</v>
      </c>
      <c r="L22" s="87">
        <f>'4B_N2O emission'!B22</f>
        <v>2021</v>
      </c>
      <c r="M22" s="107">
        <f>'4D1_TOW_DomesticWastewater'!E22</f>
        <v>392802.342</v>
      </c>
      <c r="N22" s="129">
        <f>J312</f>
        <v>2.8107364384152001E-2</v>
      </c>
    </row>
    <row r="23" spans="1:14">
      <c r="A23" s="261"/>
      <c r="B23" s="53" t="s">
        <v>226</v>
      </c>
      <c r="C23" s="44">
        <v>0.34</v>
      </c>
      <c r="D23" s="46">
        <v>0.1</v>
      </c>
      <c r="E23" s="37">
        <f>'4D1_CH4_EF_DomesticWastewater'!$D$23</f>
        <v>0.06</v>
      </c>
      <c r="F23" s="107">
        <f t="shared" si="0"/>
        <v>369657.39999999997</v>
      </c>
      <c r="G23" s="49"/>
      <c r="H23" s="49"/>
      <c r="I23" s="15">
        <f t="shared" si="1"/>
        <v>754.10109599999998</v>
      </c>
      <c r="J23" s="34">
        <f t="shared" si="2"/>
        <v>7.5410109600000002E-4</v>
      </c>
      <c r="L23" s="87">
        <f>'4B_N2O emission'!B23</f>
        <v>2022</v>
      </c>
      <c r="M23" s="107">
        <f>'4D1_TOW_DomesticWastewater'!E23</f>
        <v>395059.06400000001</v>
      </c>
      <c r="N23" s="129">
        <f>J340</f>
        <v>2.8268846383584005E-2</v>
      </c>
    </row>
    <row r="24" spans="1:14">
      <c r="A24" s="261"/>
      <c r="B24" s="53" t="s">
        <v>227</v>
      </c>
      <c r="C24" s="44">
        <v>0.34</v>
      </c>
      <c r="D24" s="46">
        <v>0.03</v>
      </c>
      <c r="E24" s="37">
        <f>'4D1_CH4_EF_DomesticWastewater'!$D$13</f>
        <v>0.06</v>
      </c>
      <c r="F24" s="107">
        <f t="shared" si="0"/>
        <v>369657.39999999997</v>
      </c>
      <c r="G24" s="49"/>
      <c r="H24" s="49"/>
      <c r="I24" s="15">
        <f t="shared" si="1"/>
        <v>226.2303288</v>
      </c>
      <c r="J24" s="34">
        <f t="shared" si="2"/>
        <v>2.2623032879999998E-4</v>
      </c>
      <c r="L24" s="87">
        <f>'4B_N2O emission'!B24</f>
        <v>2023</v>
      </c>
      <c r="M24" s="107">
        <f>'4D1_TOW_DomesticWastewater'!E24</f>
        <v>397315.78599999996</v>
      </c>
      <c r="N24" s="129">
        <f>J368</f>
        <v>2.8430328383016002E-2</v>
      </c>
    </row>
    <row r="25" spans="1:14">
      <c r="A25" s="261"/>
      <c r="B25" s="53" t="s">
        <v>228</v>
      </c>
      <c r="C25" s="44">
        <v>0.34</v>
      </c>
      <c r="D25" s="46">
        <v>0.53</v>
      </c>
      <c r="E25" s="37">
        <f>'4D1_CH4_EF_DomesticWastewater'!$D$13</f>
        <v>0.06</v>
      </c>
      <c r="F25" s="107">
        <f t="shared" si="0"/>
        <v>369657.39999999997</v>
      </c>
      <c r="G25" s="49"/>
      <c r="H25" s="49"/>
      <c r="I25" s="15">
        <f t="shared" si="1"/>
        <v>3996.7358087999996</v>
      </c>
      <c r="J25" s="34">
        <f t="shared" si="2"/>
        <v>3.9967358087999996E-3</v>
      </c>
      <c r="L25" s="87">
        <f>'4B_N2O emission'!B25</f>
        <v>2024</v>
      </c>
      <c r="M25" s="107">
        <f>'4D1_TOW_DomesticWastewater'!E25</f>
        <v>399572.50799999997</v>
      </c>
      <c r="N25" s="129">
        <f>J396</f>
        <v>2.8591810382447999E-2</v>
      </c>
    </row>
    <row r="26" spans="1:14">
      <c r="A26" s="261"/>
      <c r="B26" s="53" t="s">
        <v>229</v>
      </c>
      <c r="C26" s="44">
        <v>0.34</v>
      </c>
      <c r="D26" s="46">
        <v>0.2</v>
      </c>
      <c r="E26" s="37">
        <v>0</v>
      </c>
      <c r="F26" s="107">
        <f t="shared" si="0"/>
        <v>369657.39999999997</v>
      </c>
      <c r="G26" s="49"/>
      <c r="H26" s="49"/>
      <c r="I26" s="15">
        <f t="shared" si="1"/>
        <v>0</v>
      </c>
      <c r="J26" s="34">
        <f t="shared" si="2"/>
        <v>0</v>
      </c>
      <c r="L26" s="87">
        <f>'4B_N2O emission'!B26</f>
        <v>2025</v>
      </c>
      <c r="M26" s="107">
        <f>'4D1_TOW_DomesticWastewater'!E26</f>
        <v>401829.23</v>
      </c>
      <c r="N26" s="129">
        <f>J424</f>
        <v>2.875329238188E-2</v>
      </c>
    </row>
    <row r="27" spans="1:14">
      <c r="A27" s="276" t="s">
        <v>290</v>
      </c>
      <c r="B27" s="276"/>
      <c r="C27" s="276"/>
      <c r="D27" s="276"/>
      <c r="E27" s="276"/>
      <c r="F27" s="276"/>
      <c r="G27" s="276"/>
      <c r="H27" s="276"/>
      <c r="I27" s="108">
        <f>SUM(I12:I26)</f>
        <v>26451.204914399998</v>
      </c>
      <c r="J27" s="109">
        <f>SUM(J12:J26)</f>
        <v>2.6451204914399999E-2</v>
      </c>
      <c r="L27" s="87">
        <f>'4B_N2O emission'!B27</f>
        <v>2026</v>
      </c>
      <c r="M27" s="107">
        <f>'4D1_TOW_DomesticWastewater'!E27</f>
        <v>404085.95199999999</v>
      </c>
      <c r="N27" s="129">
        <f>J452</f>
        <v>2.8914774381312E-2</v>
      </c>
    </row>
    <row r="28" spans="1:14">
      <c r="L28" s="87">
        <f>'4B_N2O emission'!B28</f>
        <v>2027</v>
      </c>
      <c r="M28" s="107">
        <f>'4D1_TOW_DomesticWastewater'!E28</f>
        <v>406342.674</v>
      </c>
      <c r="N28" s="129">
        <f>J480</f>
        <v>2.9076256380744004E-2</v>
      </c>
    </row>
    <row r="29" spans="1:14">
      <c r="L29" s="87">
        <f>'4B_N2O emission'!B29</f>
        <v>2028</v>
      </c>
      <c r="M29" s="107">
        <f>'4D1_TOW_DomesticWastewater'!E29</f>
        <v>408599.39599999995</v>
      </c>
      <c r="N29" s="129">
        <f>J508</f>
        <v>2.9237738380175998E-2</v>
      </c>
    </row>
    <row r="30" spans="1:14">
      <c r="L30" s="87">
        <f>'4B_N2O emission'!B30</f>
        <v>2029</v>
      </c>
      <c r="M30" s="107">
        <f>'4D1_TOW_DomesticWastewater'!E30</f>
        <v>410856.11800000002</v>
      </c>
      <c r="N30" s="129">
        <f>J536</f>
        <v>2.9399220379608005E-2</v>
      </c>
    </row>
    <row r="31" spans="1:14">
      <c r="L31" s="87">
        <f>'4B_N2O emission'!B31</f>
        <v>2030</v>
      </c>
      <c r="M31" s="107">
        <f>'4D1_TOW_DomesticWastewater'!E31</f>
        <v>413112.84</v>
      </c>
      <c r="N31" s="129">
        <f>J564</f>
        <v>2.9560702379040009E-2</v>
      </c>
    </row>
    <row r="32" spans="1:14">
      <c r="F32" s="89" t="s">
        <v>248</v>
      </c>
      <c r="L32" s="87">
        <f>'4B_N2O emission'!B32</f>
        <v>2031</v>
      </c>
      <c r="M32" s="107">
        <f>'4D1_TOW_DomesticWastewater'!E32</f>
        <v>0</v>
      </c>
      <c r="N32" s="109"/>
    </row>
    <row r="35" spans="1:10">
      <c r="A35" s="277" t="s">
        <v>0</v>
      </c>
      <c r="B35" s="278"/>
      <c r="C35" s="196" t="s">
        <v>1</v>
      </c>
      <c r="D35" s="279"/>
      <c r="E35" s="279"/>
      <c r="F35" s="279"/>
      <c r="G35" s="279"/>
      <c r="H35" s="279"/>
      <c r="I35" s="279"/>
    </row>
    <row r="36" spans="1:10">
      <c r="A36" s="277" t="s">
        <v>2</v>
      </c>
      <c r="B36" s="278"/>
      <c r="C36" s="196" t="s">
        <v>117</v>
      </c>
      <c r="D36" s="279"/>
      <c r="E36" s="279"/>
      <c r="F36" s="279"/>
      <c r="G36" s="279"/>
      <c r="H36" s="279"/>
      <c r="I36" s="279"/>
    </row>
    <row r="37" spans="1:10">
      <c r="A37" s="277" t="s">
        <v>4</v>
      </c>
      <c r="B37" s="278"/>
      <c r="C37" s="196" t="s">
        <v>118</v>
      </c>
      <c r="D37" s="279"/>
      <c r="E37" s="279"/>
      <c r="F37" s="279"/>
      <c r="G37" s="279"/>
      <c r="H37" s="279"/>
      <c r="I37" s="279"/>
    </row>
    <row r="38" spans="1:10">
      <c r="A38" s="277" t="s">
        <v>6</v>
      </c>
      <c r="B38" s="278"/>
      <c r="C38" s="196" t="s">
        <v>145</v>
      </c>
      <c r="D38" s="279"/>
      <c r="E38" s="279"/>
      <c r="F38" s="279"/>
      <c r="G38" s="279"/>
      <c r="H38" s="279"/>
      <c r="I38" s="279"/>
    </row>
    <row r="39" spans="1:10">
      <c r="A39" s="250" t="s">
        <v>10</v>
      </c>
      <c r="B39" s="267"/>
      <c r="C39" s="267"/>
      <c r="D39" s="267"/>
      <c r="E39" s="267"/>
      <c r="F39" s="267"/>
      <c r="G39" s="267"/>
      <c r="H39" s="267"/>
      <c r="I39" s="267"/>
      <c r="J39" s="106"/>
    </row>
    <row r="40" spans="1:10">
      <c r="A40" s="59"/>
      <c r="B40" s="59"/>
      <c r="C40" s="7" t="s">
        <v>11</v>
      </c>
      <c r="D40" s="7" t="s">
        <v>12</v>
      </c>
      <c r="E40" s="7" t="s">
        <v>13</v>
      </c>
      <c r="F40" s="7" t="s">
        <v>14</v>
      </c>
      <c r="G40" s="7" t="s">
        <v>15</v>
      </c>
      <c r="H40" s="7" t="s">
        <v>58</v>
      </c>
      <c r="I40" s="7" t="s">
        <v>78</v>
      </c>
      <c r="J40" s="87" t="s">
        <v>79</v>
      </c>
    </row>
    <row r="41" spans="1:10" ht="51">
      <c r="A41" s="207" t="s">
        <v>146</v>
      </c>
      <c r="B41" s="207" t="s">
        <v>147</v>
      </c>
      <c r="C41" s="59" t="s">
        <v>148</v>
      </c>
      <c r="D41" s="59" t="s">
        <v>149</v>
      </c>
      <c r="E41" s="59" t="s">
        <v>150</v>
      </c>
      <c r="F41" s="59" t="s">
        <v>123</v>
      </c>
      <c r="G41" s="59" t="s">
        <v>151</v>
      </c>
      <c r="H41" s="59" t="s">
        <v>152</v>
      </c>
      <c r="I41" s="59" t="s">
        <v>153</v>
      </c>
      <c r="J41" s="59" t="s">
        <v>153</v>
      </c>
    </row>
    <row r="42" spans="1:10" ht="15.75">
      <c r="A42" s="207"/>
      <c r="B42" s="207"/>
      <c r="C42" s="76" t="s">
        <v>154</v>
      </c>
      <c r="D42" s="76" t="s">
        <v>155</v>
      </c>
      <c r="E42" s="76" t="s">
        <v>156</v>
      </c>
      <c r="F42" s="76" t="s">
        <v>127</v>
      </c>
      <c r="G42" s="76" t="s">
        <v>157</v>
      </c>
      <c r="H42" s="76" t="s">
        <v>158</v>
      </c>
      <c r="I42" s="76" t="s">
        <v>159</v>
      </c>
      <c r="J42" s="76" t="s">
        <v>159</v>
      </c>
    </row>
    <row r="43" spans="1:10" ht="28.5">
      <c r="A43" s="207"/>
      <c r="B43" s="207"/>
      <c r="C43" s="8" t="s">
        <v>44</v>
      </c>
      <c r="D43" s="8" t="s">
        <v>44</v>
      </c>
      <c r="E43" s="8" t="s">
        <v>142</v>
      </c>
      <c r="F43" s="8" t="s">
        <v>130</v>
      </c>
      <c r="G43" s="8" t="s">
        <v>130</v>
      </c>
      <c r="H43" s="8" t="s">
        <v>160</v>
      </c>
      <c r="I43" s="8" t="s">
        <v>160</v>
      </c>
      <c r="J43" s="8" t="s">
        <v>231</v>
      </c>
    </row>
    <row r="44" spans="1:10" ht="24.75" thickBot="1">
      <c r="A44" s="224"/>
      <c r="B44" s="224"/>
      <c r="C44" s="5"/>
      <c r="D44" s="5"/>
      <c r="E44" s="5" t="s">
        <v>161</v>
      </c>
      <c r="F44" s="5" t="s">
        <v>162</v>
      </c>
      <c r="G44" s="5"/>
      <c r="H44" s="5"/>
      <c r="I44" s="9" t="s">
        <v>163</v>
      </c>
      <c r="J44" s="35"/>
    </row>
    <row r="45" spans="1:10" ht="13.5" thickTop="1">
      <c r="A45" s="274" t="s">
        <v>164</v>
      </c>
      <c r="B45" s="54" t="s">
        <v>225</v>
      </c>
      <c r="C45" s="42">
        <v>0.54</v>
      </c>
      <c r="D45" s="43">
        <v>0</v>
      </c>
      <c r="E45" s="38">
        <f>'4D1_CH4_EF_DomesticWastewater'!$D$14</f>
        <v>0.3</v>
      </c>
      <c r="F45" s="107">
        <f>$M$13</f>
        <v>372621.2</v>
      </c>
      <c r="G45" s="47"/>
      <c r="H45" s="47"/>
      <c r="I45" s="14">
        <f>((C45*D45*E45)*(F45-G45))-H45</f>
        <v>0</v>
      </c>
      <c r="J45" s="32">
        <f>I45/(10^6)</f>
        <v>0</v>
      </c>
    </row>
    <row r="46" spans="1:10">
      <c r="A46" s="275"/>
      <c r="B46" s="55" t="s">
        <v>226</v>
      </c>
      <c r="C46" s="44">
        <v>0.54</v>
      </c>
      <c r="D46" s="45">
        <v>0.47</v>
      </c>
      <c r="E46" s="37">
        <f>'4D1_CH4_EF_DomesticWastewater'!$D$23</f>
        <v>0.06</v>
      </c>
      <c r="F46" s="107">
        <f t="shared" ref="F46:F59" si="3">$M$13</f>
        <v>372621.2</v>
      </c>
      <c r="G46" s="48"/>
      <c r="H46" s="48"/>
      <c r="I46" s="15">
        <f t="shared" ref="I46:I59" si="4">((C46*D46*E46)*(F46-G46))-H46</f>
        <v>5674.2756336000002</v>
      </c>
      <c r="J46" s="34">
        <f t="shared" ref="J46:J59" si="5">I46/(10^6)</f>
        <v>5.6742756336E-3</v>
      </c>
    </row>
    <row r="47" spans="1:10">
      <c r="A47" s="275"/>
      <c r="B47" s="53" t="s">
        <v>227</v>
      </c>
      <c r="C47" s="44">
        <v>0.54</v>
      </c>
      <c r="D47" s="45">
        <v>0</v>
      </c>
      <c r="E47" s="37">
        <f>'4D1_CH4_EF_DomesticWastewater'!$D$13</f>
        <v>0.06</v>
      </c>
      <c r="F47" s="107">
        <f t="shared" si="3"/>
        <v>372621.2</v>
      </c>
      <c r="G47" s="48"/>
      <c r="H47" s="48"/>
      <c r="I47" s="15">
        <f t="shared" si="4"/>
        <v>0</v>
      </c>
      <c r="J47" s="34">
        <f t="shared" si="5"/>
        <v>0</v>
      </c>
    </row>
    <row r="48" spans="1:10">
      <c r="A48" s="261"/>
      <c r="B48" s="53" t="s">
        <v>228</v>
      </c>
      <c r="C48" s="44">
        <v>0.54</v>
      </c>
      <c r="D48" s="46">
        <v>0.1</v>
      </c>
      <c r="E48" s="37">
        <f>'4D1_CH4_EF_DomesticWastewater'!$D$14</f>
        <v>0.3</v>
      </c>
      <c r="F48" s="107">
        <f t="shared" si="3"/>
        <v>372621.2</v>
      </c>
      <c r="G48" s="49"/>
      <c r="H48" s="49"/>
      <c r="I48" s="15">
        <f t="shared" si="4"/>
        <v>6036.4634400000014</v>
      </c>
      <c r="J48" s="34">
        <f t="shared" si="5"/>
        <v>6.0364634400000014E-3</v>
      </c>
    </row>
    <row r="49" spans="1:10">
      <c r="A49" s="261"/>
      <c r="B49" s="53" t="s">
        <v>229</v>
      </c>
      <c r="C49" s="44">
        <v>0.54</v>
      </c>
      <c r="D49" s="46">
        <v>0.43</v>
      </c>
      <c r="E49" s="37">
        <v>0</v>
      </c>
      <c r="F49" s="107">
        <f t="shared" si="3"/>
        <v>372621.2</v>
      </c>
      <c r="G49" s="49"/>
      <c r="H49" s="49"/>
      <c r="I49" s="15">
        <f t="shared" si="4"/>
        <v>0</v>
      </c>
      <c r="J49" s="34">
        <f t="shared" si="5"/>
        <v>0</v>
      </c>
    </row>
    <row r="50" spans="1:10">
      <c r="A50" s="261" t="s">
        <v>165</v>
      </c>
      <c r="B50" s="53" t="s">
        <v>225</v>
      </c>
      <c r="C50" s="44">
        <v>0.12</v>
      </c>
      <c r="D50" s="46">
        <v>0.18</v>
      </c>
      <c r="E50" s="37">
        <f>'4D1_CH4_EF_DomesticWastewater'!$D$22</f>
        <v>0.3</v>
      </c>
      <c r="F50" s="107">
        <f t="shared" si="3"/>
        <v>372621.2</v>
      </c>
      <c r="G50" s="49"/>
      <c r="H50" s="49"/>
      <c r="I50" s="15">
        <f t="shared" si="4"/>
        <v>2414.5853759999995</v>
      </c>
      <c r="J50" s="34">
        <f t="shared" si="5"/>
        <v>2.4145853759999997E-3</v>
      </c>
    </row>
    <row r="51" spans="1:10">
      <c r="A51" s="261"/>
      <c r="B51" s="53" t="s">
        <v>226</v>
      </c>
      <c r="C51" s="44">
        <v>0.12</v>
      </c>
      <c r="D51" s="46">
        <v>0.08</v>
      </c>
      <c r="E51" s="37">
        <f>'4D1_CH4_EF_DomesticWastewater'!$D$23</f>
        <v>0.06</v>
      </c>
      <c r="F51" s="107">
        <f t="shared" si="3"/>
        <v>372621.2</v>
      </c>
      <c r="G51" s="49"/>
      <c r="H51" s="49"/>
      <c r="I51" s="15">
        <f t="shared" si="4"/>
        <v>214.62981119999998</v>
      </c>
      <c r="J51" s="34">
        <f t="shared" si="5"/>
        <v>2.1462981119999998E-4</v>
      </c>
    </row>
    <row r="52" spans="1:10">
      <c r="A52" s="261"/>
      <c r="B52" s="53" t="s">
        <v>227</v>
      </c>
      <c r="C52" s="44">
        <v>0.12</v>
      </c>
      <c r="D52" s="46">
        <v>0</v>
      </c>
      <c r="E52" s="37">
        <f>'4D1_CH4_EF_DomesticWastewater'!$D$13</f>
        <v>0.06</v>
      </c>
      <c r="F52" s="107">
        <f t="shared" si="3"/>
        <v>372621.2</v>
      </c>
      <c r="G52" s="49"/>
      <c r="H52" s="49"/>
      <c r="I52" s="15">
        <f t="shared" si="4"/>
        <v>0</v>
      </c>
      <c r="J52" s="34">
        <f t="shared" si="5"/>
        <v>0</v>
      </c>
    </row>
    <row r="53" spans="1:10">
      <c r="A53" s="261"/>
      <c r="B53" s="53" t="s">
        <v>228</v>
      </c>
      <c r="C53" s="44">
        <v>0.12</v>
      </c>
      <c r="D53" s="46">
        <v>0.74</v>
      </c>
      <c r="E53" s="37">
        <f>'4D1_CH4_EF_DomesticWastewater'!$D$13</f>
        <v>0.06</v>
      </c>
      <c r="F53" s="107">
        <f t="shared" si="3"/>
        <v>372621.2</v>
      </c>
      <c r="G53" s="49"/>
      <c r="H53" s="49"/>
      <c r="I53" s="15">
        <f t="shared" si="4"/>
        <v>1985.3257535999999</v>
      </c>
      <c r="J53" s="34">
        <f t="shared" si="5"/>
        <v>1.9853257535999997E-3</v>
      </c>
    </row>
    <row r="54" spans="1:10">
      <c r="A54" s="261"/>
      <c r="B54" s="53" t="s">
        <v>229</v>
      </c>
      <c r="C54" s="44">
        <v>0.12</v>
      </c>
      <c r="D54" s="46">
        <v>0</v>
      </c>
      <c r="E54" s="37">
        <v>0</v>
      </c>
      <c r="F54" s="107">
        <f t="shared" si="3"/>
        <v>372621.2</v>
      </c>
      <c r="G54" s="49"/>
      <c r="H54" s="49"/>
      <c r="I54" s="15">
        <f t="shared" si="4"/>
        <v>0</v>
      </c>
      <c r="J54" s="34">
        <f t="shared" si="5"/>
        <v>0</v>
      </c>
    </row>
    <row r="55" spans="1:10">
      <c r="A55" s="261" t="s">
        <v>166</v>
      </c>
      <c r="B55" s="53" t="s">
        <v>225</v>
      </c>
      <c r="C55" s="44">
        <v>0.34</v>
      </c>
      <c r="D55" s="46">
        <v>0.14000000000000001</v>
      </c>
      <c r="E55" s="37">
        <f>'4D1_CH4_EF_DomesticWastewater'!$D$22</f>
        <v>0.3</v>
      </c>
      <c r="F55" s="107">
        <f t="shared" si="3"/>
        <v>372621.2</v>
      </c>
      <c r="G55" s="49"/>
      <c r="H55" s="49"/>
      <c r="I55" s="15">
        <f t="shared" si="4"/>
        <v>5321.0307360000015</v>
      </c>
      <c r="J55" s="34">
        <f t="shared" si="5"/>
        <v>5.3210307360000014E-3</v>
      </c>
    </row>
    <row r="56" spans="1:10">
      <c r="A56" s="261"/>
      <c r="B56" s="53" t="s">
        <v>226</v>
      </c>
      <c r="C56" s="44">
        <v>0.34</v>
      </c>
      <c r="D56" s="46">
        <v>0.1</v>
      </c>
      <c r="E56" s="37">
        <f>'4D1_CH4_EF_DomesticWastewater'!$D$23</f>
        <v>0.06</v>
      </c>
      <c r="F56" s="107">
        <f t="shared" si="3"/>
        <v>372621.2</v>
      </c>
      <c r="G56" s="49"/>
      <c r="H56" s="49"/>
      <c r="I56" s="15">
        <f t="shared" si="4"/>
        <v>760.1472480000001</v>
      </c>
      <c r="J56" s="34">
        <f t="shared" si="5"/>
        <v>7.6014724800000006E-4</v>
      </c>
    </row>
    <row r="57" spans="1:10">
      <c r="A57" s="261"/>
      <c r="B57" s="53" t="s">
        <v>227</v>
      </c>
      <c r="C57" s="44">
        <v>0.34</v>
      </c>
      <c r="D57" s="46">
        <v>0.03</v>
      </c>
      <c r="E57" s="37">
        <f>'4D1_CH4_EF_DomesticWastewater'!$D$13</f>
        <v>0.06</v>
      </c>
      <c r="F57" s="107">
        <f t="shared" si="3"/>
        <v>372621.2</v>
      </c>
      <c r="G57" s="49"/>
      <c r="H57" s="49"/>
      <c r="I57" s="15">
        <f t="shared" si="4"/>
        <v>228.0441744</v>
      </c>
      <c r="J57" s="34">
        <f t="shared" si="5"/>
        <v>2.280441744E-4</v>
      </c>
    </row>
    <row r="58" spans="1:10">
      <c r="A58" s="261"/>
      <c r="B58" s="53" t="s">
        <v>228</v>
      </c>
      <c r="C58" s="44">
        <v>0.34</v>
      </c>
      <c r="D58" s="46">
        <v>0.53</v>
      </c>
      <c r="E58" s="37">
        <f>'4D1_CH4_EF_DomesticWastewater'!$D$13</f>
        <v>0.06</v>
      </c>
      <c r="F58" s="107">
        <f t="shared" si="3"/>
        <v>372621.2</v>
      </c>
      <c r="G58" s="49"/>
      <c r="H58" s="49"/>
      <c r="I58" s="15">
        <f t="shared" si="4"/>
        <v>4028.7804144000002</v>
      </c>
      <c r="J58" s="34">
        <f t="shared" si="5"/>
        <v>4.0287804144000005E-3</v>
      </c>
    </row>
    <row r="59" spans="1:10">
      <c r="A59" s="261"/>
      <c r="B59" s="53" t="s">
        <v>229</v>
      </c>
      <c r="C59" s="44">
        <v>0.34</v>
      </c>
      <c r="D59" s="46">
        <v>0.2</v>
      </c>
      <c r="E59" s="37">
        <v>0</v>
      </c>
      <c r="F59" s="107">
        <f t="shared" si="3"/>
        <v>372621.2</v>
      </c>
      <c r="G59" s="49"/>
      <c r="H59" s="49"/>
      <c r="I59" s="15">
        <f t="shared" si="4"/>
        <v>0</v>
      </c>
      <c r="J59" s="34">
        <f t="shared" si="5"/>
        <v>0</v>
      </c>
    </row>
    <row r="60" spans="1:10">
      <c r="A60" s="276" t="s">
        <v>291</v>
      </c>
      <c r="B60" s="276"/>
      <c r="C60" s="276"/>
      <c r="D60" s="276"/>
      <c r="E60" s="276"/>
      <c r="F60" s="276"/>
      <c r="G60" s="276"/>
      <c r="H60" s="276"/>
      <c r="I60" s="108">
        <f>SUM(I45:I59)</f>
        <v>26663.282587200007</v>
      </c>
      <c r="J60" s="109">
        <f>SUM(J45:J59)</f>
        <v>2.6663282587200004E-2</v>
      </c>
    </row>
    <row r="63" spans="1:10">
      <c r="A63" s="277" t="s">
        <v>0</v>
      </c>
      <c r="B63" s="278"/>
      <c r="C63" s="196" t="s">
        <v>1</v>
      </c>
      <c r="D63" s="279"/>
      <c r="E63" s="279"/>
      <c r="F63" s="279"/>
      <c r="G63" s="279"/>
      <c r="H63" s="279"/>
      <c r="I63" s="279"/>
    </row>
    <row r="64" spans="1:10">
      <c r="A64" s="277" t="s">
        <v>2</v>
      </c>
      <c r="B64" s="278"/>
      <c r="C64" s="196" t="s">
        <v>117</v>
      </c>
      <c r="D64" s="279"/>
      <c r="E64" s="279"/>
      <c r="F64" s="279"/>
      <c r="G64" s="279"/>
      <c r="H64" s="279"/>
      <c r="I64" s="279"/>
    </row>
    <row r="65" spans="1:10">
      <c r="A65" s="277" t="s">
        <v>4</v>
      </c>
      <c r="B65" s="278"/>
      <c r="C65" s="196" t="s">
        <v>118</v>
      </c>
      <c r="D65" s="279"/>
      <c r="E65" s="279"/>
      <c r="F65" s="279"/>
      <c r="G65" s="279"/>
      <c r="H65" s="279"/>
      <c r="I65" s="279"/>
    </row>
    <row r="66" spans="1:10">
      <c r="A66" s="277" t="s">
        <v>6</v>
      </c>
      <c r="B66" s="278"/>
      <c r="C66" s="196" t="s">
        <v>145</v>
      </c>
      <c r="D66" s="279"/>
      <c r="E66" s="279"/>
      <c r="F66" s="279"/>
      <c r="G66" s="279"/>
      <c r="H66" s="279"/>
      <c r="I66" s="279"/>
    </row>
    <row r="67" spans="1:10">
      <c r="A67" s="250" t="s">
        <v>10</v>
      </c>
      <c r="B67" s="267"/>
      <c r="C67" s="267"/>
      <c r="D67" s="267"/>
      <c r="E67" s="267"/>
      <c r="F67" s="267"/>
      <c r="G67" s="267"/>
      <c r="H67" s="267"/>
      <c r="I67" s="267"/>
      <c r="J67" s="106"/>
    </row>
    <row r="68" spans="1:10">
      <c r="A68" s="59"/>
      <c r="B68" s="59"/>
      <c r="C68" s="7" t="s">
        <v>11</v>
      </c>
      <c r="D68" s="7" t="s">
        <v>12</v>
      </c>
      <c r="E68" s="7" t="s">
        <v>13</v>
      </c>
      <c r="F68" s="7" t="s">
        <v>14</v>
      </c>
      <c r="G68" s="7" t="s">
        <v>15</v>
      </c>
      <c r="H68" s="7" t="s">
        <v>58</v>
      </c>
      <c r="I68" s="7" t="s">
        <v>78</v>
      </c>
      <c r="J68" s="87" t="s">
        <v>79</v>
      </c>
    </row>
    <row r="69" spans="1:10" ht="51">
      <c r="A69" s="207" t="s">
        <v>146</v>
      </c>
      <c r="B69" s="207" t="s">
        <v>147</v>
      </c>
      <c r="C69" s="59" t="s">
        <v>148</v>
      </c>
      <c r="D69" s="59" t="s">
        <v>149</v>
      </c>
      <c r="E69" s="59" t="s">
        <v>150</v>
      </c>
      <c r="F69" s="59" t="s">
        <v>123</v>
      </c>
      <c r="G69" s="59" t="s">
        <v>151</v>
      </c>
      <c r="H69" s="59" t="s">
        <v>152</v>
      </c>
      <c r="I69" s="59" t="s">
        <v>153</v>
      </c>
      <c r="J69" s="59" t="s">
        <v>153</v>
      </c>
    </row>
    <row r="70" spans="1:10" ht="15.75">
      <c r="A70" s="207"/>
      <c r="B70" s="207"/>
      <c r="C70" s="76" t="s">
        <v>154</v>
      </c>
      <c r="D70" s="76" t="s">
        <v>155</v>
      </c>
      <c r="E70" s="76" t="s">
        <v>156</v>
      </c>
      <c r="F70" s="76" t="s">
        <v>127</v>
      </c>
      <c r="G70" s="76" t="s">
        <v>157</v>
      </c>
      <c r="H70" s="76" t="s">
        <v>158</v>
      </c>
      <c r="I70" s="76" t="s">
        <v>159</v>
      </c>
      <c r="J70" s="76" t="s">
        <v>159</v>
      </c>
    </row>
    <row r="71" spans="1:10" ht="28.5">
      <c r="A71" s="207"/>
      <c r="B71" s="207"/>
      <c r="C71" s="8" t="s">
        <v>44</v>
      </c>
      <c r="D71" s="8" t="s">
        <v>44</v>
      </c>
      <c r="E71" s="8" t="s">
        <v>142</v>
      </c>
      <c r="F71" s="8" t="s">
        <v>130</v>
      </c>
      <c r="G71" s="8" t="s">
        <v>130</v>
      </c>
      <c r="H71" s="8" t="s">
        <v>160</v>
      </c>
      <c r="I71" s="8" t="s">
        <v>160</v>
      </c>
      <c r="J71" s="8" t="s">
        <v>231</v>
      </c>
    </row>
    <row r="72" spans="1:10" ht="24.75" thickBot="1">
      <c r="A72" s="224"/>
      <c r="B72" s="224"/>
      <c r="C72" s="5"/>
      <c r="D72" s="5"/>
      <c r="E72" s="5" t="s">
        <v>161</v>
      </c>
      <c r="F72" s="5" t="s">
        <v>162</v>
      </c>
      <c r="G72" s="5"/>
      <c r="H72" s="5"/>
      <c r="I72" s="9" t="s">
        <v>163</v>
      </c>
      <c r="J72" s="35"/>
    </row>
    <row r="73" spans="1:10" ht="13.5" thickTop="1">
      <c r="A73" s="274" t="s">
        <v>164</v>
      </c>
      <c r="B73" s="54" t="s">
        <v>225</v>
      </c>
      <c r="C73" s="42">
        <v>0.54</v>
      </c>
      <c r="D73" s="43">
        <v>0</v>
      </c>
      <c r="E73" s="38">
        <f>'4D1_CH4_EF_DomesticWastewater'!$D$14</f>
        <v>0.3</v>
      </c>
      <c r="F73" s="107">
        <f>$M$14</f>
        <v>374898.8</v>
      </c>
      <c r="G73" s="47"/>
      <c r="H73" s="47"/>
      <c r="I73" s="14">
        <f>((C73*D73*E73)*(F73-G73))-H73</f>
        <v>0</v>
      </c>
      <c r="J73" s="32">
        <f>I73/(10^6)</f>
        <v>0</v>
      </c>
    </row>
    <row r="74" spans="1:10">
      <c r="A74" s="275"/>
      <c r="B74" s="55" t="s">
        <v>226</v>
      </c>
      <c r="C74" s="44">
        <v>0.54</v>
      </c>
      <c r="D74" s="45">
        <v>0.47</v>
      </c>
      <c r="E74" s="37">
        <f>'4D1_CH4_EF_DomesticWastewater'!$D$23</f>
        <v>0.06</v>
      </c>
      <c r="F74" s="107">
        <f t="shared" ref="F74:F87" si="6">$M$14</f>
        <v>374898.8</v>
      </c>
      <c r="G74" s="48"/>
      <c r="H74" s="48"/>
      <c r="I74" s="15">
        <f t="shared" ref="I74:I87" si="7">((C74*D74*E74)*(F74-G74))-H74</f>
        <v>5708.9589263999997</v>
      </c>
      <c r="J74" s="34">
        <f t="shared" ref="J74:J87" si="8">I74/(10^6)</f>
        <v>5.7089589263999993E-3</v>
      </c>
    </row>
    <row r="75" spans="1:10">
      <c r="A75" s="275"/>
      <c r="B75" s="53" t="s">
        <v>227</v>
      </c>
      <c r="C75" s="44">
        <v>0.54</v>
      </c>
      <c r="D75" s="45">
        <v>0</v>
      </c>
      <c r="E75" s="37">
        <f>'4D1_CH4_EF_DomesticWastewater'!$D$13</f>
        <v>0.06</v>
      </c>
      <c r="F75" s="107">
        <f t="shared" si="6"/>
        <v>374898.8</v>
      </c>
      <c r="G75" s="48"/>
      <c r="H75" s="48"/>
      <c r="I75" s="15">
        <f t="shared" si="7"/>
        <v>0</v>
      </c>
      <c r="J75" s="34">
        <f t="shared" si="8"/>
        <v>0</v>
      </c>
    </row>
    <row r="76" spans="1:10">
      <c r="A76" s="261"/>
      <c r="B76" s="53" t="s">
        <v>228</v>
      </c>
      <c r="C76" s="44">
        <v>0.54</v>
      </c>
      <c r="D76" s="46">
        <v>0.1</v>
      </c>
      <c r="E76" s="37">
        <f>'4D1_CH4_EF_DomesticWastewater'!$D$14</f>
        <v>0.3</v>
      </c>
      <c r="F76" s="107">
        <f t="shared" si="6"/>
        <v>374898.8</v>
      </c>
      <c r="G76" s="49"/>
      <c r="H76" s="49"/>
      <c r="I76" s="15">
        <f t="shared" si="7"/>
        <v>6073.360560000001</v>
      </c>
      <c r="J76" s="34">
        <f t="shared" si="8"/>
        <v>6.0733605600000011E-3</v>
      </c>
    </row>
    <row r="77" spans="1:10">
      <c r="A77" s="261"/>
      <c r="B77" s="53" t="s">
        <v>229</v>
      </c>
      <c r="C77" s="44">
        <v>0.54</v>
      </c>
      <c r="D77" s="46">
        <v>0.43</v>
      </c>
      <c r="E77" s="37">
        <v>0</v>
      </c>
      <c r="F77" s="107">
        <f t="shared" si="6"/>
        <v>374898.8</v>
      </c>
      <c r="G77" s="49"/>
      <c r="H77" s="49"/>
      <c r="I77" s="15">
        <f t="shared" si="7"/>
        <v>0</v>
      </c>
      <c r="J77" s="34">
        <f t="shared" si="8"/>
        <v>0</v>
      </c>
    </row>
    <row r="78" spans="1:10">
      <c r="A78" s="261" t="s">
        <v>165</v>
      </c>
      <c r="B78" s="53" t="s">
        <v>225</v>
      </c>
      <c r="C78" s="44">
        <v>0.12</v>
      </c>
      <c r="D78" s="46">
        <v>0.18</v>
      </c>
      <c r="E78" s="37">
        <f>'4D1_CH4_EF_DomesticWastewater'!$D$22</f>
        <v>0.3</v>
      </c>
      <c r="F78" s="107">
        <f t="shared" si="6"/>
        <v>374898.8</v>
      </c>
      <c r="G78" s="49"/>
      <c r="H78" s="49"/>
      <c r="I78" s="15">
        <f t="shared" si="7"/>
        <v>2429.3442239999995</v>
      </c>
      <c r="J78" s="34">
        <f t="shared" si="8"/>
        <v>2.4293442239999995E-3</v>
      </c>
    </row>
    <row r="79" spans="1:10">
      <c r="A79" s="261"/>
      <c r="B79" s="53" t="s">
        <v>226</v>
      </c>
      <c r="C79" s="44">
        <v>0.12</v>
      </c>
      <c r="D79" s="46">
        <v>0.08</v>
      </c>
      <c r="E79" s="37">
        <f>'4D1_CH4_EF_DomesticWastewater'!$D$23</f>
        <v>0.06</v>
      </c>
      <c r="F79" s="107">
        <f t="shared" si="6"/>
        <v>374898.8</v>
      </c>
      <c r="G79" s="49"/>
      <c r="H79" s="49"/>
      <c r="I79" s="15">
        <f t="shared" si="7"/>
        <v>215.94170879999996</v>
      </c>
      <c r="J79" s="34">
        <f t="shared" si="8"/>
        <v>2.1594170879999996E-4</v>
      </c>
    </row>
    <row r="80" spans="1:10">
      <c r="A80" s="261"/>
      <c r="B80" s="53" t="s">
        <v>227</v>
      </c>
      <c r="C80" s="44">
        <v>0.12</v>
      </c>
      <c r="D80" s="46">
        <v>0</v>
      </c>
      <c r="E80" s="37">
        <f>'4D1_CH4_EF_DomesticWastewater'!$D$13</f>
        <v>0.06</v>
      </c>
      <c r="F80" s="107">
        <f t="shared" si="6"/>
        <v>374898.8</v>
      </c>
      <c r="G80" s="49"/>
      <c r="H80" s="49"/>
      <c r="I80" s="15">
        <f t="shared" si="7"/>
        <v>0</v>
      </c>
      <c r="J80" s="34">
        <f t="shared" si="8"/>
        <v>0</v>
      </c>
    </row>
    <row r="81" spans="1:10">
      <c r="A81" s="261"/>
      <c r="B81" s="53" t="s">
        <v>228</v>
      </c>
      <c r="C81" s="44">
        <v>0.12</v>
      </c>
      <c r="D81" s="46">
        <v>0.74</v>
      </c>
      <c r="E81" s="37">
        <f>'4D1_CH4_EF_DomesticWastewater'!$D$13</f>
        <v>0.06</v>
      </c>
      <c r="F81" s="107">
        <f t="shared" si="6"/>
        <v>374898.8</v>
      </c>
      <c r="G81" s="49"/>
      <c r="H81" s="49"/>
      <c r="I81" s="15">
        <f t="shared" si="7"/>
        <v>1997.4608063999997</v>
      </c>
      <c r="J81" s="34">
        <f t="shared" si="8"/>
        <v>1.9974608063999997E-3</v>
      </c>
    </row>
    <row r="82" spans="1:10">
      <c r="A82" s="261"/>
      <c r="B82" s="53" t="s">
        <v>229</v>
      </c>
      <c r="C82" s="44">
        <v>0.12</v>
      </c>
      <c r="D82" s="46">
        <v>0</v>
      </c>
      <c r="E82" s="37">
        <v>0</v>
      </c>
      <c r="F82" s="107">
        <f t="shared" si="6"/>
        <v>374898.8</v>
      </c>
      <c r="G82" s="49"/>
      <c r="H82" s="49"/>
      <c r="I82" s="15">
        <f t="shared" si="7"/>
        <v>0</v>
      </c>
      <c r="J82" s="34">
        <f t="shared" si="8"/>
        <v>0</v>
      </c>
    </row>
    <row r="83" spans="1:10">
      <c r="A83" s="261" t="s">
        <v>166</v>
      </c>
      <c r="B83" s="53" t="s">
        <v>225</v>
      </c>
      <c r="C83" s="44">
        <v>0.34</v>
      </c>
      <c r="D83" s="46">
        <v>0.14000000000000001</v>
      </c>
      <c r="E83" s="37">
        <f>'4D1_CH4_EF_DomesticWastewater'!$D$22</f>
        <v>0.3</v>
      </c>
      <c r="F83" s="107">
        <f t="shared" si="6"/>
        <v>374898.8</v>
      </c>
      <c r="G83" s="49"/>
      <c r="H83" s="49"/>
      <c r="I83" s="15">
        <f t="shared" si="7"/>
        <v>5353.5548640000006</v>
      </c>
      <c r="J83" s="34">
        <f t="shared" si="8"/>
        <v>5.3535548640000008E-3</v>
      </c>
    </row>
    <row r="84" spans="1:10">
      <c r="A84" s="261"/>
      <c r="B84" s="53" t="s">
        <v>226</v>
      </c>
      <c r="C84" s="44">
        <v>0.34</v>
      </c>
      <c r="D84" s="46">
        <v>0.1</v>
      </c>
      <c r="E84" s="37">
        <f>'4D1_CH4_EF_DomesticWastewater'!$D$23</f>
        <v>0.06</v>
      </c>
      <c r="F84" s="107">
        <f t="shared" si="6"/>
        <v>374898.8</v>
      </c>
      <c r="G84" s="49"/>
      <c r="H84" s="49"/>
      <c r="I84" s="15">
        <f t="shared" si="7"/>
        <v>764.79355199999998</v>
      </c>
      <c r="J84" s="34">
        <f t="shared" si="8"/>
        <v>7.6479355200000001E-4</v>
      </c>
    </row>
    <row r="85" spans="1:10">
      <c r="A85" s="261"/>
      <c r="B85" s="53" t="s">
        <v>227</v>
      </c>
      <c r="C85" s="44">
        <v>0.34</v>
      </c>
      <c r="D85" s="46">
        <v>0.03</v>
      </c>
      <c r="E85" s="37">
        <f>'4D1_CH4_EF_DomesticWastewater'!$D$13</f>
        <v>0.06</v>
      </c>
      <c r="F85" s="107">
        <f t="shared" si="6"/>
        <v>374898.8</v>
      </c>
      <c r="G85" s="49"/>
      <c r="H85" s="49"/>
      <c r="I85" s="15">
        <f t="shared" si="7"/>
        <v>229.43806559999999</v>
      </c>
      <c r="J85" s="34">
        <f t="shared" si="8"/>
        <v>2.2943806559999998E-4</v>
      </c>
    </row>
    <row r="86" spans="1:10">
      <c r="A86" s="261"/>
      <c r="B86" s="53" t="s">
        <v>228</v>
      </c>
      <c r="C86" s="44">
        <v>0.34</v>
      </c>
      <c r="D86" s="46">
        <v>0.53</v>
      </c>
      <c r="E86" s="37">
        <f>'4D1_CH4_EF_DomesticWastewater'!$D$13</f>
        <v>0.06</v>
      </c>
      <c r="F86" s="107">
        <f t="shared" si="6"/>
        <v>374898.8</v>
      </c>
      <c r="G86" s="49"/>
      <c r="H86" s="49"/>
      <c r="I86" s="15">
        <f t="shared" si="7"/>
        <v>4053.4058255999998</v>
      </c>
      <c r="J86" s="34">
        <f t="shared" si="8"/>
        <v>4.0534058256000002E-3</v>
      </c>
    </row>
    <row r="87" spans="1:10">
      <c r="A87" s="261"/>
      <c r="B87" s="53" t="s">
        <v>229</v>
      </c>
      <c r="C87" s="44">
        <v>0.34</v>
      </c>
      <c r="D87" s="46">
        <v>0.2</v>
      </c>
      <c r="E87" s="37">
        <v>0</v>
      </c>
      <c r="F87" s="107">
        <f t="shared" si="6"/>
        <v>374898.8</v>
      </c>
      <c r="G87" s="49"/>
      <c r="H87" s="49"/>
      <c r="I87" s="15">
        <f t="shared" si="7"/>
        <v>0</v>
      </c>
      <c r="J87" s="34">
        <f t="shared" si="8"/>
        <v>0</v>
      </c>
    </row>
    <row r="88" spans="1:10">
      <c r="A88" s="276" t="s">
        <v>292</v>
      </c>
      <c r="B88" s="276"/>
      <c r="C88" s="276"/>
      <c r="D88" s="276"/>
      <c r="E88" s="276"/>
      <c r="F88" s="276"/>
      <c r="G88" s="276"/>
      <c r="H88" s="276"/>
      <c r="I88" s="108">
        <f>SUM(I73:I87)</f>
        <v>26826.258532799999</v>
      </c>
      <c r="J88" s="109">
        <f>SUM(J73:J87)</f>
        <v>2.6826258532800001E-2</v>
      </c>
    </row>
    <row r="91" spans="1:10">
      <c r="A91" s="277" t="s">
        <v>0</v>
      </c>
      <c r="B91" s="278"/>
      <c r="C91" s="196" t="s">
        <v>1</v>
      </c>
      <c r="D91" s="279"/>
      <c r="E91" s="279"/>
      <c r="F91" s="279"/>
      <c r="G91" s="279"/>
      <c r="H91" s="279"/>
      <c r="I91" s="279"/>
    </row>
    <row r="92" spans="1:10">
      <c r="A92" s="277" t="s">
        <v>2</v>
      </c>
      <c r="B92" s="278"/>
      <c r="C92" s="196" t="s">
        <v>117</v>
      </c>
      <c r="D92" s="279"/>
      <c r="E92" s="279"/>
      <c r="F92" s="279"/>
      <c r="G92" s="279"/>
      <c r="H92" s="279"/>
      <c r="I92" s="279"/>
    </row>
    <row r="93" spans="1:10">
      <c r="A93" s="277" t="s">
        <v>4</v>
      </c>
      <c r="B93" s="278"/>
      <c r="C93" s="196" t="s">
        <v>118</v>
      </c>
      <c r="D93" s="279"/>
      <c r="E93" s="279"/>
      <c r="F93" s="279"/>
      <c r="G93" s="279"/>
      <c r="H93" s="279"/>
      <c r="I93" s="279"/>
    </row>
    <row r="94" spans="1:10">
      <c r="A94" s="277" t="s">
        <v>6</v>
      </c>
      <c r="B94" s="278"/>
      <c r="C94" s="196" t="s">
        <v>145</v>
      </c>
      <c r="D94" s="279"/>
      <c r="E94" s="279"/>
      <c r="F94" s="279"/>
      <c r="G94" s="279"/>
      <c r="H94" s="279"/>
      <c r="I94" s="279"/>
    </row>
    <row r="95" spans="1:10">
      <c r="A95" s="250" t="s">
        <v>10</v>
      </c>
      <c r="B95" s="267"/>
      <c r="C95" s="267"/>
      <c r="D95" s="267"/>
      <c r="E95" s="267"/>
      <c r="F95" s="267"/>
      <c r="G95" s="267"/>
      <c r="H95" s="267"/>
      <c r="I95" s="267"/>
      <c r="J95" s="106"/>
    </row>
    <row r="96" spans="1:10">
      <c r="A96" s="59"/>
      <c r="B96" s="59"/>
      <c r="C96" s="7" t="s">
        <v>11</v>
      </c>
      <c r="D96" s="7" t="s">
        <v>12</v>
      </c>
      <c r="E96" s="7" t="s">
        <v>13</v>
      </c>
      <c r="F96" s="7" t="s">
        <v>14</v>
      </c>
      <c r="G96" s="7" t="s">
        <v>15</v>
      </c>
      <c r="H96" s="7" t="s">
        <v>58</v>
      </c>
      <c r="I96" s="7" t="s">
        <v>78</v>
      </c>
      <c r="J96" s="87" t="s">
        <v>79</v>
      </c>
    </row>
    <row r="97" spans="1:10" ht="51">
      <c r="A97" s="207" t="s">
        <v>146</v>
      </c>
      <c r="B97" s="207" t="s">
        <v>147</v>
      </c>
      <c r="C97" s="59" t="s">
        <v>148</v>
      </c>
      <c r="D97" s="59" t="s">
        <v>149</v>
      </c>
      <c r="E97" s="59" t="s">
        <v>150</v>
      </c>
      <c r="F97" s="59" t="s">
        <v>123</v>
      </c>
      <c r="G97" s="59" t="s">
        <v>151</v>
      </c>
      <c r="H97" s="59" t="s">
        <v>152</v>
      </c>
      <c r="I97" s="59" t="s">
        <v>153</v>
      </c>
      <c r="J97" s="59" t="s">
        <v>153</v>
      </c>
    </row>
    <row r="98" spans="1:10" ht="15.75">
      <c r="A98" s="207"/>
      <c r="B98" s="207"/>
      <c r="C98" s="76" t="s">
        <v>154</v>
      </c>
      <c r="D98" s="76" t="s">
        <v>155</v>
      </c>
      <c r="E98" s="76" t="s">
        <v>156</v>
      </c>
      <c r="F98" s="76" t="s">
        <v>127</v>
      </c>
      <c r="G98" s="76" t="s">
        <v>157</v>
      </c>
      <c r="H98" s="76" t="s">
        <v>158</v>
      </c>
      <c r="I98" s="76" t="s">
        <v>159</v>
      </c>
      <c r="J98" s="76" t="s">
        <v>159</v>
      </c>
    </row>
    <row r="99" spans="1:10" ht="28.5">
      <c r="A99" s="207"/>
      <c r="B99" s="207"/>
      <c r="C99" s="8" t="s">
        <v>44</v>
      </c>
      <c r="D99" s="8" t="s">
        <v>44</v>
      </c>
      <c r="E99" s="8" t="s">
        <v>142</v>
      </c>
      <c r="F99" s="8" t="s">
        <v>130</v>
      </c>
      <c r="G99" s="8" t="s">
        <v>130</v>
      </c>
      <c r="H99" s="8" t="s">
        <v>160</v>
      </c>
      <c r="I99" s="8" t="s">
        <v>160</v>
      </c>
      <c r="J99" s="8" t="s">
        <v>231</v>
      </c>
    </row>
    <row r="100" spans="1:10" ht="24.75" thickBot="1">
      <c r="A100" s="224"/>
      <c r="B100" s="224"/>
      <c r="C100" s="5"/>
      <c r="D100" s="5"/>
      <c r="E100" s="5" t="s">
        <v>161</v>
      </c>
      <c r="F100" s="5" t="s">
        <v>162</v>
      </c>
      <c r="G100" s="5"/>
      <c r="H100" s="5"/>
      <c r="I100" s="9" t="s">
        <v>163</v>
      </c>
      <c r="J100" s="35"/>
    </row>
    <row r="101" spans="1:10" ht="13.5" thickTop="1">
      <c r="A101" s="274" t="s">
        <v>164</v>
      </c>
      <c r="B101" s="54" t="s">
        <v>225</v>
      </c>
      <c r="C101" s="42">
        <v>0.54</v>
      </c>
      <c r="D101" s="43">
        <v>0</v>
      </c>
      <c r="E101" s="38">
        <f>'4D1_CH4_EF_DomesticWastewater'!$D$14</f>
        <v>0.3</v>
      </c>
      <c r="F101" s="107">
        <f>$M$15</f>
        <v>378052.39999999997</v>
      </c>
      <c r="G101" s="47"/>
      <c r="H101" s="47"/>
      <c r="I101" s="14">
        <f>((C101*D101*E101)*(F101-G101))-H101</f>
        <v>0</v>
      </c>
      <c r="J101" s="32">
        <f>I101/(10^6)</f>
        <v>0</v>
      </c>
    </row>
    <row r="102" spans="1:10">
      <c r="A102" s="275"/>
      <c r="B102" s="55" t="s">
        <v>226</v>
      </c>
      <c r="C102" s="44">
        <v>0.54</v>
      </c>
      <c r="D102" s="45">
        <v>0.47</v>
      </c>
      <c r="E102" s="37">
        <f>'4D1_CH4_EF_DomesticWastewater'!$D$23</f>
        <v>0.06</v>
      </c>
      <c r="F102" s="107">
        <f t="shared" ref="F102:F115" si="9">$M$15</f>
        <v>378052.39999999997</v>
      </c>
      <c r="G102" s="48"/>
      <c r="H102" s="48"/>
      <c r="I102" s="15">
        <f t="shared" ref="I102:I115" si="10">((C102*D102*E102)*(F102-G102))-H102</f>
        <v>5756.9819471999999</v>
      </c>
      <c r="J102" s="34">
        <f t="shared" ref="J102:J115" si="11">I102/(10^6)</f>
        <v>5.7569819472000003E-3</v>
      </c>
    </row>
    <row r="103" spans="1:10">
      <c r="A103" s="275"/>
      <c r="B103" s="53" t="s">
        <v>227</v>
      </c>
      <c r="C103" s="44">
        <v>0.54</v>
      </c>
      <c r="D103" s="45">
        <v>0</v>
      </c>
      <c r="E103" s="37">
        <f>'4D1_CH4_EF_DomesticWastewater'!$D$13</f>
        <v>0.06</v>
      </c>
      <c r="F103" s="107">
        <f t="shared" si="9"/>
        <v>378052.39999999997</v>
      </c>
      <c r="G103" s="48"/>
      <c r="H103" s="48"/>
      <c r="I103" s="15">
        <f t="shared" si="10"/>
        <v>0</v>
      </c>
      <c r="J103" s="34">
        <f t="shared" si="11"/>
        <v>0</v>
      </c>
    </row>
    <row r="104" spans="1:10">
      <c r="A104" s="261"/>
      <c r="B104" s="53" t="s">
        <v>228</v>
      </c>
      <c r="C104" s="44">
        <v>0.54</v>
      </c>
      <c r="D104" s="46">
        <v>0.1</v>
      </c>
      <c r="E104" s="37">
        <f>'4D1_CH4_EF_DomesticWastewater'!$D$14</f>
        <v>0.3</v>
      </c>
      <c r="F104" s="107">
        <f t="shared" si="9"/>
        <v>378052.39999999997</v>
      </c>
      <c r="G104" s="49"/>
      <c r="H104" s="49"/>
      <c r="I104" s="15">
        <f t="shared" si="10"/>
        <v>6124.4488800000008</v>
      </c>
      <c r="J104" s="34">
        <f t="shared" si="11"/>
        <v>6.124448880000001E-3</v>
      </c>
    </row>
    <row r="105" spans="1:10">
      <c r="A105" s="261"/>
      <c r="B105" s="53" t="s">
        <v>229</v>
      </c>
      <c r="C105" s="44">
        <v>0.54</v>
      </c>
      <c r="D105" s="46">
        <v>0.43</v>
      </c>
      <c r="E105" s="37">
        <v>0</v>
      </c>
      <c r="F105" s="107">
        <f t="shared" si="9"/>
        <v>378052.39999999997</v>
      </c>
      <c r="G105" s="49"/>
      <c r="H105" s="49"/>
      <c r="I105" s="15">
        <f t="shared" si="10"/>
        <v>0</v>
      </c>
      <c r="J105" s="34">
        <f t="shared" si="11"/>
        <v>0</v>
      </c>
    </row>
    <row r="106" spans="1:10">
      <c r="A106" s="261" t="s">
        <v>165</v>
      </c>
      <c r="B106" s="53" t="s">
        <v>225</v>
      </c>
      <c r="C106" s="44">
        <v>0.12</v>
      </c>
      <c r="D106" s="46">
        <v>0.18</v>
      </c>
      <c r="E106" s="37">
        <f>'4D1_CH4_EF_DomesticWastewater'!$D$22</f>
        <v>0.3</v>
      </c>
      <c r="F106" s="107">
        <f t="shared" si="9"/>
        <v>378052.39999999997</v>
      </c>
      <c r="G106" s="49"/>
      <c r="H106" s="49"/>
      <c r="I106" s="15">
        <f t="shared" si="10"/>
        <v>2449.7795519999995</v>
      </c>
      <c r="J106" s="34">
        <f t="shared" si="11"/>
        <v>2.4497795519999995E-3</v>
      </c>
    </row>
    <row r="107" spans="1:10">
      <c r="A107" s="261"/>
      <c r="B107" s="53" t="s">
        <v>226</v>
      </c>
      <c r="C107" s="44">
        <v>0.12</v>
      </c>
      <c r="D107" s="46">
        <v>0.08</v>
      </c>
      <c r="E107" s="37">
        <f>'4D1_CH4_EF_DomesticWastewater'!$D$23</f>
        <v>0.06</v>
      </c>
      <c r="F107" s="107">
        <f t="shared" si="9"/>
        <v>378052.39999999997</v>
      </c>
      <c r="G107" s="49"/>
      <c r="H107" s="49"/>
      <c r="I107" s="15">
        <f t="shared" si="10"/>
        <v>217.75818239999995</v>
      </c>
      <c r="J107" s="34">
        <f t="shared" si="11"/>
        <v>2.1775818239999994E-4</v>
      </c>
    </row>
    <row r="108" spans="1:10">
      <c r="A108" s="261"/>
      <c r="B108" s="53" t="s">
        <v>227</v>
      </c>
      <c r="C108" s="44">
        <v>0.12</v>
      </c>
      <c r="D108" s="46">
        <v>0</v>
      </c>
      <c r="E108" s="37">
        <f>'4D1_CH4_EF_DomesticWastewater'!$D$13</f>
        <v>0.06</v>
      </c>
      <c r="F108" s="107">
        <f t="shared" si="9"/>
        <v>378052.39999999997</v>
      </c>
      <c r="G108" s="49"/>
      <c r="H108" s="49"/>
      <c r="I108" s="15">
        <f t="shared" si="10"/>
        <v>0</v>
      </c>
      <c r="J108" s="34">
        <f t="shared" si="11"/>
        <v>0</v>
      </c>
    </row>
    <row r="109" spans="1:10">
      <c r="A109" s="261"/>
      <c r="B109" s="53" t="s">
        <v>228</v>
      </c>
      <c r="C109" s="44">
        <v>0.12</v>
      </c>
      <c r="D109" s="46">
        <v>0.74</v>
      </c>
      <c r="E109" s="37">
        <f>'4D1_CH4_EF_DomesticWastewater'!$D$13</f>
        <v>0.06</v>
      </c>
      <c r="F109" s="107">
        <f t="shared" si="9"/>
        <v>378052.39999999997</v>
      </c>
      <c r="G109" s="49"/>
      <c r="H109" s="49"/>
      <c r="I109" s="15">
        <f t="shared" si="10"/>
        <v>2014.2631871999995</v>
      </c>
      <c r="J109" s="34">
        <f t="shared" si="11"/>
        <v>2.0142631871999995E-3</v>
      </c>
    </row>
    <row r="110" spans="1:10">
      <c r="A110" s="261"/>
      <c r="B110" s="53" t="s">
        <v>229</v>
      </c>
      <c r="C110" s="44">
        <v>0.12</v>
      </c>
      <c r="D110" s="46">
        <v>0</v>
      </c>
      <c r="E110" s="37">
        <v>0</v>
      </c>
      <c r="F110" s="107">
        <f t="shared" si="9"/>
        <v>378052.39999999997</v>
      </c>
      <c r="G110" s="49"/>
      <c r="H110" s="49"/>
      <c r="I110" s="15">
        <f t="shared" si="10"/>
        <v>0</v>
      </c>
      <c r="J110" s="34">
        <f t="shared" si="11"/>
        <v>0</v>
      </c>
    </row>
    <row r="111" spans="1:10">
      <c r="A111" s="261" t="s">
        <v>166</v>
      </c>
      <c r="B111" s="53" t="s">
        <v>225</v>
      </c>
      <c r="C111" s="44">
        <v>0.34</v>
      </c>
      <c r="D111" s="46">
        <v>0.14000000000000001</v>
      </c>
      <c r="E111" s="37">
        <f>'4D1_CH4_EF_DomesticWastewater'!$D$22</f>
        <v>0.3</v>
      </c>
      <c r="F111" s="107">
        <f t="shared" si="9"/>
        <v>378052.39999999997</v>
      </c>
      <c r="G111" s="49"/>
      <c r="H111" s="49"/>
      <c r="I111" s="15">
        <f t="shared" si="10"/>
        <v>5398.5882720000009</v>
      </c>
      <c r="J111" s="34">
        <f t="shared" si="11"/>
        <v>5.3985882720000008E-3</v>
      </c>
    </row>
    <row r="112" spans="1:10">
      <c r="A112" s="261"/>
      <c r="B112" s="53" t="s">
        <v>226</v>
      </c>
      <c r="C112" s="44">
        <v>0.34</v>
      </c>
      <c r="D112" s="46">
        <v>0.1</v>
      </c>
      <c r="E112" s="37">
        <f>'4D1_CH4_EF_DomesticWastewater'!$D$23</f>
        <v>0.06</v>
      </c>
      <c r="F112" s="107">
        <f t="shared" si="9"/>
        <v>378052.39999999997</v>
      </c>
      <c r="G112" s="49"/>
      <c r="H112" s="49"/>
      <c r="I112" s="15">
        <f t="shared" si="10"/>
        <v>771.22689600000001</v>
      </c>
      <c r="J112" s="34">
        <f t="shared" si="11"/>
        <v>7.7122689599999996E-4</v>
      </c>
    </row>
    <row r="113" spans="1:10">
      <c r="A113" s="261"/>
      <c r="B113" s="53" t="s">
        <v>227</v>
      </c>
      <c r="C113" s="44">
        <v>0.34</v>
      </c>
      <c r="D113" s="46">
        <v>0.03</v>
      </c>
      <c r="E113" s="37">
        <f>'4D1_CH4_EF_DomesticWastewater'!$D$13</f>
        <v>0.06</v>
      </c>
      <c r="F113" s="107">
        <f t="shared" si="9"/>
        <v>378052.39999999997</v>
      </c>
      <c r="G113" s="49"/>
      <c r="H113" s="49"/>
      <c r="I113" s="15">
        <f t="shared" si="10"/>
        <v>231.36806879999997</v>
      </c>
      <c r="J113" s="34">
        <f t="shared" si="11"/>
        <v>2.3136806879999998E-4</v>
      </c>
    </row>
    <row r="114" spans="1:10">
      <c r="A114" s="261"/>
      <c r="B114" s="53" t="s">
        <v>228</v>
      </c>
      <c r="C114" s="44">
        <v>0.34</v>
      </c>
      <c r="D114" s="46">
        <v>0.53</v>
      </c>
      <c r="E114" s="37">
        <f>'4D1_CH4_EF_DomesticWastewater'!$D$13</f>
        <v>0.06</v>
      </c>
      <c r="F114" s="107">
        <f t="shared" si="9"/>
        <v>378052.39999999997</v>
      </c>
      <c r="G114" s="49"/>
      <c r="H114" s="49"/>
      <c r="I114" s="15">
        <f t="shared" si="10"/>
        <v>4087.5025487999997</v>
      </c>
      <c r="J114" s="34">
        <f t="shared" si="11"/>
        <v>4.0875025488E-3</v>
      </c>
    </row>
    <row r="115" spans="1:10">
      <c r="A115" s="261"/>
      <c r="B115" s="53" t="s">
        <v>229</v>
      </c>
      <c r="C115" s="44">
        <v>0.34</v>
      </c>
      <c r="D115" s="46">
        <v>0.2</v>
      </c>
      <c r="E115" s="37">
        <v>0</v>
      </c>
      <c r="F115" s="107">
        <f t="shared" si="9"/>
        <v>378052.39999999997</v>
      </c>
      <c r="G115" s="49"/>
      <c r="H115" s="49"/>
      <c r="I115" s="15">
        <f t="shared" si="10"/>
        <v>0</v>
      </c>
      <c r="J115" s="34">
        <f t="shared" si="11"/>
        <v>0</v>
      </c>
    </row>
    <row r="116" spans="1:10">
      <c r="A116" s="276" t="s">
        <v>293</v>
      </c>
      <c r="B116" s="276"/>
      <c r="C116" s="276"/>
      <c r="D116" s="276"/>
      <c r="E116" s="276"/>
      <c r="F116" s="276"/>
      <c r="G116" s="276"/>
      <c r="H116" s="276"/>
      <c r="I116" s="108">
        <f>SUM(I101:I115)</f>
        <v>27051.9175344</v>
      </c>
      <c r="J116" s="109">
        <f>SUM(J101:J115)</f>
        <v>2.7051917534400005E-2</v>
      </c>
    </row>
    <row r="119" spans="1:10">
      <c r="A119" s="277" t="s">
        <v>0</v>
      </c>
      <c r="B119" s="278"/>
      <c r="C119" s="196" t="s">
        <v>1</v>
      </c>
      <c r="D119" s="279"/>
      <c r="E119" s="279"/>
      <c r="F119" s="279"/>
      <c r="G119" s="279"/>
      <c r="H119" s="279"/>
      <c r="I119" s="279"/>
    </row>
    <row r="120" spans="1:10">
      <c r="A120" s="277" t="s">
        <v>2</v>
      </c>
      <c r="B120" s="278"/>
      <c r="C120" s="196" t="s">
        <v>117</v>
      </c>
      <c r="D120" s="279"/>
      <c r="E120" s="279"/>
      <c r="F120" s="279"/>
      <c r="G120" s="279"/>
      <c r="H120" s="279"/>
      <c r="I120" s="279"/>
    </row>
    <row r="121" spans="1:10">
      <c r="A121" s="277" t="s">
        <v>4</v>
      </c>
      <c r="B121" s="278"/>
      <c r="C121" s="196" t="s">
        <v>118</v>
      </c>
      <c r="D121" s="279"/>
      <c r="E121" s="279"/>
      <c r="F121" s="279"/>
      <c r="G121" s="279"/>
      <c r="H121" s="279"/>
      <c r="I121" s="279"/>
    </row>
    <row r="122" spans="1:10">
      <c r="A122" s="277" t="s">
        <v>6</v>
      </c>
      <c r="B122" s="278"/>
      <c r="C122" s="196" t="s">
        <v>145</v>
      </c>
      <c r="D122" s="279"/>
      <c r="E122" s="279"/>
      <c r="F122" s="279"/>
      <c r="G122" s="279"/>
      <c r="H122" s="279"/>
      <c r="I122" s="279"/>
    </row>
    <row r="123" spans="1:10">
      <c r="A123" s="250" t="s">
        <v>10</v>
      </c>
      <c r="B123" s="267"/>
      <c r="C123" s="267"/>
      <c r="D123" s="267"/>
      <c r="E123" s="267"/>
      <c r="F123" s="267"/>
      <c r="G123" s="267"/>
      <c r="H123" s="267"/>
      <c r="I123" s="267"/>
      <c r="J123" s="106"/>
    </row>
    <row r="124" spans="1:10">
      <c r="A124" s="59"/>
      <c r="B124" s="59"/>
      <c r="C124" s="7" t="s">
        <v>11</v>
      </c>
      <c r="D124" s="7" t="s">
        <v>12</v>
      </c>
      <c r="E124" s="7" t="s">
        <v>13</v>
      </c>
      <c r="F124" s="7" t="s">
        <v>14</v>
      </c>
      <c r="G124" s="7" t="s">
        <v>15</v>
      </c>
      <c r="H124" s="7" t="s">
        <v>58</v>
      </c>
      <c r="I124" s="7" t="s">
        <v>78</v>
      </c>
      <c r="J124" s="87" t="s">
        <v>79</v>
      </c>
    </row>
    <row r="125" spans="1:10" ht="51">
      <c r="A125" s="207" t="s">
        <v>146</v>
      </c>
      <c r="B125" s="207" t="s">
        <v>147</v>
      </c>
      <c r="C125" s="59" t="s">
        <v>148</v>
      </c>
      <c r="D125" s="59" t="s">
        <v>149</v>
      </c>
      <c r="E125" s="59" t="s">
        <v>150</v>
      </c>
      <c r="F125" s="59" t="s">
        <v>123</v>
      </c>
      <c r="G125" s="59" t="s">
        <v>151</v>
      </c>
      <c r="H125" s="59" t="s">
        <v>152</v>
      </c>
      <c r="I125" s="59" t="s">
        <v>153</v>
      </c>
      <c r="J125" s="59" t="s">
        <v>153</v>
      </c>
    </row>
    <row r="126" spans="1:10" ht="15.75">
      <c r="A126" s="207"/>
      <c r="B126" s="207"/>
      <c r="C126" s="76" t="s">
        <v>154</v>
      </c>
      <c r="D126" s="76" t="s">
        <v>155</v>
      </c>
      <c r="E126" s="76" t="s">
        <v>156</v>
      </c>
      <c r="F126" s="76" t="s">
        <v>127</v>
      </c>
      <c r="G126" s="76" t="s">
        <v>157</v>
      </c>
      <c r="H126" s="76" t="s">
        <v>158</v>
      </c>
      <c r="I126" s="76" t="s">
        <v>159</v>
      </c>
      <c r="J126" s="76" t="s">
        <v>159</v>
      </c>
    </row>
    <row r="127" spans="1:10" ht="28.5">
      <c r="A127" s="207"/>
      <c r="B127" s="207"/>
      <c r="C127" s="8" t="s">
        <v>44</v>
      </c>
      <c r="D127" s="8" t="s">
        <v>44</v>
      </c>
      <c r="E127" s="8" t="s">
        <v>142</v>
      </c>
      <c r="F127" s="8" t="s">
        <v>130</v>
      </c>
      <c r="G127" s="8" t="s">
        <v>130</v>
      </c>
      <c r="H127" s="8" t="s">
        <v>160</v>
      </c>
      <c r="I127" s="8" t="s">
        <v>160</v>
      </c>
      <c r="J127" s="8" t="s">
        <v>231</v>
      </c>
    </row>
    <row r="128" spans="1:10" ht="24.75" thickBot="1">
      <c r="A128" s="224"/>
      <c r="B128" s="224"/>
      <c r="C128" s="5"/>
      <c r="D128" s="5"/>
      <c r="E128" s="5" t="s">
        <v>161</v>
      </c>
      <c r="F128" s="5" t="s">
        <v>162</v>
      </c>
      <c r="G128" s="5"/>
      <c r="H128" s="5"/>
      <c r="I128" s="9" t="s">
        <v>163</v>
      </c>
      <c r="J128" s="35"/>
    </row>
    <row r="129" spans="1:10" ht="13.5" thickTop="1">
      <c r="A129" s="274" t="s">
        <v>164</v>
      </c>
      <c r="B129" s="54" t="s">
        <v>225</v>
      </c>
      <c r="C129" s="42">
        <v>0.54</v>
      </c>
      <c r="D129" s="43">
        <v>0</v>
      </c>
      <c r="E129" s="38">
        <f>'4D1_CH4_EF_DomesticWastewater'!$D$14</f>
        <v>0.3</v>
      </c>
      <c r="F129" s="107">
        <f>$M$16</f>
        <v>379162</v>
      </c>
      <c r="G129" s="47"/>
      <c r="H129" s="47"/>
      <c r="I129" s="14">
        <f>((C129*D129*E129)*(F129-G129))-H129</f>
        <v>0</v>
      </c>
      <c r="J129" s="32">
        <f>I129/(10^6)</f>
        <v>0</v>
      </c>
    </row>
    <row r="130" spans="1:10">
      <c r="A130" s="275"/>
      <c r="B130" s="55" t="s">
        <v>226</v>
      </c>
      <c r="C130" s="44">
        <v>0.54</v>
      </c>
      <c r="D130" s="45">
        <v>0.47</v>
      </c>
      <c r="E130" s="37">
        <f>'4D1_CH4_EF_DomesticWastewater'!$D$23</f>
        <v>0.06</v>
      </c>
      <c r="F130" s="107">
        <f t="shared" ref="F130:F143" si="12">$M$16</f>
        <v>379162</v>
      </c>
      <c r="G130" s="48"/>
      <c r="H130" s="48"/>
      <c r="I130" s="15">
        <f t="shared" ref="I130:I143" si="13">((C130*D130*E130)*(F130-G130))-H130</f>
        <v>5773.8789360000001</v>
      </c>
      <c r="J130" s="34">
        <f t="shared" ref="J130:J143" si="14">I130/(10^6)</f>
        <v>5.7738789360000002E-3</v>
      </c>
    </row>
    <row r="131" spans="1:10">
      <c r="A131" s="275"/>
      <c r="B131" s="53" t="s">
        <v>227</v>
      </c>
      <c r="C131" s="44">
        <v>0.54</v>
      </c>
      <c r="D131" s="45">
        <v>0</v>
      </c>
      <c r="E131" s="37">
        <f>'4D1_CH4_EF_DomesticWastewater'!$D$13</f>
        <v>0.06</v>
      </c>
      <c r="F131" s="107">
        <f t="shared" si="12"/>
        <v>379162</v>
      </c>
      <c r="G131" s="48"/>
      <c r="H131" s="48"/>
      <c r="I131" s="15">
        <f t="shared" si="13"/>
        <v>0</v>
      </c>
      <c r="J131" s="34">
        <f t="shared" si="14"/>
        <v>0</v>
      </c>
    </row>
    <row r="132" spans="1:10">
      <c r="A132" s="261"/>
      <c r="B132" s="53" t="s">
        <v>228</v>
      </c>
      <c r="C132" s="44">
        <v>0.54</v>
      </c>
      <c r="D132" s="46">
        <v>0.1</v>
      </c>
      <c r="E132" s="37">
        <f>'4D1_CH4_EF_DomesticWastewater'!$D$14</f>
        <v>0.3</v>
      </c>
      <c r="F132" s="107">
        <f t="shared" si="12"/>
        <v>379162</v>
      </c>
      <c r="G132" s="49"/>
      <c r="H132" s="49"/>
      <c r="I132" s="15">
        <f t="shared" si="13"/>
        <v>6142.4244000000008</v>
      </c>
      <c r="J132" s="34">
        <f t="shared" si="14"/>
        <v>6.1424244000000006E-3</v>
      </c>
    </row>
    <row r="133" spans="1:10">
      <c r="A133" s="261"/>
      <c r="B133" s="53" t="s">
        <v>229</v>
      </c>
      <c r="C133" s="44">
        <v>0.54</v>
      </c>
      <c r="D133" s="46">
        <v>0.43</v>
      </c>
      <c r="E133" s="37">
        <v>0</v>
      </c>
      <c r="F133" s="107">
        <f t="shared" si="12"/>
        <v>379162</v>
      </c>
      <c r="G133" s="49"/>
      <c r="H133" s="49"/>
      <c r="I133" s="15">
        <f t="shared" si="13"/>
        <v>0</v>
      </c>
      <c r="J133" s="34">
        <f t="shared" si="14"/>
        <v>0</v>
      </c>
    </row>
    <row r="134" spans="1:10">
      <c r="A134" s="261" t="s">
        <v>165</v>
      </c>
      <c r="B134" s="53" t="s">
        <v>225</v>
      </c>
      <c r="C134" s="44">
        <v>0.12</v>
      </c>
      <c r="D134" s="46">
        <v>0.18</v>
      </c>
      <c r="E134" s="37">
        <f>'4D1_CH4_EF_DomesticWastewater'!$D$22</f>
        <v>0.3</v>
      </c>
      <c r="F134" s="107">
        <f t="shared" si="12"/>
        <v>379162</v>
      </c>
      <c r="G134" s="49"/>
      <c r="H134" s="49"/>
      <c r="I134" s="15">
        <f t="shared" si="13"/>
        <v>2456.9697599999995</v>
      </c>
      <c r="J134" s="34">
        <f t="shared" si="14"/>
        <v>2.4569697599999994E-3</v>
      </c>
    </row>
    <row r="135" spans="1:10">
      <c r="A135" s="261"/>
      <c r="B135" s="53" t="s">
        <v>226</v>
      </c>
      <c r="C135" s="44">
        <v>0.12</v>
      </c>
      <c r="D135" s="46">
        <v>0.08</v>
      </c>
      <c r="E135" s="37">
        <f>'4D1_CH4_EF_DomesticWastewater'!$D$23</f>
        <v>0.06</v>
      </c>
      <c r="F135" s="107">
        <f t="shared" si="12"/>
        <v>379162</v>
      </c>
      <c r="G135" s="49"/>
      <c r="H135" s="49"/>
      <c r="I135" s="15">
        <f t="shared" si="13"/>
        <v>218.39731199999997</v>
      </c>
      <c r="J135" s="34">
        <f t="shared" si="14"/>
        <v>2.1839731199999998E-4</v>
      </c>
    </row>
    <row r="136" spans="1:10">
      <c r="A136" s="261"/>
      <c r="B136" s="53" t="s">
        <v>227</v>
      </c>
      <c r="C136" s="44">
        <v>0.12</v>
      </c>
      <c r="D136" s="46">
        <v>0</v>
      </c>
      <c r="E136" s="37">
        <f>'4D1_CH4_EF_DomesticWastewater'!$D$13</f>
        <v>0.06</v>
      </c>
      <c r="F136" s="107">
        <f t="shared" si="12"/>
        <v>379162</v>
      </c>
      <c r="G136" s="49"/>
      <c r="H136" s="49"/>
      <c r="I136" s="15">
        <f t="shared" si="13"/>
        <v>0</v>
      </c>
      <c r="J136" s="34">
        <f t="shared" si="14"/>
        <v>0</v>
      </c>
    </row>
    <row r="137" spans="1:10">
      <c r="A137" s="261"/>
      <c r="B137" s="53" t="s">
        <v>228</v>
      </c>
      <c r="C137" s="44">
        <v>0.12</v>
      </c>
      <c r="D137" s="46">
        <v>0.74</v>
      </c>
      <c r="E137" s="37">
        <f>'4D1_CH4_EF_DomesticWastewater'!$D$13</f>
        <v>0.06</v>
      </c>
      <c r="F137" s="107">
        <f t="shared" si="12"/>
        <v>379162</v>
      </c>
      <c r="G137" s="49"/>
      <c r="H137" s="49"/>
      <c r="I137" s="15">
        <f t="shared" si="13"/>
        <v>2020.1751359999998</v>
      </c>
      <c r="J137" s="34">
        <f t="shared" si="14"/>
        <v>2.0201751359999998E-3</v>
      </c>
    </row>
    <row r="138" spans="1:10">
      <c r="A138" s="261"/>
      <c r="B138" s="53" t="s">
        <v>229</v>
      </c>
      <c r="C138" s="44">
        <v>0.12</v>
      </c>
      <c r="D138" s="46">
        <v>0</v>
      </c>
      <c r="E138" s="37">
        <v>0</v>
      </c>
      <c r="F138" s="107">
        <f t="shared" si="12"/>
        <v>379162</v>
      </c>
      <c r="G138" s="49"/>
      <c r="H138" s="49"/>
      <c r="I138" s="15">
        <f t="shared" si="13"/>
        <v>0</v>
      </c>
      <c r="J138" s="34">
        <f t="shared" si="14"/>
        <v>0</v>
      </c>
    </row>
    <row r="139" spans="1:10">
      <c r="A139" s="261" t="s">
        <v>166</v>
      </c>
      <c r="B139" s="53" t="s">
        <v>225</v>
      </c>
      <c r="C139" s="44">
        <v>0.34</v>
      </c>
      <c r="D139" s="46">
        <v>0.14000000000000001</v>
      </c>
      <c r="E139" s="37">
        <f>'4D1_CH4_EF_DomesticWastewater'!$D$22</f>
        <v>0.3</v>
      </c>
      <c r="F139" s="107">
        <f t="shared" si="12"/>
        <v>379162</v>
      </c>
      <c r="G139" s="49"/>
      <c r="H139" s="49"/>
      <c r="I139" s="15">
        <f t="shared" si="13"/>
        <v>5414.4333600000009</v>
      </c>
      <c r="J139" s="34">
        <f t="shared" si="14"/>
        <v>5.4144333600000009E-3</v>
      </c>
    </row>
    <row r="140" spans="1:10">
      <c r="A140" s="261"/>
      <c r="B140" s="53" t="s">
        <v>226</v>
      </c>
      <c r="C140" s="44">
        <v>0.34</v>
      </c>
      <c r="D140" s="46">
        <v>0.1</v>
      </c>
      <c r="E140" s="37">
        <f>'4D1_CH4_EF_DomesticWastewater'!$D$23</f>
        <v>0.06</v>
      </c>
      <c r="F140" s="107">
        <f t="shared" si="12"/>
        <v>379162</v>
      </c>
      <c r="G140" s="49"/>
      <c r="H140" s="49"/>
      <c r="I140" s="15">
        <f t="shared" si="13"/>
        <v>773.49048000000005</v>
      </c>
      <c r="J140" s="34">
        <f t="shared" si="14"/>
        <v>7.7349048000000008E-4</v>
      </c>
    </row>
    <row r="141" spans="1:10">
      <c r="A141" s="261"/>
      <c r="B141" s="53" t="s">
        <v>227</v>
      </c>
      <c r="C141" s="44">
        <v>0.34</v>
      </c>
      <c r="D141" s="46">
        <v>0.03</v>
      </c>
      <c r="E141" s="37">
        <f>'4D1_CH4_EF_DomesticWastewater'!$D$13</f>
        <v>0.06</v>
      </c>
      <c r="F141" s="107">
        <f t="shared" si="12"/>
        <v>379162</v>
      </c>
      <c r="G141" s="49"/>
      <c r="H141" s="49"/>
      <c r="I141" s="15">
        <f t="shared" si="13"/>
        <v>232.047144</v>
      </c>
      <c r="J141" s="34">
        <f t="shared" si="14"/>
        <v>2.32047144E-4</v>
      </c>
    </row>
    <row r="142" spans="1:10">
      <c r="A142" s="261"/>
      <c r="B142" s="53" t="s">
        <v>228</v>
      </c>
      <c r="C142" s="44">
        <v>0.34</v>
      </c>
      <c r="D142" s="46">
        <v>0.53</v>
      </c>
      <c r="E142" s="37">
        <f>'4D1_CH4_EF_DomesticWastewater'!$D$13</f>
        <v>0.06</v>
      </c>
      <c r="F142" s="107">
        <f t="shared" si="12"/>
        <v>379162</v>
      </c>
      <c r="G142" s="49"/>
      <c r="H142" s="49"/>
      <c r="I142" s="15">
        <f t="shared" si="13"/>
        <v>4099.4995440000002</v>
      </c>
      <c r="J142" s="34">
        <f t="shared" si="14"/>
        <v>4.0994995439999999E-3</v>
      </c>
    </row>
    <row r="143" spans="1:10">
      <c r="A143" s="261"/>
      <c r="B143" s="53" t="s">
        <v>229</v>
      </c>
      <c r="C143" s="44">
        <v>0.34</v>
      </c>
      <c r="D143" s="46">
        <v>0.2</v>
      </c>
      <c r="E143" s="37">
        <v>0</v>
      </c>
      <c r="F143" s="107">
        <f t="shared" si="12"/>
        <v>379162</v>
      </c>
      <c r="G143" s="49"/>
      <c r="H143" s="49"/>
      <c r="I143" s="15">
        <f t="shared" si="13"/>
        <v>0</v>
      </c>
      <c r="J143" s="34">
        <f t="shared" si="14"/>
        <v>0</v>
      </c>
    </row>
    <row r="144" spans="1:10">
      <c r="A144" s="276" t="s">
        <v>294</v>
      </c>
      <c r="B144" s="276"/>
      <c r="C144" s="276"/>
      <c r="D144" s="276"/>
      <c r="E144" s="276"/>
      <c r="F144" s="276"/>
      <c r="G144" s="276"/>
      <c r="H144" s="276"/>
      <c r="I144" s="108">
        <f>SUM(I129:I143)</f>
        <v>27131.316072000001</v>
      </c>
      <c r="J144" s="109">
        <f>SUM(J129:J143)</f>
        <v>2.7131316072000002E-2</v>
      </c>
    </row>
    <row r="147" spans="1:10">
      <c r="A147" s="277" t="s">
        <v>0</v>
      </c>
      <c r="B147" s="278"/>
      <c r="C147" s="196" t="s">
        <v>1</v>
      </c>
      <c r="D147" s="279"/>
      <c r="E147" s="279"/>
      <c r="F147" s="279"/>
      <c r="G147" s="279"/>
      <c r="H147" s="279"/>
      <c r="I147" s="279"/>
    </row>
    <row r="148" spans="1:10">
      <c r="A148" s="277" t="s">
        <v>2</v>
      </c>
      <c r="B148" s="278"/>
      <c r="C148" s="196" t="s">
        <v>117</v>
      </c>
      <c r="D148" s="279"/>
      <c r="E148" s="279"/>
      <c r="F148" s="279"/>
      <c r="G148" s="279"/>
      <c r="H148" s="279"/>
      <c r="I148" s="279"/>
    </row>
    <row r="149" spans="1:10">
      <c r="A149" s="277" t="s">
        <v>4</v>
      </c>
      <c r="B149" s="278"/>
      <c r="C149" s="196" t="s">
        <v>118</v>
      </c>
      <c r="D149" s="279"/>
      <c r="E149" s="279"/>
      <c r="F149" s="279"/>
      <c r="G149" s="279"/>
      <c r="H149" s="279"/>
      <c r="I149" s="279"/>
    </row>
    <row r="150" spans="1:10">
      <c r="A150" s="277" t="s">
        <v>6</v>
      </c>
      <c r="B150" s="278"/>
      <c r="C150" s="196" t="s">
        <v>145</v>
      </c>
      <c r="D150" s="279"/>
      <c r="E150" s="279"/>
      <c r="F150" s="279"/>
      <c r="G150" s="279"/>
      <c r="H150" s="279"/>
      <c r="I150" s="279"/>
    </row>
    <row r="151" spans="1:10">
      <c r="A151" s="250" t="s">
        <v>10</v>
      </c>
      <c r="B151" s="267"/>
      <c r="C151" s="267"/>
      <c r="D151" s="267"/>
      <c r="E151" s="267"/>
      <c r="F151" s="267"/>
      <c r="G151" s="267"/>
      <c r="H151" s="267"/>
      <c r="I151" s="267"/>
      <c r="J151" s="106"/>
    </row>
    <row r="152" spans="1:10">
      <c r="A152" s="59"/>
      <c r="B152" s="59"/>
      <c r="C152" s="7" t="s">
        <v>11</v>
      </c>
      <c r="D152" s="7" t="s">
        <v>12</v>
      </c>
      <c r="E152" s="7" t="s">
        <v>13</v>
      </c>
      <c r="F152" s="7" t="s">
        <v>14</v>
      </c>
      <c r="G152" s="7" t="s">
        <v>15</v>
      </c>
      <c r="H152" s="7" t="s">
        <v>58</v>
      </c>
      <c r="I152" s="7" t="s">
        <v>78</v>
      </c>
      <c r="J152" s="87" t="s">
        <v>79</v>
      </c>
    </row>
    <row r="153" spans="1:10" ht="51">
      <c r="A153" s="207" t="s">
        <v>146</v>
      </c>
      <c r="B153" s="207" t="s">
        <v>147</v>
      </c>
      <c r="C153" s="59" t="s">
        <v>148</v>
      </c>
      <c r="D153" s="59" t="s">
        <v>149</v>
      </c>
      <c r="E153" s="59" t="s">
        <v>150</v>
      </c>
      <c r="F153" s="59" t="s">
        <v>123</v>
      </c>
      <c r="G153" s="59" t="s">
        <v>151</v>
      </c>
      <c r="H153" s="59" t="s">
        <v>152</v>
      </c>
      <c r="I153" s="59" t="s">
        <v>153</v>
      </c>
      <c r="J153" s="59" t="s">
        <v>153</v>
      </c>
    </row>
    <row r="154" spans="1:10" ht="15.75">
      <c r="A154" s="207"/>
      <c r="B154" s="207"/>
      <c r="C154" s="76" t="s">
        <v>154</v>
      </c>
      <c r="D154" s="76" t="s">
        <v>155</v>
      </c>
      <c r="E154" s="76" t="s">
        <v>156</v>
      </c>
      <c r="F154" s="76" t="s">
        <v>127</v>
      </c>
      <c r="G154" s="76" t="s">
        <v>157</v>
      </c>
      <c r="H154" s="76" t="s">
        <v>158</v>
      </c>
      <c r="I154" s="76" t="s">
        <v>159</v>
      </c>
      <c r="J154" s="76" t="s">
        <v>159</v>
      </c>
    </row>
    <row r="155" spans="1:10" ht="28.5">
      <c r="A155" s="207"/>
      <c r="B155" s="207"/>
      <c r="C155" s="8" t="s">
        <v>44</v>
      </c>
      <c r="D155" s="8" t="s">
        <v>44</v>
      </c>
      <c r="E155" s="8" t="s">
        <v>142</v>
      </c>
      <c r="F155" s="8" t="s">
        <v>130</v>
      </c>
      <c r="G155" s="8" t="s">
        <v>130</v>
      </c>
      <c r="H155" s="8" t="s">
        <v>160</v>
      </c>
      <c r="I155" s="8" t="s">
        <v>160</v>
      </c>
      <c r="J155" s="8" t="s">
        <v>231</v>
      </c>
    </row>
    <row r="156" spans="1:10" ht="24.75" thickBot="1">
      <c r="A156" s="224"/>
      <c r="B156" s="224"/>
      <c r="C156" s="5"/>
      <c r="D156" s="5"/>
      <c r="E156" s="5" t="s">
        <v>161</v>
      </c>
      <c r="F156" s="5" t="s">
        <v>162</v>
      </c>
      <c r="G156" s="5"/>
      <c r="H156" s="5"/>
      <c r="I156" s="9" t="s">
        <v>163</v>
      </c>
      <c r="J156" s="35"/>
    </row>
    <row r="157" spans="1:10" ht="13.5" thickTop="1">
      <c r="A157" s="274" t="s">
        <v>164</v>
      </c>
      <c r="B157" s="54" t="s">
        <v>225</v>
      </c>
      <c r="C157" s="42">
        <v>0.54</v>
      </c>
      <c r="D157" s="43">
        <v>0</v>
      </c>
      <c r="E157" s="38">
        <f>'4D1_CH4_EF_DomesticWastewater'!$D$14</f>
        <v>0.3</v>
      </c>
      <c r="F157" s="107">
        <f>$M$17</f>
        <v>380899.39999999997</v>
      </c>
      <c r="G157" s="47"/>
      <c r="H157" s="47"/>
      <c r="I157" s="14">
        <f>((C157*D157*E157)*(F157-G157))-H157</f>
        <v>0</v>
      </c>
      <c r="J157" s="32">
        <f>I157/(10^6)</f>
        <v>0</v>
      </c>
    </row>
    <row r="158" spans="1:10">
      <c r="A158" s="275"/>
      <c r="B158" s="55" t="s">
        <v>226</v>
      </c>
      <c r="C158" s="44">
        <v>0.54</v>
      </c>
      <c r="D158" s="45">
        <v>0.47</v>
      </c>
      <c r="E158" s="37">
        <f>'4D1_CH4_EF_DomesticWastewater'!$D$23</f>
        <v>0.06</v>
      </c>
      <c r="F158" s="107">
        <f t="shared" ref="F158:F171" si="15">$M$17</f>
        <v>380899.39999999997</v>
      </c>
      <c r="G158" s="48"/>
      <c r="H158" s="48"/>
      <c r="I158" s="15">
        <f t="shared" ref="I158:I171" si="16">((C158*D158*E158)*(F158-G158))-H158</f>
        <v>5800.3360631999994</v>
      </c>
      <c r="J158" s="34">
        <f t="shared" ref="J158:J171" si="17">I158/(10^6)</f>
        <v>5.8003360631999996E-3</v>
      </c>
    </row>
    <row r="159" spans="1:10">
      <c r="A159" s="275"/>
      <c r="B159" s="53" t="s">
        <v>227</v>
      </c>
      <c r="C159" s="44">
        <v>0.54</v>
      </c>
      <c r="D159" s="45">
        <v>0</v>
      </c>
      <c r="E159" s="37">
        <f>'4D1_CH4_EF_DomesticWastewater'!$D$13</f>
        <v>0.06</v>
      </c>
      <c r="F159" s="107">
        <f t="shared" si="15"/>
        <v>380899.39999999997</v>
      </c>
      <c r="G159" s="48"/>
      <c r="H159" s="48"/>
      <c r="I159" s="15">
        <f t="shared" si="16"/>
        <v>0</v>
      </c>
      <c r="J159" s="34">
        <f t="shared" si="17"/>
        <v>0</v>
      </c>
    </row>
    <row r="160" spans="1:10">
      <c r="A160" s="261"/>
      <c r="B160" s="53" t="s">
        <v>228</v>
      </c>
      <c r="C160" s="44">
        <v>0.54</v>
      </c>
      <c r="D160" s="46">
        <v>0.1</v>
      </c>
      <c r="E160" s="37">
        <f>'4D1_CH4_EF_DomesticWastewater'!$D$14</f>
        <v>0.3</v>
      </c>
      <c r="F160" s="107">
        <f t="shared" si="15"/>
        <v>380899.39999999997</v>
      </c>
      <c r="G160" s="49"/>
      <c r="H160" s="49"/>
      <c r="I160" s="15">
        <f t="shared" si="16"/>
        <v>6170.5702800000008</v>
      </c>
      <c r="J160" s="34">
        <f t="shared" si="17"/>
        <v>6.1705702800000008E-3</v>
      </c>
    </row>
    <row r="161" spans="1:10">
      <c r="A161" s="261"/>
      <c r="B161" s="53" t="s">
        <v>229</v>
      </c>
      <c r="C161" s="44">
        <v>0.54</v>
      </c>
      <c r="D161" s="46">
        <v>0.43</v>
      </c>
      <c r="E161" s="37">
        <v>0</v>
      </c>
      <c r="F161" s="107">
        <f t="shared" si="15"/>
        <v>380899.39999999997</v>
      </c>
      <c r="G161" s="49"/>
      <c r="H161" s="49"/>
      <c r="I161" s="15">
        <f t="shared" si="16"/>
        <v>0</v>
      </c>
      <c r="J161" s="34">
        <f t="shared" si="17"/>
        <v>0</v>
      </c>
    </row>
    <row r="162" spans="1:10">
      <c r="A162" s="261" t="s">
        <v>165</v>
      </c>
      <c r="B162" s="53" t="s">
        <v>225</v>
      </c>
      <c r="C162" s="44">
        <v>0.12</v>
      </c>
      <c r="D162" s="46">
        <v>0.18</v>
      </c>
      <c r="E162" s="37">
        <f>'4D1_CH4_EF_DomesticWastewater'!$D$22</f>
        <v>0.3</v>
      </c>
      <c r="F162" s="107">
        <f t="shared" si="15"/>
        <v>380899.39999999997</v>
      </c>
      <c r="G162" s="49"/>
      <c r="H162" s="49"/>
      <c r="I162" s="15">
        <f t="shared" si="16"/>
        <v>2468.2281119999993</v>
      </c>
      <c r="J162" s="34">
        <f t="shared" si="17"/>
        <v>2.4682281119999994E-3</v>
      </c>
    </row>
    <row r="163" spans="1:10">
      <c r="A163" s="261"/>
      <c r="B163" s="53" t="s">
        <v>226</v>
      </c>
      <c r="C163" s="44">
        <v>0.12</v>
      </c>
      <c r="D163" s="46">
        <v>0.08</v>
      </c>
      <c r="E163" s="37">
        <f>'4D1_CH4_EF_DomesticWastewater'!$D$23</f>
        <v>0.06</v>
      </c>
      <c r="F163" s="107">
        <f t="shared" si="15"/>
        <v>380899.39999999997</v>
      </c>
      <c r="G163" s="49"/>
      <c r="H163" s="49"/>
      <c r="I163" s="15">
        <f t="shared" si="16"/>
        <v>219.39805439999995</v>
      </c>
      <c r="J163" s="34">
        <f t="shared" si="17"/>
        <v>2.1939805439999996E-4</v>
      </c>
    </row>
    <row r="164" spans="1:10">
      <c r="A164" s="261"/>
      <c r="B164" s="53" t="s">
        <v>227</v>
      </c>
      <c r="C164" s="44">
        <v>0.12</v>
      </c>
      <c r="D164" s="46">
        <v>0</v>
      </c>
      <c r="E164" s="37">
        <f>'4D1_CH4_EF_DomesticWastewater'!$D$13</f>
        <v>0.06</v>
      </c>
      <c r="F164" s="107">
        <f t="shared" si="15"/>
        <v>380899.39999999997</v>
      </c>
      <c r="G164" s="49"/>
      <c r="H164" s="49"/>
      <c r="I164" s="15">
        <f t="shared" si="16"/>
        <v>0</v>
      </c>
      <c r="J164" s="34">
        <f t="shared" si="17"/>
        <v>0</v>
      </c>
    </row>
    <row r="165" spans="1:10">
      <c r="A165" s="261"/>
      <c r="B165" s="53" t="s">
        <v>228</v>
      </c>
      <c r="C165" s="44">
        <v>0.12</v>
      </c>
      <c r="D165" s="46">
        <v>0.74</v>
      </c>
      <c r="E165" s="37">
        <f>'4D1_CH4_EF_DomesticWastewater'!$D$13</f>
        <v>0.06</v>
      </c>
      <c r="F165" s="107">
        <f t="shared" si="15"/>
        <v>380899.39999999997</v>
      </c>
      <c r="G165" s="49"/>
      <c r="H165" s="49"/>
      <c r="I165" s="15">
        <f t="shared" si="16"/>
        <v>2029.4320031999996</v>
      </c>
      <c r="J165" s="34">
        <f t="shared" si="17"/>
        <v>2.0294320031999996E-3</v>
      </c>
    </row>
    <row r="166" spans="1:10">
      <c r="A166" s="261"/>
      <c r="B166" s="53" t="s">
        <v>229</v>
      </c>
      <c r="C166" s="44">
        <v>0.12</v>
      </c>
      <c r="D166" s="46">
        <v>0</v>
      </c>
      <c r="E166" s="37">
        <v>0</v>
      </c>
      <c r="F166" s="107">
        <f t="shared" si="15"/>
        <v>380899.39999999997</v>
      </c>
      <c r="G166" s="49"/>
      <c r="H166" s="49"/>
      <c r="I166" s="15">
        <f t="shared" si="16"/>
        <v>0</v>
      </c>
      <c r="J166" s="34">
        <f t="shared" si="17"/>
        <v>0</v>
      </c>
    </row>
    <row r="167" spans="1:10">
      <c r="A167" s="261" t="s">
        <v>166</v>
      </c>
      <c r="B167" s="53" t="s">
        <v>225</v>
      </c>
      <c r="C167" s="44">
        <v>0.34</v>
      </c>
      <c r="D167" s="46">
        <v>0.14000000000000001</v>
      </c>
      <c r="E167" s="37">
        <f>'4D1_CH4_EF_DomesticWastewater'!$D$22</f>
        <v>0.3</v>
      </c>
      <c r="F167" s="107">
        <f t="shared" si="15"/>
        <v>380899.39999999997</v>
      </c>
      <c r="G167" s="49"/>
      <c r="H167" s="49"/>
      <c r="I167" s="15">
        <f t="shared" si="16"/>
        <v>5439.2434320000002</v>
      </c>
      <c r="J167" s="34">
        <f t="shared" si="17"/>
        <v>5.4392434319999999E-3</v>
      </c>
    </row>
    <row r="168" spans="1:10">
      <c r="A168" s="261"/>
      <c r="B168" s="53" t="s">
        <v>226</v>
      </c>
      <c r="C168" s="44">
        <v>0.34</v>
      </c>
      <c r="D168" s="46">
        <v>0.1</v>
      </c>
      <c r="E168" s="37">
        <f>'4D1_CH4_EF_DomesticWastewater'!$D$23</f>
        <v>0.06</v>
      </c>
      <c r="F168" s="107">
        <f t="shared" si="15"/>
        <v>380899.39999999997</v>
      </c>
      <c r="G168" s="49"/>
      <c r="H168" s="49"/>
      <c r="I168" s="15">
        <f t="shared" si="16"/>
        <v>777.03477599999997</v>
      </c>
      <c r="J168" s="34">
        <f t="shared" si="17"/>
        <v>7.7703477599999995E-4</v>
      </c>
    </row>
    <row r="169" spans="1:10">
      <c r="A169" s="261"/>
      <c r="B169" s="53" t="s">
        <v>227</v>
      </c>
      <c r="C169" s="44">
        <v>0.34</v>
      </c>
      <c r="D169" s="46">
        <v>0.03</v>
      </c>
      <c r="E169" s="37">
        <f>'4D1_CH4_EF_DomesticWastewater'!$D$13</f>
        <v>0.06</v>
      </c>
      <c r="F169" s="107">
        <f t="shared" si="15"/>
        <v>380899.39999999997</v>
      </c>
      <c r="G169" s="49"/>
      <c r="H169" s="49"/>
      <c r="I169" s="15">
        <f t="shared" si="16"/>
        <v>233.11043279999998</v>
      </c>
      <c r="J169" s="34">
        <f t="shared" si="17"/>
        <v>2.3311043279999999E-4</v>
      </c>
    </row>
    <row r="170" spans="1:10">
      <c r="A170" s="261"/>
      <c r="B170" s="53" t="s">
        <v>228</v>
      </c>
      <c r="C170" s="44">
        <v>0.34</v>
      </c>
      <c r="D170" s="46">
        <v>0.53</v>
      </c>
      <c r="E170" s="37">
        <f>'4D1_CH4_EF_DomesticWastewater'!$D$13</f>
        <v>0.06</v>
      </c>
      <c r="F170" s="107">
        <f t="shared" si="15"/>
        <v>380899.39999999997</v>
      </c>
      <c r="G170" s="49"/>
      <c r="H170" s="49"/>
      <c r="I170" s="15">
        <f t="shared" si="16"/>
        <v>4118.2843127999995</v>
      </c>
      <c r="J170" s="34">
        <f t="shared" si="17"/>
        <v>4.1182843127999993E-3</v>
      </c>
    </row>
    <row r="171" spans="1:10">
      <c r="A171" s="261"/>
      <c r="B171" s="53" t="s">
        <v>229</v>
      </c>
      <c r="C171" s="44">
        <v>0.34</v>
      </c>
      <c r="D171" s="46">
        <v>0.2</v>
      </c>
      <c r="E171" s="37">
        <v>0</v>
      </c>
      <c r="F171" s="107">
        <f t="shared" si="15"/>
        <v>380899.39999999997</v>
      </c>
      <c r="G171" s="49"/>
      <c r="H171" s="49"/>
      <c r="I171" s="15">
        <f t="shared" si="16"/>
        <v>0</v>
      </c>
      <c r="J171" s="34">
        <f t="shared" si="17"/>
        <v>0</v>
      </c>
    </row>
    <row r="172" spans="1:10">
      <c r="A172" s="276" t="s">
        <v>295</v>
      </c>
      <c r="B172" s="276"/>
      <c r="C172" s="276"/>
      <c r="D172" s="276"/>
      <c r="E172" s="276"/>
      <c r="F172" s="276"/>
      <c r="G172" s="276"/>
      <c r="H172" s="276"/>
      <c r="I172" s="108">
        <f>SUM(I157:I171)</f>
        <v>27255.637466399996</v>
      </c>
      <c r="J172" s="109">
        <f>SUM(J157:J171)</f>
        <v>2.7255637466399994E-2</v>
      </c>
    </row>
    <row r="175" spans="1:10">
      <c r="A175" s="277" t="s">
        <v>0</v>
      </c>
      <c r="B175" s="278"/>
      <c r="C175" s="196" t="s">
        <v>1</v>
      </c>
      <c r="D175" s="279"/>
      <c r="E175" s="279"/>
      <c r="F175" s="279"/>
      <c r="G175" s="279"/>
      <c r="H175" s="279"/>
      <c r="I175" s="279"/>
    </row>
    <row r="176" spans="1:10">
      <c r="A176" s="277" t="s">
        <v>2</v>
      </c>
      <c r="B176" s="278"/>
      <c r="C176" s="196" t="s">
        <v>117</v>
      </c>
      <c r="D176" s="279"/>
      <c r="E176" s="279"/>
      <c r="F176" s="279"/>
      <c r="G176" s="279"/>
      <c r="H176" s="279"/>
      <c r="I176" s="279"/>
    </row>
    <row r="177" spans="1:10">
      <c r="A177" s="277" t="s">
        <v>4</v>
      </c>
      <c r="B177" s="278"/>
      <c r="C177" s="196" t="s">
        <v>118</v>
      </c>
      <c r="D177" s="279"/>
      <c r="E177" s="279"/>
      <c r="F177" s="279"/>
      <c r="G177" s="279"/>
      <c r="H177" s="279"/>
      <c r="I177" s="279"/>
    </row>
    <row r="178" spans="1:10">
      <c r="A178" s="277" t="s">
        <v>6</v>
      </c>
      <c r="B178" s="278"/>
      <c r="C178" s="196" t="s">
        <v>145</v>
      </c>
      <c r="D178" s="279"/>
      <c r="E178" s="279"/>
      <c r="F178" s="279"/>
      <c r="G178" s="279"/>
      <c r="H178" s="279"/>
      <c r="I178" s="279"/>
    </row>
    <row r="179" spans="1:10">
      <c r="A179" s="250" t="s">
        <v>10</v>
      </c>
      <c r="B179" s="267"/>
      <c r="C179" s="267"/>
      <c r="D179" s="267"/>
      <c r="E179" s="267"/>
      <c r="F179" s="267"/>
      <c r="G179" s="267"/>
      <c r="H179" s="267"/>
      <c r="I179" s="267"/>
      <c r="J179" s="106"/>
    </row>
    <row r="180" spans="1:10">
      <c r="A180" s="59"/>
      <c r="B180" s="59"/>
      <c r="C180" s="7" t="s">
        <v>11</v>
      </c>
      <c r="D180" s="7" t="s">
        <v>12</v>
      </c>
      <c r="E180" s="7" t="s">
        <v>13</v>
      </c>
      <c r="F180" s="7" t="s">
        <v>14</v>
      </c>
      <c r="G180" s="7" t="s">
        <v>15</v>
      </c>
      <c r="H180" s="7" t="s">
        <v>58</v>
      </c>
      <c r="I180" s="7" t="s">
        <v>78</v>
      </c>
      <c r="J180" s="87" t="s">
        <v>79</v>
      </c>
    </row>
    <row r="181" spans="1:10" ht="51">
      <c r="A181" s="207" t="s">
        <v>146</v>
      </c>
      <c r="B181" s="207" t="s">
        <v>147</v>
      </c>
      <c r="C181" s="59" t="s">
        <v>148</v>
      </c>
      <c r="D181" s="59" t="s">
        <v>149</v>
      </c>
      <c r="E181" s="59" t="s">
        <v>150</v>
      </c>
      <c r="F181" s="59" t="s">
        <v>123</v>
      </c>
      <c r="G181" s="59" t="s">
        <v>151</v>
      </c>
      <c r="H181" s="59" t="s">
        <v>152</v>
      </c>
      <c r="I181" s="59" t="s">
        <v>153</v>
      </c>
      <c r="J181" s="59" t="s">
        <v>153</v>
      </c>
    </row>
    <row r="182" spans="1:10" ht="15.75">
      <c r="A182" s="207"/>
      <c r="B182" s="207"/>
      <c r="C182" s="76" t="s">
        <v>154</v>
      </c>
      <c r="D182" s="76" t="s">
        <v>155</v>
      </c>
      <c r="E182" s="76" t="s">
        <v>156</v>
      </c>
      <c r="F182" s="76" t="s">
        <v>127</v>
      </c>
      <c r="G182" s="76" t="s">
        <v>157</v>
      </c>
      <c r="H182" s="76" t="s">
        <v>158</v>
      </c>
      <c r="I182" s="76" t="s">
        <v>159</v>
      </c>
      <c r="J182" s="76" t="s">
        <v>159</v>
      </c>
    </row>
    <row r="183" spans="1:10" ht="28.5">
      <c r="A183" s="207"/>
      <c r="B183" s="207"/>
      <c r="C183" s="8" t="s">
        <v>44</v>
      </c>
      <c r="D183" s="8" t="s">
        <v>44</v>
      </c>
      <c r="E183" s="8" t="s">
        <v>142</v>
      </c>
      <c r="F183" s="8" t="s">
        <v>130</v>
      </c>
      <c r="G183" s="8" t="s">
        <v>130</v>
      </c>
      <c r="H183" s="8" t="s">
        <v>160</v>
      </c>
      <c r="I183" s="8" t="s">
        <v>160</v>
      </c>
      <c r="J183" s="8" t="s">
        <v>231</v>
      </c>
    </row>
    <row r="184" spans="1:10" ht="24.75" thickBot="1">
      <c r="A184" s="224"/>
      <c r="B184" s="224"/>
      <c r="C184" s="5"/>
      <c r="D184" s="5"/>
      <c r="E184" s="5" t="s">
        <v>161</v>
      </c>
      <c r="F184" s="5" t="s">
        <v>162</v>
      </c>
      <c r="G184" s="5"/>
      <c r="H184" s="5"/>
      <c r="I184" s="9" t="s">
        <v>163</v>
      </c>
      <c r="J184" s="35"/>
    </row>
    <row r="185" spans="1:10" ht="13.5" thickTop="1">
      <c r="A185" s="274" t="s">
        <v>164</v>
      </c>
      <c r="B185" s="54" t="s">
        <v>225</v>
      </c>
      <c r="C185" s="42">
        <v>0.54</v>
      </c>
      <c r="D185" s="43">
        <v>0</v>
      </c>
      <c r="E185" s="38">
        <f>'4D1_CH4_EF_DomesticWastewater'!$D$14</f>
        <v>0.3</v>
      </c>
      <c r="F185" s="107">
        <f>$M$18</f>
        <v>383775.45400000003</v>
      </c>
      <c r="G185" s="47"/>
      <c r="H185" s="47"/>
      <c r="I185" s="14">
        <f>((C185*D185*E185)*(F185-G185))-H185</f>
        <v>0</v>
      </c>
      <c r="J185" s="32">
        <f>I185/(10^6)</f>
        <v>0</v>
      </c>
    </row>
    <row r="186" spans="1:10">
      <c r="A186" s="275"/>
      <c r="B186" s="55" t="s">
        <v>226</v>
      </c>
      <c r="C186" s="44">
        <v>0.54</v>
      </c>
      <c r="D186" s="45">
        <v>0.47</v>
      </c>
      <c r="E186" s="37">
        <f>'4D1_CH4_EF_DomesticWastewater'!$D$23</f>
        <v>0.06</v>
      </c>
      <c r="F186" s="107">
        <f t="shared" ref="F186:F199" si="18">$M$18</f>
        <v>383775.45400000003</v>
      </c>
      <c r="G186" s="48"/>
      <c r="H186" s="48"/>
      <c r="I186" s="15">
        <f t="shared" ref="I186:I199" si="19">((C186*D186*E186)*(F186-G186))-H186</f>
        <v>5844.1326135120007</v>
      </c>
      <c r="J186" s="34">
        <f t="shared" ref="J186:J199" si="20">I186/(10^6)</f>
        <v>5.8441326135120009E-3</v>
      </c>
    </row>
    <row r="187" spans="1:10">
      <c r="A187" s="275"/>
      <c r="B187" s="53" t="s">
        <v>227</v>
      </c>
      <c r="C187" s="44">
        <v>0.54</v>
      </c>
      <c r="D187" s="45">
        <v>0</v>
      </c>
      <c r="E187" s="37">
        <f>'4D1_CH4_EF_DomesticWastewater'!$D$13</f>
        <v>0.06</v>
      </c>
      <c r="F187" s="107">
        <f t="shared" si="18"/>
        <v>383775.45400000003</v>
      </c>
      <c r="G187" s="48"/>
      <c r="H187" s="48"/>
      <c r="I187" s="15">
        <f t="shared" si="19"/>
        <v>0</v>
      </c>
      <c r="J187" s="34">
        <f t="shared" si="20"/>
        <v>0</v>
      </c>
    </row>
    <row r="188" spans="1:10">
      <c r="A188" s="261"/>
      <c r="B188" s="53" t="s">
        <v>228</v>
      </c>
      <c r="C188" s="44">
        <v>0.54</v>
      </c>
      <c r="D188" s="46">
        <v>0.1</v>
      </c>
      <c r="E188" s="37">
        <f>'4D1_CH4_EF_DomesticWastewater'!$D$14</f>
        <v>0.3</v>
      </c>
      <c r="F188" s="107">
        <f t="shared" si="18"/>
        <v>383775.45400000003</v>
      </c>
      <c r="G188" s="49"/>
      <c r="H188" s="49"/>
      <c r="I188" s="15">
        <f t="shared" si="19"/>
        <v>6217.1623548000016</v>
      </c>
      <c r="J188" s="34">
        <f t="shared" si="20"/>
        <v>6.2171623548000019E-3</v>
      </c>
    </row>
    <row r="189" spans="1:10">
      <c r="A189" s="261"/>
      <c r="B189" s="53" t="s">
        <v>229</v>
      </c>
      <c r="C189" s="44">
        <v>0.54</v>
      </c>
      <c r="D189" s="46">
        <v>0.43</v>
      </c>
      <c r="E189" s="37">
        <v>0</v>
      </c>
      <c r="F189" s="107">
        <f t="shared" si="18"/>
        <v>383775.45400000003</v>
      </c>
      <c r="G189" s="49"/>
      <c r="H189" s="49"/>
      <c r="I189" s="15">
        <f t="shared" si="19"/>
        <v>0</v>
      </c>
      <c r="J189" s="34">
        <f t="shared" si="20"/>
        <v>0</v>
      </c>
    </row>
    <row r="190" spans="1:10">
      <c r="A190" s="261" t="s">
        <v>165</v>
      </c>
      <c r="B190" s="53" t="s">
        <v>225</v>
      </c>
      <c r="C190" s="44">
        <v>0.12</v>
      </c>
      <c r="D190" s="46">
        <v>0.18</v>
      </c>
      <c r="E190" s="37">
        <f>'4D1_CH4_EF_DomesticWastewater'!$D$22</f>
        <v>0.3</v>
      </c>
      <c r="F190" s="107">
        <f t="shared" si="18"/>
        <v>383775.45400000003</v>
      </c>
      <c r="G190" s="49"/>
      <c r="H190" s="49"/>
      <c r="I190" s="15">
        <f t="shared" si="19"/>
        <v>2486.8649419199996</v>
      </c>
      <c r="J190" s="34">
        <f t="shared" si="20"/>
        <v>2.4868649419199996E-3</v>
      </c>
    </row>
    <row r="191" spans="1:10">
      <c r="A191" s="261"/>
      <c r="B191" s="53" t="s">
        <v>226</v>
      </c>
      <c r="C191" s="44">
        <v>0.12</v>
      </c>
      <c r="D191" s="46">
        <v>0.08</v>
      </c>
      <c r="E191" s="37">
        <f>'4D1_CH4_EF_DomesticWastewater'!$D$23</f>
        <v>0.06</v>
      </c>
      <c r="F191" s="107">
        <f t="shared" si="18"/>
        <v>383775.45400000003</v>
      </c>
      <c r="G191" s="49"/>
      <c r="H191" s="49"/>
      <c r="I191" s="15">
        <f t="shared" si="19"/>
        <v>221.05466150399997</v>
      </c>
      <c r="J191" s="34">
        <f t="shared" si="20"/>
        <v>2.2105466150399998E-4</v>
      </c>
    </row>
    <row r="192" spans="1:10">
      <c r="A192" s="261"/>
      <c r="B192" s="53" t="s">
        <v>227</v>
      </c>
      <c r="C192" s="44">
        <v>0.12</v>
      </c>
      <c r="D192" s="46">
        <v>0</v>
      </c>
      <c r="E192" s="37">
        <f>'4D1_CH4_EF_DomesticWastewater'!$D$13</f>
        <v>0.06</v>
      </c>
      <c r="F192" s="107">
        <f t="shared" si="18"/>
        <v>383775.45400000003</v>
      </c>
      <c r="G192" s="49"/>
      <c r="H192" s="49"/>
      <c r="I192" s="15">
        <f t="shared" si="19"/>
        <v>0</v>
      </c>
      <c r="J192" s="34">
        <f t="shared" si="20"/>
        <v>0</v>
      </c>
    </row>
    <row r="193" spans="1:10">
      <c r="A193" s="261"/>
      <c r="B193" s="53" t="s">
        <v>228</v>
      </c>
      <c r="C193" s="44">
        <v>0.12</v>
      </c>
      <c r="D193" s="46">
        <v>0.74</v>
      </c>
      <c r="E193" s="37">
        <f>'4D1_CH4_EF_DomesticWastewater'!$D$13</f>
        <v>0.06</v>
      </c>
      <c r="F193" s="107">
        <f t="shared" si="18"/>
        <v>383775.45400000003</v>
      </c>
      <c r="G193" s="49"/>
      <c r="H193" s="49"/>
      <c r="I193" s="15">
        <f t="shared" si="19"/>
        <v>2044.7556189119998</v>
      </c>
      <c r="J193" s="34">
        <f t="shared" si="20"/>
        <v>2.0447556189119999E-3</v>
      </c>
    </row>
    <row r="194" spans="1:10">
      <c r="A194" s="261"/>
      <c r="B194" s="53" t="s">
        <v>229</v>
      </c>
      <c r="C194" s="44">
        <v>0.12</v>
      </c>
      <c r="D194" s="46">
        <v>0</v>
      </c>
      <c r="E194" s="37">
        <v>0</v>
      </c>
      <c r="F194" s="107">
        <f t="shared" si="18"/>
        <v>383775.45400000003</v>
      </c>
      <c r="G194" s="49"/>
      <c r="H194" s="49"/>
      <c r="I194" s="15">
        <f t="shared" si="19"/>
        <v>0</v>
      </c>
      <c r="J194" s="34">
        <f t="shared" si="20"/>
        <v>0</v>
      </c>
    </row>
    <row r="195" spans="1:10">
      <c r="A195" s="261" t="s">
        <v>166</v>
      </c>
      <c r="B195" s="53" t="s">
        <v>225</v>
      </c>
      <c r="C195" s="44">
        <v>0.34</v>
      </c>
      <c r="D195" s="46">
        <v>0.14000000000000001</v>
      </c>
      <c r="E195" s="37">
        <f>'4D1_CH4_EF_DomesticWastewater'!$D$22</f>
        <v>0.3</v>
      </c>
      <c r="F195" s="107">
        <f t="shared" si="18"/>
        <v>383775.45400000003</v>
      </c>
      <c r="G195" s="49"/>
      <c r="H195" s="49"/>
      <c r="I195" s="15">
        <f t="shared" si="19"/>
        <v>5480.3134831200014</v>
      </c>
      <c r="J195" s="34">
        <f t="shared" si="20"/>
        <v>5.4803134831200011E-3</v>
      </c>
    </row>
    <row r="196" spans="1:10">
      <c r="A196" s="261"/>
      <c r="B196" s="53" t="s">
        <v>226</v>
      </c>
      <c r="C196" s="44">
        <v>0.34</v>
      </c>
      <c r="D196" s="46">
        <v>0.1</v>
      </c>
      <c r="E196" s="37">
        <f>'4D1_CH4_EF_DomesticWastewater'!$D$23</f>
        <v>0.06</v>
      </c>
      <c r="F196" s="107">
        <f t="shared" si="18"/>
        <v>383775.45400000003</v>
      </c>
      <c r="G196" s="49"/>
      <c r="H196" s="49"/>
      <c r="I196" s="15">
        <f t="shared" si="19"/>
        <v>782.90192616000013</v>
      </c>
      <c r="J196" s="34">
        <f t="shared" si="20"/>
        <v>7.8290192616000016E-4</v>
      </c>
    </row>
    <row r="197" spans="1:10">
      <c r="A197" s="261"/>
      <c r="B197" s="53" t="s">
        <v>227</v>
      </c>
      <c r="C197" s="44">
        <v>0.34</v>
      </c>
      <c r="D197" s="46">
        <v>0.03</v>
      </c>
      <c r="E197" s="37">
        <f>'4D1_CH4_EF_DomesticWastewater'!$D$13</f>
        <v>0.06</v>
      </c>
      <c r="F197" s="107">
        <f t="shared" si="18"/>
        <v>383775.45400000003</v>
      </c>
      <c r="G197" s="49"/>
      <c r="H197" s="49"/>
      <c r="I197" s="15">
        <f t="shared" si="19"/>
        <v>234.87057784800004</v>
      </c>
      <c r="J197" s="34">
        <f t="shared" si="20"/>
        <v>2.3487057784800003E-4</v>
      </c>
    </row>
    <row r="198" spans="1:10">
      <c r="A198" s="261"/>
      <c r="B198" s="53" t="s">
        <v>228</v>
      </c>
      <c r="C198" s="44">
        <v>0.34</v>
      </c>
      <c r="D198" s="46">
        <v>0.53</v>
      </c>
      <c r="E198" s="37">
        <f>'4D1_CH4_EF_DomesticWastewater'!$D$13</f>
        <v>0.06</v>
      </c>
      <c r="F198" s="107">
        <f t="shared" si="18"/>
        <v>383775.45400000003</v>
      </c>
      <c r="G198" s="49"/>
      <c r="H198" s="49"/>
      <c r="I198" s="15">
        <f t="shared" si="19"/>
        <v>4149.380208648</v>
      </c>
      <c r="J198" s="34">
        <f t="shared" si="20"/>
        <v>4.1493802086480002E-3</v>
      </c>
    </row>
    <row r="199" spans="1:10">
      <c r="A199" s="261"/>
      <c r="B199" s="53" t="s">
        <v>229</v>
      </c>
      <c r="C199" s="44">
        <v>0.34</v>
      </c>
      <c r="D199" s="46">
        <v>0.2</v>
      </c>
      <c r="E199" s="37">
        <v>0</v>
      </c>
      <c r="F199" s="107">
        <f t="shared" si="18"/>
        <v>383775.45400000003</v>
      </c>
      <c r="G199" s="49"/>
      <c r="H199" s="49"/>
      <c r="I199" s="15">
        <f t="shared" si="19"/>
        <v>0</v>
      </c>
      <c r="J199" s="34">
        <f t="shared" si="20"/>
        <v>0</v>
      </c>
    </row>
    <row r="200" spans="1:10">
      <c r="A200" s="276" t="s">
        <v>296</v>
      </c>
      <c r="B200" s="276"/>
      <c r="C200" s="276"/>
      <c r="D200" s="276"/>
      <c r="E200" s="276"/>
      <c r="F200" s="276"/>
      <c r="G200" s="276"/>
      <c r="H200" s="276"/>
      <c r="I200" s="108">
        <f>SUM(I185:I199)</f>
        <v>27461.436386424</v>
      </c>
      <c r="J200" s="109">
        <f>SUM(J185:J199)</f>
        <v>2.7461436386424003E-2</v>
      </c>
    </row>
    <row r="203" spans="1:10">
      <c r="A203" s="277" t="s">
        <v>0</v>
      </c>
      <c r="B203" s="278"/>
      <c r="C203" s="196" t="s">
        <v>1</v>
      </c>
      <c r="D203" s="279"/>
      <c r="E203" s="279"/>
      <c r="F203" s="279"/>
      <c r="G203" s="279"/>
      <c r="H203" s="279"/>
      <c r="I203" s="279"/>
    </row>
    <row r="204" spans="1:10">
      <c r="A204" s="277" t="s">
        <v>2</v>
      </c>
      <c r="B204" s="278"/>
      <c r="C204" s="196" t="s">
        <v>117</v>
      </c>
      <c r="D204" s="279"/>
      <c r="E204" s="279"/>
      <c r="F204" s="279"/>
      <c r="G204" s="279"/>
      <c r="H204" s="279"/>
      <c r="I204" s="279"/>
    </row>
    <row r="205" spans="1:10">
      <c r="A205" s="277" t="s">
        <v>4</v>
      </c>
      <c r="B205" s="278"/>
      <c r="C205" s="196" t="s">
        <v>118</v>
      </c>
      <c r="D205" s="279"/>
      <c r="E205" s="279"/>
      <c r="F205" s="279"/>
      <c r="G205" s="279"/>
      <c r="H205" s="279"/>
      <c r="I205" s="279"/>
    </row>
    <row r="206" spans="1:10">
      <c r="A206" s="277" t="s">
        <v>6</v>
      </c>
      <c r="B206" s="278"/>
      <c r="C206" s="196" t="s">
        <v>145</v>
      </c>
      <c r="D206" s="279"/>
      <c r="E206" s="279"/>
      <c r="F206" s="279"/>
      <c r="G206" s="279"/>
      <c r="H206" s="279"/>
      <c r="I206" s="279"/>
    </row>
    <row r="207" spans="1:10">
      <c r="A207" s="250" t="s">
        <v>10</v>
      </c>
      <c r="B207" s="267"/>
      <c r="C207" s="267"/>
      <c r="D207" s="267"/>
      <c r="E207" s="267"/>
      <c r="F207" s="267"/>
      <c r="G207" s="267"/>
      <c r="H207" s="267"/>
      <c r="I207" s="267"/>
      <c r="J207" s="106"/>
    </row>
    <row r="208" spans="1:10">
      <c r="A208" s="59"/>
      <c r="B208" s="59"/>
      <c r="C208" s="7" t="s">
        <v>11</v>
      </c>
      <c r="D208" s="7" t="s">
        <v>12</v>
      </c>
      <c r="E208" s="7" t="s">
        <v>13</v>
      </c>
      <c r="F208" s="7" t="s">
        <v>14</v>
      </c>
      <c r="G208" s="7" t="s">
        <v>15</v>
      </c>
      <c r="H208" s="7" t="s">
        <v>58</v>
      </c>
      <c r="I208" s="7" t="s">
        <v>78</v>
      </c>
      <c r="J208" s="87" t="s">
        <v>79</v>
      </c>
    </row>
    <row r="209" spans="1:10" ht="51">
      <c r="A209" s="207" t="s">
        <v>146</v>
      </c>
      <c r="B209" s="207" t="s">
        <v>147</v>
      </c>
      <c r="C209" s="59" t="s">
        <v>148</v>
      </c>
      <c r="D209" s="59" t="s">
        <v>149</v>
      </c>
      <c r="E209" s="59" t="s">
        <v>150</v>
      </c>
      <c r="F209" s="59" t="s">
        <v>123</v>
      </c>
      <c r="G209" s="59" t="s">
        <v>151</v>
      </c>
      <c r="H209" s="59" t="s">
        <v>152</v>
      </c>
      <c r="I209" s="59" t="s">
        <v>153</v>
      </c>
      <c r="J209" s="59" t="s">
        <v>153</v>
      </c>
    </row>
    <row r="210" spans="1:10" ht="15.75">
      <c r="A210" s="207"/>
      <c r="B210" s="207"/>
      <c r="C210" s="76" t="s">
        <v>154</v>
      </c>
      <c r="D210" s="76" t="s">
        <v>155</v>
      </c>
      <c r="E210" s="76" t="s">
        <v>156</v>
      </c>
      <c r="F210" s="76" t="s">
        <v>127</v>
      </c>
      <c r="G210" s="76" t="s">
        <v>157</v>
      </c>
      <c r="H210" s="76" t="s">
        <v>158</v>
      </c>
      <c r="I210" s="76" t="s">
        <v>159</v>
      </c>
      <c r="J210" s="76" t="s">
        <v>159</v>
      </c>
    </row>
    <row r="211" spans="1:10" ht="28.5">
      <c r="A211" s="207"/>
      <c r="B211" s="207"/>
      <c r="C211" s="8" t="s">
        <v>44</v>
      </c>
      <c r="D211" s="8" t="s">
        <v>44</v>
      </c>
      <c r="E211" s="8" t="s">
        <v>142</v>
      </c>
      <c r="F211" s="8" t="s">
        <v>130</v>
      </c>
      <c r="G211" s="8" t="s">
        <v>130</v>
      </c>
      <c r="H211" s="8" t="s">
        <v>160</v>
      </c>
      <c r="I211" s="8" t="s">
        <v>160</v>
      </c>
      <c r="J211" s="8" t="s">
        <v>231</v>
      </c>
    </row>
    <row r="212" spans="1:10" ht="24.75" thickBot="1">
      <c r="A212" s="224"/>
      <c r="B212" s="224"/>
      <c r="C212" s="5"/>
      <c r="D212" s="5"/>
      <c r="E212" s="5" t="s">
        <v>161</v>
      </c>
      <c r="F212" s="5" t="s">
        <v>162</v>
      </c>
      <c r="G212" s="5"/>
      <c r="H212" s="5"/>
      <c r="I212" s="9" t="s">
        <v>163</v>
      </c>
      <c r="J212" s="35"/>
    </row>
    <row r="213" spans="1:10" ht="13.5" thickTop="1">
      <c r="A213" s="274" t="s">
        <v>164</v>
      </c>
      <c r="B213" s="54" t="s">
        <v>225</v>
      </c>
      <c r="C213" s="42">
        <v>0.54</v>
      </c>
      <c r="D213" s="43">
        <v>0</v>
      </c>
      <c r="E213" s="38">
        <f>'4D1_CH4_EF_DomesticWastewater'!$D$14</f>
        <v>0.3</v>
      </c>
      <c r="F213" s="107">
        <f>$M$19</f>
        <v>386032.17600000004</v>
      </c>
      <c r="G213" s="47"/>
      <c r="H213" s="47"/>
      <c r="I213" s="14">
        <f>((C213*D213*E213)*(F213-G213))-H213</f>
        <v>0</v>
      </c>
      <c r="J213" s="32">
        <f>I213/(10^6)</f>
        <v>0</v>
      </c>
    </row>
    <row r="214" spans="1:10">
      <c r="A214" s="275"/>
      <c r="B214" s="55" t="s">
        <v>226</v>
      </c>
      <c r="C214" s="44">
        <v>0.54</v>
      </c>
      <c r="D214" s="45">
        <v>0.47</v>
      </c>
      <c r="E214" s="37">
        <f>'4D1_CH4_EF_DomesticWastewater'!$D$23</f>
        <v>0.06</v>
      </c>
      <c r="F214" s="107">
        <f t="shared" ref="F214:F227" si="21">$M$19</f>
        <v>386032.17600000004</v>
      </c>
      <c r="G214" s="48"/>
      <c r="H214" s="48"/>
      <c r="I214" s="15">
        <f t="shared" ref="I214:I227" si="22">((C214*D214*E214)*(F214-G214))-H214</f>
        <v>5878.497976128001</v>
      </c>
      <c r="J214" s="34">
        <f t="shared" ref="J214:J227" si="23">I214/(10^6)</f>
        <v>5.8784979761280012E-3</v>
      </c>
    </row>
    <row r="215" spans="1:10">
      <c r="A215" s="275"/>
      <c r="B215" s="53" t="s">
        <v>227</v>
      </c>
      <c r="C215" s="44">
        <v>0.54</v>
      </c>
      <c r="D215" s="45">
        <v>0</v>
      </c>
      <c r="E215" s="37">
        <f>'4D1_CH4_EF_DomesticWastewater'!$D$13</f>
        <v>0.06</v>
      </c>
      <c r="F215" s="107">
        <f t="shared" si="21"/>
        <v>386032.17600000004</v>
      </c>
      <c r="G215" s="48"/>
      <c r="H215" s="48"/>
      <c r="I215" s="15">
        <f t="shared" si="22"/>
        <v>0</v>
      </c>
      <c r="J215" s="34">
        <f t="shared" si="23"/>
        <v>0</v>
      </c>
    </row>
    <row r="216" spans="1:10">
      <c r="A216" s="261"/>
      <c r="B216" s="53" t="s">
        <v>228</v>
      </c>
      <c r="C216" s="44">
        <v>0.54</v>
      </c>
      <c r="D216" s="46">
        <v>0.1</v>
      </c>
      <c r="E216" s="37">
        <f>'4D1_CH4_EF_DomesticWastewater'!$D$14</f>
        <v>0.3</v>
      </c>
      <c r="F216" s="107">
        <f t="shared" si="21"/>
        <v>386032.17600000004</v>
      </c>
      <c r="G216" s="49"/>
      <c r="H216" s="49"/>
      <c r="I216" s="15">
        <f t="shared" si="22"/>
        <v>6253.7212512000015</v>
      </c>
      <c r="J216" s="34">
        <f t="shared" si="23"/>
        <v>6.2537212512000012E-3</v>
      </c>
    </row>
    <row r="217" spans="1:10">
      <c r="A217" s="261"/>
      <c r="B217" s="53" t="s">
        <v>229</v>
      </c>
      <c r="C217" s="44">
        <v>0.54</v>
      </c>
      <c r="D217" s="46">
        <v>0.43</v>
      </c>
      <c r="E217" s="37">
        <v>0</v>
      </c>
      <c r="F217" s="107">
        <f t="shared" si="21"/>
        <v>386032.17600000004</v>
      </c>
      <c r="G217" s="49"/>
      <c r="H217" s="49"/>
      <c r="I217" s="15">
        <f t="shared" si="22"/>
        <v>0</v>
      </c>
      <c r="J217" s="34">
        <f t="shared" si="23"/>
        <v>0</v>
      </c>
    </row>
    <row r="218" spans="1:10">
      <c r="A218" s="261" t="s">
        <v>165</v>
      </c>
      <c r="B218" s="53" t="s">
        <v>225</v>
      </c>
      <c r="C218" s="44">
        <v>0.12</v>
      </c>
      <c r="D218" s="46">
        <v>0.18</v>
      </c>
      <c r="E218" s="37">
        <f>'4D1_CH4_EF_DomesticWastewater'!$D$22</f>
        <v>0.3</v>
      </c>
      <c r="F218" s="107">
        <f t="shared" si="21"/>
        <v>386032.17600000004</v>
      </c>
      <c r="G218" s="49"/>
      <c r="H218" s="49"/>
      <c r="I218" s="15">
        <f t="shared" si="22"/>
        <v>2501.4885004799999</v>
      </c>
      <c r="J218" s="34">
        <f t="shared" si="23"/>
        <v>2.50148850048E-3</v>
      </c>
    </row>
    <row r="219" spans="1:10">
      <c r="A219" s="261"/>
      <c r="B219" s="53" t="s">
        <v>226</v>
      </c>
      <c r="C219" s="44">
        <v>0.12</v>
      </c>
      <c r="D219" s="46">
        <v>0.08</v>
      </c>
      <c r="E219" s="37">
        <f>'4D1_CH4_EF_DomesticWastewater'!$D$23</f>
        <v>0.06</v>
      </c>
      <c r="F219" s="107">
        <f t="shared" si="21"/>
        <v>386032.17600000004</v>
      </c>
      <c r="G219" s="49"/>
      <c r="H219" s="49"/>
      <c r="I219" s="15">
        <f t="shared" si="22"/>
        <v>222.35453337599998</v>
      </c>
      <c r="J219" s="34">
        <f t="shared" si="23"/>
        <v>2.2235453337599999E-4</v>
      </c>
    </row>
    <row r="220" spans="1:10">
      <c r="A220" s="261"/>
      <c r="B220" s="53" t="s">
        <v>227</v>
      </c>
      <c r="C220" s="44">
        <v>0.12</v>
      </c>
      <c r="D220" s="46">
        <v>0</v>
      </c>
      <c r="E220" s="37">
        <f>'4D1_CH4_EF_DomesticWastewater'!$D$13</f>
        <v>0.06</v>
      </c>
      <c r="F220" s="107">
        <f t="shared" si="21"/>
        <v>386032.17600000004</v>
      </c>
      <c r="G220" s="49"/>
      <c r="H220" s="49"/>
      <c r="I220" s="15">
        <f t="shared" si="22"/>
        <v>0</v>
      </c>
      <c r="J220" s="34">
        <f t="shared" si="23"/>
        <v>0</v>
      </c>
    </row>
    <row r="221" spans="1:10">
      <c r="A221" s="261"/>
      <c r="B221" s="53" t="s">
        <v>228</v>
      </c>
      <c r="C221" s="44">
        <v>0.12</v>
      </c>
      <c r="D221" s="46">
        <v>0.74</v>
      </c>
      <c r="E221" s="37">
        <f>'4D1_CH4_EF_DomesticWastewater'!$D$13</f>
        <v>0.06</v>
      </c>
      <c r="F221" s="107">
        <f t="shared" si="21"/>
        <v>386032.17600000004</v>
      </c>
      <c r="G221" s="49"/>
      <c r="H221" s="49"/>
      <c r="I221" s="15">
        <f t="shared" si="22"/>
        <v>2056.7794337280002</v>
      </c>
      <c r="J221" s="34">
        <f t="shared" si="23"/>
        <v>2.056779433728E-3</v>
      </c>
    </row>
    <row r="222" spans="1:10">
      <c r="A222" s="261"/>
      <c r="B222" s="53" t="s">
        <v>229</v>
      </c>
      <c r="C222" s="44">
        <v>0.12</v>
      </c>
      <c r="D222" s="46">
        <v>0</v>
      </c>
      <c r="E222" s="37">
        <v>0</v>
      </c>
      <c r="F222" s="107">
        <f t="shared" si="21"/>
        <v>386032.17600000004</v>
      </c>
      <c r="G222" s="49"/>
      <c r="H222" s="49"/>
      <c r="I222" s="15">
        <f t="shared" si="22"/>
        <v>0</v>
      </c>
      <c r="J222" s="34">
        <f t="shared" si="23"/>
        <v>0</v>
      </c>
    </row>
    <row r="223" spans="1:10">
      <c r="A223" s="261" t="s">
        <v>166</v>
      </c>
      <c r="B223" s="53" t="s">
        <v>225</v>
      </c>
      <c r="C223" s="44">
        <v>0.34</v>
      </c>
      <c r="D223" s="46">
        <v>0.14000000000000001</v>
      </c>
      <c r="E223" s="37">
        <f>'4D1_CH4_EF_DomesticWastewater'!$D$22</f>
        <v>0.3</v>
      </c>
      <c r="F223" s="107">
        <f t="shared" si="21"/>
        <v>386032.17600000004</v>
      </c>
      <c r="G223" s="49"/>
      <c r="H223" s="49"/>
      <c r="I223" s="15">
        <f t="shared" si="22"/>
        <v>5512.5394732800014</v>
      </c>
      <c r="J223" s="34">
        <f t="shared" si="23"/>
        <v>5.5125394732800015E-3</v>
      </c>
    </row>
    <row r="224" spans="1:10">
      <c r="A224" s="261"/>
      <c r="B224" s="53" t="s">
        <v>226</v>
      </c>
      <c r="C224" s="44">
        <v>0.34</v>
      </c>
      <c r="D224" s="46">
        <v>0.1</v>
      </c>
      <c r="E224" s="37">
        <f>'4D1_CH4_EF_DomesticWastewater'!$D$23</f>
        <v>0.06</v>
      </c>
      <c r="F224" s="107">
        <f t="shared" si="21"/>
        <v>386032.17600000004</v>
      </c>
      <c r="G224" s="49"/>
      <c r="H224" s="49"/>
      <c r="I224" s="15">
        <f t="shared" si="22"/>
        <v>787.50563904000012</v>
      </c>
      <c r="J224" s="34">
        <f t="shared" si="23"/>
        <v>7.8750563904000015E-4</v>
      </c>
    </row>
    <row r="225" spans="1:10">
      <c r="A225" s="261"/>
      <c r="B225" s="53" t="s">
        <v>227</v>
      </c>
      <c r="C225" s="44">
        <v>0.34</v>
      </c>
      <c r="D225" s="46">
        <v>0.03</v>
      </c>
      <c r="E225" s="37">
        <f>'4D1_CH4_EF_DomesticWastewater'!$D$13</f>
        <v>0.06</v>
      </c>
      <c r="F225" s="107">
        <f t="shared" si="21"/>
        <v>386032.17600000004</v>
      </c>
      <c r="G225" s="49"/>
      <c r="H225" s="49"/>
      <c r="I225" s="15">
        <f t="shared" si="22"/>
        <v>236.25169171200002</v>
      </c>
      <c r="J225" s="34">
        <f t="shared" si="23"/>
        <v>2.3625169171200003E-4</v>
      </c>
    </row>
    <row r="226" spans="1:10">
      <c r="A226" s="261"/>
      <c r="B226" s="53" t="s">
        <v>228</v>
      </c>
      <c r="C226" s="44">
        <v>0.34</v>
      </c>
      <c r="D226" s="46">
        <v>0.53</v>
      </c>
      <c r="E226" s="37">
        <f>'4D1_CH4_EF_DomesticWastewater'!$D$13</f>
        <v>0.06</v>
      </c>
      <c r="F226" s="107">
        <f t="shared" si="21"/>
        <v>386032.17600000004</v>
      </c>
      <c r="G226" s="49"/>
      <c r="H226" s="49"/>
      <c r="I226" s="15">
        <f t="shared" si="22"/>
        <v>4173.7798869120006</v>
      </c>
      <c r="J226" s="34">
        <f t="shared" si="23"/>
        <v>4.1737798869120003E-3</v>
      </c>
    </row>
    <row r="227" spans="1:10">
      <c r="A227" s="261"/>
      <c r="B227" s="53" t="s">
        <v>229</v>
      </c>
      <c r="C227" s="44">
        <v>0.34</v>
      </c>
      <c r="D227" s="46">
        <v>0.2</v>
      </c>
      <c r="E227" s="37">
        <v>0</v>
      </c>
      <c r="F227" s="107">
        <f t="shared" si="21"/>
        <v>386032.17600000004</v>
      </c>
      <c r="G227" s="49"/>
      <c r="H227" s="49"/>
      <c r="I227" s="15">
        <f t="shared" si="22"/>
        <v>0</v>
      </c>
      <c r="J227" s="34">
        <f t="shared" si="23"/>
        <v>0</v>
      </c>
    </row>
    <row r="228" spans="1:10">
      <c r="A228" s="276" t="s">
        <v>297</v>
      </c>
      <c r="B228" s="276"/>
      <c r="C228" s="276"/>
      <c r="D228" s="276"/>
      <c r="E228" s="276"/>
      <c r="F228" s="276"/>
      <c r="G228" s="276"/>
      <c r="H228" s="276"/>
      <c r="I228" s="108">
        <f>SUM(I213:I227)</f>
        <v>27622.918385856003</v>
      </c>
      <c r="J228" s="109">
        <f>SUM(J213:J227)</f>
        <v>2.7622918385856007E-2</v>
      </c>
    </row>
    <row r="231" spans="1:10">
      <c r="A231" s="277" t="s">
        <v>0</v>
      </c>
      <c r="B231" s="278"/>
      <c r="C231" s="196" t="s">
        <v>1</v>
      </c>
      <c r="D231" s="279"/>
      <c r="E231" s="279"/>
      <c r="F231" s="279"/>
      <c r="G231" s="279"/>
      <c r="H231" s="279"/>
      <c r="I231" s="279"/>
    </row>
    <row r="232" spans="1:10">
      <c r="A232" s="277" t="s">
        <v>2</v>
      </c>
      <c r="B232" s="278"/>
      <c r="C232" s="196" t="s">
        <v>117</v>
      </c>
      <c r="D232" s="279"/>
      <c r="E232" s="279"/>
      <c r="F232" s="279"/>
      <c r="G232" s="279"/>
      <c r="H232" s="279"/>
      <c r="I232" s="279"/>
    </row>
    <row r="233" spans="1:10">
      <c r="A233" s="277" t="s">
        <v>4</v>
      </c>
      <c r="B233" s="278"/>
      <c r="C233" s="196" t="s">
        <v>118</v>
      </c>
      <c r="D233" s="279"/>
      <c r="E233" s="279"/>
      <c r="F233" s="279"/>
      <c r="G233" s="279"/>
      <c r="H233" s="279"/>
      <c r="I233" s="279"/>
    </row>
    <row r="234" spans="1:10">
      <c r="A234" s="277" t="s">
        <v>6</v>
      </c>
      <c r="B234" s="278"/>
      <c r="C234" s="196" t="s">
        <v>145</v>
      </c>
      <c r="D234" s="279"/>
      <c r="E234" s="279"/>
      <c r="F234" s="279"/>
      <c r="G234" s="279"/>
      <c r="H234" s="279"/>
      <c r="I234" s="279"/>
    </row>
    <row r="235" spans="1:10">
      <c r="A235" s="250" t="s">
        <v>10</v>
      </c>
      <c r="B235" s="267"/>
      <c r="C235" s="267"/>
      <c r="D235" s="267"/>
      <c r="E235" s="267"/>
      <c r="F235" s="267"/>
      <c r="G235" s="267"/>
      <c r="H235" s="267"/>
      <c r="I235" s="267"/>
      <c r="J235" s="106"/>
    </row>
    <row r="236" spans="1:10">
      <c r="A236" s="59"/>
      <c r="B236" s="59"/>
      <c r="C236" s="7" t="s">
        <v>11</v>
      </c>
      <c r="D236" s="7" t="s">
        <v>12</v>
      </c>
      <c r="E236" s="7" t="s">
        <v>13</v>
      </c>
      <c r="F236" s="7" t="s">
        <v>14</v>
      </c>
      <c r="G236" s="7" t="s">
        <v>15</v>
      </c>
      <c r="H236" s="7" t="s">
        <v>58</v>
      </c>
      <c r="I236" s="7" t="s">
        <v>78</v>
      </c>
      <c r="J236" s="87" t="s">
        <v>79</v>
      </c>
    </row>
    <row r="237" spans="1:10" ht="51">
      <c r="A237" s="207" t="s">
        <v>146</v>
      </c>
      <c r="B237" s="207" t="s">
        <v>147</v>
      </c>
      <c r="C237" s="59" t="s">
        <v>148</v>
      </c>
      <c r="D237" s="59" t="s">
        <v>149</v>
      </c>
      <c r="E237" s="59" t="s">
        <v>150</v>
      </c>
      <c r="F237" s="59" t="s">
        <v>123</v>
      </c>
      <c r="G237" s="59" t="s">
        <v>151</v>
      </c>
      <c r="H237" s="59" t="s">
        <v>152</v>
      </c>
      <c r="I237" s="59" t="s">
        <v>153</v>
      </c>
      <c r="J237" s="59" t="s">
        <v>153</v>
      </c>
    </row>
    <row r="238" spans="1:10" ht="15.75">
      <c r="A238" s="207"/>
      <c r="B238" s="207"/>
      <c r="C238" s="76" t="s">
        <v>154</v>
      </c>
      <c r="D238" s="76" t="s">
        <v>155</v>
      </c>
      <c r="E238" s="76" t="s">
        <v>156</v>
      </c>
      <c r="F238" s="76" t="s">
        <v>127</v>
      </c>
      <c r="G238" s="76" t="s">
        <v>157</v>
      </c>
      <c r="H238" s="76" t="s">
        <v>158</v>
      </c>
      <c r="I238" s="76" t="s">
        <v>159</v>
      </c>
      <c r="J238" s="76" t="s">
        <v>159</v>
      </c>
    </row>
    <row r="239" spans="1:10" ht="28.5">
      <c r="A239" s="207"/>
      <c r="B239" s="207"/>
      <c r="C239" s="8" t="s">
        <v>44</v>
      </c>
      <c r="D239" s="8" t="s">
        <v>44</v>
      </c>
      <c r="E239" s="8" t="s">
        <v>142</v>
      </c>
      <c r="F239" s="8" t="s">
        <v>130</v>
      </c>
      <c r="G239" s="8" t="s">
        <v>130</v>
      </c>
      <c r="H239" s="8" t="s">
        <v>160</v>
      </c>
      <c r="I239" s="8" t="s">
        <v>160</v>
      </c>
      <c r="J239" s="8" t="s">
        <v>231</v>
      </c>
    </row>
    <row r="240" spans="1:10" ht="24.75" thickBot="1">
      <c r="A240" s="224"/>
      <c r="B240" s="224"/>
      <c r="C240" s="5"/>
      <c r="D240" s="5"/>
      <c r="E240" s="5" t="s">
        <v>161</v>
      </c>
      <c r="F240" s="5" t="s">
        <v>162</v>
      </c>
      <c r="G240" s="5"/>
      <c r="H240" s="5"/>
      <c r="I240" s="9" t="s">
        <v>163</v>
      </c>
      <c r="J240" s="35"/>
    </row>
    <row r="241" spans="1:10" ht="13.5" thickTop="1">
      <c r="A241" s="274" t="s">
        <v>164</v>
      </c>
      <c r="B241" s="54" t="s">
        <v>225</v>
      </c>
      <c r="C241" s="42">
        <v>0.54</v>
      </c>
      <c r="D241" s="43">
        <v>0</v>
      </c>
      <c r="E241" s="38">
        <f>'4D1_CH4_EF_DomesticWastewater'!$D$14</f>
        <v>0.3</v>
      </c>
      <c r="F241" s="107">
        <f>$M$20</f>
        <v>388288.89799999999</v>
      </c>
      <c r="G241" s="47"/>
      <c r="H241" s="47"/>
      <c r="I241" s="14">
        <f>((C241*D241*E241)*(F241-G241))-H241</f>
        <v>0</v>
      </c>
      <c r="J241" s="32">
        <f>I241/(10^6)</f>
        <v>0</v>
      </c>
    </row>
    <row r="242" spans="1:10">
      <c r="A242" s="275"/>
      <c r="B242" s="55" t="s">
        <v>226</v>
      </c>
      <c r="C242" s="44">
        <v>0.54</v>
      </c>
      <c r="D242" s="45">
        <v>0.47</v>
      </c>
      <c r="E242" s="37">
        <f>'4D1_CH4_EF_DomesticWastewater'!$D$23</f>
        <v>0.06</v>
      </c>
      <c r="F242" s="107">
        <f t="shared" ref="F242:F255" si="24">$M$20</f>
        <v>388288.89799999999</v>
      </c>
      <c r="G242" s="48"/>
      <c r="H242" s="48"/>
      <c r="I242" s="15">
        <f t="shared" ref="I242:I255" si="25">((C242*D242*E242)*(F242-G242))-H242</f>
        <v>5912.8633387439995</v>
      </c>
      <c r="J242" s="34">
        <f t="shared" ref="J242:J255" si="26">I242/(10^6)</f>
        <v>5.9128633387439998E-3</v>
      </c>
    </row>
    <row r="243" spans="1:10">
      <c r="A243" s="275"/>
      <c r="B243" s="53" t="s">
        <v>227</v>
      </c>
      <c r="C243" s="44">
        <v>0.54</v>
      </c>
      <c r="D243" s="45">
        <v>0</v>
      </c>
      <c r="E243" s="37">
        <f>'4D1_CH4_EF_DomesticWastewater'!$D$13</f>
        <v>0.06</v>
      </c>
      <c r="F243" s="107">
        <f t="shared" si="24"/>
        <v>388288.89799999999</v>
      </c>
      <c r="G243" s="48"/>
      <c r="H243" s="48"/>
      <c r="I243" s="15">
        <f t="shared" si="25"/>
        <v>0</v>
      </c>
      <c r="J243" s="34">
        <f t="shared" si="26"/>
        <v>0</v>
      </c>
    </row>
    <row r="244" spans="1:10">
      <c r="A244" s="261"/>
      <c r="B244" s="53" t="s">
        <v>228</v>
      </c>
      <c r="C244" s="44">
        <v>0.54</v>
      </c>
      <c r="D244" s="46">
        <v>0.1</v>
      </c>
      <c r="E244" s="37">
        <f>'4D1_CH4_EF_DomesticWastewater'!$D$14</f>
        <v>0.3</v>
      </c>
      <c r="F244" s="107">
        <f t="shared" si="24"/>
        <v>388288.89799999999</v>
      </c>
      <c r="G244" s="49"/>
      <c r="H244" s="49"/>
      <c r="I244" s="15">
        <f t="shared" si="25"/>
        <v>6290.2801476000004</v>
      </c>
      <c r="J244" s="34">
        <f t="shared" si="26"/>
        <v>6.2902801476000005E-3</v>
      </c>
    </row>
    <row r="245" spans="1:10">
      <c r="A245" s="261"/>
      <c r="B245" s="53" t="s">
        <v>229</v>
      </c>
      <c r="C245" s="44">
        <v>0.54</v>
      </c>
      <c r="D245" s="46">
        <v>0.43</v>
      </c>
      <c r="E245" s="37">
        <v>0</v>
      </c>
      <c r="F245" s="107">
        <f t="shared" si="24"/>
        <v>388288.89799999999</v>
      </c>
      <c r="G245" s="49"/>
      <c r="H245" s="49"/>
      <c r="I245" s="15">
        <f t="shared" si="25"/>
        <v>0</v>
      </c>
      <c r="J245" s="34">
        <f t="shared" si="26"/>
        <v>0</v>
      </c>
    </row>
    <row r="246" spans="1:10">
      <c r="A246" s="261" t="s">
        <v>165</v>
      </c>
      <c r="B246" s="53" t="s">
        <v>225</v>
      </c>
      <c r="C246" s="44">
        <v>0.12</v>
      </c>
      <c r="D246" s="46">
        <v>0.18</v>
      </c>
      <c r="E246" s="37">
        <f>'4D1_CH4_EF_DomesticWastewater'!$D$22</f>
        <v>0.3</v>
      </c>
      <c r="F246" s="107">
        <f t="shared" si="24"/>
        <v>388288.89799999999</v>
      </c>
      <c r="G246" s="49"/>
      <c r="H246" s="49"/>
      <c r="I246" s="15">
        <f t="shared" si="25"/>
        <v>2516.1120590399996</v>
      </c>
      <c r="J246" s="34">
        <f t="shared" si="26"/>
        <v>2.5161120590399995E-3</v>
      </c>
    </row>
    <row r="247" spans="1:10">
      <c r="A247" s="261"/>
      <c r="B247" s="53" t="s">
        <v>226</v>
      </c>
      <c r="C247" s="44">
        <v>0.12</v>
      </c>
      <c r="D247" s="46">
        <v>0.08</v>
      </c>
      <c r="E247" s="37">
        <f>'4D1_CH4_EF_DomesticWastewater'!$D$23</f>
        <v>0.06</v>
      </c>
      <c r="F247" s="107">
        <f t="shared" si="24"/>
        <v>388288.89799999999</v>
      </c>
      <c r="G247" s="49"/>
      <c r="H247" s="49"/>
      <c r="I247" s="15">
        <f t="shared" si="25"/>
        <v>223.65440524799996</v>
      </c>
      <c r="J247" s="34">
        <f t="shared" si="26"/>
        <v>2.2365440524799995E-4</v>
      </c>
    </row>
    <row r="248" spans="1:10">
      <c r="A248" s="261"/>
      <c r="B248" s="53" t="s">
        <v>227</v>
      </c>
      <c r="C248" s="44">
        <v>0.12</v>
      </c>
      <c r="D248" s="46">
        <v>0</v>
      </c>
      <c r="E248" s="37">
        <f>'4D1_CH4_EF_DomesticWastewater'!$D$13</f>
        <v>0.06</v>
      </c>
      <c r="F248" s="107">
        <f t="shared" si="24"/>
        <v>388288.89799999999</v>
      </c>
      <c r="G248" s="49"/>
      <c r="H248" s="49"/>
      <c r="I248" s="15">
        <f t="shared" si="25"/>
        <v>0</v>
      </c>
      <c r="J248" s="34">
        <f t="shared" si="26"/>
        <v>0</v>
      </c>
    </row>
    <row r="249" spans="1:10">
      <c r="A249" s="261"/>
      <c r="B249" s="53" t="s">
        <v>228</v>
      </c>
      <c r="C249" s="44">
        <v>0.12</v>
      </c>
      <c r="D249" s="46">
        <v>0.74</v>
      </c>
      <c r="E249" s="37">
        <f>'4D1_CH4_EF_DomesticWastewater'!$D$13</f>
        <v>0.06</v>
      </c>
      <c r="F249" s="107">
        <f t="shared" si="24"/>
        <v>388288.89799999999</v>
      </c>
      <c r="G249" s="49"/>
      <c r="H249" s="49"/>
      <c r="I249" s="15">
        <f t="shared" si="25"/>
        <v>2068.8032485439999</v>
      </c>
      <c r="J249" s="34">
        <f t="shared" si="26"/>
        <v>2.0688032485439998E-3</v>
      </c>
    </row>
    <row r="250" spans="1:10">
      <c r="A250" s="261"/>
      <c r="B250" s="53" t="s">
        <v>229</v>
      </c>
      <c r="C250" s="44">
        <v>0.12</v>
      </c>
      <c r="D250" s="46">
        <v>0</v>
      </c>
      <c r="E250" s="37">
        <v>0</v>
      </c>
      <c r="F250" s="107">
        <f t="shared" si="24"/>
        <v>388288.89799999999</v>
      </c>
      <c r="G250" s="49"/>
      <c r="H250" s="49"/>
      <c r="I250" s="15">
        <f t="shared" si="25"/>
        <v>0</v>
      </c>
      <c r="J250" s="34">
        <f t="shared" si="26"/>
        <v>0</v>
      </c>
    </row>
    <row r="251" spans="1:10">
      <c r="A251" s="261" t="s">
        <v>166</v>
      </c>
      <c r="B251" s="53" t="s">
        <v>225</v>
      </c>
      <c r="C251" s="44">
        <v>0.34</v>
      </c>
      <c r="D251" s="46">
        <v>0.14000000000000001</v>
      </c>
      <c r="E251" s="37">
        <f>'4D1_CH4_EF_DomesticWastewater'!$D$22</f>
        <v>0.3</v>
      </c>
      <c r="F251" s="107">
        <f t="shared" si="24"/>
        <v>388288.89799999999</v>
      </c>
      <c r="G251" s="49"/>
      <c r="H251" s="49"/>
      <c r="I251" s="15">
        <f t="shared" si="25"/>
        <v>5544.7654634400005</v>
      </c>
      <c r="J251" s="34">
        <f t="shared" si="26"/>
        <v>5.5447654634400009E-3</v>
      </c>
    </row>
    <row r="252" spans="1:10">
      <c r="A252" s="261"/>
      <c r="B252" s="53" t="s">
        <v>226</v>
      </c>
      <c r="C252" s="44">
        <v>0.34</v>
      </c>
      <c r="D252" s="46">
        <v>0.1</v>
      </c>
      <c r="E252" s="37">
        <f>'4D1_CH4_EF_DomesticWastewater'!$D$23</f>
        <v>0.06</v>
      </c>
      <c r="F252" s="107">
        <f t="shared" si="24"/>
        <v>388288.89799999999</v>
      </c>
      <c r="G252" s="49"/>
      <c r="H252" s="49"/>
      <c r="I252" s="15">
        <f t="shared" si="25"/>
        <v>792.10935191999999</v>
      </c>
      <c r="J252" s="34">
        <f t="shared" si="26"/>
        <v>7.9210935192000002E-4</v>
      </c>
    </row>
    <row r="253" spans="1:10">
      <c r="A253" s="261"/>
      <c r="B253" s="53" t="s">
        <v>227</v>
      </c>
      <c r="C253" s="44">
        <v>0.34</v>
      </c>
      <c r="D253" s="46">
        <v>0.03</v>
      </c>
      <c r="E253" s="37">
        <f>'4D1_CH4_EF_DomesticWastewater'!$D$13</f>
        <v>0.06</v>
      </c>
      <c r="F253" s="107">
        <f t="shared" si="24"/>
        <v>388288.89799999999</v>
      </c>
      <c r="G253" s="49"/>
      <c r="H253" s="49"/>
      <c r="I253" s="15">
        <f t="shared" si="25"/>
        <v>237.63280557600001</v>
      </c>
      <c r="J253" s="34">
        <f t="shared" si="26"/>
        <v>2.3763280557600002E-4</v>
      </c>
    </row>
    <row r="254" spans="1:10">
      <c r="A254" s="261"/>
      <c r="B254" s="53" t="s">
        <v>228</v>
      </c>
      <c r="C254" s="44">
        <v>0.34</v>
      </c>
      <c r="D254" s="46">
        <v>0.53</v>
      </c>
      <c r="E254" s="37">
        <f>'4D1_CH4_EF_DomesticWastewater'!$D$13</f>
        <v>0.06</v>
      </c>
      <c r="F254" s="107">
        <f t="shared" si="24"/>
        <v>388288.89799999999</v>
      </c>
      <c r="G254" s="49"/>
      <c r="H254" s="49"/>
      <c r="I254" s="15">
        <f t="shared" si="25"/>
        <v>4198.1795651760003</v>
      </c>
      <c r="J254" s="34">
        <f t="shared" si="26"/>
        <v>4.1981795651760004E-3</v>
      </c>
    </row>
    <row r="255" spans="1:10">
      <c r="A255" s="261"/>
      <c r="B255" s="53" t="s">
        <v>229</v>
      </c>
      <c r="C255" s="44">
        <v>0.34</v>
      </c>
      <c r="D255" s="46">
        <v>0.2</v>
      </c>
      <c r="E255" s="37">
        <v>0</v>
      </c>
      <c r="F255" s="107">
        <f t="shared" si="24"/>
        <v>388288.89799999999</v>
      </c>
      <c r="G255" s="49"/>
      <c r="H255" s="49"/>
      <c r="I255" s="15">
        <f t="shared" si="25"/>
        <v>0</v>
      </c>
      <c r="J255" s="34">
        <f t="shared" si="26"/>
        <v>0</v>
      </c>
    </row>
    <row r="256" spans="1:10">
      <c r="A256" s="276" t="s">
        <v>298</v>
      </c>
      <c r="B256" s="276"/>
      <c r="C256" s="276"/>
      <c r="D256" s="276"/>
      <c r="E256" s="276"/>
      <c r="F256" s="276"/>
      <c r="G256" s="276"/>
      <c r="H256" s="276"/>
      <c r="I256" s="108">
        <f>SUM(I241:I255)</f>
        <v>27784.400385287998</v>
      </c>
      <c r="J256" s="109">
        <f>SUM(J241:J255)</f>
        <v>2.7784400385288E-2</v>
      </c>
    </row>
    <row r="259" spans="1:10">
      <c r="A259" s="277" t="s">
        <v>0</v>
      </c>
      <c r="B259" s="278"/>
      <c r="C259" s="196" t="s">
        <v>1</v>
      </c>
      <c r="D259" s="279"/>
      <c r="E259" s="279"/>
      <c r="F259" s="279"/>
      <c r="G259" s="279"/>
      <c r="H259" s="279"/>
      <c r="I259" s="279"/>
    </row>
    <row r="260" spans="1:10">
      <c r="A260" s="277" t="s">
        <v>2</v>
      </c>
      <c r="B260" s="278"/>
      <c r="C260" s="196" t="s">
        <v>117</v>
      </c>
      <c r="D260" s="279"/>
      <c r="E260" s="279"/>
      <c r="F260" s="279"/>
      <c r="G260" s="279"/>
      <c r="H260" s="279"/>
      <c r="I260" s="279"/>
    </row>
    <row r="261" spans="1:10">
      <c r="A261" s="277" t="s">
        <v>4</v>
      </c>
      <c r="B261" s="278"/>
      <c r="C261" s="196" t="s">
        <v>118</v>
      </c>
      <c r="D261" s="279"/>
      <c r="E261" s="279"/>
      <c r="F261" s="279"/>
      <c r="G261" s="279"/>
      <c r="H261" s="279"/>
      <c r="I261" s="279"/>
    </row>
    <row r="262" spans="1:10">
      <c r="A262" s="277" t="s">
        <v>6</v>
      </c>
      <c r="B262" s="278"/>
      <c r="C262" s="196" t="s">
        <v>145</v>
      </c>
      <c r="D262" s="279"/>
      <c r="E262" s="279"/>
      <c r="F262" s="279"/>
      <c r="G262" s="279"/>
      <c r="H262" s="279"/>
      <c r="I262" s="279"/>
    </row>
    <row r="263" spans="1:10">
      <c r="A263" s="250" t="s">
        <v>10</v>
      </c>
      <c r="B263" s="267"/>
      <c r="C263" s="267"/>
      <c r="D263" s="267"/>
      <c r="E263" s="267"/>
      <c r="F263" s="267"/>
      <c r="G263" s="267"/>
      <c r="H263" s="267"/>
      <c r="I263" s="267"/>
      <c r="J263" s="106"/>
    </row>
    <row r="264" spans="1:10">
      <c r="A264" s="59"/>
      <c r="B264" s="59"/>
      <c r="C264" s="7" t="s">
        <v>11</v>
      </c>
      <c r="D264" s="7" t="s">
        <v>12</v>
      </c>
      <c r="E264" s="7" t="s">
        <v>13</v>
      </c>
      <c r="F264" s="7" t="s">
        <v>14</v>
      </c>
      <c r="G264" s="7" t="s">
        <v>15</v>
      </c>
      <c r="H264" s="7" t="s">
        <v>58</v>
      </c>
      <c r="I264" s="7" t="s">
        <v>78</v>
      </c>
      <c r="J264" s="87" t="s">
        <v>79</v>
      </c>
    </row>
    <row r="265" spans="1:10" ht="51">
      <c r="A265" s="207" t="s">
        <v>146</v>
      </c>
      <c r="B265" s="207" t="s">
        <v>147</v>
      </c>
      <c r="C265" s="59" t="s">
        <v>148</v>
      </c>
      <c r="D265" s="59" t="s">
        <v>149</v>
      </c>
      <c r="E265" s="59" t="s">
        <v>150</v>
      </c>
      <c r="F265" s="59" t="s">
        <v>123</v>
      </c>
      <c r="G265" s="59" t="s">
        <v>151</v>
      </c>
      <c r="H265" s="59" t="s">
        <v>152</v>
      </c>
      <c r="I265" s="59" t="s">
        <v>153</v>
      </c>
      <c r="J265" s="59" t="s">
        <v>153</v>
      </c>
    </row>
    <row r="266" spans="1:10" ht="15.75">
      <c r="A266" s="207"/>
      <c r="B266" s="207"/>
      <c r="C266" s="76" t="s">
        <v>154</v>
      </c>
      <c r="D266" s="76" t="s">
        <v>155</v>
      </c>
      <c r="E266" s="76" t="s">
        <v>156</v>
      </c>
      <c r="F266" s="76" t="s">
        <v>127</v>
      </c>
      <c r="G266" s="76" t="s">
        <v>157</v>
      </c>
      <c r="H266" s="76" t="s">
        <v>158</v>
      </c>
      <c r="I266" s="76" t="s">
        <v>159</v>
      </c>
      <c r="J266" s="76" t="s">
        <v>159</v>
      </c>
    </row>
    <row r="267" spans="1:10" ht="28.5">
      <c r="A267" s="207"/>
      <c r="B267" s="207"/>
      <c r="C267" s="8" t="s">
        <v>44</v>
      </c>
      <c r="D267" s="8" t="s">
        <v>44</v>
      </c>
      <c r="E267" s="8" t="s">
        <v>142</v>
      </c>
      <c r="F267" s="8" t="s">
        <v>130</v>
      </c>
      <c r="G267" s="8" t="s">
        <v>130</v>
      </c>
      <c r="H267" s="8" t="s">
        <v>160</v>
      </c>
      <c r="I267" s="8" t="s">
        <v>160</v>
      </c>
      <c r="J267" s="8" t="s">
        <v>231</v>
      </c>
    </row>
    <row r="268" spans="1:10" ht="24.75" thickBot="1">
      <c r="A268" s="224"/>
      <c r="B268" s="224"/>
      <c r="C268" s="5"/>
      <c r="D268" s="5"/>
      <c r="E268" s="5" t="s">
        <v>161</v>
      </c>
      <c r="F268" s="5" t="s">
        <v>162</v>
      </c>
      <c r="G268" s="5"/>
      <c r="H268" s="5"/>
      <c r="I268" s="9" t="s">
        <v>163</v>
      </c>
      <c r="J268" s="35"/>
    </row>
    <row r="269" spans="1:10" ht="13.5" thickTop="1">
      <c r="A269" s="274" t="s">
        <v>164</v>
      </c>
      <c r="B269" s="54" t="s">
        <v>225</v>
      </c>
      <c r="C269" s="42">
        <v>0.54</v>
      </c>
      <c r="D269" s="43">
        <v>0</v>
      </c>
      <c r="E269" s="38">
        <f>'4D1_CH4_EF_DomesticWastewater'!$D$14</f>
        <v>0.3</v>
      </c>
      <c r="F269" s="107">
        <f>$M$21</f>
        <v>390545.62</v>
      </c>
      <c r="G269" s="47"/>
      <c r="H269" s="47"/>
      <c r="I269" s="14">
        <f>((C269*D269*E269)*(F269-G269))-H269</f>
        <v>0</v>
      </c>
      <c r="J269" s="32">
        <f>I269/(10^6)</f>
        <v>0</v>
      </c>
    </row>
    <row r="270" spans="1:10">
      <c r="A270" s="275"/>
      <c r="B270" s="55" t="s">
        <v>226</v>
      </c>
      <c r="C270" s="44">
        <v>0.54</v>
      </c>
      <c r="D270" s="45">
        <v>0.47</v>
      </c>
      <c r="E270" s="37">
        <f>'4D1_CH4_EF_DomesticWastewater'!$D$23</f>
        <v>0.06</v>
      </c>
      <c r="F270" s="107">
        <f t="shared" ref="F270:F283" si="27">$M$21</f>
        <v>390545.62</v>
      </c>
      <c r="G270" s="48"/>
      <c r="H270" s="48"/>
      <c r="I270" s="15">
        <f t="shared" ref="I270:I283" si="28">((C270*D270*E270)*(F270-G270))-H270</f>
        <v>5947.2287013599998</v>
      </c>
      <c r="J270" s="34">
        <f t="shared" ref="J270:J283" si="29">I270/(10^6)</f>
        <v>5.9472287013600002E-3</v>
      </c>
    </row>
    <row r="271" spans="1:10">
      <c r="A271" s="275"/>
      <c r="B271" s="53" t="s">
        <v>227</v>
      </c>
      <c r="C271" s="44">
        <v>0.54</v>
      </c>
      <c r="D271" s="45">
        <v>0</v>
      </c>
      <c r="E271" s="37">
        <f>'4D1_CH4_EF_DomesticWastewater'!$D$13</f>
        <v>0.06</v>
      </c>
      <c r="F271" s="107">
        <f t="shared" si="27"/>
        <v>390545.62</v>
      </c>
      <c r="G271" s="48"/>
      <c r="H271" s="48"/>
      <c r="I271" s="15">
        <f t="shared" si="28"/>
        <v>0</v>
      </c>
      <c r="J271" s="34">
        <f t="shared" si="29"/>
        <v>0</v>
      </c>
    </row>
    <row r="272" spans="1:10">
      <c r="A272" s="261"/>
      <c r="B272" s="53" t="s">
        <v>228</v>
      </c>
      <c r="C272" s="44">
        <v>0.54</v>
      </c>
      <c r="D272" s="46">
        <v>0.1</v>
      </c>
      <c r="E272" s="37">
        <f>'4D1_CH4_EF_DomesticWastewater'!$D$14</f>
        <v>0.3</v>
      </c>
      <c r="F272" s="107">
        <f t="shared" si="27"/>
        <v>390545.62</v>
      </c>
      <c r="G272" s="49"/>
      <c r="H272" s="49"/>
      <c r="I272" s="15">
        <f t="shared" si="28"/>
        <v>6326.8390440000012</v>
      </c>
      <c r="J272" s="34">
        <f t="shared" si="29"/>
        <v>6.3268390440000015E-3</v>
      </c>
    </row>
    <row r="273" spans="1:10">
      <c r="A273" s="261"/>
      <c r="B273" s="53" t="s">
        <v>229</v>
      </c>
      <c r="C273" s="44">
        <v>0.54</v>
      </c>
      <c r="D273" s="46">
        <v>0.43</v>
      </c>
      <c r="E273" s="37">
        <v>0</v>
      </c>
      <c r="F273" s="107">
        <f t="shared" si="27"/>
        <v>390545.62</v>
      </c>
      <c r="G273" s="49"/>
      <c r="H273" s="49"/>
      <c r="I273" s="15">
        <f t="shared" si="28"/>
        <v>0</v>
      </c>
      <c r="J273" s="34">
        <f t="shared" si="29"/>
        <v>0</v>
      </c>
    </row>
    <row r="274" spans="1:10">
      <c r="A274" s="261" t="s">
        <v>165</v>
      </c>
      <c r="B274" s="53" t="s">
        <v>225</v>
      </c>
      <c r="C274" s="44">
        <v>0.12</v>
      </c>
      <c r="D274" s="46">
        <v>0.18</v>
      </c>
      <c r="E274" s="37">
        <f>'4D1_CH4_EF_DomesticWastewater'!$D$22</f>
        <v>0.3</v>
      </c>
      <c r="F274" s="107">
        <f t="shared" si="27"/>
        <v>390545.62</v>
      </c>
      <c r="G274" s="49"/>
      <c r="H274" s="49"/>
      <c r="I274" s="15">
        <f t="shared" si="28"/>
        <v>2530.7356175999994</v>
      </c>
      <c r="J274" s="34">
        <f t="shared" si="29"/>
        <v>2.5307356175999995E-3</v>
      </c>
    </row>
    <row r="275" spans="1:10">
      <c r="A275" s="261"/>
      <c r="B275" s="53" t="s">
        <v>226</v>
      </c>
      <c r="C275" s="44">
        <v>0.12</v>
      </c>
      <c r="D275" s="46">
        <v>0.08</v>
      </c>
      <c r="E275" s="37">
        <f>'4D1_CH4_EF_DomesticWastewater'!$D$23</f>
        <v>0.06</v>
      </c>
      <c r="F275" s="107">
        <f t="shared" si="27"/>
        <v>390545.62</v>
      </c>
      <c r="G275" s="49"/>
      <c r="H275" s="49"/>
      <c r="I275" s="15">
        <f t="shared" si="28"/>
        <v>224.95427711999997</v>
      </c>
      <c r="J275" s="34">
        <f t="shared" si="29"/>
        <v>2.2495427711999996E-4</v>
      </c>
    </row>
    <row r="276" spans="1:10">
      <c r="A276" s="261"/>
      <c r="B276" s="53" t="s">
        <v>227</v>
      </c>
      <c r="C276" s="44">
        <v>0.12</v>
      </c>
      <c r="D276" s="46">
        <v>0</v>
      </c>
      <c r="E276" s="37">
        <f>'4D1_CH4_EF_DomesticWastewater'!$D$13</f>
        <v>0.06</v>
      </c>
      <c r="F276" s="107">
        <f t="shared" si="27"/>
        <v>390545.62</v>
      </c>
      <c r="G276" s="49"/>
      <c r="H276" s="49"/>
      <c r="I276" s="15">
        <f t="shared" si="28"/>
        <v>0</v>
      </c>
      <c r="J276" s="34">
        <f t="shared" si="29"/>
        <v>0</v>
      </c>
    </row>
    <row r="277" spans="1:10">
      <c r="A277" s="261"/>
      <c r="B277" s="53" t="s">
        <v>228</v>
      </c>
      <c r="C277" s="44">
        <v>0.12</v>
      </c>
      <c r="D277" s="46">
        <v>0.74</v>
      </c>
      <c r="E277" s="37">
        <f>'4D1_CH4_EF_DomesticWastewater'!$D$13</f>
        <v>0.06</v>
      </c>
      <c r="F277" s="107">
        <f t="shared" si="27"/>
        <v>390545.62</v>
      </c>
      <c r="G277" s="49"/>
      <c r="H277" s="49"/>
      <c r="I277" s="15">
        <f t="shared" si="28"/>
        <v>2080.8270633599996</v>
      </c>
      <c r="J277" s="34">
        <f t="shared" si="29"/>
        <v>2.0808270633599995E-3</v>
      </c>
    </row>
    <row r="278" spans="1:10">
      <c r="A278" s="261"/>
      <c r="B278" s="53" t="s">
        <v>229</v>
      </c>
      <c r="C278" s="44">
        <v>0.12</v>
      </c>
      <c r="D278" s="46">
        <v>0</v>
      </c>
      <c r="E278" s="37">
        <v>0</v>
      </c>
      <c r="F278" s="107">
        <f t="shared" si="27"/>
        <v>390545.62</v>
      </c>
      <c r="G278" s="49"/>
      <c r="H278" s="49"/>
      <c r="I278" s="15">
        <f t="shared" si="28"/>
        <v>0</v>
      </c>
      <c r="J278" s="34">
        <f t="shared" si="29"/>
        <v>0</v>
      </c>
    </row>
    <row r="279" spans="1:10">
      <c r="A279" s="261" t="s">
        <v>166</v>
      </c>
      <c r="B279" s="53" t="s">
        <v>225</v>
      </c>
      <c r="C279" s="44">
        <v>0.34</v>
      </c>
      <c r="D279" s="46">
        <v>0.14000000000000001</v>
      </c>
      <c r="E279" s="37">
        <f>'4D1_CH4_EF_DomesticWastewater'!$D$22</f>
        <v>0.3</v>
      </c>
      <c r="F279" s="107">
        <f t="shared" si="27"/>
        <v>390545.62</v>
      </c>
      <c r="G279" s="49"/>
      <c r="H279" s="49"/>
      <c r="I279" s="15">
        <f t="shared" si="28"/>
        <v>5576.9914536000006</v>
      </c>
      <c r="J279" s="34">
        <f t="shared" si="29"/>
        <v>5.5769914536000003E-3</v>
      </c>
    </row>
    <row r="280" spans="1:10">
      <c r="A280" s="261"/>
      <c r="B280" s="53" t="s">
        <v>226</v>
      </c>
      <c r="C280" s="44">
        <v>0.34</v>
      </c>
      <c r="D280" s="46">
        <v>0.1</v>
      </c>
      <c r="E280" s="37">
        <f>'4D1_CH4_EF_DomesticWastewater'!$D$23</f>
        <v>0.06</v>
      </c>
      <c r="F280" s="107">
        <f t="shared" si="27"/>
        <v>390545.62</v>
      </c>
      <c r="G280" s="49"/>
      <c r="H280" s="49"/>
      <c r="I280" s="15">
        <f t="shared" si="28"/>
        <v>796.7130648000001</v>
      </c>
      <c r="J280" s="34">
        <f t="shared" si="29"/>
        <v>7.9671306480000011E-4</v>
      </c>
    </row>
    <row r="281" spans="1:10">
      <c r="A281" s="261"/>
      <c r="B281" s="53" t="s">
        <v>227</v>
      </c>
      <c r="C281" s="44">
        <v>0.34</v>
      </c>
      <c r="D281" s="46">
        <v>0.03</v>
      </c>
      <c r="E281" s="37">
        <f>'4D1_CH4_EF_DomesticWastewater'!$D$13</f>
        <v>0.06</v>
      </c>
      <c r="F281" s="107">
        <f t="shared" si="27"/>
        <v>390545.62</v>
      </c>
      <c r="G281" s="49"/>
      <c r="H281" s="49"/>
      <c r="I281" s="15">
        <f t="shared" si="28"/>
        <v>239.01391944</v>
      </c>
      <c r="J281" s="34">
        <f t="shared" si="29"/>
        <v>2.3901391943999999E-4</v>
      </c>
    </row>
    <row r="282" spans="1:10">
      <c r="A282" s="261"/>
      <c r="B282" s="53" t="s">
        <v>228</v>
      </c>
      <c r="C282" s="44">
        <v>0.34</v>
      </c>
      <c r="D282" s="46">
        <v>0.53</v>
      </c>
      <c r="E282" s="37">
        <f>'4D1_CH4_EF_DomesticWastewater'!$D$13</f>
        <v>0.06</v>
      </c>
      <c r="F282" s="107">
        <f t="shared" si="27"/>
        <v>390545.62</v>
      </c>
      <c r="G282" s="49"/>
      <c r="H282" s="49"/>
      <c r="I282" s="15">
        <f t="shared" si="28"/>
        <v>4222.57924344</v>
      </c>
      <c r="J282" s="34">
        <f t="shared" si="29"/>
        <v>4.2225792434399997E-3</v>
      </c>
    </row>
    <row r="283" spans="1:10">
      <c r="A283" s="261"/>
      <c r="B283" s="53" t="s">
        <v>229</v>
      </c>
      <c r="C283" s="44">
        <v>0.34</v>
      </c>
      <c r="D283" s="46">
        <v>0.2</v>
      </c>
      <c r="E283" s="37">
        <v>0</v>
      </c>
      <c r="F283" s="107">
        <f t="shared" si="27"/>
        <v>390545.62</v>
      </c>
      <c r="G283" s="49"/>
      <c r="H283" s="49"/>
      <c r="I283" s="15">
        <f t="shared" si="28"/>
        <v>0</v>
      </c>
      <c r="J283" s="34">
        <f t="shared" si="29"/>
        <v>0</v>
      </c>
    </row>
    <row r="284" spans="1:10">
      <c r="A284" s="276" t="s">
        <v>299</v>
      </c>
      <c r="B284" s="276"/>
      <c r="C284" s="276"/>
      <c r="D284" s="276"/>
      <c r="E284" s="276"/>
      <c r="F284" s="276"/>
      <c r="G284" s="276"/>
      <c r="H284" s="276"/>
      <c r="I284" s="108">
        <f>SUM(I269:I283)</f>
        <v>27945.882384719996</v>
      </c>
      <c r="J284" s="109">
        <f>SUM(J269:J283)</f>
        <v>2.7945882384720004E-2</v>
      </c>
    </row>
    <row r="287" spans="1:10">
      <c r="A287" s="277" t="s">
        <v>0</v>
      </c>
      <c r="B287" s="278"/>
      <c r="C287" s="196" t="s">
        <v>1</v>
      </c>
      <c r="D287" s="279"/>
      <c r="E287" s="279"/>
      <c r="F287" s="279"/>
      <c r="G287" s="279"/>
      <c r="H287" s="279"/>
      <c r="I287" s="279"/>
    </row>
    <row r="288" spans="1:10">
      <c r="A288" s="277" t="s">
        <v>2</v>
      </c>
      <c r="B288" s="278"/>
      <c r="C288" s="196" t="s">
        <v>117</v>
      </c>
      <c r="D288" s="279"/>
      <c r="E288" s="279"/>
      <c r="F288" s="279"/>
      <c r="G288" s="279"/>
      <c r="H288" s="279"/>
      <c r="I288" s="279"/>
    </row>
    <row r="289" spans="1:10">
      <c r="A289" s="277" t="s">
        <v>4</v>
      </c>
      <c r="B289" s="278"/>
      <c r="C289" s="196" t="s">
        <v>118</v>
      </c>
      <c r="D289" s="279"/>
      <c r="E289" s="279"/>
      <c r="F289" s="279"/>
      <c r="G289" s="279"/>
      <c r="H289" s="279"/>
      <c r="I289" s="279"/>
    </row>
    <row r="290" spans="1:10">
      <c r="A290" s="277" t="s">
        <v>6</v>
      </c>
      <c r="B290" s="278"/>
      <c r="C290" s="196" t="s">
        <v>145</v>
      </c>
      <c r="D290" s="279"/>
      <c r="E290" s="279"/>
      <c r="F290" s="279"/>
      <c r="G290" s="279"/>
      <c r="H290" s="279"/>
      <c r="I290" s="279"/>
    </row>
    <row r="291" spans="1:10">
      <c r="A291" s="250" t="s">
        <v>10</v>
      </c>
      <c r="B291" s="267"/>
      <c r="C291" s="267"/>
      <c r="D291" s="267"/>
      <c r="E291" s="267"/>
      <c r="F291" s="267"/>
      <c r="G291" s="267"/>
      <c r="H291" s="267"/>
      <c r="I291" s="267"/>
      <c r="J291" s="106"/>
    </row>
    <row r="292" spans="1:10">
      <c r="A292" s="59"/>
      <c r="B292" s="59"/>
      <c r="C292" s="7" t="s">
        <v>11</v>
      </c>
      <c r="D292" s="7" t="s">
        <v>12</v>
      </c>
      <c r="E292" s="7" t="s">
        <v>13</v>
      </c>
      <c r="F292" s="7" t="s">
        <v>14</v>
      </c>
      <c r="G292" s="7" t="s">
        <v>15</v>
      </c>
      <c r="H292" s="7" t="s">
        <v>58</v>
      </c>
      <c r="I292" s="7" t="s">
        <v>78</v>
      </c>
      <c r="J292" s="87" t="s">
        <v>79</v>
      </c>
    </row>
    <row r="293" spans="1:10" ht="51">
      <c r="A293" s="207" t="s">
        <v>146</v>
      </c>
      <c r="B293" s="207" t="s">
        <v>147</v>
      </c>
      <c r="C293" s="59" t="s">
        <v>148</v>
      </c>
      <c r="D293" s="59" t="s">
        <v>149</v>
      </c>
      <c r="E293" s="59" t="s">
        <v>150</v>
      </c>
      <c r="F293" s="59" t="s">
        <v>123</v>
      </c>
      <c r="G293" s="59" t="s">
        <v>151</v>
      </c>
      <c r="H293" s="59" t="s">
        <v>152</v>
      </c>
      <c r="I293" s="59" t="s">
        <v>153</v>
      </c>
      <c r="J293" s="59" t="s">
        <v>153</v>
      </c>
    </row>
    <row r="294" spans="1:10" ht="15.75">
      <c r="A294" s="207"/>
      <c r="B294" s="207"/>
      <c r="C294" s="76" t="s">
        <v>154</v>
      </c>
      <c r="D294" s="76" t="s">
        <v>155</v>
      </c>
      <c r="E294" s="76" t="s">
        <v>156</v>
      </c>
      <c r="F294" s="76" t="s">
        <v>127</v>
      </c>
      <c r="G294" s="76" t="s">
        <v>157</v>
      </c>
      <c r="H294" s="76" t="s">
        <v>158</v>
      </c>
      <c r="I294" s="76" t="s">
        <v>159</v>
      </c>
      <c r="J294" s="76" t="s">
        <v>159</v>
      </c>
    </row>
    <row r="295" spans="1:10" ht="28.5">
      <c r="A295" s="207"/>
      <c r="B295" s="207"/>
      <c r="C295" s="8" t="s">
        <v>44</v>
      </c>
      <c r="D295" s="8" t="s">
        <v>44</v>
      </c>
      <c r="E295" s="8" t="s">
        <v>142</v>
      </c>
      <c r="F295" s="8" t="s">
        <v>130</v>
      </c>
      <c r="G295" s="8" t="s">
        <v>130</v>
      </c>
      <c r="H295" s="8" t="s">
        <v>160</v>
      </c>
      <c r="I295" s="8" t="s">
        <v>160</v>
      </c>
      <c r="J295" s="8" t="s">
        <v>231</v>
      </c>
    </row>
    <row r="296" spans="1:10" ht="24.75" thickBot="1">
      <c r="A296" s="224"/>
      <c r="B296" s="224"/>
      <c r="C296" s="5"/>
      <c r="D296" s="5"/>
      <c r="E296" s="5" t="s">
        <v>161</v>
      </c>
      <c r="F296" s="5" t="s">
        <v>162</v>
      </c>
      <c r="G296" s="5"/>
      <c r="H296" s="5"/>
      <c r="I296" s="9" t="s">
        <v>163</v>
      </c>
      <c r="J296" s="35"/>
    </row>
    <row r="297" spans="1:10" ht="13.5" thickTop="1">
      <c r="A297" s="274" t="s">
        <v>164</v>
      </c>
      <c r="B297" s="54" t="s">
        <v>225</v>
      </c>
      <c r="C297" s="42">
        <v>0.54</v>
      </c>
      <c r="D297" s="43">
        <v>0</v>
      </c>
      <c r="E297" s="38">
        <f>'4D1_CH4_EF_DomesticWastewater'!$D$14</f>
        <v>0.3</v>
      </c>
      <c r="F297" s="107">
        <f>$M$22</f>
        <v>392802.342</v>
      </c>
      <c r="G297" s="47"/>
      <c r="H297" s="47"/>
      <c r="I297" s="14">
        <f>((C297*D297*E297)*(F297-G297))-H297</f>
        <v>0</v>
      </c>
      <c r="J297" s="32">
        <f>I297/(10^6)</f>
        <v>0</v>
      </c>
    </row>
    <row r="298" spans="1:10">
      <c r="A298" s="275"/>
      <c r="B298" s="55" t="s">
        <v>226</v>
      </c>
      <c r="C298" s="44">
        <v>0.54</v>
      </c>
      <c r="D298" s="45">
        <v>0.47</v>
      </c>
      <c r="E298" s="37">
        <f>'4D1_CH4_EF_DomesticWastewater'!$D$23</f>
        <v>0.06</v>
      </c>
      <c r="F298" s="107">
        <f t="shared" ref="F298:F311" si="30">$M$22</f>
        <v>392802.342</v>
      </c>
      <c r="G298" s="48"/>
      <c r="H298" s="48"/>
      <c r="I298" s="15">
        <f t="shared" ref="I298:I311" si="31">((C298*D298*E298)*(F298-G298))-H298</f>
        <v>5981.5940639760001</v>
      </c>
      <c r="J298" s="34">
        <f t="shared" ref="J298:J311" si="32">I298/(10^6)</f>
        <v>5.9815940639760005E-3</v>
      </c>
    </row>
    <row r="299" spans="1:10">
      <c r="A299" s="275"/>
      <c r="B299" s="53" t="s">
        <v>227</v>
      </c>
      <c r="C299" s="44">
        <v>0.54</v>
      </c>
      <c r="D299" s="45">
        <v>0</v>
      </c>
      <c r="E299" s="37">
        <f>'4D1_CH4_EF_DomesticWastewater'!$D$13</f>
        <v>0.06</v>
      </c>
      <c r="F299" s="107">
        <f t="shared" si="30"/>
        <v>392802.342</v>
      </c>
      <c r="G299" s="48"/>
      <c r="H299" s="48"/>
      <c r="I299" s="15">
        <f t="shared" si="31"/>
        <v>0</v>
      </c>
      <c r="J299" s="34">
        <f t="shared" si="32"/>
        <v>0</v>
      </c>
    </row>
    <row r="300" spans="1:10">
      <c r="A300" s="261"/>
      <c r="B300" s="53" t="s">
        <v>228</v>
      </c>
      <c r="C300" s="44">
        <v>0.54</v>
      </c>
      <c r="D300" s="46">
        <v>0.1</v>
      </c>
      <c r="E300" s="37">
        <f>'4D1_CH4_EF_DomesticWastewater'!$D$14</f>
        <v>0.3</v>
      </c>
      <c r="F300" s="107">
        <f t="shared" si="30"/>
        <v>392802.342</v>
      </c>
      <c r="G300" s="49"/>
      <c r="H300" s="49"/>
      <c r="I300" s="15">
        <f t="shared" si="31"/>
        <v>6363.3979404000011</v>
      </c>
      <c r="J300" s="34">
        <f t="shared" si="32"/>
        <v>6.3633979404000007E-3</v>
      </c>
    </row>
    <row r="301" spans="1:10">
      <c r="A301" s="261"/>
      <c r="B301" s="53" t="s">
        <v>229</v>
      </c>
      <c r="C301" s="44">
        <v>0.54</v>
      </c>
      <c r="D301" s="46">
        <v>0.43</v>
      </c>
      <c r="E301" s="37">
        <v>0</v>
      </c>
      <c r="F301" s="107">
        <f t="shared" si="30"/>
        <v>392802.342</v>
      </c>
      <c r="G301" s="49"/>
      <c r="H301" s="49"/>
      <c r="I301" s="15">
        <f t="shared" si="31"/>
        <v>0</v>
      </c>
      <c r="J301" s="34">
        <f t="shared" si="32"/>
        <v>0</v>
      </c>
    </row>
    <row r="302" spans="1:10">
      <c r="A302" s="261" t="s">
        <v>165</v>
      </c>
      <c r="B302" s="53" t="s">
        <v>225</v>
      </c>
      <c r="C302" s="44">
        <v>0.12</v>
      </c>
      <c r="D302" s="46">
        <v>0.18</v>
      </c>
      <c r="E302" s="37">
        <f>'4D1_CH4_EF_DomesticWastewater'!$D$22</f>
        <v>0.3</v>
      </c>
      <c r="F302" s="107">
        <f t="shared" si="30"/>
        <v>392802.342</v>
      </c>
      <c r="G302" s="49"/>
      <c r="H302" s="49"/>
      <c r="I302" s="15">
        <f t="shared" si="31"/>
        <v>2545.3591761599996</v>
      </c>
      <c r="J302" s="34">
        <f t="shared" si="32"/>
        <v>2.5453591761599994E-3</v>
      </c>
    </row>
    <row r="303" spans="1:10">
      <c r="A303" s="261"/>
      <c r="B303" s="53" t="s">
        <v>226</v>
      </c>
      <c r="C303" s="44">
        <v>0.12</v>
      </c>
      <c r="D303" s="46">
        <v>0.08</v>
      </c>
      <c r="E303" s="37">
        <f>'4D1_CH4_EF_DomesticWastewater'!$D$23</f>
        <v>0.06</v>
      </c>
      <c r="F303" s="107">
        <f t="shared" si="30"/>
        <v>392802.342</v>
      </c>
      <c r="G303" s="49"/>
      <c r="H303" s="49"/>
      <c r="I303" s="15">
        <f t="shared" si="31"/>
        <v>226.25414899199995</v>
      </c>
      <c r="J303" s="34">
        <f t="shared" si="32"/>
        <v>2.2625414899199995E-4</v>
      </c>
    </row>
    <row r="304" spans="1:10">
      <c r="A304" s="261"/>
      <c r="B304" s="53" t="s">
        <v>227</v>
      </c>
      <c r="C304" s="44">
        <v>0.12</v>
      </c>
      <c r="D304" s="46">
        <v>0</v>
      </c>
      <c r="E304" s="37">
        <f>'4D1_CH4_EF_DomesticWastewater'!$D$13</f>
        <v>0.06</v>
      </c>
      <c r="F304" s="107">
        <f t="shared" si="30"/>
        <v>392802.342</v>
      </c>
      <c r="G304" s="49"/>
      <c r="H304" s="49"/>
      <c r="I304" s="15">
        <f t="shared" si="31"/>
        <v>0</v>
      </c>
      <c r="J304" s="34">
        <f t="shared" si="32"/>
        <v>0</v>
      </c>
    </row>
    <row r="305" spans="1:10">
      <c r="A305" s="261"/>
      <c r="B305" s="53" t="s">
        <v>228</v>
      </c>
      <c r="C305" s="44">
        <v>0.12</v>
      </c>
      <c r="D305" s="46">
        <v>0.74</v>
      </c>
      <c r="E305" s="37">
        <f>'4D1_CH4_EF_DomesticWastewater'!$D$13</f>
        <v>0.06</v>
      </c>
      <c r="F305" s="107">
        <f t="shared" si="30"/>
        <v>392802.342</v>
      </c>
      <c r="G305" s="49"/>
      <c r="H305" s="49"/>
      <c r="I305" s="15">
        <f t="shared" si="31"/>
        <v>2092.8508781759997</v>
      </c>
      <c r="J305" s="34">
        <f t="shared" si="32"/>
        <v>2.0928508781759996E-3</v>
      </c>
    </row>
    <row r="306" spans="1:10">
      <c r="A306" s="261"/>
      <c r="B306" s="53" t="s">
        <v>229</v>
      </c>
      <c r="C306" s="44">
        <v>0.12</v>
      </c>
      <c r="D306" s="46">
        <v>0</v>
      </c>
      <c r="E306" s="37">
        <v>0</v>
      </c>
      <c r="F306" s="107">
        <f t="shared" si="30"/>
        <v>392802.342</v>
      </c>
      <c r="G306" s="49"/>
      <c r="H306" s="49"/>
      <c r="I306" s="15">
        <f t="shared" si="31"/>
        <v>0</v>
      </c>
      <c r="J306" s="34">
        <f t="shared" si="32"/>
        <v>0</v>
      </c>
    </row>
    <row r="307" spans="1:10">
      <c r="A307" s="261" t="s">
        <v>166</v>
      </c>
      <c r="B307" s="53" t="s">
        <v>225</v>
      </c>
      <c r="C307" s="44">
        <v>0.34</v>
      </c>
      <c r="D307" s="46">
        <v>0.14000000000000001</v>
      </c>
      <c r="E307" s="37">
        <f>'4D1_CH4_EF_DomesticWastewater'!$D$22</f>
        <v>0.3</v>
      </c>
      <c r="F307" s="107">
        <f t="shared" si="30"/>
        <v>392802.342</v>
      </c>
      <c r="G307" s="49"/>
      <c r="H307" s="49"/>
      <c r="I307" s="15">
        <f t="shared" si="31"/>
        <v>5609.2174437600015</v>
      </c>
      <c r="J307" s="34">
        <f t="shared" si="32"/>
        <v>5.6092174437600015E-3</v>
      </c>
    </row>
    <row r="308" spans="1:10">
      <c r="A308" s="261"/>
      <c r="B308" s="53" t="s">
        <v>226</v>
      </c>
      <c r="C308" s="44">
        <v>0.34</v>
      </c>
      <c r="D308" s="46">
        <v>0.1</v>
      </c>
      <c r="E308" s="37">
        <f>'4D1_CH4_EF_DomesticWastewater'!$D$23</f>
        <v>0.06</v>
      </c>
      <c r="F308" s="107">
        <f t="shared" si="30"/>
        <v>392802.342</v>
      </c>
      <c r="G308" s="49"/>
      <c r="H308" s="49"/>
      <c r="I308" s="15">
        <f t="shared" si="31"/>
        <v>801.31677768000009</v>
      </c>
      <c r="J308" s="34">
        <f t="shared" si="32"/>
        <v>8.0131677768000009E-4</v>
      </c>
    </row>
    <row r="309" spans="1:10">
      <c r="A309" s="261"/>
      <c r="B309" s="53" t="s">
        <v>227</v>
      </c>
      <c r="C309" s="44">
        <v>0.34</v>
      </c>
      <c r="D309" s="46">
        <v>0.03</v>
      </c>
      <c r="E309" s="37">
        <f>'4D1_CH4_EF_DomesticWastewater'!$D$13</f>
        <v>0.06</v>
      </c>
      <c r="F309" s="107">
        <f t="shared" si="30"/>
        <v>392802.342</v>
      </c>
      <c r="G309" s="49"/>
      <c r="H309" s="49"/>
      <c r="I309" s="15">
        <f t="shared" si="31"/>
        <v>240.39503330400001</v>
      </c>
      <c r="J309" s="34">
        <f t="shared" si="32"/>
        <v>2.4039503330400001E-4</v>
      </c>
    </row>
    <row r="310" spans="1:10">
      <c r="A310" s="261"/>
      <c r="B310" s="53" t="s">
        <v>228</v>
      </c>
      <c r="C310" s="44">
        <v>0.34</v>
      </c>
      <c r="D310" s="46">
        <v>0.53</v>
      </c>
      <c r="E310" s="37">
        <f>'4D1_CH4_EF_DomesticWastewater'!$D$13</f>
        <v>0.06</v>
      </c>
      <c r="F310" s="107">
        <f t="shared" si="30"/>
        <v>392802.342</v>
      </c>
      <c r="G310" s="49"/>
      <c r="H310" s="49"/>
      <c r="I310" s="15">
        <f t="shared" si="31"/>
        <v>4246.9789217040006</v>
      </c>
      <c r="J310" s="34">
        <f t="shared" si="32"/>
        <v>4.2469789217040007E-3</v>
      </c>
    </row>
    <row r="311" spans="1:10">
      <c r="A311" s="261"/>
      <c r="B311" s="53" t="s">
        <v>229</v>
      </c>
      <c r="C311" s="44">
        <v>0.34</v>
      </c>
      <c r="D311" s="46">
        <v>0.2</v>
      </c>
      <c r="E311" s="37">
        <v>0</v>
      </c>
      <c r="F311" s="107">
        <f t="shared" si="30"/>
        <v>392802.342</v>
      </c>
      <c r="G311" s="49"/>
      <c r="H311" s="49"/>
      <c r="I311" s="15">
        <f t="shared" si="31"/>
        <v>0</v>
      </c>
      <c r="J311" s="34">
        <f t="shared" si="32"/>
        <v>0</v>
      </c>
    </row>
    <row r="312" spans="1:10">
      <c r="A312" s="276" t="s">
        <v>300</v>
      </c>
      <c r="B312" s="276"/>
      <c r="C312" s="276"/>
      <c r="D312" s="276"/>
      <c r="E312" s="276"/>
      <c r="F312" s="276"/>
      <c r="G312" s="276"/>
      <c r="H312" s="276"/>
      <c r="I312" s="108">
        <f>SUM(I297:I311)</f>
        <v>28107.364384152006</v>
      </c>
      <c r="J312" s="109">
        <f>SUM(J297:J311)</f>
        <v>2.8107364384152001E-2</v>
      </c>
    </row>
    <row r="315" spans="1:10">
      <c r="A315" s="277" t="s">
        <v>0</v>
      </c>
      <c r="B315" s="278"/>
      <c r="C315" s="196" t="s">
        <v>1</v>
      </c>
      <c r="D315" s="279"/>
      <c r="E315" s="279"/>
      <c r="F315" s="279"/>
      <c r="G315" s="279"/>
      <c r="H315" s="279"/>
      <c r="I315" s="279"/>
    </row>
    <row r="316" spans="1:10">
      <c r="A316" s="277" t="s">
        <v>2</v>
      </c>
      <c r="B316" s="278"/>
      <c r="C316" s="196" t="s">
        <v>117</v>
      </c>
      <c r="D316" s="279"/>
      <c r="E316" s="279"/>
      <c r="F316" s="279"/>
      <c r="G316" s="279"/>
      <c r="H316" s="279"/>
      <c r="I316" s="279"/>
    </row>
    <row r="317" spans="1:10">
      <c r="A317" s="277" t="s">
        <v>4</v>
      </c>
      <c r="B317" s="278"/>
      <c r="C317" s="196" t="s">
        <v>118</v>
      </c>
      <c r="D317" s="279"/>
      <c r="E317" s="279"/>
      <c r="F317" s="279"/>
      <c r="G317" s="279"/>
      <c r="H317" s="279"/>
      <c r="I317" s="279"/>
    </row>
    <row r="318" spans="1:10">
      <c r="A318" s="277" t="s">
        <v>6</v>
      </c>
      <c r="B318" s="278"/>
      <c r="C318" s="196" t="s">
        <v>145</v>
      </c>
      <c r="D318" s="279"/>
      <c r="E318" s="279"/>
      <c r="F318" s="279"/>
      <c r="G318" s="279"/>
      <c r="H318" s="279"/>
      <c r="I318" s="279"/>
    </row>
    <row r="319" spans="1:10">
      <c r="A319" s="250" t="s">
        <v>10</v>
      </c>
      <c r="B319" s="267"/>
      <c r="C319" s="267"/>
      <c r="D319" s="267"/>
      <c r="E319" s="267"/>
      <c r="F319" s="267"/>
      <c r="G319" s="267"/>
      <c r="H319" s="267"/>
      <c r="I319" s="267"/>
      <c r="J319" s="106"/>
    </row>
    <row r="320" spans="1:10">
      <c r="A320" s="138"/>
      <c r="B320" s="138"/>
      <c r="C320" s="7" t="s">
        <v>11</v>
      </c>
      <c r="D320" s="7" t="s">
        <v>12</v>
      </c>
      <c r="E320" s="7" t="s">
        <v>13</v>
      </c>
      <c r="F320" s="7" t="s">
        <v>14</v>
      </c>
      <c r="G320" s="7" t="s">
        <v>15</v>
      </c>
      <c r="H320" s="7" t="s">
        <v>58</v>
      </c>
      <c r="I320" s="7" t="s">
        <v>78</v>
      </c>
      <c r="J320" s="87" t="s">
        <v>79</v>
      </c>
    </row>
    <row r="321" spans="1:10" ht="51">
      <c r="A321" s="207" t="s">
        <v>146</v>
      </c>
      <c r="B321" s="207" t="s">
        <v>147</v>
      </c>
      <c r="C321" s="138" t="s">
        <v>148</v>
      </c>
      <c r="D321" s="138" t="s">
        <v>149</v>
      </c>
      <c r="E321" s="138" t="s">
        <v>150</v>
      </c>
      <c r="F321" s="138" t="s">
        <v>123</v>
      </c>
      <c r="G321" s="138" t="s">
        <v>151</v>
      </c>
      <c r="H321" s="138" t="s">
        <v>152</v>
      </c>
      <c r="I321" s="138" t="s">
        <v>153</v>
      </c>
      <c r="J321" s="138" t="s">
        <v>153</v>
      </c>
    </row>
    <row r="322" spans="1:10" ht="15.75">
      <c r="A322" s="207"/>
      <c r="B322" s="207"/>
      <c r="C322" s="135" t="s">
        <v>154</v>
      </c>
      <c r="D322" s="135" t="s">
        <v>155</v>
      </c>
      <c r="E322" s="135" t="s">
        <v>156</v>
      </c>
      <c r="F322" s="135" t="s">
        <v>127</v>
      </c>
      <c r="G322" s="135" t="s">
        <v>157</v>
      </c>
      <c r="H322" s="135" t="s">
        <v>158</v>
      </c>
      <c r="I322" s="135" t="s">
        <v>159</v>
      </c>
      <c r="J322" s="135" t="s">
        <v>159</v>
      </c>
    </row>
    <row r="323" spans="1:10" ht="28.5">
      <c r="A323" s="207"/>
      <c r="B323" s="207"/>
      <c r="C323" s="8" t="s">
        <v>44</v>
      </c>
      <c r="D323" s="8" t="s">
        <v>44</v>
      </c>
      <c r="E323" s="8" t="s">
        <v>142</v>
      </c>
      <c r="F323" s="8" t="s">
        <v>130</v>
      </c>
      <c r="G323" s="8" t="s">
        <v>130</v>
      </c>
      <c r="H323" s="8" t="s">
        <v>160</v>
      </c>
      <c r="I323" s="8" t="s">
        <v>160</v>
      </c>
      <c r="J323" s="8" t="s">
        <v>231</v>
      </c>
    </row>
    <row r="324" spans="1:10" ht="24.75" thickBot="1">
      <c r="A324" s="224"/>
      <c r="B324" s="224"/>
      <c r="C324" s="5"/>
      <c r="D324" s="5"/>
      <c r="E324" s="5" t="s">
        <v>161</v>
      </c>
      <c r="F324" s="5" t="s">
        <v>162</v>
      </c>
      <c r="G324" s="5"/>
      <c r="H324" s="5"/>
      <c r="I324" s="9" t="s">
        <v>163</v>
      </c>
      <c r="J324" s="35"/>
    </row>
    <row r="325" spans="1:10" ht="13.5" thickTop="1">
      <c r="A325" s="274" t="s">
        <v>164</v>
      </c>
      <c r="B325" s="139" t="s">
        <v>225</v>
      </c>
      <c r="C325" s="42">
        <v>0.54</v>
      </c>
      <c r="D325" s="43">
        <v>0</v>
      </c>
      <c r="E325" s="38">
        <f>'4D1_CH4_EF_DomesticWastewater'!$D$14</f>
        <v>0.3</v>
      </c>
      <c r="F325" s="107">
        <f>$M$23</f>
        <v>395059.06400000001</v>
      </c>
      <c r="G325" s="47"/>
      <c r="H325" s="47"/>
      <c r="I325" s="14">
        <f>((C325*D325*E325)*(F325-G325))-H325</f>
        <v>0</v>
      </c>
      <c r="J325" s="136">
        <f>I325/(10^6)</f>
        <v>0</v>
      </c>
    </row>
    <row r="326" spans="1:10">
      <c r="A326" s="275"/>
      <c r="B326" s="140" t="s">
        <v>226</v>
      </c>
      <c r="C326" s="44">
        <v>0.54</v>
      </c>
      <c r="D326" s="45">
        <v>0.47</v>
      </c>
      <c r="E326" s="37">
        <f>'4D1_CH4_EF_DomesticWastewater'!$D$23</f>
        <v>0.06</v>
      </c>
      <c r="F326" s="107">
        <f t="shared" ref="F326:F339" si="33">$M$23</f>
        <v>395059.06400000001</v>
      </c>
      <c r="G326" s="48"/>
      <c r="H326" s="48"/>
      <c r="I326" s="15">
        <f t="shared" ref="I326:I339" si="34">((C326*D326*E326)*(F326-G326))-H326</f>
        <v>6015.9594265920005</v>
      </c>
      <c r="J326" s="34">
        <f t="shared" ref="J326:J339" si="35">I326/(10^6)</f>
        <v>6.0159594265920008E-3</v>
      </c>
    </row>
    <row r="327" spans="1:10">
      <c r="A327" s="275"/>
      <c r="B327" s="137" t="s">
        <v>227</v>
      </c>
      <c r="C327" s="44">
        <v>0.54</v>
      </c>
      <c r="D327" s="45">
        <v>0</v>
      </c>
      <c r="E327" s="37">
        <f>'4D1_CH4_EF_DomesticWastewater'!$D$13</f>
        <v>0.06</v>
      </c>
      <c r="F327" s="107">
        <f t="shared" si="33"/>
        <v>395059.06400000001</v>
      </c>
      <c r="G327" s="48"/>
      <c r="H327" s="48"/>
      <c r="I327" s="15">
        <f t="shared" si="34"/>
        <v>0</v>
      </c>
      <c r="J327" s="34">
        <f t="shared" si="35"/>
        <v>0</v>
      </c>
    </row>
    <row r="328" spans="1:10">
      <c r="A328" s="261"/>
      <c r="B328" s="137" t="s">
        <v>228</v>
      </c>
      <c r="C328" s="44">
        <v>0.54</v>
      </c>
      <c r="D328" s="46">
        <v>0.1</v>
      </c>
      <c r="E328" s="37">
        <f>'4D1_CH4_EF_DomesticWastewater'!$D$14</f>
        <v>0.3</v>
      </c>
      <c r="F328" s="107">
        <f t="shared" si="33"/>
        <v>395059.06400000001</v>
      </c>
      <c r="G328" s="49"/>
      <c r="H328" s="49"/>
      <c r="I328" s="15">
        <f t="shared" si="34"/>
        <v>6399.9568368000009</v>
      </c>
      <c r="J328" s="34">
        <f t="shared" si="35"/>
        <v>6.3999568368000009E-3</v>
      </c>
    </row>
    <row r="329" spans="1:10">
      <c r="A329" s="261"/>
      <c r="B329" s="137" t="s">
        <v>229</v>
      </c>
      <c r="C329" s="44">
        <v>0.54</v>
      </c>
      <c r="D329" s="46">
        <v>0.43</v>
      </c>
      <c r="E329" s="37">
        <v>0</v>
      </c>
      <c r="F329" s="107">
        <f t="shared" si="33"/>
        <v>395059.06400000001</v>
      </c>
      <c r="G329" s="49"/>
      <c r="H329" s="49"/>
      <c r="I329" s="15">
        <f t="shared" si="34"/>
        <v>0</v>
      </c>
      <c r="J329" s="34">
        <f t="shared" si="35"/>
        <v>0</v>
      </c>
    </row>
    <row r="330" spans="1:10">
      <c r="A330" s="261" t="s">
        <v>165</v>
      </c>
      <c r="B330" s="137" t="s">
        <v>225</v>
      </c>
      <c r="C330" s="44">
        <v>0.12</v>
      </c>
      <c r="D330" s="46">
        <v>0.18</v>
      </c>
      <c r="E330" s="37">
        <f>'4D1_CH4_EF_DomesticWastewater'!$D$22</f>
        <v>0.3</v>
      </c>
      <c r="F330" s="107">
        <f t="shared" si="33"/>
        <v>395059.06400000001</v>
      </c>
      <c r="G330" s="49"/>
      <c r="H330" s="49"/>
      <c r="I330" s="15">
        <f t="shared" si="34"/>
        <v>2559.9827347199998</v>
      </c>
      <c r="J330" s="34">
        <f t="shared" si="35"/>
        <v>2.5599827347199998E-3</v>
      </c>
    </row>
    <row r="331" spans="1:10">
      <c r="A331" s="261"/>
      <c r="B331" s="137" t="s">
        <v>226</v>
      </c>
      <c r="C331" s="44">
        <v>0.12</v>
      </c>
      <c r="D331" s="46">
        <v>0.08</v>
      </c>
      <c r="E331" s="37">
        <f>'4D1_CH4_EF_DomesticWastewater'!$D$23</f>
        <v>0.06</v>
      </c>
      <c r="F331" s="107">
        <f t="shared" si="33"/>
        <v>395059.06400000001</v>
      </c>
      <c r="G331" s="49"/>
      <c r="H331" s="49"/>
      <c r="I331" s="15">
        <f t="shared" si="34"/>
        <v>227.55402086399997</v>
      </c>
      <c r="J331" s="34">
        <f t="shared" si="35"/>
        <v>2.2755402086399996E-4</v>
      </c>
    </row>
    <row r="332" spans="1:10">
      <c r="A332" s="261"/>
      <c r="B332" s="137" t="s">
        <v>227</v>
      </c>
      <c r="C332" s="44">
        <v>0.12</v>
      </c>
      <c r="D332" s="46">
        <v>0</v>
      </c>
      <c r="E332" s="37">
        <f>'4D1_CH4_EF_DomesticWastewater'!$D$13</f>
        <v>0.06</v>
      </c>
      <c r="F332" s="107">
        <f t="shared" si="33"/>
        <v>395059.06400000001</v>
      </c>
      <c r="G332" s="49"/>
      <c r="H332" s="49"/>
      <c r="I332" s="15">
        <f t="shared" si="34"/>
        <v>0</v>
      </c>
      <c r="J332" s="34">
        <f t="shared" si="35"/>
        <v>0</v>
      </c>
    </row>
    <row r="333" spans="1:10">
      <c r="A333" s="261"/>
      <c r="B333" s="137" t="s">
        <v>228</v>
      </c>
      <c r="C333" s="44">
        <v>0.12</v>
      </c>
      <c r="D333" s="46">
        <v>0.74</v>
      </c>
      <c r="E333" s="37">
        <f>'4D1_CH4_EF_DomesticWastewater'!$D$13</f>
        <v>0.06</v>
      </c>
      <c r="F333" s="107">
        <f t="shared" si="33"/>
        <v>395059.06400000001</v>
      </c>
      <c r="G333" s="49"/>
      <c r="H333" s="49"/>
      <c r="I333" s="15">
        <f t="shared" si="34"/>
        <v>2104.8746929919998</v>
      </c>
      <c r="J333" s="34">
        <f t="shared" si="35"/>
        <v>2.1048746929919998E-3</v>
      </c>
    </row>
    <row r="334" spans="1:10">
      <c r="A334" s="261"/>
      <c r="B334" s="137" t="s">
        <v>229</v>
      </c>
      <c r="C334" s="44">
        <v>0.12</v>
      </c>
      <c r="D334" s="46">
        <v>0</v>
      </c>
      <c r="E334" s="37">
        <v>0</v>
      </c>
      <c r="F334" s="107">
        <f t="shared" si="33"/>
        <v>395059.06400000001</v>
      </c>
      <c r="G334" s="49"/>
      <c r="H334" s="49"/>
      <c r="I334" s="15">
        <f t="shared" si="34"/>
        <v>0</v>
      </c>
      <c r="J334" s="34">
        <f t="shared" si="35"/>
        <v>0</v>
      </c>
    </row>
    <row r="335" spans="1:10">
      <c r="A335" s="261" t="s">
        <v>166</v>
      </c>
      <c r="B335" s="137" t="s">
        <v>225</v>
      </c>
      <c r="C335" s="44">
        <v>0.34</v>
      </c>
      <c r="D335" s="46">
        <v>0.14000000000000001</v>
      </c>
      <c r="E335" s="37">
        <f>'4D1_CH4_EF_DomesticWastewater'!$D$22</f>
        <v>0.3</v>
      </c>
      <c r="F335" s="107">
        <f t="shared" si="33"/>
        <v>395059.06400000001</v>
      </c>
      <c r="G335" s="49"/>
      <c r="H335" s="49"/>
      <c r="I335" s="15">
        <f t="shared" si="34"/>
        <v>5641.4434339200016</v>
      </c>
      <c r="J335" s="34">
        <f t="shared" si="35"/>
        <v>5.6414434339200018E-3</v>
      </c>
    </row>
    <row r="336" spans="1:10">
      <c r="A336" s="261"/>
      <c r="B336" s="137" t="s">
        <v>226</v>
      </c>
      <c r="C336" s="44">
        <v>0.34</v>
      </c>
      <c r="D336" s="46">
        <v>0.1</v>
      </c>
      <c r="E336" s="37">
        <f>'4D1_CH4_EF_DomesticWastewater'!$D$23</f>
        <v>0.06</v>
      </c>
      <c r="F336" s="107">
        <f t="shared" si="33"/>
        <v>395059.06400000001</v>
      </c>
      <c r="G336" s="49"/>
      <c r="H336" s="49"/>
      <c r="I336" s="15">
        <f t="shared" si="34"/>
        <v>805.92049056000008</v>
      </c>
      <c r="J336" s="34">
        <f t="shared" si="35"/>
        <v>8.0592049056000007E-4</v>
      </c>
    </row>
    <row r="337" spans="1:10">
      <c r="A337" s="261"/>
      <c r="B337" s="137" t="s">
        <v>227</v>
      </c>
      <c r="C337" s="44">
        <v>0.34</v>
      </c>
      <c r="D337" s="46">
        <v>0.03</v>
      </c>
      <c r="E337" s="37">
        <f>'4D1_CH4_EF_DomesticWastewater'!$D$13</f>
        <v>0.06</v>
      </c>
      <c r="F337" s="107">
        <f t="shared" si="33"/>
        <v>395059.06400000001</v>
      </c>
      <c r="G337" s="49"/>
      <c r="H337" s="49"/>
      <c r="I337" s="15">
        <f t="shared" si="34"/>
        <v>241.77614716800002</v>
      </c>
      <c r="J337" s="34">
        <f t="shared" si="35"/>
        <v>2.4177614716800003E-4</v>
      </c>
    </row>
    <row r="338" spans="1:10">
      <c r="A338" s="261"/>
      <c r="B338" s="137" t="s">
        <v>228</v>
      </c>
      <c r="C338" s="44">
        <v>0.34</v>
      </c>
      <c r="D338" s="46">
        <v>0.53</v>
      </c>
      <c r="E338" s="37">
        <f>'4D1_CH4_EF_DomesticWastewater'!$D$13</f>
        <v>0.06</v>
      </c>
      <c r="F338" s="107">
        <f t="shared" si="33"/>
        <v>395059.06400000001</v>
      </c>
      <c r="G338" s="49"/>
      <c r="H338" s="49"/>
      <c r="I338" s="15">
        <f t="shared" si="34"/>
        <v>4271.3785999680003</v>
      </c>
      <c r="J338" s="34">
        <f t="shared" si="35"/>
        <v>4.2713785999679999E-3</v>
      </c>
    </row>
    <row r="339" spans="1:10">
      <c r="A339" s="261"/>
      <c r="B339" s="137" t="s">
        <v>229</v>
      </c>
      <c r="C339" s="44">
        <v>0.34</v>
      </c>
      <c r="D339" s="46">
        <v>0.2</v>
      </c>
      <c r="E339" s="37">
        <v>0</v>
      </c>
      <c r="F339" s="107">
        <f t="shared" si="33"/>
        <v>395059.06400000001</v>
      </c>
      <c r="G339" s="49"/>
      <c r="H339" s="49"/>
      <c r="I339" s="15">
        <f t="shared" si="34"/>
        <v>0</v>
      </c>
      <c r="J339" s="34">
        <f t="shared" si="35"/>
        <v>0</v>
      </c>
    </row>
    <row r="340" spans="1:10">
      <c r="A340" s="276" t="s">
        <v>301</v>
      </c>
      <c r="B340" s="276"/>
      <c r="C340" s="276"/>
      <c r="D340" s="276"/>
      <c r="E340" s="276"/>
      <c r="F340" s="276"/>
      <c r="G340" s="276"/>
      <c r="H340" s="276"/>
      <c r="I340" s="108">
        <f>SUM(I325:I339)</f>
        <v>28268.846383584005</v>
      </c>
      <c r="J340" s="109">
        <f>SUM(J325:J339)</f>
        <v>2.8268846383584005E-2</v>
      </c>
    </row>
    <row r="343" spans="1:10">
      <c r="A343" s="277" t="s">
        <v>0</v>
      </c>
      <c r="B343" s="278"/>
      <c r="C343" s="196" t="s">
        <v>1</v>
      </c>
      <c r="D343" s="279"/>
      <c r="E343" s="279"/>
      <c r="F343" s="279"/>
      <c r="G343" s="279"/>
      <c r="H343" s="279"/>
      <c r="I343" s="279"/>
    </row>
    <row r="344" spans="1:10">
      <c r="A344" s="277" t="s">
        <v>2</v>
      </c>
      <c r="B344" s="278"/>
      <c r="C344" s="196" t="s">
        <v>117</v>
      </c>
      <c r="D344" s="279"/>
      <c r="E344" s="279"/>
      <c r="F344" s="279"/>
      <c r="G344" s="279"/>
      <c r="H344" s="279"/>
      <c r="I344" s="279"/>
    </row>
    <row r="345" spans="1:10">
      <c r="A345" s="277" t="s">
        <v>4</v>
      </c>
      <c r="B345" s="278"/>
      <c r="C345" s="196" t="s">
        <v>118</v>
      </c>
      <c r="D345" s="279"/>
      <c r="E345" s="279"/>
      <c r="F345" s="279"/>
      <c r="G345" s="279"/>
      <c r="H345" s="279"/>
      <c r="I345" s="279"/>
    </row>
    <row r="346" spans="1:10">
      <c r="A346" s="277" t="s">
        <v>6</v>
      </c>
      <c r="B346" s="278"/>
      <c r="C346" s="196" t="s">
        <v>145</v>
      </c>
      <c r="D346" s="279"/>
      <c r="E346" s="279"/>
      <c r="F346" s="279"/>
      <c r="G346" s="279"/>
      <c r="H346" s="279"/>
      <c r="I346" s="279"/>
    </row>
    <row r="347" spans="1:10">
      <c r="A347" s="250" t="s">
        <v>10</v>
      </c>
      <c r="B347" s="267"/>
      <c r="C347" s="267"/>
      <c r="D347" s="267"/>
      <c r="E347" s="267"/>
      <c r="F347" s="267"/>
      <c r="G347" s="267"/>
      <c r="H347" s="267"/>
      <c r="I347" s="267"/>
      <c r="J347" s="106"/>
    </row>
    <row r="348" spans="1:10">
      <c r="A348" s="138"/>
      <c r="B348" s="138"/>
      <c r="C348" s="7" t="s">
        <v>11</v>
      </c>
      <c r="D348" s="7" t="s">
        <v>12</v>
      </c>
      <c r="E348" s="7" t="s">
        <v>13</v>
      </c>
      <c r="F348" s="7" t="s">
        <v>14</v>
      </c>
      <c r="G348" s="7" t="s">
        <v>15</v>
      </c>
      <c r="H348" s="7" t="s">
        <v>58</v>
      </c>
      <c r="I348" s="7" t="s">
        <v>78</v>
      </c>
      <c r="J348" s="87" t="s">
        <v>79</v>
      </c>
    </row>
    <row r="349" spans="1:10" ht="51">
      <c r="A349" s="207" t="s">
        <v>146</v>
      </c>
      <c r="B349" s="207" t="s">
        <v>147</v>
      </c>
      <c r="C349" s="138" t="s">
        <v>148</v>
      </c>
      <c r="D349" s="138" t="s">
        <v>149</v>
      </c>
      <c r="E349" s="138" t="s">
        <v>150</v>
      </c>
      <c r="F349" s="138" t="s">
        <v>123</v>
      </c>
      <c r="G349" s="138" t="s">
        <v>151</v>
      </c>
      <c r="H349" s="138" t="s">
        <v>152</v>
      </c>
      <c r="I349" s="138" t="s">
        <v>153</v>
      </c>
      <c r="J349" s="138" t="s">
        <v>153</v>
      </c>
    </row>
    <row r="350" spans="1:10" ht="15.75">
      <c r="A350" s="207"/>
      <c r="B350" s="207"/>
      <c r="C350" s="135" t="s">
        <v>154</v>
      </c>
      <c r="D350" s="135" t="s">
        <v>155</v>
      </c>
      <c r="E350" s="135" t="s">
        <v>156</v>
      </c>
      <c r="F350" s="135" t="s">
        <v>127</v>
      </c>
      <c r="G350" s="135" t="s">
        <v>157</v>
      </c>
      <c r="H350" s="135" t="s">
        <v>158</v>
      </c>
      <c r="I350" s="135" t="s">
        <v>159</v>
      </c>
      <c r="J350" s="135" t="s">
        <v>159</v>
      </c>
    </row>
    <row r="351" spans="1:10" ht="28.5">
      <c r="A351" s="207"/>
      <c r="B351" s="207"/>
      <c r="C351" s="8" t="s">
        <v>44</v>
      </c>
      <c r="D351" s="8" t="s">
        <v>44</v>
      </c>
      <c r="E351" s="8" t="s">
        <v>142</v>
      </c>
      <c r="F351" s="8" t="s">
        <v>130</v>
      </c>
      <c r="G351" s="8" t="s">
        <v>130</v>
      </c>
      <c r="H351" s="8" t="s">
        <v>160</v>
      </c>
      <c r="I351" s="8" t="s">
        <v>160</v>
      </c>
      <c r="J351" s="8" t="s">
        <v>231</v>
      </c>
    </row>
    <row r="352" spans="1:10" ht="24.75" thickBot="1">
      <c r="A352" s="224"/>
      <c r="B352" s="224"/>
      <c r="C352" s="5"/>
      <c r="D352" s="5"/>
      <c r="E352" s="5" t="s">
        <v>161</v>
      </c>
      <c r="F352" s="5" t="s">
        <v>162</v>
      </c>
      <c r="G352" s="5"/>
      <c r="H352" s="5"/>
      <c r="I352" s="9" t="s">
        <v>163</v>
      </c>
      <c r="J352" s="35"/>
    </row>
    <row r="353" spans="1:10" ht="13.5" thickTop="1">
      <c r="A353" s="274" t="s">
        <v>164</v>
      </c>
      <c r="B353" s="139" t="s">
        <v>225</v>
      </c>
      <c r="C353" s="42">
        <v>0.54</v>
      </c>
      <c r="D353" s="43">
        <v>0</v>
      </c>
      <c r="E353" s="38">
        <f>'4D1_CH4_EF_DomesticWastewater'!$D$14</f>
        <v>0.3</v>
      </c>
      <c r="F353" s="107">
        <f>$M$24</f>
        <v>397315.78599999996</v>
      </c>
      <c r="G353" s="47"/>
      <c r="H353" s="47"/>
      <c r="I353" s="14">
        <f>((C353*D353*E353)*(F353-G353))-H353</f>
        <v>0</v>
      </c>
      <c r="J353" s="136">
        <f>I353/(10^6)</f>
        <v>0</v>
      </c>
    </row>
    <row r="354" spans="1:10">
      <c r="A354" s="275"/>
      <c r="B354" s="140" t="s">
        <v>226</v>
      </c>
      <c r="C354" s="44">
        <v>0.54</v>
      </c>
      <c r="D354" s="45">
        <v>0.47</v>
      </c>
      <c r="E354" s="37">
        <f>'4D1_CH4_EF_DomesticWastewater'!$D$23</f>
        <v>0.06</v>
      </c>
      <c r="F354" s="107">
        <f t="shared" ref="F354:F367" si="36">$M$24</f>
        <v>397315.78599999996</v>
      </c>
      <c r="G354" s="48"/>
      <c r="H354" s="48"/>
      <c r="I354" s="15">
        <f t="shared" ref="I354:I367" si="37">((C354*D354*E354)*(F354-G354))-H354</f>
        <v>6050.3247892079999</v>
      </c>
      <c r="J354" s="34">
        <f t="shared" ref="J354:J367" si="38">I354/(10^6)</f>
        <v>6.0503247892079995E-3</v>
      </c>
    </row>
    <row r="355" spans="1:10">
      <c r="A355" s="275"/>
      <c r="B355" s="137" t="s">
        <v>227</v>
      </c>
      <c r="C355" s="44">
        <v>0.54</v>
      </c>
      <c r="D355" s="45">
        <v>0</v>
      </c>
      <c r="E355" s="37">
        <f>'4D1_CH4_EF_DomesticWastewater'!$D$13</f>
        <v>0.06</v>
      </c>
      <c r="F355" s="107">
        <f t="shared" si="36"/>
        <v>397315.78599999996</v>
      </c>
      <c r="G355" s="48"/>
      <c r="H355" s="48"/>
      <c r="I355" s="15">
        <f t="shared" si="37"/>
        <v>0</v>
      </c>
      <c r="J355" s="34">
        <f t="shared" si="38"/>
        <v>0</v>
      </c>
    </row>
    <row r="356" spans="1:10">
      <c r="A356" s="261"/>
      <c r="B356" s="137" t="s">
        <v>228</v>
      </c>
      <c r="C356" s="44">
        <v>0.54</v>
      </c>
      <c r="D356" s="46">
        <v>0.1</v>
      </c>
      <c r="E356" s="37">
        <f>'4D1_CH4_EF_DomesticWastewater'!$D$14</f>
        <v>0.3</v>
      </c>
      <c r="F356" s="107">
        <f t="shared" si="36"/>
        <v>397315.78599999996</v>
      </c>
      <c r="G356" s="49"/>
      <c r="H356" s="49"/>
      <c r="I356" s="15">
        <f t="shared" si="37"/>
        <v>6436.5157332000008</v>
      </c>
      <c r="J356" s="34">
        <f t="shared" si="38"/>
        <v>6.436515733200001E-3</v>
      </c>
    </row>
    <row r="357" spans="1:10">
      <c r="A357" s="261"/>
      <c r="B357" s="137" t="s">
        <v>229</v>
      </c>
      <c r="C357" s="44">
        <v>0.54</v>
      </c>
      <c r="D357" s="46">
        <v>0.43</v>
      </c>
      <c r="E357" s="37">
        <v>0</v>
      </c>
      <c r="F357" s="107">
        <f t="shared" si="36"/>
        <v>397315.78599999996</v>
      </c>
      <c r="G357" s="49"/>
      <c r="H357" s="49"/>
      <c r="I357" s="15">
        <f t="shared" si="37"/>
        <v>0</v>
      </c>
      <c r="J357" s="34">
        <f t="shared" si="38"/>
        <v>0</v>
      </c>
    </row>
    <row r="358" spans="1:10">
      <c r="A358" s="261" t="s">
        <v>165</v>
      </c>
      <c r="B358" s="137" t="s">
        <v>225</v>
      </c>
      <c r="C358" s="44">
        <v>0.12</v>
      </c>
      <c r="D358" s="46">
        <v>0.18</v>
      </c>
      <c r="E358" s="37">
        <f>'4D1_CH4_EF_DomesticWastewater'!$D$22</f>
        <v>0.3</v>
      </c>
      <c r="F358" s="107">
        <f t="shared" si="36"/>
        <v>397315.78599999996</v>
      </c>
      <c r="G358" s="49"/>
      <c r="H358" s="49"/>
      <c r="I358" s="15">
        <f t="shared" si="37"/>
        <v>2574.6062932799991</v>
      </c>
      <c r="J358" s="34">
        <f t="shared" si="38"/>
        <v>2.5746062932799989E-3</v>
      </c>
    </row>
    <row r="359" spans="1:10">
      <c r="A359" s="261"/>
      <c r="B359" s="137" t="s">
        <v>226</v>
      </c>
      <c r="C359" s="44">
        <v>0.12</v>
      </c>
      <c r="D359" s="46">
        <v>0.08</v>
      </c>
      <c r="E359" s="37">
        <f>'4D1_CH4_EF_DomesticWastewater'!$D$23</f>
        <v>0.06</v>
      </c>
      <c r="F359" s="107">
        <f t="shared" si="36"/>
        <v>397315.78599999996</v>
      </c>
      <c r="G359" s="49"/>
      <c r="H359" s="49"/>
      <c r="I359" s="15">
        <f t="shared" si="37"/>
        <v>228.85389273599995</v>
      </c>
      <c r="J359" s="34">
        <f t="shared" si="38"/>
        <v>2.2885389273599995E-4</v>
      </c>
    </row>
    <row r="360" spans="1:10">
      <c r="A360" s="261"/>
      <c r="B360" s="137" t="s">
        <v>227</v>
      </c>
      <c r="C360" s="44">
        <v>0.12</v>
      </c>
      <c r="D360" s="46">
        <v>0</v>
      </c>
      <c r="E360" s="37">
        <f>'4D1_CH4_EF_DomesticWastewater'!$D$13</f>
        <v>0.06</v>
      </c>
      <c r="F360" s="107">
        <f t="shared" si="36"/>
        <v>397315.78599999996</v>
      </c>
      <c r="G360" s="49"/>
      <c r="H360" s="49"/>
      <c r="I360" s="15">
        <f t="shared" si="37"/>
        <v>0</v>
      </c>
      <c r="J360" s="34">
        <f t="shared" si="38"/>
        <v>0</v>
      </c>
    </row>
    <row r="361" spans="1:10">
      <c r="A361" s="261"/>
      <c r="B361" s="137" t="s">
        <v>228</v>
      </c>
      <c r="C361" s="44">
        <v>0.12</v>
      </c>
      <c r="D361" s="46">
        <v>0.74</v>
      </c>
      <c r="E361" s="37">
        <f>'4D1_CH4_EF_DomesticWastewater'!$D$13</f>
        <v>0.06</v>
      </c>
      <c r="F361" s="107">
        <f t="shared" si="36"/>
        <v>397315.78599999996</v>
      </c>
      <c r="G361" s="49"/>
      <c r="H361" s="49"/>
      <c r="I361" s="15">
        <f t="shared" si="37"/>
        <v>2116.8985078079995</v>
      </c>
      <c r="J361" s="34">
        <f t="shared" si="38"/>
        <v>2.1168985078079995E-3</v>
      </c>
    </row>
    <row r="362" spans="1:10">
      <c r="A362" s="261"/>
      <c r="B362" s="137" t="s">
        <v>229</v>
      </c>
      <c r="C362" s="44">
        <v>0.12</v>
      </c>
      <c r="D362" s="46">
        <v>0</v>
      </c>
      <c r="E362" s="37">
        <v>0</v>
      </c>
      <c r="F362" s="107">
        <f t="shared" si="36"/>
        <v>397315.78599999996</v>
      </c>
      <c r="G362" s="49"/>
      <c r="H362" s="49"/>
      <c r="I362" s="15">
        <f t="shared" si="37"/>
        <v>0</v>
      </c>
      <c r="J362" s="34">
        <f t="shared" si="38"/>
        <v>0</v>
      </c>
    </row>
    <row r="363" spans="1:10">
      <c r="A363" s="261" t="s">
        <v>166</v>
      </c>
      <c r="B363" s="137" t="s">
        <v>225</v>
      </c>
      <c r="C363" s="44">
        <v>0.34</v>
      </c>
      <c r="D363" s="46">
        <v>0.14000000000000001</v>
      </c>
      <c r="E363" s="37">
        <f>'4D1_CH4_EF_DomesticWastewater'!$D$22</f>
        <v>0.3</v>
      </c>
      <c r="F363" s="107">
        <f t="shared" si="36"/>
        <v>397315.78599999996</v>
      </c>
      <c r="G363" s="49"/>
      <c r="H363" s="49"/>
      <c r="I363" s="15">
        <f t="shared" si="37"/>
        <v>5673.6694240800007</v>
      </c>
      <c r="J363" s="34">
        <f t="shared" si="38"/>
        <v>5.6736694240800004E-3</v>
      </c>
    </row>
    <row r="364" spans="1:10">
      <c r="A364" s="261"/>
      <c r="B364" s="137" t="s">
        <v>226</v>
      </c>
      <c r="C364" s="44">
        <v>0.34</v>
      </c>
      <c r="D364" s="46">
        <v>0.1</v>
      </c>
      <c r="E364" s="37">
        <f>'4D1_CH4_EF_DomesticWastewater'!$D$23</f>
        <v>0.06</v>
      </c>
      <c r="F364" s="107">
        <f t="shared" si="36"/>
        <v>397315.78599999996</v>
      </c>
      <c r="G364" s="49"/>
      <c r="H364" s="49"/>
      <c r="I364" s="15">
        <f t="shared" si="37"/>
        <v>810.52420343999995</v>
      </c>
      <c r="J364" s="34">
        <f t="shared" si="38"/>
        <v>8.1052420343999995E-4</v>
      </c>
    </row>
    <row r="365" spans="1:10">
      <c r="A365" s="261"/>
      <c r="B365" s="137" t="s">
        <v>227</v>
      </c>
      <c r="C365" s="44">
        <v>0.34</v>
      </c>
      <c r="D365" s="46">
        <v>0.03</v>
      </c>
      <c r="E365" s="37">
        <f>'4D1_CH4_EF_DomesticWastewater'!$D$13</f>
        <v>0.06</v>
      </c>
      <c r="F365" s="107">
        <f t="shared" si="36"/>
        <v>397315.78599999996</v>
      </c>
      <c r="G365" s="49"/>
      <c r="H365" s="49"/>
      <c r="I365" s="15">
        <f t="shared" si="37"/>
        <v>243.15726103199998</v>
      </c>
      <c r="J365" s="34">
        <f t="shared" si="38"/>
        <v>2.4315726103199997E-4</v>
      </c>
    </row>
    <row r="366" spans="1:10">
      <c r="A366" s="261"/>
      <c r="B366" s="137" t="s">
        <v>228</v>
      </c>
      <c r="C366" s="44">
        <v>0.34</v>
      </c>
      <c r="D366" s="46">
        <v>0.53</v>
      </c>
      <c r="E366" s="37">
        <f>'4D1_CH4_EF_DomesticWastewater'!$D$13</f>
        <v>0.06</v>
      </c>
      <c r="F366" s="107">
        <f t="shared" si="36"/>
        <v>397315.78599999996</v>
      </c>
      <c r="G366" s="49"/>
      <c r="H366" s="49"/>
      <c r="I366" s="15">
        <f t="shared" si="37"/>
        <v>4295.778278232</v>
      </c>
      <c r="J366" s="34">
        <f t="shared" si="38"/>
        <v>4.295778278232E-3</v>
      </c>
    </row>
    <row r="367" spans="1:10">
      <c r="A367" s="261"/>
      <c r="B367" s="137" t="s">
        <v>229</v>
      </c>
      <c r="C367" s="44">
        <v>0.34</v>
      </c>
      <c r="D367" s="46">
        <v>0.2</v>
      </c>
      <c r="E367" s="37">
        <v>0</v>
      </c>
      <c r="F367" s="107">
        <f t="shared" si="36"/>
        <v>397315.78599999996</v>
      </c>
      <c r="G367" s="49"/>
      <c r="H367" s="49"/>
      <c r="I367" s="15">
        <f t="shared" si="37"/>
        <v>0</v>
      </c>
      <c r="J367" s="34">
        <f t="shared" si="38"/>
        <v>0</v>
      </c>
    </row>
    <row r="368" spans="1:10">
      <c r="A368" s="276" t="s">
        <v>302</v>
      </c>
      <c r="B368" s="276"/>
      <c r="C368" s="276"/>
      <c r="D368" s="276"/>
      <c r="E368" s="276"/>
      <c r="F368" s="276"/>
      <c r="G368" s="276"/>
      <c r="H368" s="276"/>
      <c r="I368" s="108">
        <f>SUM(I353:I367)</f>
        <v>28430.328383016</v>
      </c>
      <c r="J368" s="109">
        <f>SUM(J353:J367)</f>
        <v>2.8430328383016002E-2</v>
      </c>
    </row>
    <row r="371" spans="1:10">
      <c r="A371" s="277" t="s">
        <v>0</v>
      </c>
      <c r="B371" s="278"/>
      <c r="C371" s="196" t="s">
        <v>1</v>
      </c>
      <c r="D371" s="279"/>
      <c r="E371" s="279"/>
      <c r="F371" s="279"/>
      <c r="G371" s="279"/>
      <c r="H371" s="279"/>
      <c r="I371" s="279"/>
    </row>
    <row r="372" spans="1:10">
      <c r="A372" s="277" t="s">
        <v>2</v>
      </c>
      <c r="B372" s="278"/>
      <c r="C372" s="196" t="s">
        <v>117</v>
      </c>
      <c r="D372" s="279"/>
      <c r="E372" s="279"/>
      <c r="F372" s="279"/>
      <c r="G372" s="279"/>
      <c r="H372" s="279"/>
      <c r="I372" s="279"/>
    </row>
    <row r="373" spans="1:10">
      <c r="A373" s="277" t="s">
        <v>4</v>
      </c>
      <c r="B373" s="278"/>
      <c r="C373" s="196" t="s">
        <v>118</v>
      </c>
      <c r="D373" s="279"/>
      <c r="E373" s="279"/>
      <c r="F373" s="279"/>
      <c r="G373" s="279"/>
      <c r="H373" s="279"/>
      <c r="I373" s="279"/>
    </row>
    <row r="374" spans="1:10">
      <c r="A374" s="277" t="s">
        <v>6</v>
      </c>
      <c r="B374" s="278"/>
      <c r="C374" s="196" t="s">
        <v>145</v>
      </c>
      <c r="D374" s="279"/>
      <c r="E374" s="279"/>
      <c r="F374" s="279"/>
      <c r="G374" s="279"/>
      <c r="H374" s="279"/>
      <c r="I374" s="279"/>
    </row>
    <row r="375" spans="1:10">
      <c r="A375" s="250" t="s">
        <v>10</v>
      </c>
      <c r="B375" s="267"/>
      <c r="C375" s="267"/>
      <c r="D375" s="267"/>
      <c r="E375" s="267"/>
      <c r="F375" s="267"/>
      <c r="G375" s="267"/>
      <c r="H375" s="267"/>
      <c r="I375" s="267"/>
      <c r="J375" s="106"/>
    </row>
    <row r="376" spans="1:10">
      <c r="A376" s="138"/>
      <c r="B376" s="138"/>
      <c r="C376" s="7" t="s">
        <v>11</v>
      </c>
      <c r="D376" s="7" t="s">
        <v>12</v>
      </c>
      <c r="E376" s="7" t="s">
        <v>13</v>
      </c>
      <c r="F376" s="7" t="s">
        <v>14</v>
      </c>
      <c r="G376" s="7" t="s">
        <v>15</v>
      </c>
      <c r="H376" s="7" t="s">
        <v>58</v>
      </c>
      <c r="I376" s="7" t="s">
        <v>78</v>
      </c>
      <c r="J376" s="87" t="s">
        <v>79</v>
      </c>
    </row>
    <row r="377" spans="1:10" ht="51">
      <c r="A377" s="207" t="s">
        <v>146</v>
      </c>
      <c r="B377" s="207" t="s">
        <v>147</v>
      </c>
      <c r="C377" s="138" t="s">
        <v>148</v>
      </c>
      <c r="D377" s="138" t="s">
        <v>149</v>
      </c>
      <c r="E377" s="138" t="s">
        <v>150</v>
      </c>
      <c r="F377" s="138" t="s">
        <v>123</v>
      </c>
      <c r="G377" s="138" t="s">
        <v>151</v>
      </c>
      <c r="H377" s="138" t="s">
        <v>152</v>
      </c>
      <c r="I377" s="138" t="s">
        <v>153</v>
      </c>
      <c r="J377" s="138" t="s">
        <v>153</v>
      </c>
    </row>
    <row r="378" spans="1:10" ht="15.75">
      <c r="A378" s="207"/>
      <c r="B378" s="207"/>
      <c r="C378" s="135" t="s">
        <v>154</v>
      </c>
      <c r="D378" s="135" t="s">
        <v>155</v>
      </c>
      <c r="E378" s="135" t="s">
        <v>156</v>
      </c>
      <c r="F378" s="135" t="s">
        <v>127</v>
      </c>
      <c r="G378" s="135" t="s">
        <v>157</v>
      </c>
      <c r="H378" s="135" t="s">
        <v>158</v>
      </c>
      <c r="I378" s="135" t="s">
        <v>159</v>
      </c>
      <c r="J378" s="135" t="s">
        <v>159</v>
      </c>
    </row>
    <row r="379" spans="1:10" ht="28.5">
      <c r="A379" s="207"/>
      <c r="B379" s="207"/>
      <c r="C379" s="8" t="s">
        <v>44</v>
      </c>
      <c r="D379" s="8" t="s">
        <v>44</v>
      </c>
      <c r="E379" s="8" t="s">
        <v>142</v>
      </c>
      <c r="F379" s="8" t="s">
        <v>130</v>
      </c>
      <c r="G379" s="8" t="s">
        <v>130</v>
      </c>
      <c r="H379" s="8" t="s">
        <v>160</v>
      </c>
      <c r="I379" s="8" t="s">
        <v>160</v>
      </c>
      <c r="J379" s="8" t="s">
        <v>231</v>
      </c>
    </row>
    <row r="380" spans="1:10" ht="24.75" thickBot="1">
      <c r="A380" s="224"/>
      <c r="B380" s="224"/>
      <c r="C380" s="5"/>
      <c r="D380" s="5"/>
      <c r="E380" s="5" t="s">
        <v>161</v>
      </c>
      <c r="F380" s="5" t="s">
        <v>162</v>
      </c>
      <c r="G380" s="5"/>
      <c r="H380" s="5"/>
      <c r="I380" s="9" t="s">
        <v>163</v>
      </c>
      <c r="J380" s="35"/>
    </row>
    <row r="381" spans="1:10" ht="13.5" thickTop="1">
      <c r="A381" s="274" t="s">
        <v>164</v>
      </c>
      <c r="B381" s="139" t="s">
        <v>225</v>
      </c>
      <c r="C381" s="42">
        <v>0.54</v>
      </c>
      <c r="D381" s="43">
        <v>0</v>
      </c>
      <c r="E381" s="38">
        <f>'4D1_CH4_EF_DomesticWastewater'!$D$14</f>
        <v>0.3</v>
      </c>
      <c r="F381" s="107">
        <f>$M$25</f>
        <v>399572.50799999997</v>
      </c>
      <c r="G381" s="47"/>
      <c r="H381" s="47"/>
      <c r="I381" s="14">
        <f>((C381*D381*E381)*(F381-G381))-H381</f>
        <v>0</v>
      </c>
      <c r="J381" s="136">
        <f>I381/(10^6)</f>
        <v>0</v>
      </c>
    </row>
    <row r="382" spans="1:10">
      <c r="A382" s="275"/>
      <c r="B382" s="140" t="s">
        <v>226</v>
      </c>
      <c r="C382" s="44">
        <v>0.54</v>
      </c>
      <c r="D382" s="45">
        <v>0.47</v>
      </c>
      <c r="E382" s="37">
        <f>'4D1_CH4_EF_DomesticWastewater'!$D$23</f>
        <v>0.06</v>
      </c>
      <c r="F382" s="107">
        <f t="shared" ref="F382:F395" si="39">$M$25</f>
        <v>399572.50799999997</v>
      </c>
      <c r="G382" s="48"/>
      <c r="H382" s="48"/>
      <c r="I382" s="15">
        <f t="shared" ref="I382:I395" si="40">((C382*D382*E382)*(F382-G382))-H382</f>
        <v>6084.6901518239993</v>
      </c>
      <c r="J382" s="34">
        <f t="shared" ref="J382:J395" si="41">I382/(10^6)</f>
        <v>6.0846901518239989E-3</v>
      </c>
    </row>
    <row r="383" spans="1:10">
      <c r="A383" s="275"/>
      <c r="B383" s="137" t="s">
        <v>227</v>
      </c>
      <c r="C383" s="44">
        <v>0.54</v>
      </c>
      <c r="D383" s="45">
        <v>0</v>
      </c>
      <c r="E383" s="37">
        <f>'4D1_CH4_EF_DomesticWastewater'!$D$13</f>
        <v>0.06</v>
      </c>
      <c r="F383" s="107">
        <f t="shared" si="39"/>
        <v>399572.50799999997</v>
      </c>
      <c r="G383" s="48"/>
      <c r="H383" s="48"/>
      <c r="I383" s="15">
        <f t="shared" si="40"/>
        <v>0</v>
      </c>
      <c r="J383" s="34">
        <f t="shared" si="41"/>
        <v>0</v>
      </c>
    </row>
    <row r="384" spans="1:10">
      <c r="A384" s="261"/>
      <c r="B384" s="137" t="s">
        <v>228</v>
      </c>
      <c r="C384" s="44">
        <v>0.54</v>
      </c>
      <c r="D384" s="46">
        <v>0.1</v>
      </c>
      <c r="E384" s="37">
        <f>'4D1_CH4_EF_DomesticWastewater'!$D$14</f>
        <v>0.3</v>
      </c>
      <c r="F384" s="107">
        <f t="shared" si="39"/>
        <v>399572.50799999997</v>
      </c>
      <c r="G384" s="49"/>
      <c r="H384" s="49"/>
      <c r="I384" s="15">
        <f t="shared" si="40"/>
        <v>6473.0746296000007</v>
      </c>
      <c r="J384" s="34">
        <f t="shared" si="41"/>
        <v>6.4730746296000003E-3</v>
      </c>
    </row>
    <row r="385" spans="1:10">
      <c r="A385" s="261"/>
      <c r="B385" s="137" t="s">
        <v>229</v>
      </c>
      <c r="C385" s="44">
        <v>0.54</v>
      </c>
      <c r="D385" s="46">
        <v>0.43</v>
      </c>
      <c r="E385" s="37">
        <v>0</v>
      </c>
      <c r="F385" s="107">
        <f t="shared" si="39"/>
        <v>399572.50799999997</v>
      </c>
      <c r="G385" s="49"/>
      <c r="H385" s="49"/>
      <c r="I385" s="15">
        <f t="shared" si="40"/>
        <v>0</v>
      </c>
      <c r="J385" s="34">
        <f t="shared" si="41"/>
        <v>0</v>
      </c>
    </row>
    <row r="386" spans="1:10">
      <c r="A386" s="261" t="s">
        <v>165</v>
      </c>
      <c r="B386" s="137" t="s">
        <v>225</v>
      </c>
      <c r="C386" s="44">
        <v>0.12</v>
      </c>
      <c r="D386" s="46">
        <v>0.18</v>
      </c>
      <c r="E386" s="37">
        <f>'4D1_CH4_EF_DomesticWastewater'!$D$22</f>
        <v>0.3</v>
      </c>
      <c r="F386" s="107">
        <f t="shared" si="39"/>
        <v>399572.50799999997</v>
      </c>
      <c r="G386" s="49"/>
      <c r="H386" s="49"/>
      <c r="I386" s="15">
        <f t="shared" si="40"/>
        <v>2589.2298518399994</v>
      </c>
      <c r="J386" s="34">
        <f t="shared" si="41"/>
        <v>2.5892298518399993E-3</v>
      </c>
    </row>
    <row r="387" spans="1:10">
      <c r="A387" s="261"/>
      <c r="B387" s="137" t="s">
        <v>226</v>
      </c>
      <c r="C387" s="44">
        <v>0.12</v>
      </c>
      <c r="D387" s="46">
        <v>0.08</v>
      </c>
      <c r="E387" s="37">
        <f>'4D1_CH4_EF_DomesticWastewater'!$D$23</f>
        <v>0.06</v>
      </c>
      <c r="F387" s="107">
        <f t="shared" si="39"/>
        <v>399572.50799999997</v>
      </c>
      <c r="G387" s="49"/>
      <c r="H387" s="49"/>
      <c r="I387" s="15">
        <f t="shared" si="40"/>
        <v>230.15376460799996</v>
      </c>
      <c r="J387" s="34">
        <f t="shared" si="41"/>
        <v>2.3015376460799997E-4</v>
      </c>
    </row>
    <row r="388" spans="1:10">
      <c r="A388" s="261"/>
      <c r="B388" s="137" t="s">
        <v>227</v>
      </c>
      <c r="C388" s="44">
        <v>0.12</v>
      </c>
      <c r="D388" s="46">
        <v>0</v>
      </c>
      <c r="E388" s="37">
        <f>'4D1_CH4_EF_DomesticWastewater'!$D$13</f>
        <v>0.06</v>
      </c>
      <c r="F388" s="107">
        <f t="shared" si="39"/>
        <v>399572.50799999997</v>
      </c>
      <c r="G388" s="49"/>
      <c r="H388" s="49"/>
      <c r="I388" s="15">
        <f t="shared" si="40"/>
        <v>0</v>
      </c>
      <c r="J388" s="34">
        <f t="shared" si="41"/>
        <v>0</v>
      </c>
    </row>
    <row r="389" spans="1:10">
      <c r="A389" s="261"/>
      <c r="B389" s="137" t="s">
        <v>228</v>
      </c>
      <c r="C389" s="44">
        <v>0.12</v>
      </c>
      <c r="D389" s="46">
        <v>0.74</v>
      </c>
      <c r="E389" s="37">
        <f>'4D1_CH4_EF_DomesticWastewater'!$D$13</f>
        <v>0.06</v>
      </c>
      <c r="F389" s="107">
        <f t="shared" si="39"/>
        <v>399572.50799999997</v>
      </c>
      <c r="G389" s="49"/>
      <c r="H389" s="49"/>
      <c r="I389" s="15">
        <f t="shared" si="40"/>
        <v>2128.9223226239997</v>
      </c>
      <c r="J389" s="34">
        <f t="shared" si="41"/>
        <v>2.1289223226239997E-3</v>
      </c>
    </row>
    <row r="390" spans="1:10">
      <c r="A390" s="261"/>
      <c r="B390" s="137" t="s">
        <v>229</v>
      </c>
      <c r="C390" s="44">
        <v>0.12</v>
      </c>
      <c r="D390" s="46">
        <v>0</v>
      </c>
      <c r="E390" s="37">
        <v>0</v>
      </c>
      <c r="F390" s="107">
        <f t="shared" si="39"/>
        <v>399572.50799999997</v>
      </c>
      <c r="G390" s="49"/>
      <c r="H390" s="49"/>
      <c r="I390" s="15">
        <f t="shared" si="40"/>
        <v>0</v>
      </c>
      <c r="J390" s="34">
        <f t="shared" si="41"/>
        <v>0</v>
      </c>
    </row>
    <row r="391" spans="1:10">
      <c r="A391" s="261" t="s">
        <v>166</v>
      </c>
      <c r="B391" s="137" t="s">
        <v>225</v>
      </c>
      <c r="C391" s="44">
        <v>0.34</v>
      </c>
      <c r="D391" s="46">
        <v>0.14000000000000001</v>
      </c>
      <c r="E391" s="37">
        <f>'4D1_CH4_EF_DomesticWastewater'!$D$22</f>
        <v>0.3</v>
      </c>
      <c r="F391" s="107">
        <f t="shared" si="39"/>
        <v>399572.50799999997</v>
      </c>
      <c r="G391" s="49"/>
      <c r="H391" s="49"/>
      <c r="I391" s="15">
        <f t="shared" si="40"/>
        <v>5705.8954142400007</v>
      </c>
      <c r="J391" s="34">
        <f t="shared" si="41"/>
        <v>5.7058954142400007E-3</v>
      </c>
    </row>
    <row r="392" spans="1:10">
      <c r="A392" s="261"/>
      <c r="B392" s="137" t="s">
        <v>226</v>
      </c>
      <c r="C392" s="44">
        <v>0.34</v>
      </c>
      <c r="D392" s="46">
        <v>0.1</v>
      </c>
      <c r="E392" s="37">
        <f>'4D1_CH4_EF_DomesticWastewater'!$D$23</f>
        <v>0.06</v>
      </c>
      <c r="F392" s="107">
        <f t="shared" si="39"/>
        <v>399572.50799999997</v>
      </c>
      <c r="G392" s="49"/>
      <c r="H392" s="49"/>
      <c r="I392" s="15">
        <f t="shared" si="40"/>
        <v>815.12791632000005</v>
      </c>
      <c r="J392" s="34">
        <f t="shared" si="41"/>
        <v>8.1512791632000004E-4</v>
      </c>
    </row>
    <row r="393" spans="1:10">
      <c r="A393" s="261"/>
      <c r="B393" s="137" t="s">
        <v>227</v>
      </c>
      <c r="C393" s="44">
        <v>0.34</v>
      </c>
      <c r="D393" s="46">
        <v>0.03</v>
      </c>
      <c r="E393" s="37">
        <f>'4D1_CH4_EF_DomesticWastewater'!$D$13</f>
        <v>0.06</v>
      </c>
      <c r="F393" s="107">
        <f t="shared" si="39"/>
        <v>399572.50799999997</v>
      </c>
      <c r="G393" s="49"/>
      <c r="H393" s="49"/>
      <c r="I393" s="15">
        <f t="shared" si="40"/>
        <v>244.53837489599999</v>
      </c>
      <c r="J393" s="34">
        <f t="shared" si="41"/>
        <v>2.4453837489599997E-4</v>
      </c>
    </row>
    <row r="394" spans="1:10">
      <c r="A394" s="261"/>
      <c r="B394" s="137" t="s">
        <v>228</v>
      </c>
      <c r="C394" s="44">
        <v>0.34</v>
      </c>
      <c r="D394" s="46">
        <v>0.53</v>
      </c>
      <c r="E394" s="37">
        <f>'4D1_CH4_EF_DomesticWastewater'!$D$13</f>
        <v>0.06</v>
      </c>
      <c r="F394" s="107">
        <f t="shared" si="39"/>
        <v>399572.50799999997</v>
      </c>
      <c r="G394" s="49"/>
      <c r="H394" s="49"/>
      <c r="I394" s="15">
        <f t="shared" si="40"/>
        <v>4320.1779564959998</v>
      </c>
      <c r="J394" s="34">
        <f t="shared" si="41"/>
        <v>4.3201779564960002E-3</v>
      </c>
    </row>
    <row r="395" spans="1:10">
      <c r="A395" s="261"/>
      <c r="B395" s="137" t="s">
        <v>229</v>
      </c>
      <c r="C395" s="44">
        <v>0.34</v>
      </c>
      <c r="D395" s="46">
        <v>0.2</v>
      </c>
      <c r="E395" s="37">
        <v>0</v>
      </c>
      <c r="F395" s="107">
        <f t="shared" si="39"/>
        <v>399572.50799999997</v>
      </c>
      <c r="G395" s="49"/>
      <c r="H395" s="49"/>
      <c r="I395" s="15">
        <f t="shared" si="40"/>
        <v>0</v>
      </c>
      <c r="J395" s="34">
        <f t="shared" si="41"/>
        <v>0</v>
      </c>
    </row>
    <row r="396" spans="1:10">
      <c r="A396" s="276" t="s">
        <v>303</v>
      </c>
      <c r="B396" s="276"/>
      <c r="C396" s="276"/>
      <c r="D396" s="276"/>
      <c r="E396" s="276"/>
      <c r="F396" s="276"/>
      <c r="G396" s="276"/>
      <c r="H396" s="276"/>
      <c r="I396" s="108">
        <f>SUM(I381:I395)</f>
        <v>28591.810382447999</v>
      </c>
      <c r="J396" s="109">
        <f>SUM(J381:J395)</f>
        <v>2.8591810382447999E-2</v>
      </c>
    </row>
    <row r="399" spans="1:10">
      <c r="A399" s="277" t="s">
        <v>0</v>
      </c>
      <c r="B399" s="278"/>
      <c r="C399" s="196" t="s">
        <v>1</v>
      </c>
      <c r="D399" s="279"/>
      <c r="E399" s="279"/>
      <c r="F399" s="279"/>
      <c r="G399" s="279"/>
      <c r="H399" s="279"/>
      <c r="I399" s="279"/>
    </row>
    <row r="400" spans="1:10">
      <c r="A400" s="277" t="s">
        <v>2</v>
      </c>
      <c r="B400" s="278"/>
      <c r="C400" s="196" t="s">
        <v>117</v>
      </c>
      <c r="D400" s="279"/>
      <c r="E400" s="279"/>
      <c r="F400" s="279"/>
      <c r="G400" s="279"/>
      <c r="H400" s="279"/>
      <c r="I400" s="279"/>
    </row>
    <row r="401" spans="1:10">
      <c r="A401" s="277" t="s">
        <v>4</v>
      </c>
      <c r="B401" s="278"/>
      <c r="C401" s="196" t="s">
        <v>118</v>
      </c>
      <c r="D401" s="279"/>
      <c r="E401" s="279"/>
      <c r="F401" s="279"/>
      <c r="G401" s="279"/>
      <c r="H401" s="279"/>
      <c r="I401" s="279"/>
    </row>
    <row r="402" spans="1:10">
      <c r="A402" s="277" t="s">
        <v>6</v>
      </c>
      <c r="B402" s="278"/>
      <c r="C402" s="196" t="s">
        <v>145</v>
      </c>
      <c r="D402" s="279"/>
      <c r="E402" s="279"/>
      <c r="F402" s="279"/>
      <c r="G402" s="279"/>
      <c r="H402" s="279"/>
      <c r="I402" s="279"/>
    </row>
    <row r="403" spans="1:10">
      <c r="A403" s="250" t="s">
        <v>10</v>
      </c>
      <c r="B403" s="267"/>
      <c r="C403" s="267"/>
      <c r="D403" s="267"/>
      <c r="E403" s="267"/>
      <c r="F403" s="267"/>
      <c r="G403" s="267"/>
      <c r="H403" s="267"/>
      <c r="I403" s="267"/>
      <c r="J403" s="106"/>
    </row>
    <row r="404" spans="1:10">
      <c r="A404" s="138"/>
      <c r="B404" s="138"/>
      <c r="C404" s="7" t="s">
        <v>11</v>
      </c>
      <c r="D404" s="7" t="s">
        <v>12</v>
      </c>
      <c r="E404" s="7" t="s">
        <v>13</v>
      </c>
      <c r="F404" s="7" t="s">
        <v>14</v>
      </c>
      <c r="G404" s="7" t="s">
        <v>15</v>
      </c>
      <c r="H404" s="7" t="s">
        <v>58</v>
      </c>
      <c r="I404" s="7" t="s">
        <v>78</v>
      </c>
      <c r="J404" s="87" t="s">
        <v>79</v>
      </c>
    </row>
    <row r="405" spans="1:10" ht="51">
      <c r="A405" s="207" t="s">
        <v>146</v>
      </c>
      <c r="B405" s="207" t="s">
        <v>147</v>
      </c>
      <c r="C405" s="138" t="s">
        <v>148</v>
      </c>
      <c r="D405" s="138" t="s">
        <v>149</v>
      </c>
      <c r="E405" s="138" t="s">
        <v>150</v>
      </c>
      <c r="F405" s="138" t="s">
        <v>123</v>
      </c>
      <c r="G405" s="138" t="s">
        <v>151</v>
      </c>
      <c r="H405" s="138" t="s">
        <v>152</v>
      </c>
      <c r="I405" s="138" t="s">
        <v>153</v>
      </c>
      <c r="J405" s="138" t="s">
        <v>153</v>
      </c>
    </row>
    <row r="406" spans="1:10" ht="15.75">
      <c r="A406" s="207"/>
      <c r="B406" s="207"/>
      <c r="C406" s="135" t="s">
        <v>154</v>
      </c>
      <c r="D406" s="135" t="s">
        <v>155</v>
      </c>
      <c r="E406" s="135" t="s">
        <v>156</v>
      </c>
      <c r="F406" s="135" t="s">
        <v>127</v>
      </c>
      <c r="G406" s="135" t="s">
        <v>157</v>
      </c>
      <c r="H406" s="135" t="s">
        <v>158</v>
      </c>
      <c r="I406" s="135" t="s">
        <v>159</v>
      </c>
      <c r="J406" s="135" t="s">
        <v>159</v>
      </c>
    </row>
    <row r="407" spans="1:10" ht="28.5">
      <c r="A407" s="207"/>
      <c r="B407" s="207"/>
      <c r="C407" s="8" t="s">
        <v>44</v>
      </c>
      <c r="D407" s="8" t="s">
        <v>44</v>
      </c>
      <c r="E407" s="8" t="s">
        <v>142</v>
      </c>
      <c r="F407" s="8" t="s">
        <v>130</v>
      </c>
      <c r="G407" s="8" t="s">
        <v>130</v>
      </c>
      <c r="H407" s="8" t="s">
        <v>160</v>
      </c>
      <c r="I407" s="8" t="s">
        <v>160</v>
      </c>
      <c r="J407" s="8" t="s">
        <v>231</v>
      </c>
    </row>
    <row r="408" spans="1:10" ht="24.75" thickBot="1">
      <c r="A408" s="224"/>
      <c r="B408" s="224"/>
      <c r="C408" s="5"/>
      <c r="D408" s="5"/>
      <c r="E408" s="5" t="s">
        <v>161</v>
      </c>
      <c r="F408" s="5" t="s">
        <v>162</v>
      </c>
      <c r="G408" s="5"/>
      <c r="H408" s="5"/>
      <c r="I408" s="9" t="s">
        <v>163</v>
      </c>
      <c r="J408" s="35"/>
    </row>
    <row r="409" spans="1:10" ht="13.5" thickTop="1">
      <c r="A409" s="274" t="s">
        <v>164</v>
      </c>
      <c r="B409" s="139" t="s">
        <v>225</v>
      </c>
      <c r="C409" s="42">
        <v>0.54</v>
      </c>
      <c r="D409" s="43">
        <v>0</v>
      </c>
      <c r="E409" s="38">
        <f>'4D1_CH4_EF_DomesticWastewater'!$D$14</f>
        <v>0.3</v>
      </c>
      <c r="F409" s="107">
        <f>$M$26</f>
        <v>401829.23</v>
      </c>
      <c r="G409" s="47"/>
      <c r="H409" s="47"/>
      <c r="I409" s="14">
        <f>((C409*D409*E409)*(F409-G409))-H409</f>
        <v>0</v>
      </c>
      <c r="J409" s="136">
        <f>I409/(10^6)</f>
        <v>0</v>
      </c>
    </row>
    <row r="410" spans="1:10">
      <c r="A410" s="275"/>
      <c r="B410" s="140" t="s">
        <v>226</v>
      </c>
      <c r="C410" s="44">
        <v>0.54</v>
      </c>
      <c r="D410" s="45">
        <v>0.47</v>
      </c>
      <c r="E410" s="37">
        <f>'4D1_CH4_EF_DomesticWastewater'!$D$23</f>
        <v>0.06</v>
      </c>
      <c r="F410" s="107">
        <f t="shared" ref="F410:F423" si="42">$M$26</f>
        <v>401829.23</v>
      </c>
      <c r="G410" s="48"/>
      <c r="H410" s="48"/>
      <c r="I410" s="15">
        <f t="shared" ref="I410:I423" si="43">((C410*D410*E410)*(F410-G410))-H410</f>
        <v>6119.0555144399996</v>
      </c>
      <c r="J410" s="34">
        <f t="shared" ref="J410:J423" si="44">I410/(10^6)</f>
        <v>6.1190555144399993E-3</v>
      </c>
    </row>
    <row r="411" spans="1:10">
      <c r="A411" s="275"/>
      <c r="B411" s="137" t="s">
        <v>227</v>
      </c>
      <c r="C411" s="44">
        <v>0.54</v>
      </c>
      <c r="D411" s="45">
        <v>0</v>
      </c>
      <c r="E411" s="37">
        <f>'4D1_CH4_EF_DomesticWastewater'!$D$13</f>
        <v>0.06</v>
      </c>
      <c r="F411" s="107">
        <f t="shared" si="42"/>
        <v>401829.23</v>
      </c>
      <c r="G411" s="48"/>
      <c r="H411" s="48"/>
      <c r="I411" s="15">
        <f t="shared" si="43"/>
        <v>0</v>
      </c>
      <c r="J411" s="34">
        <f t="shared" si="44"/>
        <v>0</v>
      </c>
    </row>
    <row r="412" spans="1:10">
      <c r="A412" s="261"/>
      <c r="B412" s="137" t="s">
        <v>228</v>
      </c>
      <c r="C412" s="44">
        <v>0.54</v>
      </c>
      <c r="D412" s="46">
        <v>0.1</v>
      </c>
      <c r="E412" s="37">
        <f>'4D1_CH4_EF_DomesticWastewater'!$D$14</f>
        <v>0.3</v>
      </c>
      <c r="F412" s="107">
        <f t="shared" si="42"/>
        <v>401829.23</v>
      </c>
      <c r="G412" s="49"/>
      <c r="H412" s="49"/>
      <c r="I412" s="15">
        <f t="shared" si="43"/>
        <v>6509.6335260000005</v>
      </c>
      <c r="J412" s="34">
        <f t="shared" si="44"/>
        <v>6.5096335260000004E-3</v>
      </c>
    </row>
    <row r="413" spans="1:10">
      <c r="A413" s="261"/>
      <c r="B413" s="137" t="s">
        <v>229</v>
      </c>
      <c r="C413" s="44">
        <v>0.54</v>
      </c>
      <c r="D413" s="46">
        <v>0.43</v>
      </c>
      <c r="E413" s="37">
        <v>0</v>
      </c>
      <c r="F413" s="107">
        <f t="shared" si="42"/>
        <v>401829.23</v>
      </c>
      <c r="G413" s="49"/>
      <c r="H413" s="49"/>
      <c r="I413" s="15">
        <f t="shared" si="43"/>
        <v>0</v>
      </c>
      <c r="J413" s="34">
        <f t="shared" si="44"/>
        <v>0</v>
      </c>
    </row>
    <row r="414" spans="1:10">
      <c r="A414" s="261" t="s">
        <v>165</v>
      </c>
      <c r="B414" s="137" t="s">
        <v>225</v>
      </c>
      <c r="C414" s="44">
        <v>0.12</v>
      </c>
      <c r="D414" s="46">
        <v>0.18</v>
      </c>
      <c r="E414" s="37">
        <f>'4D1_CH4_EF_DomesticWastewater'!$D$22</f>
        <v>0.3</v>
      </c>
      <c r="F414" s="107">
        <f t="shared" si="42"/>
        <v>401829.23</v>
      </c>
      <c r="G414" s="49"/>
      <c r="H414" s="49"/>
      <c r="I414" s="15">
        <f t="shared" si="43"/>
        <v>2603.8534103999996</v>
      </c>
      <c r="J414" s="34">
        <f t="shared" si="44"/>
        <v>2.6038534103999997E-3</v>
      </c>
    </row>
    <row r="415" spans="1:10">
      <c r="A415" s="261"/>
      <c r="B415" s="137" t="s">
        <v>226</v>
      </c>
      <c r="C415" s="44">
        <v>0.12</v>
      </c>
      <c r="D415" s="46">
        <v>0.08</v>
      </c>
      <c r="E415" s="37">
        <f>'4D1_CH4_EF_DomesticWastewater'!$D$23</f>
        <v>0.06</v>
      </c>
      <c r="F415" s="107">
        <f t="shared" si="42"/>
        <v>401829.23</v>
      </c>
      <c r="G415" s="49"/>
      <c r="H415" s="49"/>
      <c r="I415" s="15">
        <f t="shared" si="43"/>
        <v>231.45363647999994</v>
      </c>
      <c r="J415" s="34">
        <f t="shared" si="44"/>
        <v>2.3145363647999995E-4</v>
      </c>
    </row>
    <row r="416" spans="1:10">
      <c r="A416" s="261"/>
      <c r="B416" s="137" t="s">
        <v>227</v>
      </c>
      <c r="C416" s="44">
        <v>0.12</v>
      </c>
      <c r="D416" s="46">
        <v>0</v>
      </c>
      <c r="E416" s="37">
        <f>'4D1_CH4_EF_DomesticWastewater'!$D$13</f>
        <v>0.06</v>
      </c>
      <c r="F416" s="107">
        <f t="shared" si="42"/>
        <v>401829.23</v>
      </c>
      <c r="G416" s="49"/>
      <c r="H416" s="49"/>
      <c r="I416" s="15">
        <f t="shared" si="43"/>
        <v>0</v>
      </c>
      <c r="J416" s="34">
        <f t="shared" si="44"/>
        <v>0</v>
      </c>
    </row>
    <row r="417" spans="1:10">
      <c r="A417" s="261"/>
      <c r="B417" s="137" t="s">
        <v>228</v>
      </c>
      <c r="C417" s="44">
        <v>0.12</v>
      </c>
      <c r="D417" s="46">
        <v>0.74</v>
      </c>
      <c r="E417" s="37">
        <f>'4D1_CH4_EF_DomesticWastewater'!$D$13</f>
        <v>0.06</v>
      </c>
      <c r="F417" s="107">
        <f t="shared" si="42"/>
        <v>401829.23</v>
      </c>
      <c r="G417" s="49"/>
      <c r="H417" s="49"/>
      <c r="I417" s="15">
        <f t="shared" si="43"/>
        <v>2140.9461374399998</v>
      </c>
      <c r="J417" s="34">
        <f t="shared" si="44"/>
        <v>2.1409461374399998E-3</v>
      </c>
    </row>
    <row r="418" spans="1:10">
      <c r="A418" s="261"/>
      <c r="B418" s="137" t="s">
        <v>229</v>
      </c>
      <c r="C418" s="44">
        <v>0.12</v>
      </c>
      <c r="D418" s="46">
        <v>0</v>
      </c>
      <c r="E418" s="37">
        <v>0</v>
      </c>
      <c r="F418" s="107">
        <f t="shared" si="42"/>
        <v>401829.23</v>
      </c>
      <c r="G418" s="49"/>
      <c r="H418" s="49"/>
      <c r="I418" s="15">
        <f t="shared" si="43"/>
        <v>0</v>
      </c>
      <c r="J418" s="34">
        <f t="shared" si="44"/>
        <v>0</v>
      </c>
    </row>
    <row r="419" spans="1:10">
      <c r="A419" s="261" t="s">
        <v>166</v>
      </c>
      <c r="B419" s="137" t="s">
        <v>225</v>
      </c>
      <c r="C419" s="44">
        <v>0.34</v>
      </c>
      <c r="D419" s="46">
        <v>0.14000000000000001</v>
      </c>
      <c r="E419" s="37">
        <f>'4D1_CH4_EF_DomesticWastewater'!$D$22</f>
        <v>0.3</v>
      </c>
      <c r="F419" s="107">
        <f t="shared" si="42"/>
        <v>401829.23</v>
      </c>
      <c r="G419" s="49"/>
      <c r="H419" s="49"/>
      <c r="I419" s="15">
        <f t="shared" si="43"/>
        <v>5738.1214044000008</v>
      </c>
      <c r="J419" s="34">
        <f t="shared" si="44"/>
        <v>5.738121404400001E-3</v>
      </c>
    </row>
    <row r="420" spans="1:10">
      <c r="A420" s="261"/>
      <c r="B420" s="137" t="s">
        <v>226</v>
      </c>
      <c r="C420" s="44">
        <v>0.34</v>
      </c>
      <c r="D420" s="46">
        <v>0.1</v>
      </c>
      <c r="E420" s="37">
        <f>'4D1_CH4_EF_DomesticWastewater'!$D$23</f>
        <v>0.06</v>
      </c>
      <c r="F420" s="107">
        <f t="shared" si="42"/>
        <v>401829.23</v>
      </c>
      <c r="G420" s="49"/>
      <c r="H420" s="49"/>
      <c r="I420" s="15">
        <f t="shared" si="43"/>
        <v>819.73162920000004</v>
      </c>
      <c r="J420" s="34">
        <f t="shared" si="44"/>
        <v>8.1973162920000002E-4</v>
      </c>
    </row>
    <row r="421" spans="1:10">
      <c r="A421" s="261"/>
      <c r="B421" s="137" t="s">
        <v>227</v>
      </c>
      <c r="C421" s="44">
        <v>0.34</v>
      </c>
      <c r="D421" s="46">
        <v>0.03</v>
      </c>
      <c r="E421" s="37">
        <f>'4D1_CH4_EF_DomesticWastewater'!$D$13</f>
        <v>0.06</v>
      </c>
      <c r="F421" s="107">
        <f t="shared" si="42"/>
        <v>401829.23</v>
      </c>
      <c r="G421" s="49"/>
      <c r="H421" s="49"/>
      <c r="I421" s="15">
        <f t="shared" si="43"/>
        <v>245.91948876000001</v>
      </c>
      <c r="J421" s="34">
        <f t="shared" si="44"/>
        <v>2.4591948876000002E-4</v>
      </c>
    </row>
    <row r="422" spans="1:10">
      <c r="A422" s="261"/>
      <c r="B422" s="137" t="s">
        <v>228</v>
      </c>
      <c r="C422" s="44">
        <v>0.34</v>
      </c>
      <c r="D422" s="46">
        <v>0.53</v>
      </c>
      <c r="E422" s="37">
        <f>'4D1_CH4_EF_DomesticWastewater'!$D$13</f>
        <v>0.06</v>
      </c>
      <c r="F422" s="107">
        <f t="shared" si="42"/>
        <v>401829.23</v>
      </c>
      <c r="G422" s="49"/>
      <c r="H422" s="49"/>
      <c r="I422" s="15">
        <f t="shared" si="43"/>
        <v>4344.5776347600004</v>
      </c>
      <c r="J422" s="34">
        <f t="shared" si="44"/>
        <v>4.3445776347600003E-3</v>
      </c>
    </row>
    <row r="423" spans="1:10">
      <c r="A423" s="261"/>
      <c r="B423" s="137" t="s">
        <v>229</v>
      </c>
      <c r="C423" s="44">
        <v>0.34</v>
      </c>
      <c r="D423" s="46">
        <v>0.2</v>
      </c>
      <c r="E423" s="37">
        <v>0</v>
      </c>
      <c r="F423" s="107">
        <f t="shared" si="42"/>
        <v>401829.23</v>
      </c>
      <c r="G423" s="49"/>
      <c r="H423" s="49"/>
      <c r="I423" s="15">
        <f t="shared" si="43"/>
        <v>0</v>
      </c>
      <c r="J423" s="34">
        <f t="shared" si="44"/>
        <v>0</v>
      </c>
    </row>
    <row r="424" spans="1:10">
      <c r="A424" s="276" t="s">
        <v>304</v>
      </c>
      <c r="B424" s="276"/>
      <c r="C424" s="276"/>
      <c r="D424" s="276"/>
      <c r="E424" s="276"/>
      <c r="F424" s="276"/>
      <c r="G424" s="276"/>
      <c r="H424" s="276"/>
      <c r="I424" s="108">
        <f>SUM(I409:I423)</f>
        <v>28753.292381880001</v>
      </c>
      <c r="J424" s="109">
        <f>SUM(J409:J423)</f>
        <v>2.875329238188E-2</v>
      </c>
    </row>
    <row r="427" spans="1:10">
      <c r="A427" s="277" t="s">
        <v>0</v>
      </c>
      <c r="B427" s="278"/>
      <c r="C427" s="196" t="s">
        <v>1</v>
      </c>
      <c r="D427" s="279"/>
      <c r="E427" s="279"/>
      <c r="F427" s="279"/>
      <c r="G427" s="279"/>
      <c r="H427" s="279"/>
      <c r="I427" s="279"/>
    </row>
    <row r="428" spans="1:10">
      <c r="A428" s="277" t="s">
        <v>2</v>
      </c>
      <c r="B428" s="278"/>
      <c r="C428" s="196" t="s">
        <v>117</v>
      </c>
      <c r="D428" s="279"/>
      <c r="E428" s="279"/>
      <c r="F428" s="279"/>
      <c r="G428" s="279"/>
      <c r="H428" s="279"/>
      <c r="I428" s="279"/>
    </row>
    <row r="429" spans="1:10">
      <c r="A429" s="277" t="s">
        <v>4</v>
      </c>
      <c r="B429" s="278"/>
      <c r="C429" s="196" t="s">
        <v>118</v>
      </c>
      <c r="D429" s="279"/>
      <c r="E429" s="279"/>
      <c r="F429" s="279"/>
      <c r="G429" s="279"/>
      <c r="H429" s="279"/>
      <c r="I429" s="279"/>
    </row>
    <row r="430" spans="1:10">
      <c r="A430" s="277" t="s">
        <v>6</v>
      </c>
      <c r="B430" s="278"/>
      <c r="C430" s="196" t="s">
        <v>145</v>
      </c>
      <c r="D430" s="279"/>
      <c r="E430" s="279"/>
      <c r="F430" s="279"/>
      <c r="G430" s="279"/>
      <c r="H430" s="279"/>
      <c r="I430" s="279"/>
    </row>
    <row r="431" spans="1:10">
      <c r="A431" s="250" t="s">
        <v>10</v>
      </c>
      <c r="B431" s="267"/>
      <c r="C431" s="267"/>
      <c r="D431" s="267"/>
      <c r="E431" s="267"/>
      <c r="F431" s="267"/>
      <c r="G431" s="267"/>
      <c r="H431" s="267"/>
      <c r="I431" s="267"/>
      <c r="J431" s="106"/>
    </row>
    <row r="432" spans="1:10">
      <c r="A432" s="138"/>
      <c r="B432" s="138"/>
      <c r="C432" s="7" t="s">
        <v>11</v>
      </c>
      <c r="D432" s="7" t="s">
        <v>12</v>
      </c>
      <c r="E432" s="7" t="s">
        <v>13</v>
      </c>
      <c r="F432" s="7" t="s">
        <v>14</v>
      </c>
      <c r="G432" s="7" t="s">
        <v>15</v>
      </c>
      <c r="H432" s="7" t="s">
        <v>58</v>
      </c>
      <c r="I432" s="7" t="s">
        <v>78</v>
      </c>
      <c r="J432" s="87" t="s">
        <v>79</v>
      </c>
    </row>
    <row r="433" spans="1:10" ht="51">
      <c r="A433" s="207" t="s">
        <v>146</v>
      </c>
      <c r="B433" s="207" t="s">
        <v>147</v>
      </c>
      <c r="C433" s="138" t="s">
        <v>148</v>
      </c>
      <c r="D433" s="138" t="s">
        <v>149</v>
      </c>
      <c r="E433" s="138" t="s">
        <v>150</v>
      </c>
      <c r="F433" s="138" t="s">
        <v>123</v>
      </c>
      <c r="G433" s="138" t="s">
        <v>151</v>
      </c>
      <c r="H433" s="138" t="s">
        <v>152</v>
      </c>
      <c r="I433" s="138" t="s">
        <v>153</v>
      </c>
      <c r="J433" s="138" t="s">
        <v>153</v>
      </c>
    </row>
    <row r="434" spans="1:10" ht="15.75">
      <c r="A434" s="207"/>
      <c r="B434" s="207"/>
      <c r="C434" s="135" t="s">
        <v>154</v>
      </c>
      <c r="D434" s="135" t="s">
        <v>155</v>
      </c>
      <c r="E434" s="135" t="s">
        <v>156</v>
      </c>
      <c r="F434" s="135" t="s">
        <v>127</v>
      </c>
      <c r="G434" s="135" t="s">
        <v>157</v>
      </c>
      <c r="H434" s="135" t="s">
        <v>158</v>
      </c>
      <c r="I434" s="135" t="s">
        <v>159</v>
      </c>
      <c r="J434" s="135" t="s">
        <v>159</v>
      </c>
    </row>
    <row r="435" spans="1:10" ht="28.5">
      <c r="A435" s="207"/>
      <c r="B435" s="207"/>
      <c r="C435" s="8" t="s">
        <v>44</v>
      </c>
      <c r="D435" s="8" t="s">
        <v>44</v>
      </c>
      <c r="E435" s="8" t="s">
        <v>142</v>
      </c>
      <c r="F435" s="8" t="s">
        <v>130</v>
      </c>
      <c r="G435" s="8" t="s">
        <v>130</v>
      </c>
      <c r="H435" s="8" t="s">
        <v>160</v>
      </c>
      <c r="I435" s="8" t="s">
        <v>160</v>
      </c>
      <c r="J435" s="8" t="s">
        <v>231</v>
      </c>
    </row>
    <row r="436" spans="1:10" ht="24.75" thickBot="1">
      <c r="A436" s="224"/>
      <c r="B436" s="224"/>
      <c r="C436" s="5"/>
      <c r="D436" s="5"/>
      <c r="E436" s="5" t="s">
        <v>161</v>
      </c>
      <c r="F436" s="5" t="s">
        <v>162</v>
      </c>
      <c r="G436" s="5"/>
      <c r="H436" s="5"/>
      <c r="I436" s="9" t="s">
        <v>163</v>
      </c>
      <c r="J436" s="35"/>
    </row>
    <row r="437" spans="1:10" ht="13.5" thickTop="1">
      <c r="A437" s="274" t="s">
        <v>164</v>
      </c>
      <c r="B437" s="139" t="s">
        <v>225</v>
      </c>
      <c r="C437" s="42">
        <v>0.54</v>
      </c>
      <c r="D437" s="43">
        <v>0</v>
      </c>
      <c r="E437" s="38">
        <f>'4D1_CH4_EF_DomesticWastewater'!$D$14</f>
        <v>0.3</v>
      </c>
      <c r="F437" s="107">
        <f>$M$27</f>
        <v>404085.95199999999</v>
      </c>
      <c r="G437" s="47"/>
      <c r="H437" s="47"/>
      <c r="I437" s="14">
        <f>((C437*D437*E437)*(F437-G437))-H437</f>
        <v>0</v>
      </c>
      <c r="J437" s="136">
        <f>I437/(10^6)</f>
        <v>0</v>
      </c>
    </row>
    <row r="438" spans="1:10">
      <c r="A438" s="275"/>
      <c r="B438" s="140" t="s">
        <v>226</v>
      </c>
      <c r="C438" s="44">
        <v>0.54</v>
      </c>
      <c r="D438" s="45">
        <v>0.47</v>
      </c>
      <c r="E438" s="37">
        <f>'4D1_CH4_EF_DomesticWastewater'!$D$23</f>
        <v>0.06</v>
      </c>
      <c r="F438" s="107">
        <f t="shared" ref="F438:F451" si="45">$M$27</f>
        <v>404085.95199999999</v>
      </c>
      <c r="G438" s="48"/>
      <c r="H438" s="48"/>
      <c r="I438" s="15">
        <f t="shared" ref="I438:I451" si="46">((C438*D438*E438)*(F438-G438))-H438</f>
        <v>6153.4208770559999</v>
      </c>
      <c r="J438" s="34">
        <f t="shared" ref="J438:J451" si="47">I438/(10^6)</f>
        <v>6.1534208770559996E-3</v>
      </c>
    </row>
    <row r="439" spans="1:10">
      <c r="A439" s="275"/>
      <c r="B439" s="137" t="s">
        <v>227</v>
      </c>
      <c r="C439" s="44">
        <v>0.54</v>
      </c>
      <c r="D439" s="45">
        <v>0</v>
      </c>
      <c r="E439" s="37">
        <f>'4D1_CH4_EF_DomesticWastewater'!$D$13</f>
        <v>0.06</v>
      </c>
      <c r="F439" s="107">
        <f t="shared" si="45"/>
        <v>404085.95199999999</v>
      </c>
      <c r="G439" s="48"/>
      <c r="H439" s="48"/>
      <c r="I439" s="15">
        <f t="shared" si="46"/>
        <v>0</v>
      </c>
      <c r="J439" s="34">
        <f t="shared" si="47"/>
        <v>0</v>
      </c>
    </row>
    <row r="440" spans="1:10">
      <c r="A440" s="261"/>
      <c r="B440" s="137" t="s">
        <v>228</v>
      </c>
      <c r="C440" s="44">
        <v>0.54</v>
      </c>
      <c r="D440" s="46">
        <v>0.1</v>
      </c>
      <c r="E440" s="37">
        <f>'4D1_CH4_EF_DomesticWastewater'!$D$14</f>
        <v>0.3</v>
      </c>
      <c r="F440" s="107">
        <f t="shared" si="45"/>
        <v>404085.95199999999</v>
      </c>
      <c r="G440" s="49"/>
      <c r="H440" s="49"/>
      <c r="I440" s="15">
        <f t="shared" si="46"/>
        <v>6546.1924224000013</v>
      </c>
      <c r="J440" s="34">
        <f t="shared" si="47"/>
        <v>6.5461924224000014E-3</v>
      </c>
    </row>
    <row r="441" spans="1:10">
      <c r="A441" s="261"/>
      <c r="B441" s="137" t="s">
        <v>229</v>
      </c>
      <c r="C441" s="44">
        <v>0.54</v>
      </c>
      <c r="D441" s="46">
        <v>0.43</v>
      </c>
      <c r="E441" s="37">
        <v>0</v>
      </c>
      <c r="F441" s="107">
        <f t="shared" si="45"/>
        <v>404085.95199999999</v>
      </c>
      <c r="G441" s="49"/>
      <c r="H441" s="49"/>
      <c r="I441" s="15">
        <f t="shared" si="46"/>
        <v>0</v>
      </c>
      <c r="J441" s="34">
        <f t="shared" si="47"/>
        <v>0</v>
      </c>
    </row>
    <row r="442" spans="1:10">
      <c r="A442" s="261" t="s">
        <v>165</v>
      </c>
      <c r="B442" s="137" t="s">
        <v>225</v>
      </c>
      <c r="C442" s="44">
        <v>0.12</v>
      </c>
      <c r="D442" s="46">
        <v>0.18</v>
      </c>
      <c r="E442" s="37">
        <f>'4D1_CH4_EF_DomesticWastewater'!$D$22</f>
        <v>0.3</v>
      </c>
      <c r="F442" s="107">
        <f t="shared" si="45"/>
        <v>404085.95199999999</v>
      </c>
      <c r="G442" s="49"/>
      <c r="H442" s="49"/>
      <c r="I442" s="15">
        <f t="shared" si="46"/>
        <v>2618.4769689599993</v>
      </c>
      <c r="J442" s="34">
        <f t="shared" si="47"/>
        <v>2.6184769689599993E-3</v>
      </c>
    </row>
    <row r="443" spans="1:10">
      <c r="A443" s="261"/>
      <c r="B443" s="137" t="s">
        <v>226</v>
      </c>
      <c r="C443" s="44">
        <v>0.12</v>
      </c>
      <c r="D443" s="46">
        <v>0.08</v>
      </c>
      <c r="E443" s="37">
        <f>'4D1_CH4_EF_DomesticWastewater'!$D$23</f>
        <v>0.06</v>
      </c>
      <c r="F443" s="107">
        <f t="shared" si="45"/>
        <v>404085.95199999999</v>
      </c>
      <c r="G443" s="49"/>
      <c r="H443" s="49"/>
      <c r="I443" s="15">
        <f t="shared" si="46"/>
        <v>232.75350835199995</v>
      </c>
      <c r="J443" s="34">
        <f t="shared" si="47"/>
        <v>2.3275350835199997E-4</v>
      </c>
    </row>
    <row r="444" spans="1:10">
      <c r="A444" s="261"/>
      <c r="B444" s="137" t="s">
        <v>227</v>
      </c>
      <c r="C444" s="44">
        <v>0.12</v>
      </c>
      <c r="D444" s="46">
        <v>0</v>
      </c>
      <c r="E444" s="37">
        <f>'4D1_CH4_EF_DomesticWastewater'!$D$13</f>
        <v>0.06</v>
      </c>
      <c r="F444" s="107">
        <f t="shared" si="45"/>
        <v>404085.95199999999</v>
      </c>
      <c r="G444" s="49"/>
      <c r="H444" s="49"/>
      <c r="I444" s="15">
        <f t="shared" si="46"/>
        <v>0</v>
      </c>
      <c r="J444" s="34">
        <f t="shared" si="47"/>
        <v>0</v>
      </c>
    </row>
    <row r="445" spans="1:10">
      <c r="A445" s="261"/>
      <c r="B445" s="137" t="s">
        <v>228</v>
      </c>
      <c r="C445" s="44">
        <v>0.12</v>
      </c>
      <c r="D445" s="46">
        <v>0.74</v>
      </c>
      <c r="E445" s="37">
        <f>'4D1_CH4_EF_DomesticWastewater'!$D$13</f>
        <v>0.06</v>
      </c>
      <c r="F445" s="107">
        <f t="shared" si="45"/>
        <v>404085.95199999999</v>
      </c>
      <c r="G445" s="49"/>
      <c r="H445" s="49"/>
      <c r="I445" s="15">
        <f t="shared" si="46"/>
        <v>2152.9699522559995</v>
      </c>
      <c r="J445" s="34">
        <f t="shared" si="47"/>
        <v>2.1529699522559996E-3</v>
      </c>
    </row>
    <row r="446" spans="1:10">
      <c r="A446" s="261"/>
      <c r="B446" s="137" t="s">
        <v>229</v>
      </c>
      <c r="C446" s="44">
        <v>0.12</v>
      </c>
      <c r="D446" s="46">
        <v>0</v>
      </c>
      <c r="E446" s="37">
        <v>0</v>
      </c>
      <c r="F446" s="107">
        <f t="shared" si="45"/>
        <v>404085.95199999999</v>
      </c>
      <c r="G446" s="49"/>
      <c r="H446" s="49"/>
      <c r="I446" s="15">
        <f t="shared" si="46"/>
        <v>0</v>
      </c>
      <c r="J446" s="34">
        <f t="shared" si="47"/>
        <v>0</v>
      </c>
    </row>
    <row r="447" spans="1:10">
      <c r="A447" s="261" t="s">
        <v>166</v>
      </c>
      <c r="B447" s="137" t="s">
        <v>225</v>
      </c>
      <c r="C447" s="44">
        <v>0.34</v>
      </c>
      <c r="D447" s="46">
        <v>0.14000000000000001</v>
      </c>
      <c r="E447" s="37">
        <f>'4D1_CH4_EF_DomesticWastewater'!$D$22</f>
        <v>0.3</v>
      </c>
      <c r="F447" s="107">
        <f t="shared" si="45"/>
        <v>404085.95199999999</v>
      </c>
      <c r="G447" s="49"/>
      <c r="H447" s="49"/>
      <c r="I447" s="15">
        <f t="shared" si="46"/>
        <v>5770.3473945600008</v>
      </c>
      <c r="J447" s="34">
        <f t="shared" si="47"/>
        <v>5.7703473945600004E-3</v>
      </c>
    </row>
    <row r="448" spans="1:10">
      <c r="A448" s="261"/>
      <c r="B448" s="137" t="s">
        <v>226</v>
      </c>
      <c r="C448" s="44">
        <v>0.34</v>
      </c>
      <c r="D448" s="46">
        <v>0.1</v>
      </c>
      <c r="E448" s="37">
        <f>'4D1_CH4_EF_DomesticWastewater'!$D$23</f>
        <v>0.06</v>
      </c>
      <c r="F448" s="107">
        <f t="shared" si="45"/>
        <v>404085.95199999999</v>
      </c>
      <c r="G448" s="49"/>
      <c r="H448" s="49"/>
      <c r="I448" s="15">
        <f t="shared" si="46"/>
        <v>824.33534208000003</v>
      </c>
      <c r="J448" s="34">
        <f t="shared" si="47"/>
        <v>8.2433534208E-4</v>
      </c>
    </row>
    <row r="449" spans="1:10">
      <c r="A449" s="261"/>
      <c r="B449" s="137" t="s">
        <v>227</v>
      </c>
      <c r="C449" s="44">
        <v>0.34</v>
      </c>
      <c r="D449" s="46">
        <v>0.03</v>
      </c>
      <c r="E449" s="37">
        <f>'4D1_CH4_EF_DomesticWastewater'!$D$13</f>
        <v>0.06</v>
      </c>
      <c r="F449" s="107">
        <f t="shared" si="45"/>
        <v>404085.95199999999</v>
      </c>
      <c r="G449" s="49"/>
      <c r="H449" s="49"/>
      <c r="I449" s="15">
        <f t="shared" si="46"/>
        <v>247.30060262399999</v>
      </c>
      <c r="J449" s="34">
        <f t="shared" si="47"/>
        <v>2.4730060262400001E-4</v>
      </c>
    </row>
    <row r="450" spans="1:10">
      <c r="A450" s="261"/>
      <c r="B450" s="137" t="s">
        <v>228</v>
      </c>
      <c r="C450" s="44">
        <v>0.34</v>
      </c>
      <c r="D450" s="46">
        <v>0.53</v>
      </c>
      <c r="E450" s="37">
        <f>'4D1_CH4_EF_DomesticWastewater'!$D$13</f>
        <v>0.06</v>
      </c>
      <c r="F450" s="107">
        <f t="shared" si="45"/>
        <v>404085.95199999999</v>
      </c>
      <c r="G450" s="49"/>
      <c r="H450" s="49"/>
      <c r="I450" s="15">
        <f t="shared" si="46"/>
        <v>4368.9773130240001</v>
      </c>
      <c r="J450" s="34">
        <f t="shared" si="47"/>
        <v>4.3689773130240004E-3</v>
      </c>
    </row>
    <row r="451" spans="1:10">
      <c r="A451" s="261"/>
      <c r="B451" s="137" t="s">
        <v>229</v>
      </c>
      <c r="C451" s="44">
        <v>0.34</v>
      </c>
      <c r="D451" s="46">
        <v>0.2</v>
      </c>
      <c r="E451" s="37">
        <v>0</v>
      </c>
      <c r="F451" s="107">
        <f t="shared" si="45"/>
        <v>404085.95199999999</v>
      </c>
      <c r="G451" s="49"/>
      <c r="H451" s="49"/>
      <c r="I451" s="15">
        <f t="shared" si="46"/>
        <v>0</v>
      </c>
      <c r="J451" s="34">
        <f t="shared" si="47"/>
        <v>0</v>
      </c>
    </row>
    <row r="452" spans="1:10">
      <c r="A452" s="276" t="s">
        <v>305</v>
      </c>
      <c r="B452" s="276"/>
      <c r="C452" s="276"/>
      <c r="D452" s="276"/>
      <c r="E452" s="276"/>
      <c r="F452" s="276"/>
      <c r="G452" s="276"/>
      <c r="H452" s="276"/>
      <c r="I452" s="108">
        <f>SUM(I437:I451)</f>
        <v>28914.774381312003</v>
      </c>
      <c r="J452" s="109">
        <f>SUM(J437:J451)</f>
        <v>2.8914774381312E-2</v>
      </c>
    </row>
    <row r="455" spans="1:10">
      <c r="A455" s="277" t="s">
        <v>0</v>
      </c>
      <c r="B455" s="278"/>
      <c r="C455" s="196" t="s">
        <v>1</v>
      </c>
      <c r="D455" s="279"/>
      <c r="E455" s="279"/>
      <c r="F455" s="279"/>
      <c r="G455" s="279"/>
      <c r="H455" s="279"/>
      <c r="I455" s="279"/>
    </row>
    <row r="456" spans="1:10">
      <c r="A456" s="277" t="s">
        <v>2</v>
      </c>
      <c r="B456" s="278"/>
      <c r="C456" s="196" t="s">
        <v>117</v>
      </c>
      <c r="D456" s="279"/>
      <c r="E456" s="279"/>
      <c r="F456" s="279"/>
      <c r="G456" s="279"/>
      <c r="H456" s="279"/>
      <c r="I456" s="279"/>
    </row>
    <row r="457" spans="1:10">
      <c r="A457" s="277" t="s">
        <v>4</v>
      </c>
      <c r="B457" s="278"/>
      <c r="C457" s="196" t="s">
        <v>118</v>
      </c>
      <c r="D457" s="279"/>
      <c r="E457" s="279"/>
      <c r="F457" s="279"/>
      <c r="G457" s="279"/>
      <c r="H457" s="279"/>
      <c r="I457" s="279"/>
    </row>
    <row r="458" spans="1:10">
      <c r="A458" s="277" t="s">
        <v>6</v>
      </c>
      <c r="B458" s="278"/>
      <c r="C458" s="196" t="s">
        <v>145</v>
      </c>
      <c r="D458" s="279"/>
      <c r="E458" s="279"/>
      <c r="F458" s="279"/>
      <c r="G458" s="279"/>
      <c r="H458" s="279"/>
      <c r="I458" s="279"/>
    </row>
    <row r="459" spans="1:10">
      <c r="A459" s="250" t="s">
        <v>10</v>
      </c>
      <c r="B459" s="267"/>
      <c r="C459" s="267"/>
      <c r="D459" s="267"/>
      <c r="E459" s="267"/>
      <c r="F459" s="267"/>
      <c r="G459" s="267"/>
      <c r="H459" s="267"/>
      <c r="I459" s="267"/>
      <c r="J459" s="106"/>
    </row>
    <row r="460" spans="1:10">
      <c r="A460" s="138"/>
      <c r="B460" s="138"/>
      <c r="C460" s="7" t="s">
        <v>11</v>
      </c>
      <c r="D460" s="7" t="s">
        <v>12</v>
      </c>
      <c r="E460" s="7" t="s">
        <v>13</v>
      </c>
      <c r="F460" s="7" t="s">
        <v>14</v>
      </c>
      <c r="G460" s="7" t="s">
        <v>15</v>
      </c>
      <c r="H460" s="7" t="s">
        <v>58</v>
      </c>
      <c r="I460" s="7" t="s">
        <v>78</v>
      </c>
      <c r="J460" s="87" t="s">
        <v>79</v>
      </c>
    </row>
    <row r="461" spans="1:10" ht="51">
      <c r="A461" s="207" t="s">
        <v>146</v>
      </c>
      <c r="B461" s="207" t="s">
        <v>147</v>
      </c>
      <c r="C461" s="138" t="s">
        <v>148</v>
      </c>
      <c r="D461" s="138" t="s">
        <v>149</v>
      </c>
      <c r="E461" s="138" t="s">
        <v>150</v>
      </c>
      <c r="F461" s="138" t="s">
        <v>123</v>
      </c>
      <c r="G461" s="138" t="s">
        <v>151</v>
      </c>
      <c r="H461" s="138" t="s">
        <v>152</v>
      </c>
      <c r="I461" s="138" t="s">
        <v>153</v>
      </c>
      <c r="J461" s="138" t="s">
        <v>153</v>
      </c>
    </row>
    <row r="462" spans="1:10" ht="15.75">
      <c r="A462" s="207"/>
      <c r="B462" s="207"/>
      <c r="C462" s="135" t="s">
        <v>154</v>
      </c>
      <c r="D462" s="135" t="s">
        <v>155</v>
      </c>
      <c r="E462" s="135" t="s">
        <v>156</v>
      </c>
      <c r="F462" s="135" t="s">
        <v>127</v>
      </c>
      <c r="G462" s="135" t="s">
        <v>157</v>
      </c>
      <c r="H462" s="135" t="s">
        <v>158</v>
      </c>
      <c r="I462" s="135" t="s">
        <v>159</v>
      </c>
      <c r="J462" s="135" t="s">
        <v>159</v>
      </c>
    </row>
    <row r="463" spans="1:10" ht="28.5">
      <c r="A463" s="207"/>
      <c r="B463" s="207"/>
      <c r="C463" s="8" t="s">
        <v>44</v>
      </c>
      <c r="D463" s="8" t="s">
        <v>44</v>
      </c>
      <c r="E463" s="8" t="s">
        <v>142</v>
      </c>
      <c r="F463" s="8" t="s">
        <v>130</v>
      </c>
      <c r="G463" s="8" t="s">
        <v>130</v>
      </c>
      <c r="H463" s="8" t="s">
        <v>160</v>
      </c>
      <c r="I463" s="8" t="s">
        <v>160</v>
      </c>
      <c r="J463" s="8" t="s">
        <v>231</v>
      </c>
    </row>
    <row r="464" spans="1:10" ht="24.75" thickBot="1">
      <c r="A464" s="224"/>
      <c r="B464" s="224"/>
      <c r="C464" s="5"/>
      <c r="D464" s="5"/>
      <c r="E464" s="5" t="s">
        <v>161</v>
      </c>
      <c r="F464" s="5" t="s">
        <v>162</v>
      </c>
      <c r="G464" s="5"/>
      <c r="H464" s="5"/>
      <c r="I464" s="9" t="s">
        <v>163</v>
      </c>
      <c r="J464" s="35"/>
    </row>
    <row r="465" spans="1:10" ht="13.5" thickTop="1">
      <c r="A465" s="274" t="s">
        <v>164</v>
      </c>
      <c r="B465" s="139" t="s">
        <v>225</v>
      </c>
      <c r="C465" s="42">
        <v>0.54</v>
      </c>
      <c r="D465" s="43">
        <v>0</v>
      </c>
      <c r="E465" s="38">
        <f>'4D1_CH4_EF_DomesticWastewater'!$D$14</f>
        <v>0.3</v>
      </c>
      <c r="F465" s="107">
        <f>$M$28</f>
        <v>406342.674</v>
      </c>
      <c r="G465" s="47"/>
      <c r="H465" s="47"/>
      <c r="I465" s="14">
        <f>((C465*D465*E465)*(F465-G465))-H465</f>
        <v>0</v>
      </c>
      <c r="J465" s="136">
        <f>I465/(10^6)</f>
        <v>0</v>
      </c>
    </row>
    <row r="466" spans="1:10">
      <c r="A466" s="275"/>
      <c r="B466" s="140" t="s">
        <v>226</v>
      </c>
      <c r="C466" s="44">
        <v>0.54</v>
      </c>
      <c r="D466" s="45">
        <v>0.47</v>
      </c>
      <c r="E466" s="37">
        <f>'4D1_CH4_EF_DomesticWastewater'!$D$23</f>
        <v>0.06</v>
      </c>
      <c r="F466" s="107">
        <f t="shared" ref="F466:F479" si="48">$M$28</f>
        <v>406342.674</v>
      </c>
      <c r="G466" s="48"/>
      <c r="H466" s="48"/>
      <c r="I466" s="15">
        <f t="shared" ref="I466:I479" si="49">((C466*D466*E466)*(F466-G466))-H466</f>
        <v>6187.7862396720002</v>
      </c>
      <c r="J466" s="34">
        <f t="shared" ref="J466:J479" si="50">I466/(10^6)</f>
        <v>6.1877862396719999E-3</v>
      </c>
    </row>
    <row r="467" spans="1:10">
      <c r="A467" s="275"/>
      <c r="B467" s="137" t="s">
        <v>227</v>
      </c>
      <c r="C467" s="44">
        <v>0.54</v>
      </c>
      <c r="D467" s="45">
        <v>0</v>
      </c>
      <c r="E467" s="37">
        <f>'4D1_CH4_EF_DomesticWastewater'!$D$13</f>
        <v>0.06</v>
      </c>
      <c r="F467" s="107">
        <f t="shared" si="48"/>
        <v>406342.674</v>
      </c>
      <c r="G467" s="48"/>
      <c r="H467" s="48"/>
      <c r="I467" s="15">
        <f t="shared" si="49"/>
        <v>0</v>
      </c>
      <c r="J467" s="34">
        <f t="shared" si="50"/>
        <v>0</v>
      </c>
    </row>
    <row r="468" spans="1:10">
      <c r="A468" s="261"/>
      <c r="B468" s="137" t="s">
        <v>228</v>
      </c>
      <c r="C468" s="44">
        <v>0.54</v>
      </c>
      <c r="D468" s="46">
        <v>0.1</v>
      </c>
      <c r="E468" s="37">
        <f>'4D1_CH4_EF_DomesticWastewater'!$D$14</f>
        <v>0.3</v>
      </c>
      <c r="F468" s="107">
        <f t="shared" si="48"/>
        <v>406342.674</v>
      </c>
      <c r="G468" s="49"/>
      <c r="H468" s="49"/>
      <c r="I468" s="15">
        <f t="shared" si="49"/>
        <v>6582.7513188000012</v>
      </c>
      <c r="J468" s="34">
        <f t="shared" si="50"/>
        <v>6.5827513188000016E-3</v>
      </c>
    </row>
    <row r="469" spans="1:10">
      <c r="A469" s="261"/>
      <c r="B469" s="137" t="s">
        <v>229</v>
      </c>
      <c r="C469" s="44">
        <v>0.54</v>
      </c>
      <c r="D469" s="46">
        <v>0.43</v>
      </c>
      <c r="E469" s="37">
        <v>0</v>
      </c>
      <c r="F469" s="107">
        <f t="shared" si="48"/>
        <v>406342.674</v>
      </c>
      <c r="G469" s="49"/>
      <c r="H469" s="49"/>
      <c r="I469" s="15">
        <f t="shared" si="49"/>
        <v>0</v>
      </c>
      <c r="J469" s="34">
        <f t="shared" si="50"/>
        <v>0</v>
      </c>
    </row>
    <row r="470" spans="1:10">
      <c r="A470" s="261" t="s">
        <v>165</v>
      </c>
      <c r="B470" s="137" t="s">
        <v>225</v>
      </c>
      <c r="C470" s="44">
        <v>0.12</v>
      </c>
      <c r="D470" s="46">
        <v>0.18</v>
      </c>
      <c r="E470" s="37">
        <f>'4D1_CH4_EF_DomesticWastewater'!$D$22</f>
        <v>0.3</v>
      </c>
      <c r="F470" s="107">
        <f t="shared" si="48"/>
        <v>406342.674</v>
      </c>
      <c r="G470" s="49"/>
      <c r="H470" s="49"/>
      <c r="I470" s="15">
        <f t="shared" si="49"/>
        <v>2633.1005275199996</v>
      </c>
      <c r="J470" s="34">
        <f t="shared" si="50"/>
        <v>2.6331005275199997E-3</v>
      </c>
    </row>
    <row r="471" spans="1:10">
      <c r="A471" s="261"/>
      <c r="B471" s="137" t="s">
        <v>226</v>
      </c>
      <c r="C471" s="44">
        <v>0.12</v>
      </c>
      <c r="D471" s="46">
        <v>0.08</v>
      </c>
      <c r="E471" s="37">
        <f>'4D1_CH4_EF_DomesticWastewater'!$D$23</f>
        <v>0.06</v>
      </c>
      <c r="F471" s="107">
        <f t="shared" si="48"/>
        <v>406342.674</v>
      </c>
      <c r="G471" s="49"/>
      <c r="H471" s="49"/>
      <c r="I471" s="15">
        <f t="shared" si="49"/>
        <v>234.05338022399997</v>
      </c>
      <c r="J471" s="34">
        <f t="shared" si="50"/>
        <v>2.3405338022399995E-4</v>
      </c>
    </row>
    <row r="472" spans="1:10">
      <c r="A472" s="261"/>
      <c r="B472" s="137" t="s">
        <v>227</v>
      </c>
      <c r="C472" s="44">
        <v>0.12</v>
      </c>
      <c r="D472" s="46">
        <v>0</v>
      </c>
      <c r="E472" s="37">
        <f>'4D1_CH4_EF_DomesticWastewater'!$D$13</f>
        <v>0.06</v>
      </c>
      <c r="F472" s="107">
        <f t="shared" si="48"/>
        <v>406342.674</v>
      </c>
      <c r="G472" s="49"/>
      <c r="H472" s="49"/>
      <c r="I472" s="15">
        <f t="shared" si="49"/>
        <v>0</v>
      </c>
      <c r="J472" s="34">
        <f t="shared" si="50"/>
        <v>0</v>
      </c>
    </row>
    <row r="473" spans="1:10">
      <c r="A473" s="261"/>
      <c r="B473" s="137" t="s">
        <v>228</v>
      </c>
      <c r="C473" s="44">
        <v>0.12</v>
      </c>
      <c r="D473" s="46">
        <v>0.74</v>
      </c>
      <c r="E473" s="37">
        <f>'4D1_CH4_EF_DomesticWastewater'!$D$13</f>
        <v>0.06</v>
      </c>
      <c r="F473" s="107">
        <f t="shared" si="48"/>
        <v>406342.674</v>
      </c>
      <c r="G473" s="49"/>
      <c r="H473" s="49"/>
      <c r="I473" s="15">
        <f t="shared" si="49"/>
        <v>2164.9937670719996</v>
      </c>
      <c r="J473" s="34">
        <f t="shared" si="50"/>
        <v>2.1649937670719997E-3</v>
      </c>
    </row>
    <row r="474" spans="1:10">
      <c r="A474" s="261"/>
      <c r="B474" s="137" t="s">
        <v>229</v>
      </c>
      <c r="C474" s="44">
        <v>0.12</v>
      </c>
      <c r="D474" s="46">
        <v>0</v>
      </c>
      <c r="E474" s="37">
        <v>0</v>
      </c>
      <c r="F474" s="107">
        <f t="shared" si="48"/>
        <v>406342.674</v>
      </c>
      <c r="G474" s="49"/>
      <c r="H474" s="49"/>
      <c r="I474" s="15">
        <f t="shared" si="49"/>
        <v>0</v>
      </c>
      <c r="J474" s="34">
        <f t="shared" si="50"/>
        <v>0</v>
      </c>
    </row>
    <row r="475" spans="1:10">
      <c r="A475" s="261" t="s">
        <v>166</v>
      </c>
      <c r="B475" s="137" t="s">
        <v>225</v>
      </c>
      <c r="C475" s="44">
        <v>0.34</v>
      </c>
      <c r="D475" s="46">
        <v>0.14000000000000001</v>
      </c>
      <c r="E475" s="37">
        <f>'4D1_CH4_EF_DomesticWastewater'!$D$22</f>
        <v>0.3</v>
      </c>
      <c r="F475" s="107">
        <f t="shared" si="48"/>
        <v>406342.674</v>
      </c>
      <c r="G475" s="49"/>
      <c r="H475" s="49"/>
      <c r="I475" s="15">
        <f t="shared" si="49"/>
        <v>5802.5733847200008</v>
      </c>
      <c r="J475" s="34">
        <f t="shared" si="50"/>
        <v>5.8025733847200008E-3</v>
      </c>
    </row>
    <row r="476" spans="1:10">
      <c r="A476" s="261"/>
      <c r="B476" s="137" t="s">
        <v>226</v>
      </c>
      <c r="C476" s="44">
        <v>0.34</v>
      </c>
      <c r="D476" s="46">
        <v>0.1</v>
      </c>
      <c r="E476" s="37">
        <f>'4D1_CH4_EF_DomesticWastewater'!$D$23</f>
        <v>0.06</v>
      </c>
      <c r="F476" s="107">
        <f t="shared" si="48"/>
        <v>406342.674</v>
      </c>
      <c r="G476" s="49"/>
      <c r="H476" s="49"/>
      <c r="I476" s="15">
        <f t="shared" si="49"/>
        <v>828.93905496000002</v>
      </c>
      <c r="J476" s="34">
        <f t="shared" si="50"/>
        <v>8.2893905495999998E-4</v>
      </c>
    </row>
    <row r="477" spans="1:10">
      <c r="A477" s="261"/>
      <c r="B477" s="137" t="s">
        <v>227</v>
      </c>
      <c r="C477" s="44">
        <v>0.34</v>
      </c>
      <c r="D477" s="46">
        <v>0.03</v>
      </c>
      <c r="E477" s="37">
        <f>'4D1_CH4_EF_DomesticWastewater'!$D$13</f>
        <v>0.06</v>
      </c>
      <c r="F477" s="107">
        <f t="shared" si="48"/>
        <v>406342.674</v>
      </c>
      <c r="G477" s="49"/>
      <c r="H477" s="49"/>
      <c r="I477" s="15">
        <f t="shared" si="49"/>
        <v>248.68171648800001</v>
      </c>
      <c r="J477" s="34">
        <f t="shared" si="50"/>
        <v>2.4868171648800001E-4</v>
      </c>
    </row>
    <row r="478" spans="1:10">
      <c r="A478" s="261"/>
      <c r="B478" s="137" t="s">
        <v>228</v>
      </c>
      <c r="C478" s="44">
        <v>0.34</v>
      </c>
      <c r="D478" s="46">
        <v>0.53</v>
      </c>
      <c r="E478" s="37">
        <f>'4D1_CH4_EF_DomesticWastewater'!$D$13</f>
        <v>0.06</v>
      </c>
      <c r="F478" s="107">
        <f t="shared" si="48"/>
        <v>406342.674</v>
      </c>
      <c r="G478" s="49"/>
      <c r="H478" s="49"/>
      <c r="I478" s="15">
        <f t="shared" si="49"/>
        <v>4393.3769912879998</v>
      </c>
      <c r="J478" s="34">
        <f t="shared" si="50"/>
        <v>4.3933769912879997E-3</v>
      </c>
    </row>
    <row r="479" spans="1:10">
      <c r="A479" s="261"/>
      <c r="B479" s="137" t="s">
        <v>229</v>
      </c>
      <c r="C479" s="44">
        <v>0.34</v>
      </c>
      <c r="D479" s="46">
        <v>0.2</v>
      </c>
      <c r="E479" s="37">
        <v>0</v>
      </c>
      <c r="F479" s="107">
        <f t="shared" si="48"/>
        <v>406342.674</v>
      </c>
      <c r="G479" s="49"/>
      <c r="H479" s="49"/>
      <c r="I479" s="15">
        <f t="shared" si="49"/>
        <v>0</v>
      </c>
      <c r="J479" s="34">
        <f t="shared" si="50"/>
        <v>0</v>
      </c>
    </row>
    <row r="480" spans="1:10">
      <c r="A480" s="276" t="s">
        <v>306</v>
      </c>
      <c r="B480" s="276"/>
      <c r="C480" s="276"/>
      <c r="D480" s="276"/>
      <c r="E480" s="276"/>
      <c r="F480" s="276"/>
      <c r="G480" s="276"/>
      <c r="H480" s="276"/>
      <c r="I480" s="108">
        <f>SUM(I465:I479)</f>
        <v>29076.256380744002</v>
      </c>
      <c r="J480" s="109">
        <f>SUM(J465:J479)</f>
        <v>2.9076256380744004E-2</v>
      </c>
    </row>
    <row r="483" spans="1:10">
      <c r="A483" s="277" t="s">
        <v>0</v>
      </c>
      <c r="B483" s="278"/>
      <c r="C483" s="196" t="s">
        <v>1</v>
      </c>
      <c r="D483" s="279"/>
      <c r="E483" s="279"/>
      <c r="F483" s="279"/>
      <c r="G483" s="279"/>
      <c r="H483" s="279"/>
      <c r="I483" s="279"/>
    </row>
    <row r="484" spans="1:10">
      <c r="A484" s="277" t="s">
        <v>2</v>
      </c>
      <c r="B484" s="278"/>
      <c r="C484" s="196" t="s">
        <v>117</v>
      </c>
      <c r="D484" s="279"/>
      <c r="E484" s="279"/>
      <c r="F484" s="279"/>
      <c r="G484" s="279"/>
      <c r="H484" s="279"/>
      <c r="I484" s="279"/>
    </row>
    <row r="485" spans="1:10">
      <c r="A485" s="277" t="s">
        <v>4</v>
      </c>
      <c r="B485" s="278"/>
      <c r="C485" s="196" t="s">
        <v>118</v>
      </c>
      <c r="D485" s="279"/>
      <c r="E485" s="279"/>
      <c r="F485" s="279"/>
      <c r="G485" s="279"/>
      <c r="H485" s="279"/>
      <c r="I485" s="279"/>
    </row>
    <row r="486" spans="1:10">
      <c r="A486" s="277" t="s">
        <v>6</v>
      </c>
      <c r="B486" s="278"/>
      <c r="C486" s="196" t="s">
        <v>145</v>
      </c>
      <c r="D486" s="279"/>
      <c r="E486" s="279"/>
      <c r="F486" s="279"/>
      <c r="G486" s="279"/>
      <c r="H486" s="279"/>
      <c r="I486" s="279"/>
    </row>
    <row r="487" spans="1:10">
      <c r="A487" s="250" t="s">
        <v>10</v>
      </c>
      <c r="B487" s="267"/>
      <c r="C487" s="267"/>
      <c r="D487" s="267"/>
      <c r="E487" s="267"/>
      <c r="F487" s="267"/>
      <c r="G487" s="267"/>
      <c r="H487" s="267"/>
      <c r="I487" s="267"/>
      <c r="J487" s="106"/>
    </row>
    <row r="488" spans="1:10">
      <c r="A488" s="138"/>
      <c r="B488" s="138"/>
      <c r="C488" s="7" t="s">
        <v>11</v>
      </c>
      <c r="D488" s="7" t="s">
        <v>12</v>
      </c>
      <c r="E488" s="7" t="s">
        <v>13</v>
      </c>
      <c r="F488" s="7" t="s">
        <v>14</v>
      </c>
      <c r="G488" s="7" t="s">
        <v>15</v>
      </c>
      <c r="H488" s="7" t="s">
        <v>58</v>
      </c>
      <c r="I488" s="7" t="s">
        <v>78</v>
      </c>
      <c r="J488" s="87" t="s">
        <v>79</v>
      </c>
    </row>
    <row r="489" spans="1:10" ht="51">
      <c r="A489" s="207" t="s">
        <v>146</v>
      </c>
      <c r="B489" s="207" t="s">
        <v>147</v>
      </c>
      <c r="C489" s="138" t="s">
        <v>148</v>
      </c>
      <c r="D489" s="138" t="s">
        <v>149</v>
      </c>
      <c r="E489" s="138" t="s">
        <v>150</v>
      </c>
      <c r="F489" s="138" t="s">
        <v>123</v>
      </c>
      <c r="G489" s="138" t="s">
        <v>151</v>
      </c>
      <c r="H489" s="138" t="s">
        <v>152</v>
      </c>
      <c r="I489" s="138" t="s">
        <v>153</v>
      </c>
      <c r="J489" s="138" t="s">
        <v>153</v>
      </c>
    </row>
    <row r="490" spans="1:10" ht="15.75">
      <c r="A490" s="207"/>
      <c r="B490" s="207"/>
      <c r="C490" s="135" t="s">
        <v>154</v>
      </c>
      <c r="D490" s="135" t="s">
        <v>155</v>
      </c>
      <c r="E490" s="135" t="s">
        <v>156</v>
      </c>
      <c r="F490" s="135" t="s">
        <v>127</v>
      </c>
      <c r="G490" s="135" t="s">
        <v>157</v>
      </c>
      <c r="H490" s="135" t="s">
        <v>158</v>
      </c>
      <c r="I490" s="135" t="s">
        <v>159</v>
      </c>
      <c r="J490" s="135" t="s">
        <v>159</v>
      </c>
    </row>
    <row r="491" spans="1:10" ht="28.5">
      <c r="A491" s="207"/>
      <c r="B491" s="207"/>
      <c r="C491" s="8" t="s">
        <v>44</v>
      </c>
      <c r="D491" s="8" t="s">
        <v>44</v>
      </c>
      <c r="E491" s="8" t="s">
        <v>142</v>
      </c>
      <c r="F491" s="8" t="s">
        <v>130</v>
      </c>
      <c r="G491" s="8" t="s">
        <v>130</v>
      </c>
      <c r="H491" s="8" t="s">
        <v>160</v>
      </c>
      <c r="I491" s="8" t="s">
        <v>160</v>
      </c>
      <c r="J491" s="8" t="s">
        <v>231</v>
      </c>
    </row>
    <row r="492" spans="1:10" ht="24.75" thickBot="1">
      <c r="A492" s="224"/>
      <c r="B492" s="224"/>
      <c r="C492" s="5"/>
      <c r="D492" s="5"/>
      <c r="E492" s="5" t="s">
        <v>161</v>
      </c>
      <c r="F492" s="5" t="s">
        <v>162</v>
      </c>
      <c r="G492" s="5"/>
      <c r="H492" s="5"/>
      <c r="I492" s="9" t="s">
        <v>163</v>
      </c>
      <c r="J492" s="35"/>
    </row>
    <row r="493" spans="1:10" ht="13.5" thickTop="1">
      <c r="A493" s="274" t="s">
        <v>164</v>
      </c>
      <c r="B493" s="139" t="s">
        <v>225</v>
      </c>
      <c r="C493" s="42">
        <v>0.54</v>
      </c>
      <c r="D493" s="43">
        <v>0</v>
      </c>
      <c r="E493" s="38">
        <f>'4D1_CH4_EF_DomesticWastewater'!$D$14</f>
        <v>0.3</v>
      </c>
      <c r="F493" s="107">
        <f>$M$29</f>
        <v>408599.39599999995</v>
      </c>
      <c r="G493" s="47"/>
      <c r="H493" s="47"/>
      <c r="I493" s="14">
        <f>((C493*D493*E493)*(F493-G493))-H493</f>
        <v>0</v>
      </c>
      <c r="J493" s="136">
        <f>I493/(10^6)</f>
        <v>0</v>
      </c>
    </row>
    <row r="494" spans="1:10">
      <c r="A494" s="275"/>
      <c r="B494" s="140" t="s">
        <v>226</v>
      </c>
      <c r="C494" s="44">
        <v>0.54</v>
      </c>
      <c r="D494" s="45">
        <v>0.47</v>
      </c>
      <c r="E494" s="37">
        <f>'4D1_CH4_EF_DomesticWastewater'!$D$23</f>
        <v>0.06</v>
      </c>
      <c r="F494" s="107">
        <f t="shared" ref="F494:F507" si="51">$M$29</f>
        <v>408599.39599999995</v>
      </c>
      <c r="G494" s="48"/>
      <c r="H494" s="48"/>
      <c r="I494" s="15">
        <f t="shared" ref="I494:I507" si="52">((C494*D494*E494)*(F494-G494))-H494</f>
        <v>6222.1516022879996</v>
      </c>
      <c r="J494" s="34">
        <f t="shared" ref="J494:J507" si="53">I494/(10^6)</f>
        <v>6.2221516022879994E-3</v>
      </c>
    </row>
    <row r="495" spans="1:10">
      <c r="A495" s="275"/>
      <c r="B495" s="137" t="s">
        <v>227</v>
      </c>
      <c r="C495" s="44">
        <v>0.54</v>
      </c>
      <c r="D495" s="45">
        <v>0</v>
      </c>
      <c r="E495" s="37">
        <f>'4D1_CH4_EF_DomesticWastewater'!$D$13</f>
        <v>0.06</v>
      </c>
      <c r="F495" s="107">
        <f t="shared" si="51"/>
        <v>408599.39599999995</v>
      </c>
      <c r="G495" s="48"/>
      <c r="H495" s="48"/>
      <c r="I495" s="15">
        <f t="shared" si="52"/>
        <v>0</v>
      </c>
      <c r="J495" s="34">
        <f t="shared" si="53"/>
        <v>0</v>
      </c>
    </row>
    <row r="496" spans="1:10">
      <c r="A496" s="261"/>
      <c r="B496" s="137" t="s">
        <v>228</v>
      </c>
      <c r="C496" s="44">
        <v>0.54</v>
      </c>
      <c r="D496" s="46">
        <v>0.1</v>
      </c>
      <c r="E496" s="37">
        <f>'4D1_CH4_EF_DomesticWastewater'!$D$14</f>
        <v>0.3</v>
      </c>
      <c r="F496" s="107">
        <f t="shared" si="51"/>
        <v>408599.39599999995</v>
      </c>
      <c r="G496" s="49"/>
      <c r="H496" s="49"/>
      <c r="I496" s="15">
        <f t="shared" si="52"/>
        <v>6619.3102152000001</v>
      </c>
      <c r="J496" s="34">
        <f t="shared" si="53"/>
        <v>6.6193102152E-3</v>
      </c>
    </row>
    <row r="497" spans="1:10">
      <c r="A497" s="261"/>
      <c r="B497" s="137" t="s">
        <v>229</v>
      </c>
      <c r="C497" s="44">
        <v>0.54</v>
      </c>
      <c r="D497" s="46">
        <v>0.43</v>
      </c>
      <c r="E497" s="37">
        <v>0</v>
      </c>
      <c r="F497" s="107">
        <f t="shared" si="51"/>
        <v>408599.39599999995</v>
      </c>
      <c r="G497" s="49"/>
      <c r="H497" s="49"/>
      <c r="I497" s="15">
        <f t="shared" si="52"/>
        <v>0</v>
      </c>
      <c r="J497" s="34">
        <f t="shared" si="53"/>
        <v>0</v>
      </c>
    </row>
    <row r="498" spans="1:10">
      <c r="A498" s="261" t="s">
        <v>165</v>
      </c>
      <c r="B498" s="137" t="s">
        <v>225</v>
      </c>
      <c r="C498" s="44">
        <v>0.12</v>
      </c>
      <c r="D498" s="46">
        <v>0.18</v>
      </c>
      <c r="E498" s="37">
        <f>'4D1_CH4_EF_DomesticWastewater'!$D$22</f>
        <v>0.3</v>
      </c>
      <c r="F498" s="107">
        <f t="shared" si="51"/>
        <v>408599.39599999995</v>
      </c>
      <c r="G498" s="49"/>
      <c r="H498" s="49"/>
      <c r="I498" s="15">
        <f t="shared" si="52"/>
        <v>2647.7240860799993</v>
      </c>
      <c r="J498" s="34">
        <f t="shared" si="53"/>
        <v>2.6477240860799992E-3</v>
      </c>
    </row>
    <row r="499" spans="1:10">
      <c r="A499" s="261"/>
      <c r="B499" s="137" t="s">
        <v>226</v>
      </c>
      <c r="C499" s="44">
        <v>0.12</v>
      </c>
      <c r="D499" s="46">
        <v>0.08</v>
      </c>
      <c r="E499" s="37">
        <f>'4D1_CH4_EF_DomesticWastewater'!$D$23</f>
        <v>0.06</v>
      </c>
      <c r="F499" s="107">
        <f t="shared" si="51"/>
        <v>408599.39599999995</v>
      </c>
      <c r="G499" s="49"/>
      <c r="H499" s="49"/>
      <c r="I499" s="15">
        <f t="shared" si="52"/>
        <v>235.35325209599992</v>
      </c>
      <c r="J499" s="34">
        <f t="shared" si="53"/>
        <v>2.3535325209599991E-4</v>
      </c>
    </row>
    <row r="500" spans="1:10">
      <c r="A500" s="261"/>
      <c r="B500" s="137" t="s">
        <v>227</v>
      </c>
      <c r="C500" s="44">
        <v>0.12</v>
      </c>
      <c r="D500" s="46">
        <v>0</v>
      </c>
      <c r="E500" s="37">
        <f>'4D1_CH4_EF_DomesticWastewater'!$D$13</f>
        <v>0.06</v>
      </c>
      <c r="F500" s="107">
        <f t="shared" si="51"/>
        <v>408599.39599999995</v>
      </c>
      <c r="G500" s="49"/>
      <c r="H500" s="49"/>
      <c r="I500" s="15">
        <f t="shared" si="52"/>
        <v>0</v>
      </c>
      <c r="J500" s="34">
        <f t="shared" si="53"/>
        <v>0</v>
      </c>
    </row>
    <row r="501" spans="1:10">
      <c r="A501" s="261"/>
      <c r="B501" s="137" t="s">
        <v>228</v>
      </c>
      <c r="C501" s="44">
        <v>0.12</v>
      </c>
      <c r="D501" s="46">
        <v>0.74</v>
      </c>
      <c r="E501" s="37">
        <f>'4D1_CH4_EF_DomesticWastewater'!$D$13</f>
        <v>0.06</v>
      </c>
      <c r="F501" s="107">
        <f t="shared" si="51"/>
        <v>408599.39599999995</v>
      </c>
      <c r="G501" s="49"/>
      <c r="H501" s="49"/>
      <c r="I501" s="15">
        <f t="shared" si="52"/>
        <v>2177.0175818879993</v>
      </c>
      <c r="J501" s="34">
        <f t="shared" si="53"/>
        <v>2.1770175818879994E-3</v>
      </c>
    </row>
    <row r="502" spans="1:10">
      <c r="A502" s="261"/>
      <c r="B502" s="137" t="s">
        <v>229</v>
      </c>
      <c r="C502" s="44">
        <v>0.12</v>
      </c>
      <c r="D502" s="46">
        <v>0</v>
      </c>
      <c r="E502" s="37">
        <v>0</v>
      </c>
      <c r="F502" s="107">
        <f t="shared" si="51"/>
        <v>408599.39599999995</v>
      </c>
      <c r="G502" s="49"/>
      <c r="H502" s="49"/>
      <c r="I502" s="15">
        <f t="shared" si="52"/>
        <v>0</v>
      </c>
      <c r="J502" s="34">
        <f t="shared" si="53"/>
        <v>0</v>
      </c>
    </row>
    <row r="503" spans="1:10">
      <c r="A503" s="261" t="s">
        <v>166</v>
      </c>
      <c r="B503" s="137" t="s">
        <v>225</v>
      </c>
      <c r="C503" s="44">
        <v>0.34</v>
      </c>
      <c r="D503" s="46">
        <v>0.14000000000000001</v>
      </c>
      <c r="E503" s="37">
        <f>'4D1_CH4_EF_DomesticWastewater'!$D$22</f>
        <v>0.3</v>
      </c>
      <c r="F503" s="107">
        <f t="shared" si="51"/>
        <v>408599.39599999995</v>
      </c>
      <c r="G503" s="49"/>
      <c r="H503" s="49"/>
      <c r="I503" s="15">
        <f t="shared" si="52"/>
        <v>5834.79937488</v>
      </c>
      <c r="J503" s="34">
        <f t="shared" si="53"/>
        <v>5.8347993748800002E-3</v>
      </c>
    </row>
    <row r="504" spans="1:10">
      <c r="A504" s="261"/>
      <c r="B504" s="137" t="s">
        <v>226</v>
      </c>
      <c r="C504" s="44">
        <v>0.34</v>
      </c>
      <c r="D504" s="46">
        <v>0.1</v>
      </c>
      <c r="E504" s="37">
        <f>'4D1_CH4_EF_DomesticWastewater'!$D$23</f>
        <v>0.06</v>
      </c>
      <c r="F504" s="107">
        <f t="shared" si="51"/>
        <v>408599.39599999995</v>
      </c>
      <c r="G504" s="49"/>
      <c r="H504" s="49"/>
      <c r="I504" s="15">
        <f t="shared" si="52"/>
        <v>833.54276784000001</v>
      </c>
      <c r="J504" s="34">
        <f t="shared" si="53"/>
        <v>8.3354276783999997E-4</v>
      </c>
    </row>
    <row r="505" spans="1:10">
      <c r="A505" s="261"/>
      <c r="B505" s="137" t="s">
        <v>227</v>
      </c>
      <c r="C505" s="44">
        <v>0.34</v>
      </c>
      <c r="D505" s="46">
        <v>0.03</v>
      </c>
      <c r="E505" s="37">
        <f>'4D1_CH4_EF_DomesticWastewater'!$D$13</f>
        <v>0.06</v>
      </c>
      <c r="F505" s="107">
        <f t="shared" si="51"/>
        <v>408599.39599999995</v>
      </c>
      <c r="G505" s="49"/>
      <c r="H505" s="49"/>
      <c r="I505" s="15">
        <f t="shared" si="52"/>
        <v>250.06283035199999</v>
      </c>
      <c r="J505" s="34">
        <f t="shared" si="53"/>
        <v>2.50062830352E-4</v>
      </c>
    </row>
    <row r="506" spans="1:10">
      <c r="A506" s="261"/>
      <c r="B506" s="137" t="s">
        <v>228</v>
      </c>
      <c r="C506" s="44">
        <v>0.34</v>
      </c>
      <c r="D506" s="46">
        <v>0.53</v>
      </c>
      <c r="E506" s="37">
        <f>'4D1_CH4_EF_DomesticWastewater'!$D$13</f>
        <v>0.06</v>
      </c>
      <c r="F506" s="107">
        <f t="shared" si="51"/>
        <v>408599.39599999995</v>
      </c>
      <c r="G506" s="49"/>
      <c r="H506" s="49"/>
      <c r="I506" s="15">
        <f t="shared" si="52"/>
        <v>4417.7766695519995</v>
      </c>
      <c r="J506" s="34">
        <f t="shared" si="53"/>
        <v>4.4177766695519998E-3</v>
      </c>
    </row>
    <row r="507" spans="1:10">
      <c r="A507" s="261"/>
      <c r="B507" s="137" t="s">
        <v>229</v>
      </c>
      <c r="C507" s="44">
        <v>0.34</v>
      </c>
      <c r="D507" s="46">
        <v>0.2</v>
      </c>
      <c r="E507" s="37">
        <v>0</v>
      </c>
      <c r="F507" s="107">
        <f t="shared" si="51"/>
        <v>408599.39599999995</v>
      </c>
      <c r="G507" s="49"/>
      <c r="H507" s="49"/>
      <c r="I507" s="15">
        <f t="shared" si="52"/>
        <v>0</v>
      </c>
      <c r="J507" s="34">
        <f t="shared" si="53"/>
        <v>0</v>
      </c>
    </row>
    <row r="508" spans="1:10">
      <c r="A508" s="276" t="s">
        <v>307</v>
      </c>
      <c r="B508" s="276"/>
      <c r="C508" s="276"/>
      <c r="D508" s="276"/>
      <c r="E508" s="276"/>
      <c r="F508" s="276"/>
      <c r="G508" s="276"/>
      <c r="H508" s="276"/>
      <c r="I508" s="108">
        <f>SUM(I493:I507)</f>
        <v>29237.738380175997</v>
      </c>
      <c r="J508" s="109">
        <f>SUM(J493:J507)</f>
        <v>2.9237738380175998E-2</v>
      </c>
    </row>
    <row r="511" spans="1:10">
      <c r="A511" s="277" t="s">
        <v>0</v>
      </c>
      <c r="B511" s="278"/>
      <c r="C511" s="196" t="s">
        <v>1</v>
      </c>
      <c r="D511" s="279"/>
      <c r="E511" s="279"/>
      <c r="F511" s="279"/>
      <c r="G511" s="279"/>
      <c r="H511" s="279"/>
      <c r="I511" s="279"/>
    </row>
    <row r="512" spans="1:10">
      <c r="A512" s="277" t="s">
        <v>2</v>
      </c>
      <c r="B512" s="278"/>
      <c r="C512" s="196" t="s">
        <v>117</v>
      </c>
      <c r="D512" s="279"/>
      <c r="E512" s="279"/>
      <c r="F512" s="279"/>
      <c r="G512" s="279"/>
      <c r="H512" s="279"/>
      <c r="I512" s="279"/>
    </row>
    <row r="513" spans="1:10">
      <c r="A513" s="277" t="s">
        <v>4</v>
      </c>
      <c r="B513" s="278"/>
      <c r="C513" s="196" t="s">
        <v>118</v>
      </c>
      <c r="D513" s="279"/>
      <c r="E513" s="279"/>
      <c r="F513" s="279"/>
      <c r="G513" s="279"/>
      <c r="H513" s="279"/>
      <c r="I513" s="279"/>
    </row>
    <row r="514" spans="1:10">
      <c r="A514" s="277" t="s">
        <v>6</v>
      </c>
      <c r="B514" s="278"/>
      <c r="C514" s="196" t="s">
        <v>145</v>
      </c>
      <c r="D514" s="279"/>
      <c r="E514" s="279"/>
      <c r="F514" s="279"/>
      <c r="G514" s="279"/>
      <c r="H514" s="279"/>
      <c r="I514" s="279"/>
    </row>
    <row r="515" spans="1:10">
      <c r="A515" s="250" t="s">
        <v>10</v>
      </c>
      <c r="B515" s="267"/>
      <c r="C515" s="267"/>
      <c r="D515" s="267"/>
      <c r="E515" s="267"/>
      <c r="F515" s="267"/>
      <c r="G515" s="267"/>
      <c r="H515" s="267"/>
      <c r="I515" s="267"/>
      <c r="J515" s="106"/>
    </row>
    <row r="516" spans="1:10">
      <c r="A516" s="138"/>
      <c r="B516" s="138"/>
      <c r="C516" s="7" t="s">
        <v>11</v>
      </c>
      <c r="D516" s="7" t="s">
        <v>12</v>
      </c>
      <c r="E516" s="7" t="s">
        <v>13</v>
      </c>
      <c r="F516" s="7" t="s">
        <v>14</v>
      </c>
      <c r="G516" s="7" t="s">
        <v>15</v>
      </c>
      <c r="H516" s="7" t="s">
        <v>58</v>
      </c>
      <c r="I516" s="7" t="s">
        <v>78</v>
      </c>
      <c r="J516" s="87" t="s">
        <v>79</v>
      </c>
    </row>
    <row r="517" spans="1:10" ht="51">
      <c r="A517" s="207" t="s">
        <v>146</v>
      </c>
      <c r="B517" s="207" t="s">
        <v>147</v>
      </c>
      <c r="C517" s="138" t="s">
        <v>148</v>
      </c>
      <c r="D517" s="138" t="s">
        <v>149</v>
      </c>
      <c r="E517" s="138" t="s">
        <v>150</v>
      </c>
      <c r="F517" s="138" t="s">
        <v>123</v>
      </c>
      <c r="G517" s="138" t="s">
        <v>151</v>
      </c>
      <c r="H517" s="138" t="s">
        <v>152</v>
      </c>
      <c r="I517" s="138" t="s">
        <v>153</v>
      </c>
      <c r="J517" s="138" t="s">
        <v>153</v>
      </c>
    </row>
    <row r="518" spans="1:10" ht="15.75">
      <c r="A518" s="207"/>
      <c r="B518" s="207"/>
      <c r="C518" s="135" t="s">
        <v>154</v>
      </c>
      <c r="D518" s="135" t="s">
        <v>155</v>
      </c>
      <c r="E518" s="135" t="s">
        <v>156</v>
      </c>
      <c r="F518" s="135" t="s">
        <v>127</v>
      </c>
      <c r="G518" s="135" t="s">
        <v>157</v>
      </c>
      <c r="H518" s="135" t="s">
        <v>158</v>
      </c>
      <c r="I518" s="135" t="s">
        <v>159</v>
      </c>
      <c r="J518" s="135" t="s">
        <v>159</v>
      </c>
    </row>
    <row r="519" spans="1:10" ht="28.5">
      <c r="A519" s="207"/>
      <c r="B519" s="207"/>
      <c r="C519" s="8" t="s">
        <v>44</v>
      </c>
      <c r="D519" s="8" t="s">
        <v>44</v>
      </c>
      <c r="E519" s="8" t="s">
        <v>142</v>
      </c>
      <c r="F519" s="8" t="s">
        <v>130</v>
      </c>
      <c r="G519" s="8" t="s">
        <v>130</v>
      </c>
      <c r="H519" s="8" t="s">
        <v>160</v>
      </c>
      <c r="I519" s="8" t="s">
        <v>160</v>
      </c>
      <c r="J519" s="8" t="s">
        <v>231</v>
      </c>
    </row>
    <row r="520" spans="1:10" ht="24.75" thickBot="1">
      <c r="A520" s="224"/>
      <c r="B520" s="224"/>
      <c r="C520" s="5"/>
      <c r="D520" s="5"/>
      <c r="E520" s="5" t="s">
        <v>161</v>
      </c>
      <c r="F520" s="5" t="s">
        <v>162</v>
      </c>
      <c r="G520" s="5"/>
      <c r="H520" s="5"/>
      <c r="I520" s="9" t="s">
        <v>163</v>
      </c>
      <c r="J520" s="35"/>
    </row>
    <row r="521" spans="1:10" ht="13.5" thickTop="1">
      <c r="A521" s="274" t="s">
        <v>164</v>
      </c>
      <c r="B521" s="139" t="s">
        <v>225</v>
      </c>
      <c r="C521" s="42">
        <v>0.54</v>
      </c>
      <c r="D521" s="43">
        <v>0</v>
      </c>
      <c r="E521" s="38">
        <f>'4D1_CH4_EF_DomesticWastewater'!$D$14</f>
        <v>0.3</v>
      </c>
      <c r="F521" s="107">
        <f>$M$30</f>
        <v>410856.11800000002</v>
      </c>
      <c r="G521" s="47"/>
      <c r="H521" s="47"/>
      <c r="I521" s="14">
        <f>((C521*D521*E521)*(F521-G521))-H521</f>
        <v>0</v>
      </c>
      <c r="J521" s="136">
        <f>I521/(10^6)</f>
        <v>0</v>
      </c>
    </row>
    <row r="522" spans="1:10">
      <c r="A522" s="275"/>
      <c r="B522" s="140" t="s">
        <v>226</v>
      </c>
      <c r="C522" s="44">
        <v>0.54</v>
      </c>
      <c r="D522" s="45">
        <v>0.47</v>
      </c>
      <c r="E522" s="37">
        <f>'4D1_CH4_EF_DomesticWastewater'!$D$23</f>
        <v>0.06</v>
      </c>
      <c r="F522" s="107">
        <f t="shared" ref="F522:F535" si="54">$M$30</f>
        <v>410856.11800000002</v>
      </c>
      <c r="G522" s="48"/>
      <c r="H522" s="48"/>
      <c r="I522" s="15">
        <f t="shared" ref="I522:I535" si="55">((C522*D522*E522)*(F522-G522))-H522</f>
        <v>6256.5169649039999</v>
      </c>
      <c r="J522" s="34">
        <f t="shared" ref="J522:J535" si="56">I522/(10^6)</f>
        <v>6.2565169649039997E-3</v>
      </c>
    </row>
    <row r="523" spans="1:10">
      <c r="A523" s="275"/>
      <c r="B523" s="137" t="s">
        <v>227</v>
      </c>
      <c r="C523" s="44">
        <v>0.54</v>
      </c>
      <c r="D523" s="45">
        <v>0</v>
      </c>
      <c r="E523" s="37">
        <f>'4D1_CH4_EF_DomesticWastewater'!$D$13</f>
        <v>0.06</v>
      </c>
      <c r="F523" s="107">
        <f t="shared" si="54"/>
        <v>410856.11800000002</v>
      </c>
      <c r="G523" s="48"/>
      <c r="H523" s="48"/>
      <c r="I523" s="15">
        <f t="shared" si="55"/>
        <v>0</v>
      </c>
      <c r="J523" s="34">
        <f t="shared" si="56"/>
        <v>0</v>
      </c>
    </row>
    <row r="524" spans="1:10">
      <c r="A524" s="261"/>
      <c r="B524" s="137" t="s">
        <v>228</v>
      </c>
      <c r="C524" s="44">
        <v>0.54</v>
      </c>
      <c r="D524" s="46">
        <v>0.1</v>
      </c>
      <c r="E524" s="37">
        <f>'4D1_CH4_EF_DomesticWastewater'!$D$14</f>
        <v>0.3</v>
      </c>
      <c r="F524" s="107">
        <f t="shared" si="54"/>
        <v>410856.11800000002</v>
      </c>
      <c r="G524" s="49"/>
      <c r="H524" s="49"/>
      <c r="I524" s="15">
        <f t="shared" si="55"/>
        <v>6655.8691116000009</v>
      </c>
      <c r="J524" s="34">
        <f t="shared" si="56"/>
        <v>6.655869111600001E-3</v>
      </c>
    </row>
    <row r="525" spans="1:10">
      <c r="A525" s="261"/>
      <c r="B525" s="137" t="s">
        <v>229</v>
      </c>
      <c r="C525" s="44">
        <v>0.54</v>
      </c>
      <c r="D525" s="46">
        <v>0.43</v>
      </c>
      <c r="E525" s="37">
        <v>0</v>
      </c>
      <c r="F525" s="107">
        <f t="shared" si="54"/>
        <v>410856.11800000002</v>
      </c>
      <c r="G525" s="49"/>
      <c r="H525" s="49"/>
      <c r="I525" s="15">
        <f t="shared" si="55"/>
        <v>0</v>
      </c>
      <c r="J525" s="34">
        <f t="shared" si="56"/>
        <v>0</v>
      </c>
    </row>
    <row r="526" spans="1:10">
      <c r="A526" s="261" t="s">
        <v>165</v>
      </c>
      <c r="B526" s="137" t="s">
        <v>225</v>
      </c>
      <c r="C526" s="44">
        <v>0.12</v>
      </c>
      <c r="D526" s="46">
        <v>0.18</v>
      </c>
      <c r="E526" s="37">
        <f>'4D1_CH4_EF_DomesticWastewater'!$D$22</f>
        <v>0.3</v>
      </c>
      <c r="F526" s="107">
        <f t="shared" si="54"/>
        <v>410856.11800000002</v>
      </c>
      <c r="G526" s="49"/>
      <c r="H526" s="49"/>
      <c r="I526" s="15">
        <f t="shared" si="55"/>
        <v>2662.3476446399995</v>
      </c>
      <c r="J526" s="34">
        <f t="shared" si="56"/>
        <v>2.6623476446399996E-3</v>
      </c>
    </row>
    <row r="527" spans="1:10">
      <c r="A527" s="261"/>
      <c r="B527" s="137" t="s">
        <v>226</v>
      </c>
      <c r="C527" s="44">
        <v>0.12</v>
      </c>
      <c r="D527" s="46">
        <v>0.08</v>
      </c>
      <c r="E527" s="37">
        <f>'4D1_CH4_EF_DomesticWastewater'!$D$23</f>
        <v>0.06</v>
      </c>
      <c r="F527" s="107">
        <f t="shared" si="54"/>
        <v>410856.11800000002</v>
      </c>
      <c r="G527" s="49"/>
      <c r="H527" s="49"/>
      <c r="I527" s="15">
        <f t="shared" si="55"/>
        <v>236.65312396799996</v>
      </c>
      <c r="J527" s="34">
        <f t="shared" si="56"/>
        <v>2.3665312396799995E-4</v>
      </c>
    </row>
    <row r="528" spans="1:10">
      <c r="A528" s="261"/>
      <c r="B528" s="137" t="s">
        <v>227</v>
      </c>
      <c r="C528" s="44">
        <v>0.12</v>
      </c>
      <c r="D528" s="46">
        <v>0</v>
      </c>
      <c r="E528" s="37">
        <f>'4D1_CH4_EF_DomesticWastewater'!$D$13</f>
        <v>0.06</v>
      </c>
      <c r="F528" s="107">
        <f t="shared" si="54"/>
        <v>410856.11800000002</v>
      </c>
      <c r="G528" s="49"/>
      <c r="H528" s="49"/>
      <c r="I528" s="15">
        <f t="shared" si="55"/>
        <v>0</v>
      </c>
      <c r="J528" s="34">
        <f t="shared" si="56"/>
        <v>0</v>
      </c>
    </row>
    <row r="529" spans="1:10">
      <c r="A529" s="261"/>
      <c r="B529" s="137" t="s">
        <v>228</v>
      </c>
      <c r="C529" s="44">
        <v>0.12</v>
      </c>
      <c r="D529" s="46">
        <v>0.74</v>
      </c>
      <c r="E529" s="37">
        <f>'4D1_CH4_EF_DomesticWastewater'!$D$13</f>
        <v>0.06</v>
      </c>
      <c r="F529" s="107">
        <f t="shared" si="54"/>
        <v>410856.11800000002</v>
      </c>
      <c r="G529" s="49"/>
      <c r="H529" s="49"/>
      <c r="I529" s="15">
        <f t="shared" si="55"/>
        <v>2189.0413967039999</v>
      </c>
      <c r="J529" s="34">
        <f t="shared" si="56"/>
        <v>2.189041396704E-3</v>
      </c>
    </row>
    <row r="530" spans="1:10">
      <c r="A530" s="261"/>
      <c r="B530" s="137" t="s">
        <v>229</v>
      </c>
      <c r="C530" s="44">
        <v>0.12</v>
      </c>
      <c r="D530" s="46">
        <v>0</v>
      </c>
      <c r="E530" s="37">
        <v>0</v>
      </c>
      <c r="F530" s="107">
        <f t="shared" si="54"/>
        <v>410856.11800000002</v>
      </c>
      <c r="G530" s="49"/>
      <c r="H530" s="49"/>
      <c r="I530" s="15">
        <f t="shared" si="55"/>
        <v>0</v>
      </c>
      <c r="J530" s="34">
        <f t="shared" si="56"/>
        <v>0</v>
      </c>
    </row>
    <row r="531" spans="1:10">
      <c r="A531" s="261" t="s">
        <v>166</v>
      </c>
      <c r="B531" s="137" t="s">
        <v>225</v>
      </c>
      <c r="C531" s="44">
        <v>0.34</v>
      </c>
      <c r="D531" s="46">
        <v>0.14000000000000001</v>
      </c>
      <c r="E531" s="37">
        <f>'4D1_CH4_EF_DomesticWastewater'!$D$22</f>
        <v>0.3</v>
      </c>
      <c r="F531" s="107">
        <f t="shared" si="54"/>
        <v>410856.11800000002</v>
      </c>
      <c r="G531" s="49"/>
      <c r="H531" s="49"/>
      <c r="I531" s="15">
        <f t="shared" si="55"/>
        <v>5867.0253650400018</v>
      </c>
      <c r="J531" s="34">
        <f t="shared" si="56"/>
        <v>5.8670253650400022E-3</v>
      </c>
    </row>
    <row r="532" spans="1:10">
      <c r="A532" s="261"/>
      <c r="B532" s="137" t="s">
        <v>226</v>
      </c>
      <c r="C532" s="44">
        <v>0.34</v>
      </c>
      <c r="D532" s="46">
        <v>0.1</v>
      </c>
      <c r="E532" s="37">
        <f>'4D1_CH4_EF_DomesticWastewater'!$D$23</f>
        <v>0.06</v>
      </c>
      <c r="F532" s="107">
        <f t="shared" si="54"/>
        <v>410856.11800000002</v>
      </c>
      <c r="G532" s="49"/>
      <c r="H532" s="49"/>
      <c r="I532" s="15">
        <f t="shared" si="55"/>
        <v>838.14648072000011</v>
      </c>
      <c r="J532" s="34">
        <f t="shared" si="56"/>
        <v>8.3814648072000016E-4</v>
      </c>
    </row>
    <row r="533" spans="1:10">
      <c r="A533" s="261"/>
      <c r="B533" s="137" t="s">
        <v>227</v>
      </c>
      <c r="C533" s="44">
        <v>0.34</v>
      </c>
      <c r="D533" s="46">
        <v>0.03</v>
      </c>
      <c r="E533" s="37">
        <f>'4D1_CH4_EF_DomesticWastewater'!$D$13</f>
        <v>0.06</v>
      </c>
      <c r="F533" s="107">
        <f t="shared" si="54"/>
        <v>410856.11800000002</v>
      </c>
      <c r="G533" s="49"/>
      <c r="H533" s="49"/>
      <c r="I533" s="15">
        <f t="shared" si="55"/>
        <v>251.44394421600001</v>
      </c>
      <c r="J533" s="34">
        <f t="shared" si="56"/>
        <v>2.51443944216E-4</v>
      </c>
    </row>
    <row r="534" spans="1:10">
      <c r="A534" s="261"/>
      <c r="B534" s="137" t="s">
        <v>228</v>
      </c>
      <c r="C534" s="44">
        <v>0.34</v>
      </c>
      <c r="D534" s="46">
        <v>0.53</v>
      </c>
      <c r="E534" s="37">
        <f>'4D1_CH4_EF_DomesticWastewater'!$D$13</f>
        <v>0.06</v>
      </c>
      <c r="F534" s="107">
        <f t="shared" si="54"/>
        <v>410856.11800000002</v>
      </c>
      <c r="G534" s="49"/>
      <c r="H534" s="49"/>
      <c r="I534" s="15">
        <f t="shared" si="55"/>
        <v>4442.1763478160001</v>
      </c>
      <c r="J534" s="34">
        <f t="shared" si="56"/>
        <v>4.4421763478159999E-3</v>
      </c>
    </row>
    <row r="535" spans="1:10">
      <c r="A535" s="261"/>
      <c r="B535" s="137" t="s">
        <v>229</v>
      </c>
      <c r="C535" s="44">
        <v>0.34</v>
      </c>
      <c r="D535" s="46">
        <v>0.2</v>
      </c>
      <c r="E535" s="37">
        <v>0</v>
      </c>
      <c r="F535" s="107">
        <f t="shared" si="54"/>
        <v>410856.11800000002</v>
      </c>
      <c r="G535" s="49"/>
      <c r="H535" s="49"/>
      <c r="I535" s="15">
        <f t="shared" si="55"/>
        <v>0</v>
      </c>
      <c r="J535" s="34">
        <f t="shared" si="56"/>
        <v>0</v>
      </c>
    </row>
    <row r="536" spans="1:10">
      <c r="A536" s="276" t="s">
        <v>308</v>
      </c>
      <c r="B536" s="276"/>
      <c r="C536" s="276"/>
      <c r="D536" s="276"/>
      <c r="E536" s="276"/>
      <c r="F536" s="276"/>
      <c r="G536" s="276"/>
      <c r="H536" s="276"/>
      <c r="I536" s="108">
        <f>SUM(I521:I535)</f>
        <v>29399.220379607999</v>
      </c>
      <c r="J536" s="109">
        <f>SUM(J521:J535)</f>
        <v>2.9399220379608005E-2</v>
      </c>
    </row>
    <row r="539" spans="1:10">
      <c r="A539" s="277" t="s">
        <v>0</v>
      </c>
      <c r="B539" s="278"/>
      <c r="C539" s="196" t="s">
        <v>1</v>
      </c>
      <c r="D539" s="279"/>
      <c r="E539" s="279"/>
      <c r="F539" s="279"/>
      <c r="G539" s="279"/>
      <c r="H539" s="279"/>
      <c r="I539" s="279"/>
    </row>
    <row r="540" spans="1:10">
      <c r="A540" s="277" t="s">
        <v>2</v>
      </c>
      <c r="B540" s="278"/>
      <c r="C540" s="196" t="s">
        <v>117</v>
      </c>
      <c r="D540" s="279"/>
      <c r="E540" s="279"/>
      <c r="F540" s="279"/>
      <c r="G540" s="279"/>
      <c r="H540" s="279"/>
      <c r="I540" s="279"/>
    </row>
    <row r="541" spans="1:10">
      <c r="A541" s="277" t="s">
        <v>4</v>
      </c>
      <c r="B541" s="278"/>
      <c r="C541" s="196" t="s">
        <v>118</v>
      </c>
      <c r="D541" s="279"/>
      <c r="E541" s="279"/>
      <c r="F541" s="279"/>
      <c r="G541" s="279"/>
      <c r="H541" s="279"/>
      <c r="I541" s="279"/>
    </row>
    <row r="542" spans="1:10">
      <c r="A542" s="277" t="s">
        <v>6</v>
      </c>
      <c r="B542" s="278"/>
      <c r="C542" s="196" t="s">
        <v>145</v>
      </c>
      <c r="D542" s="279"/>
      <c r="E542" s="279"/>
      <c r="F542" s="279"/>
      <c r="G542" s="279"/>
      <c r="H542" s="279"/>
      <c r="I542" s="279"/>
    </row>
    <row r="543" spans="1:10">
      <c r="A543" s="250" t="s">
        <v>10</v>
      </c>
      <c r="B543" s="267"/>
      <c r="C543" s="267"/>
      <c r="D543" s="267"/>
      <c r="E543" s="267"/>
      <c r="F543" s="267"/>
      <c r="G543" s="267"/>
      <c r="H543" s="267"/>
      <c r="I543" s="267"/>
      <c r="J543" s="106"/>
    </row>
    <row r="544" spans="1:10">
      <c r="A544" s="138"/>
      <c r="B544" s="138"/>
      <c r="C544" s="7" t="s">
        <v>11</v>
      </c>
      <c r="D544" s="7" t="s">
        <v>12</v>
      </c>
      <c r="E544" s="7" t="s">
        <v>13</v>
      </c>
      <c r="F544" s="7" t="s">
        <v>14</v>
      </c>
      <c r="G544" s="7" t="s">
        <v>15</v>
      </c>
      <c r="H544" s="7" t="s">
        <v>58</v>
      </c>
      <c r="I544" s="7" t="s">
        <v>78</v>
      </c>
      <c r="J544" s="87" t="s">
        <v>79</v>
      </c>
    </row>
    <row r="545" spans="1:10" ht="51">
      <c r="A545" s="207" t="s">
        <v>146</v>
      </c>
      <c r="B545" s="207" t="s">
        <v>147</v>
      </c>
      <c r="C545" s="138" t="s">
        <v>148</v>
      </c>
      <c r="D545" s="138" t="s">
        <v>149</v>
      </c>
      <c r="E545" s="138" t="s">
        <v>150</v>
      </c>
      <c r="F545" s="138" t="s">
        <v>123</v>
      </c>
      <c r="G545" s="138" t="s">
        <v>151</v>
      </c>
      <c r="H545" s="138" t="s">
        <v>152</v>
      </c>
      <c r="I545" s="138" t="s">
        <v>153</v>
      </c>
      <c r="J545" s="138" t="s">
        <v>153</v>
      </c>
    </row>
    <row r="546" spans="1:10" ht="15.75">
      <c r="A546" s="207"/>
      <c r="B546" s="207"/>
      <c r="C546" s="135" t="s">
        <v>154</v>
      </c>
      <c r="D546" s="135" t="s">
        <v>155</v>
      </c>
      <c r="E546" s="135" t="s">
        <v>156</v>
      </c>
      <c r="F546" s="135" t="s">
        <v>127</v>
      </c>
      <c r="G546" s="135" t="s">
        <v>157</v>
      </c>
      <c r="H546" s="135" t="s">
        <v>158</v>
      </c>
      <c r="I546" s="135" t="s">
        <v>159</v>
      </c>
      <c r="J546" s="135" t="s">
        <v>159</v>
      </c>
    </row>
    <row r="547" spans="1:10" ht="28.5">
      <c r="A547" s="207"/>
      <c r="B547" s="207"/>
      <c r="C547" s="8" t="s">
        <v>44</v>
      </c>
      <c r="D547" s="8" t="s">
        <v>44</v>
      </c>
      <c r="E547" s="8" t="s">
        <v>142</v>
      </c>
      <c r="F547" s="8" t="s">
        <v>130</v>
      </c>
      <c r="G547" s="8" t="s">
        <v>130</v>
      </c>
      <c r="H547" s="8" t="s">
        <v>160</v>
      </c>
      <c r="I547" s="8" t="s">
        <v>160</v>
      </c>
      <c r="J547" s="8" t="s">
        <v>231</v>
      </c>
    </row>
    <row r="548" spans="1:10" ht="24.75" thickBot="1">
      <c r="A548" s="224"/>
      <c r="B548" s="224"/>
      <c r="C548" s="5"/>
      <c r="D548" s="5"/>
      <c r="E548" s="5" t="s">
        <v>161</v>
      </c>
      <c r="F548" s="5" t="s">
        <v>162</v>
      </c>
      <c r="G548" s="5"/>
      <c r="H548" s="5"/>
      <c r="I548" s="9" t="s">
        <v>163</v>
      </c>
      <c r="J548" s="35"/>
    </row>
    <row r="549" spans="1:10" ht="13.5" thickTop="1">
      <c r="A549" s="274" t="s">
        <v>164</v>
      </c>
      <c r="B549" s="139" t="s">
        <v>225</v>
      </c>
      <c r="C549" s="42">
        <v>0.54</v>
      </c>
      <c r="D549" s="43">
        <v>0</v>
      </c>
      <c r="E549" s="38">
        <f>'4D1_CH4_EF_DomesticWastewater'!$D$14</f>
        <v>0.3</v>
      </c>
      <c r="F549" s="107">
        <f>$M$31</f>
        <v>413112.84</v>
      </c>
      <c r="G549" s="47"/>
      <c r="H549" s="47"/>
      <c r="I549" s="14">
        <f>((C549*D549*E549)*(F549-G549))-H549</f>
        <v>0</v>
      </c>
      <c r="J549" s="136">
        <f>I549/(10^6)</f>
        <v>0</v>
      </c>
    </row>
    <row r="550" spans="1:10">
      <c r="A550" s="275"/>
      <c r="B550" s="140" t="s">
        <v>226</v>
      </c>
      <c r="C550" s="44">
        <v>0.54</v>
      </c>
      <c r="D550" s="45">
        <v>0.47</v>
      </c>
      <c r="E550" s="37">
        <f>'4D1_CH4_EF_DomesticWastewater'!$D$23</f>
        <v>0.06</v>
      </c>
      <c r="F550" s="107">
        <f t="shared" ref="F550:F563" si="57">$M$31</f>
        <v>413112.84</v>
      </c>
      <c r="G550" s="48"/>
      <c r="H550" s="48"/>
      <c r="I550" s="15">
        <f t="shared" ref="I550:I563" si="58">((C550*D550*E550)*(F550-G550))-H550</f>
        <v>6290.8823275200002</v>
      </c>
      <c r="J550" s="34">
        <f t="shared" ref="J550:J563" si="59">I550/(10^6)</f>
        <v>6.2908823275200001E-3</v>
      </c>
    </row>
    <row r="551" spans="1:10">
      <c r="A551" s="275"/>
      <c r="B551" s="137" t="s">
        <v>227</v>
      </c>
      <c r="C551" s="44">
        <v>0.54</v>
      </c>
      <c r="D551" s="45">
        <v>0</v>
      </c>
      <c r="E551" s="37">
        <f>'4D1_CH4_EF_DomesticWastewater'!$D$13</f>
        <v>0.06</v>
      </c>
      <c r="F551" s="107">
        <f t="shared" si="57"/>
        <v>413112.84</v>
      </c>
      <c r="G551" s="48"/>
      <c r="H551" s="48"/>
      <c r="I551" s="15">
        <f t="shared" si="58"/>
        <v>0</v>
      </c>
      <c r="J551" s="34">
        <f t="shared" si="59"/>
        <v>0</v>
      </c>
    </row>
    <row r="552" spans="1:10">
      <c r="A552" s="261"/>
      <c r="B552" s="137" t="s">
        <v>228</v>
      </c>
      <c r="C552" s="44">
        <v>0.54</v>
      </c>
      <c r="D552" s="46">
        <v>0.1</v>
      </c>
      <c r="E552" s="37">
        <f>'4D1_CH4_EF_DomesticWastewater'!$D$14</f>
        <v>0.3</v>
      </c>
      <c r="F552" s="107">
        <f t="shared" si="57"/>
        <v>413112.84</v>
      </c>
      <c r="G552" s="49"/>
      <c r="H552" s="49"/>
      <c r="I552" s="15">
        <f t="shared" si="58"/>
        <v>6692.4280080000017</v>
      </c>
      <c r="J552" s="34">
        <f t="shared" si="59"/>
        <v>6.692428008000002E-3</v>
      </c>
    </row>
    <row r="553" spans="1:10">
      <c r="A553" s="261"/>
      <c r="B553" s="137" t="s">
        <v>229</v>
      </c>
      <c r="C553" s="44">
        <v>0.54</v>
      </c>
      <c r="D553" s="46">
        <v>0.43</v>
      </c>
      <c r="E553" s="37">
        <v>0</v>
      </c>
      <c r="F553" s="107">
        <f t="shared" si="57"/>
        <v>413112.84</v>
      </c>
      <c r="G553" s="49"/>
      <c r="H553" s="49"/>
      <c r="I553" s="15">
        <f t="shared" si="58"/>
        <v>0</v>
      </c>
      <c r="J553" s="34">
        <f t="shared" si="59"/>
        <v>0</v>
      </c>
    </row>
    <row r="554" spans="1:10">
      <c r="A554" s="261" t="s">
        <v>165</v>
      </c>
      <c r="B554" s="137" t="s">
        <v>225</v>
      </c>
      <c r="C554" s="44">
        <v>0.12</v>
      </c>
      <c r="D554" s="46">
        <v>0.18</v>
      </c>
      <c r="E554" s="37">
        <f>'4D1_CH4_EF_DomesticWastewater'!$D$22</f>
        <v>0.3</v>
      </c>
      <c r="F554" s="107">
        <f t="shared" si="57"/>
        <v>413112.84</v>
      </c>
      <c r="G554" s="49"/>
      <c r="H554" s="49"/>
      <c r="I554" s="15">
        <f t="shared" si="58"/>
        <v>2676.9712031999998</v>
      </c>
      <c r="J554" s="34">
        <f t="shared" si="59"/>
        <v>2.6769712031999996E-3</v>
      </c>
    </row>
    <row r="555" spans="1:10">
      <c r="A555" s="261"/>
      <c r="B555" s="137" t="s">
        <v>226</v>
      </c>
      <c r="C555" s="44">
        <v>0.12</v>
      </c>
      <c r="D555" s="46">
        <v>0.08</v>
      </c>
      <c r="E555" s="37">
        <f>'4D1_CH4_EF_DomesticWastewater'!$D$23</f>
        <v>0.06</v>
      </c>
      <c r="F555" s="107">
        <f t="shared" si="57"/>
        <v>413112.84</v>
      </c>
      <c r="G555" s="49"/>
      <c r="H555" s="49"/>
      <c r="I555" s="15">
        <f t="shared" si="58"/>
        <v>237.95299583999997</v>
      </c>
      <c r="J555" s="34">
        <f t="shared" si="59"/>
        <v>2.3795299583999997E-4</v>
      </c>
    </row>
    <row r="556" spans="1:10">
      <c r="A556" s="261"/>
      <c r="B556" s="137" t="s">
        <v>227</v>
      </c>
      <c r="C556" s="44">
        <v>0.12</v>
      </c>
      <c r="D556" s="46">
        <v>0</v>
      </c>
      <c r="E556" s="37">
        <f>'4D1_CH4_EF_DomesticWastewater'!$D$13</f>
        <v>0.06</v>
      </c>
      <c r="F556" s="107">
        <f t="shared" si="57"/>
        <v>413112.84</v>
      </c>
      <c r="G556" s="49"/>
      <c r="H556" s="49"/>
      <c r="I556" s="15">
        <f t="shared" si="58"/>
        <v>0</v>
      </c>
      <c r="J556" s="34">
        <f t="shared" si="59"/>
        <v>0</v>
      </c>
    </row>
    <row r="557" spans="1:10">
      <c r="A557" s="261"/>
      <c r="B557" s="137" t="s">
        <v>228</v>
      </c>
      <c r="C557" s="44">
        <v>0.12</v>
      </c>
      <c r="D557" s="46">
        <v>0.74</v>
      </c>
      <c r="E557" s="37">
        <f>'4D1_CH4_EF_DomesticWastewater'!$D$13</f>
        <v>0.06</v>
      </c>
      <c r="F557" s="107">
        <f t="shared" si="57"/>
        <v>413112.84</v>
      </c>
      <c r="G557" s="49"/>
      <c r="H557" s="49"/>
      <c r="I557" s="15">
        <f t="shared" si="58"/>
        <v>2201.06521152</v>
      </c>
      <c r="J557" s="34">
        <f t="shared" si="59"/>
        <v>2.2010652115200002E-3</v>
      </c>
    </row>
    <row r="558" spans="1:10">
      <c r="A558" s="261"/>
      <c r="B558" s="137" t="s">
        <v>229</v>
      </c>
      <c r="C558" s="44">
        <v>0.12</v>
      </c>
      <c r="D558" s="46">
        <v>0</v>
      </c>
      <c r="E558" s="37">
        <v>0</v>
      </c>
      <c r="F558" s="107">
        <f t="shared" si="57"/>
        <v>413112.84</v>
      </c>
      <c r="G558" s="49"/>
      <c r="H558" s="49"/>
      <c r="I558" s="15">
        <f t="shared" si="58"/>
        <v>0</v>
      </c>
      <c r="J558" s="34">
        <f t="shared" si="59"/>
        <v>0</v>
      </c>
    </row>
    <row r="559" spans="1:10">
      <c r="A559" s="261" t="s">
        <v>166</v>
      </c>
      <c r="B559" s="137" t="s">
        <v>225</v>
      </c>
      <c r="C559" s="44">
        <v>0.34</v>
      </c>
      <c r="D559" s="46">
        <v>0.14000000000000001</v>
      </c>
      <c r="E559" s="37">
        <f>'4D1_CH4_EF_DomesticWastewater'!$D$22</f>
        <v>0.3</v>
      </c>
      <c r="F559" s="107">
        <f t="shared" si="57"/>
        <v>413112.84</v>
      </c>
      <c r="G559" s="49"/>
      <c r="H559" s="49"/>
      <c r="I559" s="15">
        <f t="shared" si="58"/>
        <v>5899.2513552000019</v>
      </c>
      <c r="J559" s="34">
        <f t="shared" si="59"/>
        <v>5.8992513552000017E-3</v>
      </c>
    </row>
    <row r="560" spans="1:10">
      <c r="A560" s="261"/>
      <c r="B560" s="137" t="s">
        <v>226</v>
      </c>
      <c r="C560" s="44">
        <v>0.34</v>
      </c>
      <c r="D560" s="46">
        <v>0.1</v>
      </c>
      <c r="E560" s="37">
        <f>'4D1_CH4_EF_DomesticWastewater'!$D$23</f>
        <v>0.06</v>
      </c>
      <c r="F560" s="107">
        <f t="shared" si="57"/>
        <v>413112.84</v>
      </c>
      <c r="G560" s="49"/>
      <c r="H560" s="49"/>
      <c r="I560" s="15">
        <f t="shared" si="58"/>
        <v>842.7501936000001</v>
      </c>
      <c r="J560" s="34">
        <f t="shared" si="59"/>
        <v>8.4275019360000015E-4</v>
      </c>
    </row>
    <row r="561" spans="1:10">
      <c r="A561" s="261"/>
      <c r="B561" s="137" t="s">
        <v>227</v>
      </c>
      <c r="C561" s="44">
        <v>0.34</v>
      </c>
      <c r="D561" s="46">
        <v>0.03</v>
      </c>
      <c r="E561" s="37">
        <f>'4D1_CH4_EF_DomesticWastewater'!$D$13</f>
        <v>0.06</v>
      </c>
      <c r="F561" s="107">
        <f t="shared" si="57"/>
        <v>413112.84</v>
      </c>
      <c r="G561" s="49"/>
      <c r="H561" s="49"/>
      <c r="I561" s="15">
        <f t="shared" si="58"/>
        <v>252.82505808000002</v>
      </c>
      <c r="J561" s="34">
        <f t="shared" si="59"/>
        <v>2.5282505808000004E-4</v>
      </c>
    </row>
    <row r="562" spans="1:10">
      <c r="A562" s="261"/>
      <c r="B562" s="137" t="s">
        <v>228</v>
      </c>
      <c r="C562" s="44">
        <v>0.34</v>
      </c>
      <c r="D562" s="46">
        <v>0.53</v>
      </c>
      <c r="E562" s="37">
        <f>'4D1_CH4_EF_DomesticWastewater'!$D$13</f>
        <v>0.06</v>
      </c>
      <c r="F562" s="107">
        <f t="shared" si="57"/>
        <v>413112.84</v>
      </c>
      <c r="G562" s="49"/>
      <c r="H562" s="49"/>
      <c r="I562" s="15">
        <f t="shared" si="58"/>
        <v>4466.5760260800007</v>
      </c>
      <c r="J562" s="34">
        <f t="shared" si="59"/>
        <v>4.4665760260800009E-3</v>
      </c>
    </row>
    <row r="563" spans="1:10">
      <c r="A563" s="261"/>
      <c r="B563" s="137" t="s">
        <v>229</v>
      </c>
      <c r="C563" s="44">
        <v>0.34</v>
      </c>
      <c r="D563" s="46">
        <v>0.2</v>
      </c>
      <c r="E563" s="37">
        <v>0</v>
      </c>
      <c r="F563" s="107">
        <f t="shared" si="57"/>
        <v>413112.84</v>
      </c>
      <c r="G563" s="49"/>
      <c r="H563" s="49"/>
      <c r="I563" s="15">
        <f t="shared" si="58"/>
        <v>0</v>
      </c>
      <c r="J563" s="34">
        <f t="shared" si="59"/>
        <v>0</v>
      </c>
    </row>
    <row r="564" spans="1:10">
      <c r="A564" s="276" t="s">
        <v>309</v>
      </c>
      <c r="B564" s="276"/>
      <c r="C564" s="276"/>
      <c r="D564" s="276"/>
      <c r="E564" s="276"/>
      <c r="F564" s="276"/>
      <c r="G564" s="276"/>
      <c r="H564" s="276"/>
      <c r="I564" s="108">
        <f>SUM(I549:I563)</f>
        <v>29560.702379040009</v>
      </c>
      <c r="J564" s="109">
        <f>SUM(J549:J563)</f>
        <v>2.9560702379040009E-2</v>
      </c>
    </row>
  </sheetData>
  <mergeCells count="305">
    <mergeCell ref="L9:L11"/>
    <mergeCell ref="M9:M11"/>
    <mergeCell ref="N9:N11"/>
    <mergeCell ref="A27:H27"/>
    <mergeCell ref="A3:B3"/>
    <mergeCell ref="A5:B5"/>
    <mergeCell ref="A4:B4"/>
    <mergeCell ref="A22:A26"/>
    <mergeCell ref="A17:A21"/>
    <mergeCell ref="A12:A16"/>
    <mergeCell ref="A8:A11"/>
    <mergeCell ref="B8:B11"/>
    <mergeCell ref="A6:I6"/>
    <mergeCell ref="A35:B35"/>
    <mergeCell ref="C35:I35"/>
    <mergeCell ref="A36:B36"/>
    <mergeCell ref="C36:I36"/>
    <mergeCell ref="A37:B37"/>
    <mergeCell ref="C37:I37"/>
    <mergeCell ref="A1:B1"/>
    <mergeCell ref="C1:I1"/>
    <mergeCell ref="C2:I2"/>
    <mergeCell ref="C5:I5"/>
    <mergeCell ref="A2:B2"/>
    <mergeCell ref="C3:I3"/>
    <mergeCell ref="C4:I4"/>
    <mergeCell ref="A45:A49"/>
    <mergeCell ref="A50:A54"/>
    <mergeCell ref="A55:A59"/>
    <mergeCell ref="A60:H60"/>
    <mergeCell ref="A63:B63"/>
    <mergeCell ref="C63:I63"/>
    <mergeCell ref="A38:B38"/>
    <mergeCell ref="C38:I38"/>
    <mergeCell ref="A39:I39"/>
    <mergeCell ref="A41:A44"/>
    <mergeCell ref="B41:B44"/>
    <mergeCell ref="A67:I67"/>
    <mergeCell ref="A69:A72"/>
    <mergeCell ref="B69:B72"/>
    <mergeCell ref="A73:A77"/>
    <mergeCell ref="A78:A82"/>
    <mergeCell ref="A64:B64"/>
    <mergeCell ref="C64:I64"/>
    <mergeCell ref="A65:B65"/>
    <mergeCell ref="C65:I65"/>
    <mergeCell ref="A66:B66"/>
    <mergeCell ref="C66:I66"/>
    <mergeCell ref="A93:B93"/>
    <mergeCell ref="C93:I93"/>
    <mergeCell ref="A94:B94"/>
    <mergeCell ref="C94:I94"/>
    <mergeCell ref="A95:I95"/>
    <mergeCell ref="A83:A87"/>
    <mergeCell ref="A88:H88"/>
    <mergeCell ref="A91:B91"/>
    <mergeCell ref="C91:I91"/>
    <mergeCell ref="A92:B92"/>
    <mergeCell ref="C92:I92"/>
    <mergeCell ref="A116:H116"/>
    <mergeCell ref="A119:B119"/>
    <mergeCell ref="C119:I119"/>
    <mergeCell ref="A120:B120"/>
    <mergeCell ref="C120:I120"/>
    <mergeCell ref="A97:A100"/>
    <mergeCell ref="B97:B100"/>
    <mergeCell ref="A101:A105"/>
    <mergeCell ref="A106:A110"/>
    <mergeCell ref="A111:A115"/>
    <mergeCell ref="A125:A128"/>
    <mergeCell ref="B125:B128"/>
    <mergeCell ref="A129:A133"/>
    <mergeCell ref="A134:A138"/>
    <mergeCell ref="A139:A143"/>
    <mergeCell ref="A121:B121"/>
    <mergeCell ref="C121:I121"/>
    <mergeCell ref="A122:B122"/>
    <mergeCell ref="C122:I122"/>
    <mergeCell ref="A123:I123"/>
    <mergeCell ref="A149:B149"/>
    <mergeCell ref="C149:I149"/>
    <mergeCell ref="A150:B150"/>
    <mergeCell ref="C150:I150"/>
    <mergeCell ref="A151:I151"/>
    <mergeCell ref="A144:H144"/>
    <mergeCell ref="A147:B147"/>
    <mergeCell ref="C147:I147"/>
    <mergeCell ref="A148:B148"/>
    <mergeCell ref="C148:I148"/>
    <mergeCell ref="A172:H172"/>
    <mergeCell ref="A175:B175"/>
    <mergeCell ref="C175:I175"/>
    <mergeCell ref="A176:B176"/>
    <mergeCell ref="C176:I176"/>
    <mergeCell ref="A153:A156"/>
    <mergeCell ref="B153:B156"/>
    <mergeCell ref="A157:A161"/>
    <mergeCell ref="A162:A166"/>
    <mergeCell ref="A167:A171"/>
    <mergeCell ref="A181:A184"/>
    <mergeCell ref="B181:B184"/>
    <mergeCell ref="A185:A189"/>
    <mergeCell ref="A190:A194"/>
    <mergeCell ref="A195:A199"/>
    <mergeCell ref="A177:B177"/>
    <mergeCell ref="C177:I177"/>
    <mergeCell ref="A178:B178"/>
    <mergeCell ref="C178:I178"/>
    <mergeCell ref="A179:I179"/>
    <mergeCell ref="A205:B205"/>
    <mergeCell ref="C205:I205"/>
    <mergeCell ref="A206:B206"/>
    <mergeCell ref="C206:I206"/>
    <mergeCell ref="A207:I207"/>
    <mergeCell ref="A200:H200"/>
    <mergeCell ref="A203:B203"/>
    <mergeCell ref="C203:I203"/>
    <mergeCell ref="A204:B204"/>
    <mergeCell ref="C204:I204"/>
    <mergeCell ref="A228:H228"/>
    <mergeCell ref="A231:B231"/>
    <mergeCell ref="C231:I231"/>
    <mergeCell ref="A232:B232"/>
    <mergeCell ref="C232:I232"/>
    <mergeCell ref="A209:A212"/>
    <mergeCell ref="B209:B212"/>
    <mergeCell ref="A213:A217"/>
    <mergeCell ref="A218:A222"/>
    <mergeCell ref="A223:A227"/>
    <mergeCell ref="A237:A240"/>
    <mergeCell ref="B237:B240"/>
    <mergeCell ref="A241:A245"/>
    <mergeCell ref="A246:A250"/>
    <mergeCell ref="A251:A255"/>
    <mergeCell ref="A233:B233"/>
    <mergeCell ref="C233:I233"/>
    <mergeCell ref="A234:B234"/>
    <mergeCell ref="C234:I234"/>
    <mergeCell ref="A235:I235"/>
    <mergeCell ref="A261:B261"/>
    <mergeCell ref="C261:I261"/>
    <mergeCell ref="A262:B262"/>
    <mergeCell ref="C262:I262"/>
    <mergeCell ref="A263:I263"/>
    <mergeCell ref="A256:H256"/>
    <mergeCell ref="A259:B259"/>
    <mergeCell ref="C259:I259"/>
    <mergeCell ref="A260:B260"/>
    <mergeCell ref="C260:I260"/>
    <mergeCell ref="A284:H284"/>
    <mergeCell ref="A287:B287"/>
    <mergeCell ref="C287:I287"/>
    <mergeCell ref="A288:B288"/>
    <mergeCell ref="C288:I288"/>
    <mergeCell ref="A265:A268"/>
    <mergeCell ref="B265:B268"/>
    <mergeCell ref="A269:A273"/>
    <mergeCell ref="A274:A278"/>
    <mergeCell ref="A279:A283"/>
    <mergeCell ref="A312:H312"/>
    <mergeCell ref="A293:A296"/>
    <mergeCell ref="B293:B296"/>
    <mergeCell ref="A297:A301"/>
    <mergeCell ref="A302:A306"/>
    <mergeCell ref="A307:A311"/>
    <mergeCell ref="A289:B289"/>
    <mergeCell ref="C289:I289"/>
    <mergeCell ref="A290:B290"/>
    <mergeCell ref="C290:I290"/>
    <mergeCell ref="A291:I291"/>
    <mergeCell ref="A315:B315"/>
    <mergeCell ref="C315:I315"/>
    <mergeCell ref="A316:B316"/>
    <mergeCell ref="C316:I316"/>
    <mergeCell ref="A317:B317"/>
    <mergeCell ref="C317:I317"/>
    <mergeCell ref="A318:B318"/>
    <mergeCell ref="C318:I318"/>
    <mergeCell ref="A319:I319"/>
    <mergeCell ref="A321:A324"/>
    <mergeCell ref="B321:B324"/>
    <mergeCell ref="A325:A329"/>
    <mergeCell ref="A330:A334"/>
    <mergeCell ref="A335:A339"/>
    <mergeCell ref="A340:H340"/>
    <mergeCell ref="A343:B343"/>
    <mergeCell ref="C343:I343"/>
    <mergeCell ref="A344:B344"/>
    <mergeCell ref="C344:I344"/>
    <mergeCell ref="A345:B345"/>
    <mergeCell ref="C345:I345"/>
    <mergeCell ref="A346:B346"/>
    <mergeCell ref="C346:I346"/>
    <mergeCell ref="A347:I347"/>
    <mergeCell ref="A349:A352"/>
    <mergeCell ref="B349:B352"/>
    <mergeCell ref="A353:A357"/>
    <mergeCell ref="A358:A362"/>
    <mergeCell ref="A363:A367"/>
    <mergeCell ref="A368:H368"/>
    <mergeCell ref="A371:B371"/>
    <mergeCell ref="C371:I371"/>
    <mergeCell ref="A372:B372"/>
    <mergeCell ref="C372:I372"/>
    <mergeCell ref="A373:B373"/>
    <mergeCell ref="C373:I373"/>
    <mergeCell ref="A374:B374"/>
    <mergeCell ref="C374:I374"/>
    <mergeCell ref="A375:I375"/>
    <mergeCell ref="A377:A380"/>
    <mergeCell ref="B377:B380"/>
    <mergeCell ref="A381:A385"/>
    <mergeCell ref="A386:A390"/>
    <mergeCell ref="A391:A395"/>
    <mergeCell ref="A396:H396"/>
    <mergeCell ref="A399:B399"/>
    <mergeCell ref="C399:I399"/>
    <mergeCell ref="A400:B400"/>
    <mergeCell ref="C400:I400"/>
    <mergeCell ref="A401:B401"/>
    <mergeCell ref="C401:I401"/>
    <mergeCell ref="A402:B402"/>
    <mergeCell ref="C402:I402"/>
    <mergeCell ref="A403:I403"/>
    <mergeCell ref="A405:A408"/>
    <mergeCell ref="B405:B408"/>
    <mergeCell ref="A409:A413"/>
    <mergeCell ref="A414:A418"/>
    <mergeCell ref="A419:A423"/>
    <mergeCell ref="A424:H424"/>
    <mergeCell ref="A427:B427"/>
    <mergeCell ref="C427:I427"/>
    <mergeCell ref="A428:B428"/>
    <mergeCell ref="C428:I428"/>
    <mergeCell ref="A429:B429"/>
    <mergeCell ref="C429:I429"/>
    <mergeCell ref="A430:B430"/>
    <mergeCell ref="C430:I430"/>
    <mergeCell ref="A431:I431"/>
    <mergeCell ref="A433:A436"/>
    <mergeCell ref="B433:B436"/>
    <mergeCell ref="A437:A441"/>
    <mergeCell ref="A442:A446"/>
    <mergeCell ref="A447:A451"/>
    <mergeCell ref="A452:H452"/>
    <mergeCell ref="A455:B455"/>
    <mergeCell ref="C455:I455"/>
    <mergeCell ref="A456:B456"/>
    <mergeCell ref="C456:I456"/>
    <mergeCell ref="A457:B457"/>
    <mergeCell ref="C457:I457"/>
    <mergeCell ref="A458:B458"/>
    <mergeCell ref="C458:I458"/>
    <mergeCell ref="A459:I459"/>
    <mergeCell ref="A461:A464"/>
    <mergeCell ref="B461:B464"/>
    <mergeCell ref="A465:A469"/>
    <mergeCell ref="A470:A474"/>
    <mergeCell ref="A475:A479"/>
    <mergeCell ref="A480:H480"/>
    <mergeCell ref="A483:B483"/>
    <mergeCell ref="C483:I483"/>
    <mergeCell ref="A484:B484"/>
    <mergeCell ref="C484:I484"/>
    <mergeCell ref="A485:B485"/>
    <mergeCell ref="C485:I485"/>
    <mergeCell ref="A486:B486"/>
    <mergeCell ref="C486:I486"/>
    <mergeCell ref="A487:I487"/>
    <mergeCell ref="A489:A492"/>
    <mergeCell ref="B489:B492"/>
    <mergeCell ref="A493:A497"/>
    <mergeCell ref="A498:A502"/>
    <mergeCell ref="A503:A507"/>
    <mergeCell ref="A508:H508"/>
    <mergeCell ref="A511:B511"/>
    <mergeCell ref="C511:I511"/>
    <mergeCell ref="A512:B512"/>
    <mergeCell ref="C512:I512"/>
    <mergeCell ref="A513:B513"/>
    <mergeCell ref="C513:I513"/>
    <mergeCell ref="A514:B514"/>
    <mergeCell ref="C514:I514"/>
    <mergeCell ref="A515:I515"/>
    <mergeCell ref="A517:A520"/>
    <mergeCell ref="B517:B520"/>
    <mergeCell ref="A521:A525"/>
    <mergeCell ref="A526:A530"/>
    <mergeCell ref="A531:A535"/>
    <mergeCell ref="A536:H536"/>
    <mergeCell ref="A539:B539"/>
    <mergeCell ref="C539:I539"/>
    <mergeCell ref="A549:A553"/>
    <mergeCell ref="A554:A558"/>
    <mergeCell ref="A559:A563"/>
    <mergeCell ref="A564:H564"/>
    <mergeCell ref="A540:B540"/>
    <mergeCell ref="C540:I540"/>
    <mergeCell ref="A541:B541"/>
    <mergeCell ref="C541:I541"/>
    <mergeCell ref="A542:B542"/>
    <mergeCell ref="C542:I542"/>
    <mergeCell ref="A543:I543"/>
    <mergeCell ref="A545:A548"/>
    <mergeCell ref="B545:B548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0070C0"/>
  </sheetPr>
  <dimension ref="A2:H32"/>
  <sheetViews>
    <sheetView tabSelected="1" topLeftCell="A11" zoomScaleNormal="100" workbookViewId="0">
      <selection activeCell="B26" sqref="B26"/>
    </sheetView>
  </sheetViews>
  <sheetFormatPr defaultRowHeight="12.75"/>
  <cols>
    <col min="1" max="1" width="18.42578125" style="6" customWidth="1"/>
    <col min="2" max="2" width="14.5703125" style="6" customWidth="1"/>
    <col min="3" max="3" width="16.140625" style="6" customWidth="1"/>
    <col min="4" max="4" width="14" style="6" customWidth="1"/>
    <col min="5" max="7" width="14.5703125" style="6" customWidth="1"/>
    <col min="8" max="8" width="26.140625" style="6" customWidth="1"/>
    <col min="9" max="10" width="9.140625" style="6"/>
    <col min="11" max="11" width="12.5703125" style="6" customWidth="1"/>
    <col min="12" max="12" width="9.140625" style="6"/>
    <col min="13" max="13" width="11.28515625" style="6" customWidth="1"/>
    <col min="14" max="16384" width="9.140625" style="6"/>
  </cols>
  <sheetData>
    <row r="2" spans="1:8">
      <c r="A2" s="75" t="s">
        <v>0</v>
      </c>
      <c r="B2" s="196" t="s">
        <v>1</v>
      </c>
      <c r="C2" s="196"/>
      <c r="D2" s="196"/>
      <c r="E2" s="196"/>
      <c r="F2" s="196"/>
      <c r="G2" s="196"/>
      <c r="H2" s="196"/>
    </row>
    <row r="3" spans="1:8">
      <c r="A3" s="75" t="s">
        <v>2</v>
      </c>
      <c r="B3" s="196" t="s">
        <v>117</v>
      </c>
      <c r="C3" s="196"/>
      <c r="D3" s="196"/>
      <c r="E3" s="196"/>
      <c r="F3" s="196"/>
      <c r="G3" s="196"/>
      <c r="H3" s="196"/>
    </row>
    <row r="4" spans="1:8">
      <c r="A4" s="75" t="s">
        <v>4</v>
      </c>
      <c r="B4" s="196" t="s">
        <v>118</v>
      </c>
      <c r="C4" s="196"/>
      <c r="D4" s="196"/>
      <c r="E4" s="196"/>
      <c r="F4" s="196"/>
      <c r="G4" s="196"/>
      <c r="H4" s="196"/>
    </row>
    <row r="5" spans="1:8">
      <c r="A5" s="75" t="s">
        <v>6</v>
      </c>
      <c r="B5" s="196" t="s">
        <v>167</v>
      </c>
      <c r="C5" s="196"/>
      <c r="D5" s="196"/>
      <c r="E5" s="196"/>
      <c r="F5" s="196"/>
      <c r="G5" s="196"/>
      <c r="H5" s="196"/>
    </row>
    <row r="6" spans="1:8">
      <c r="A6" s="112"/>
      <c r="B6" s="284"/>
      <c r="C6" s="284"/>
      <c r="D6" s="284"/>
      <c r="E6" s="284"/>
      <c r="F6" s="284"/>
      <c r="G6" s="284"/>
      <c r="H6" s="284"/>
    </row>
    <row r="7" spans="1:8">
      <c r="A7" s="50"/>
      <c r="B7" s="10" t="s">
        <v>11</v>
      </c>
      <c r="C7" s="10" t="s">
        <v>12</v>
      </c>
      <c r="D7" s="10" t="s">
        <v>13</v>
      </c>
      <c r="E7" s="10" t="s">
        <v>14</v>
      </c>
      <c r="F7" s="10" t="s">
        <v>15</v>
      </c>
      <c r="G7" s="10" t="s">
        <v>58</v>
      </c>
      <c r="H7" s="10" t="s">
        <v>79</v>
      </c>
    </row>
    <row r="8" spans="1:8" ht="66.75" customHeight="1">
      <c r="A8" s="12"/>
      <c r="B8" s="51" t="s">
        <v>59</v>
      </c>
      <c r="C8" s="51" t="s">
        <v>168</v>
      </c>
      <c r="D8" s="51" t="s">
        <v>169</v>
      </c>
      <c r="E8" s="51" t="s">
        <v>170</v>
      </c>
      <c r="F8" s="51" t="s">
        <v>171</v>
      </c>
      <c r="G8" s="51" t="s">
        <v>187</v>
      </c>
      <c r="H8" s="51" t="s">
        <v>172</v>
      </c>
    </row>
    <row r="9" spans="1:8" ht="15.75">
      <c r="A9" s="1"/>
      <c r="B9" s="1" t="s">
        <v>124</v>
      </c>
      <c r="C9" s="1" t="s">
        <v>173</v>
      </c>
      <c r="D9" s="1" t="s">
        <v>174</v>
      </c>
      <c r="E9" s="1" t="s">
        <v>175</v>
      </c>
      <c r="F9" s="1" t="s">
        <v>176</v>
      </c>
      <c r="G9" s="1" t="s">
        <v>177</v>
      </c>
      <c r="H9" s="1" t="s">
        <v>178</v>
      </c>
    </row>
    <row r="10" spans="1:8" ht="25.5">
      <c r="A10" s="10" t="s">
        <v>179</v>
      </c>
      <c r="B10" s="10" t="s">
        <v>180</v>
      </c>
      <c r="C10" s="7" t="s">
        <v>181</v>
      </c>
      <c r="D10" s="10" t="s">
        <v>182</v>
      </c>
      <c r="E10" s="7" t="s">
        <v>183</v>
      </c>
      <c r="F10" s="7" t="s">
        <v>183</v>
      </c>
      <c r="G10" s="7" t="s">
        <v>184</v>
      </c>
      <c r="H10" s="10" t="s">
        <v>185</v>
      </c>
    </row>
    <row r="11" spans="1:8">
      <c r="A11" s="50"/>
      <c r="B11" s="50"/>
      <c r="C11" s="50"/>
      <c r="D11" s="51"/>
      <c r="E11" s="51"/>
      <c r="F11" s="51"/>
      <c r="G11" s="51"/>
      <c r="H11" s="51" t="s">
        <v>186</v>
      </c>
    </row>
    <row r="12" spans="1:8">
      <c r="A12" s="10">
        <f>'4B_N2O emission'!B12</f>
        <v>2011</v>
      </c>
      <c r="B12" s="113">
        <f>'4C1_Amount_Waste_OpenBurned'!B12</f>
        <v>25319</v>
      </c>
      <c r="C12" s="114">
        <v>20.54</v>
      </c>
      <c r="D12" s="10">
        <v>0.16</v>
      </c>
      <c r="E12" s="10">
        <v>1.1000000000000001</v>
      </c>
      <c r="F12" s="10">
        <v>1.25</v>
      </c>
      <c r="G12" s="10">
        <v>0</v>
      </c>
      <c r="H12" s="115">
        <f>(B12*C12*D12*E12*F12)-G12</f>
        <v>114411.4972</v>
      </c>
    </row>
    <row r="13" spans="1:8">
      <c r="A13" s="10">
        <f>'4B_N2O emission'!B13</f>
        <v>2012</v>
      </c>
      <c r="B13" s="113">
        <f>'4C1_Amount_Waste_OpenBurned'!B13</f>
        <v>25522</v>
      </c>
      <c r="C13" s="114">
        <v>19.8</v>
      </c>
      <c r="D13" s="10">
        <v>0.16</v>
      </c>
      <c r="E13" s="10">
        <v>1.1000000000000001</v>
      </c>
      <c r="F13" s="10">
        <v>1.25</v>
      </c>
      <c r="G13" s="10">
        <v>0</v>
      </c>
      <c r="H13" s="115">
        <f t="shared" ref="H13:H32" si="0">(B13*C13*D13*E13*F13)-G13</f>
        <v>111173.83200000002</v>
      </c>
    </row>
    <row r="14" spans="1:8">
      <c r="A14" s="10">
        <f>'4B_N2O emission'!B14</f>
        <v>2013</v>
      </c>
      <c r="B14" s="113">
        <f>'4C1_Amount_Waste_OpenBurned'!B14</f>
        <v>25678</v>
      </c>
      <c r="C14" s="114">
        <v>19.52</v>
      </c>
      <c r="D14" s="10">
        <v>0.16</v>
      </c>
      <c r="E14" s="10">
        <v>1.1000000000000001</v>
      </c>
      <c r="F14" s="10">
        <v>1.25</v>
      </c>
      <c r="G14" s="10">
        <v>0</v>
      </c>
      <c r="H14" s="115">
        <f t="shared" si="0"/>
        <v>110271.60320000001</v>
      </c>
    </row>
    <row r="15" spans="1:8">
      <c r="A15" s="10">
        <f>'4B_N2O emission'!B15</f>
        <v>2014</v>
      </c>
      <c r="B15" s="113">
        <f>'4C1_Amount_Waste_OpenBurned'!B15</f>
        <v>25894</v>
      </c>
      <c r="C15" s="184">
        <f>AVERAGE(C12:C14)</f>
        <v>19.953333333333333</v>
      </c>
      <c r="D15" s="10">
        <v>0.16</v>
      </c>
      <c r="E15" s="10">
        <v>1.1000000000000001</v>
      </c>
      <c r="F15" s="10">
        <v>1.25</v>
      </c>
      <c r="G15" s="10">
        <v>0</v>
      </c>
      <c r="H15" s="115">
        <f t="shared" si="0"/>
        <v>113667.75493333334</v>
      </c>
    </row>
    <row r="16" spans="1:8">
      <c r="A16" s="10">
        <f>'4B_N2O emission'!B16</f>
        <v>2015</v>
      </c>
      <c r="B16" s="113">
        <f>'4C1_Amount_Waste_OpenBurned'!B16</f>
        <v>25970</v>
      </c>
      <c r="C16" s="184">
        <f>C15</f>
        <v>19.953333333333333</v>
      </c>
      <c r="D16" s="10">
        <v>0.16</v>
      </c>
      <c r="E16" s="10">
        <v>1.1000000000000001</v>
      </c>
      <c r="F16" s="10">
        <v>1.25</v>
      </c>
      <c r="G16" s="10">
        <v>0</v>
      </c>
      <c r="H16" s="115">
        <f t="shared" si="0"/>
        <v>114001.37466666668</v>
      </c>
    </row>
    <row r="17" spans="1:8">
      <c r="A17" s="10">
        <f>'4B_N2O emission'!B17</f>
        <v>2016</v>
      </c>
      <c r="B17" s="113">
        <f>'4C1_Amount_Waste_OpenBurned'!B17</f>
        <v>26089</v>
      </c>
      <c r="C17" s="184">
        <f t="shared" ref="C17:C31" si="1">C16</f>
        <v>19.953333333333333</v>
      </c>
      <c r="D17" s="10">
        <v>0.16</v>
      </c>
      <c r="E17" s="10">
        <v>1.1000000000000001</v>
      </c>
      <c r="F17" s="10">
        <v>1.25</v>
      </c>
      <c r="G17" s="10">
        <v>0</v>
      </c>
      <c r="H17" s="115">
        <f t="shared" si="0"/>
        <v>114523.75293333334</v>
      </c>
    </row>
    <row r="18" spans="1:8">
      <c r="A18" s="10">
        <f>'4B_N2O emission'!B18</f>
        <v>2017</v>
      </c>
      <c r="B18" s="113">
        <f>'4C1_Amount_Waste_OpenBurned'!B18</f>
        <v>26285.99</v>
      </c>
      <c r="C18" s="184">
        <f t="shared" si="1"/>
        <v>19.953333333333333</v>
      </c>
      <c r="D18" s="10">
        <v>0.16</v>
      </c>
      <c r="E18" s="10">
        <v>1.1000000000000001</v>
      </c>
      <c r="F18" s="10">
        <v>1.25</v>
      </c>
      <c r="G18" s="10">
        <v>0</v>
      </c>
      <c r="H18" s="115">
        <f t="shared" si="0"/>
        <v>115388.48650266667</v>
      </c>
    </row>
    <row r="19" spans="1:8">
      <c r="A19" s="10">
        <f>'4B_N2O emission'!B19</f>
        <v>2018</v>
      </c>
      <c r="B19" s="113">
        <f>'4C1_Amount_Waste_OpenBurned'!B19</f>
        <v>26440.560000000001</v>
      </c>
      <c r="C19" s="184">
        <f t="shared" si="1"/>
        <v>19.953333333333333</v>
      </c>
      <c r="D19" s="10">
        <v>0.16</v>
      </c>
      <c r="E19" s="10">
        <v>1.1000000000000001</v>
      </c>
      <c r="F19" s="10">
        <v>1.25</v>
      </c>
      <c r="G19" s="10">
        <v>0</v>
      </c>
      <c r="H19" s="115">
        <f t="shared" si="0"/>
        <v>116067.00758400002</v>
      </c>
    </row>
    <row r="20" spans="1:8">
      <c r="A20" s="10">
        <f>'4B_N2O emission'!B20</f>
        <v>2019</v>
      </c>
      <c r="B20" s="113">
        <f>'4C1_Amount_Waste_OpenBurned'!B20</f>
        <v>26595.13</v>
      </c>
      <c r="C20" s="184">
        <f t="shared" si="1"/>
        <v>19.953333333333333</v>
      </c>
      <c r="D20" s="10">
        <v>0.16</v>
      </c>
      <c r="E20" s="10">
        <v>1.1000000000000001</v>
      </c>
      <c r="F20" s="10">
        <v>1.25</v>
      </c>
      <c r="G20" s="10">
        <v>0</v>
      </c>
      <c r="H20" s="115">
        <f t="shared" si="0"/>
        <v>116745.52866533335</v>
      </c>
    </row>
    <row r="21" spans="1:8">
      <c r="A21" s="10">
        <f>'4B_N2O emission'!B21</f>
        <v>2020</v>
      </c>
      <c r="B21" s="113">
        <f>'4C1_Amount_Waste_OpenBurned'!B21</f>
        <v>26749.7</v>
      </c>
      <c r="C21" s="184">
        <f t="shared" si="1"/>
        <v>19.953333333333333</v>
      </c>
      <c r="D21" s="10">
        <v>0.16</v>
      </c>
      <c r="E21" s="10">
        <v>1.1000000000000001</v>
      </c>
      <c r="F21" s="10">
        <v>1.25</v>
      </c>
      <c r="G21" s="10">
        <v>0</v>
      </c>
      <c r="H21" s="115">
        <f t="shared" si="0"/>
        <v>117424.04974666669</v>
      </c>
    </row>
    <row r="22" spans="1:8">
      <c r="A22" s="10">
        <f>'4B_N2O emission'!B22</f>
        <v>2021</v>
      </c>
      <c r="B22" s="113">
        <f>'4C1_Amount_Waste_OpenBurned'!B22</f>
        <v>26904.27</v>
      </c>
      <c r="C22" s="184">
        <f t="shared" si="1"/>
        <v>19.953333333333333</v>
      </c>
      <c r="D22" s="10">
        <v>0.16</v>
      </c>
      <c r="E22" s="10">
        <v>1.1000000000000001</v>
      </c>
      <c r="F22" s="10">
        <v>1.25</v>
      </c>
      <c r="G22" s="10">
        <v>0</v>
      </c>
      <c r="H22" s="115">
        <f t="shared" si="0"/>
        <v>118102.57082800001</v>
      </c>
    </row>
    <row r="23" spans="1:8">
      <c r="A23" s="10">
        <f>'4B_N2O emission'!B23</f>
        <v>2022</v>
      </c>
      <c r="B23" s="113">
        <f>'4C1_Amount_Waste_OpenBurned'!B23</f>
        <v>27058.84</v>
      </c>
      <c r="C23" s="184">
        <f t="shared" si="1"/>
        <v>19.953333333333333</v>
      </c>
      <c r="D23" s="10">
        <v>0.16</v>
      </c>
      <c r="E23" s="10">
        <v>1.1000000000000001</v>
      </c>
      <c r="F23" s="10">
        <v>1.25</v>
      </c>
      <c r="G23" s="10">
        <v>0</v>
      </c>
      <c r="H23" s="115">
        <f t="shared" si="0"/>
        <v>118781.09190933335</v>
      </c>
    </row>
    <row r="24" spans="1:8">
      <c r="A24" s="10">
        <f>'4B_N2O emission'!B24</f>
        <v>2023</v>
      </c>
      <c r="B24" s="113">
        <f>'4C1_Amount_Waste_OpenBurned'!B24</f>
        <v>27213.41</v>
      </c>
      <c r="C24" s="184">
        <f t="shared" si="1"/>
        <v>19.953333333333333</v>
      </c>
      <c r="D24" s="10">
        <v>0.16</v>
      </c>
      <c r="E24" s="10">
        <v>1.1000000000000001</v>
      </c>
      <c r="F24" s="10">
        <v>1.25</v>
      </c>
      <c r="G24" s="10">
        <v>0</v>
      </c>
      <c r="H24" s="115">
        <f t="shared" si="0"/>
        <v>119459.61299066668</v>
      </c>
    </row>
    <row r="25" spans="1:8">
      <c r="A25" s="10">
        <f>'4B_N2O emission'!B25</f>
        <v>2024</v>
      </c>
      <c r="B25" s="113">
        <f>'4C1_Amount_Waste_OpenBurned'!B25</f>
        <v>27367.98</v>
      </c>
      <c r="C25" s="184">
        <f t="shared" si="1"/>
        <v>19.953333333333333</v>
      </c>
      <c r="D25" s="10">
        <v>0.16</v>
      </c>
      <c r="E25" s="10">
        <v>1.1000000000000001</v>
      </c>
      <c r="F25" s="10">
        <v>1.25</v>
      </c>
      <c r="G25" s="10">
        <v>0</v>
      </c>
      <c r="H25" s="115">
        <f t="shared" si="0"/>
        <v>120138.13407199999</v>
      </c>
    </row>
    <row r="26" spans="1:8">
      <c r="A26" s="10">
        <f>'4B_N2O emission'!B26</f>
        <v>2025</v>
      </c>
      <c r="B26" s="113">
        <f>'4C1_Amount_Waste_OpenBurned'!B26</f>
        <v>27522.55</v>
      </c>
      <c r="C26" s="184">
        <f t="shared" si="1"/>
        <v>19.953333333333333</v>
      </c>
      <c r="D26" s="10">
        <v>0.16</v>
      </c>
      <c r="E26" s="10">
        <v>1.1000000000000001</v>
      </c>
      <c r="F26" s="10">
        <v>1.25</v>
      </c>
      <c r="G26" s="10">
        <v>0</v>
      </c>
      <c r="H26" s="115">
        <f t="shared" si="0"/>
        <v>120816.65515333335</v>
      </c>
    </row>
    <row r="27" spans="1:8">
      <c r="A27" s="10">
        <f>'4B_N2O emission'!B27</f>
        <v>2026</v>
      </c>
      <c r="B27" s="113">
        <f>'4C1_Amount_Waste_OpenBurned'!B27</f>
        <v>27677.119999999999</v>
      </c>
      <c r="C27" s="184">
        <f t="shared" si="1"/>
        <v>19.953333333333333</v>
      </c>
      <c r="D27" s="10">
        <v>0.16</v>
      </c>
      <c r="E27" s="10">
        <v>1.1000000000000001</v>
      </c>
      <c r="F27" s="10">
        <v>1.25</v>
      </c>
      <c r="G27" s="10">
        <v>0</v>
      </c>
      <c r="H27" s="115">
        <f t="shared" si="0"/>
        <v>121495.17623466667</v>
      </c>
    </row>
    <row r="28" spans="1:8">
      <c r="A28" s="10">
        <f>'4B_N2O emission'!B28</f>
        <v>2027</v>
      </c>
      <c r="B28" s="113">
        <f>'4C1_Amount_Waste_OpenBurned'!B28</f>
        <v>27831.69</v>
      </c>
      <c r="C28" s="184">
        <f t="shared" si="1"/>
        <v>19.953333333333333</v>
      </c>
      <c r="D28" s="10">
        <v>0.16</v>
      </c>
      <c r="E28" s="10">
        <v>1.1000000000000001</v>
      </c>
      <c r="F28" s="10">
        <v>1.25</v>
      </c>
      <c r="G28" s="10">
        <v>0</v>
      </c>
      <c r="H28" s="115">
        <f t="shared" si="0"/>
        <v>122173.69731600002</v>
      </c>
    </row>
    <row r="29" spans="1:8">
      <c r="A29" s="10">
        <f>'4B_N2O emission'!B29</f>
        <v>2028</v>
      </c>
      <c r="B29" s="113">
        <f>'4C1_Amount_Waste_OpenBurned'!B29</f>
        <v>27986.26</v>
      </c>
      <c r="C29" s="184">
        <f t="shared" si="1"/>
        <v>19.953333333333333</v>
      </c>
      <c r="D29" s="10">
        <v>0.16</v>
      </c>
      <c r="E29" s="10">
        <v>1.1000000000000001</v>
      </c>
      <c r="F29" s="10">
        <v>1.25</v>
      </c>
      <c r="G29" s="10">
        <v>0</v>
      </c>
      <c r="H29" s="115">
        <f t="shared" si="0"/>
        <v>122852.21839733333</v>
      </c>
    </row>
    <row r="30" spans="1:8">
      <c r="A30" s="10">
        <f>'4B_N2O emission'!B30</f>
        <v>2029</v>
      </c>
      <c r="B30" s="113">
        <f>'4C1_Amount_Waste_OpenBurned'!B30</f>
        <v>28140.83</v>
      </c>
      <c r="C30" s="184">
        <f t="shared" si="1"/>
        <v>19.953333333333333</v>
      </c>
      <c r="D30" s="10">
        <v>0.16</v>
      </c>
      <c r="E30" s="10">
        <v>1.1000000000000001</v>
      </c>
      <c r="F30" s="10">
        <v>1.25</v>
      </c>
      <c r="G30" s="10">
        <v>0</v>
      </c>
      <c r="H30" s="115">
        <f t="shared" si="0"/>
        <v>123530.73947866668</v>
      </c>
    </row>
    <row r="31" spans="1:8">
      <c r="A31" s="10">
        <f>'4B_N2O emission'!B31</f>
        <v>2030</v>
      </c>
      <c r="B31" s="113">
        <f>'4C1_Amount_Waste_OpenBurned'!B31</f>
        <v>28295.4</v>
      </c>
      <c r="C31" s="184">
        <f t="shared" si="1"/>
        <v>19.953333333333333</v>
      </c>
      <c r="D31" s="10">
        <v>0.16</v>
      </c>
      <c r="E31" s="10">
        <v>1.1000000000000001</v>
      </c>
      <c r="F31" s="10">
        <v>1.25</v>
      </c>
      <c r="G31" s="10">
        <v>0</v>
      </c>
      <c r="H31" s="115">
        <f t="shared" si="0"/>
        <v>124209.26056000002</v>
      </c>
    </row>
    <row r="32" spans="1:8">
      <c r="A32" s="10">
        <f>'4B_N2O emission'!B32</f>
        <v>2031</v>
      </c>
      <c r="B32" s="113">
        <f>'4C1_Amount_Waste_OpenBurned'!B32</f>
        <v>0</v>
      </c>
      <c r="C32" s="114"/>
      <c r="D32" s="10">
        <v>0.16</v>
      </c>
      <c r="E32" s="10">
        <v>1.1000000000000001</v>
      </c>
      <c r="F32" s="10">
        <v>1.25</v>
      </c>
      <c r="G32" s="10">
        <v>0</v>
      </c>
      <c r="H32" s="115">
        <f t="shared" si="0"/>
        <v>0</v>
      </c>
    </row>
  </sheetData>
  <mergeCells count="5">
    <mergeCell ref="B6:H6"/>
    <mergeCell ref="B2:H2"/>
    <mergeCell ref="B3:H3"/>
    <mergeCell ref="B4:H4"/>
    <mergeCell ref="B5:H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0070C0"/>
  </sheetPr>
  <dimension ref="A2:G32"/>
  <sheetViews>
    <sheetView topLeftCell="A6" zoomScale="85" zoomScaleNormal="85" workbookViewId="0">
      <selection activeCell="B11" sqref="B11"/>
    </sheetView>
  </sheetViews>
  <sheetFormatPr defaultRowHeight="12.75"/>
  <cols>
    <col min="1" max="1" width="21.28515625" style="6" customWidth="1"/>
    <col min="2" max="3" width="18.140625" style="6" customWidth="1"/>
    <col min="4" max="6" width="20.140625" style="6" customWidth="1"/>
    <col min="7" max="7" width="15.5703125" style="6" customWidth="1"/>
    <col min="8" max="16384" width="9.140625" style="6"/>
  </cols>
  <sheetData>
    <row r="2" spans="1:7" ht="16.5" customHeight="1">
      <c r="A2" s="75" t="s">
        <v>0</v>
      </c>
      <c r="B2" s="285" t="s">
        <v>1</v>
      </c>
      <c r="C2" s="286"/>
      <c r="D2" s="286"/>
      <c r="E2" s="286"/>
      <c r="F2" s="286"/>
      <c r="G2" s="287"/>
    </row>
    <row r="3" spans="1:7" ht="16.5" customHeight="1">
      <c r="A3" s="75" t="s">
        <v>2</v>
      </c>
      <c r="B3" s="285" t="s">
        <v>117</v>
      </c>
      <c r="C3" s="286"/>
      <c r="D3" s="286"/>
      <c r="E3" s="286"/>
      <c r="F3" s="286"/>
      <c r="G3" s="287"/>
    </row>
    <row r="4" spans="1:7" ht="16.5" customHeight="1">
      <c r="A4" s="75" t="s">
        <v>4</v>
      </c>
      <c r="B4" s="285" t="s">
        <v>118</v>
      </c>
      <c r="C4" s="286"/>
      <c r="D4" s="286"/>
      <c r="E4" s="286"/>
      <c r="F4" s="286"/>
      <c r="G4" s="287"/>
    </row>
    <row r="5" spans="1:7" ht="16.5" customHeight="1">
      <c r="A5" s="75" t="s">
        <v>6</v>
      </c>
      <c r="B5" s="285" t="s">
        <v>188</v>
      </c>
      <c r="C5" s="286"/>
      <c r="D5" s="286"/>
      <c r="E5" s="286"/>
      <c r="F5" s="286"/>
      <c r="G5" s="287"/>
    </row>
    <row r="6" spans="1:7">
      <c r="A6" s="112"/>
      <c r="B6" s="284"/>
      <c r="C6" s="284"/>
      <c r="D6" s="284"/>
      <c r="E6" s="284"/>
      <c r="F6" s="284"/>
      <c r="G6" s="34"/>
    </row>
    <row r="7" spans="1:7">
      <c r="A7" s="51"/>
      <c r="B7" s="10" t="s">
        <v>11</v>
      </c>
      <c r="C7" s="10" t="s">
        <v>12</v>
      </c>
      <c r="D7" s="10" t="s">
        <v>189</v>
      </c>
      <c r="E7" s="10" t="s">
        <v>14</v>
      </c>
      <c r="F7" s="10" t="s">
        <v>15</v>
      </c>
      <c r="G7" s="87" t="s">
        <v>58</v>
      </c>
    </row>
    <row r="8" spans="1:7" ht="63.75" customHeight="1">
      <c r="A8" s="12"/>
      <c r="B8" s="51" t="s">
        <v>190</v>
      </c>
      <c r="C8" s="51" t="s">
        <v>137</v>
      </c>
      <c r="D8" s="51" t="s">
        <v>191</v>
      </c>
      <c r="E8" s="51" t="s">
        <v>192</v>
      </c>
      <c r="F8" s="116" t="s">
        <v>193</v>
      </c>
      <c r="G8" s="51" t="s">
        <v>193</v>
      </c>
    </row>
    <row r="9" spans="1:7" ht="15.75">
      <c r="A9" s="12"/>
      <c r="B9" s="1" t="s">
        <v>194</v>
      </c>
      <c r="C9" s="8" t="s">
        <v>195</v>
      </c>
      <c r="D9" s="8" t="s">
        <v>196</v>
      </c>
      <c r="E9" s="8" t="s">
        <v>197</v>
      </c>
      <c r="F9" s="8" t="s">
        <v>197</v>
      </c>
      <c r="G9" s="8" t="s">
        <v>232</v>
      </c>
    </row>
    <row r="10" spans="1:7" ht="13.5" thickBot="1">
      <c r="A10" s="12"/>
      <c r="B10" s="11"/>
      <c r="C10" s="11"/>
      <c r="D10" s="11"/>
      <c r="E10" s="11"/>
      <c r="F10" s="11" t="s">
        <v>198</v>
      </c>
      <c r="G10" s="35"/>
    </row>
    <row r="11" spans="1:7" ht="13.5" thickTop="1">
      <c r="A11" s="10">
        <f>'4B_N2O emission'!B12</f>
        <v>2011</v>
      </c>
      <c r="B11" s="117">
        <f>'4D1_N_effluent'!H12</f>
        <v>114411.4972</v>
      </c>
      <c r="C11" s="117">
        <v>5.0000000000000001E-3</v>
      </c>
      <c r="D11" s="118">
        <f>44/28</f>
        <v>1.5714285714285714</v>
      </c>
      <c r="E11" s="119">
        <v>0</v>
      </c>
      <c r="F11" s="118">
        <f>(B11*C11*D11)-E11</f>
        <v>898.94747800000005</v>
      </c>
      <c r="G11" s="120">
        <f>F11/(10^6)</f>
        <v>8.9894747800000003E-4</v>
      </c>
    </row>
    <row r="12" spans="1:7">
      <c r="A12" s="10">
        <f>'4B_N2O emission'!B13</f>
        <v>2012</v>
      </c>
      <c r="B12" s="121">
        <f>'4D1_N_effluent'!H13</f>
        <v>111173.83200000002</v>
      </c>
      <c r="C12" s="121">
        <v>5.0000000000000001E-3</v>
      </c>
      <c r="D12" s="122">
        <f t="shared" ref="D12:D31" si="0">44/28</f>
        <v>1.5714285714285714</v>
      </c>
      <c r="E12" s="123">
        <v>0</v>
      </c>
      <c r="F12" s="122">
        <f t="shared" ref="F12:F31" si="1">(B12*C12*D12)-E12</f>
        <v>873.50868000000014</v>
      </c>
      <c r="G12" s="124">
        <f t="shared" ref="G12:G31" si="2">F12/(10^6)</f>
        <v>8.7350868000000016E-4</v>
      </c>
    </row>
    <row r="13" spans="1:7">
      <c r="A13" s="10">
        <f>'4B_N2O emission'!B14</f>
        <v>2013</v>
      </c>
      <c r="B13" s="121">
        <f>'4D1_N_effluent'!H14</f>
        <v>110271.60320000001</v>
      </c>
      <c r="C13" s="121">
        <v>5.0000000000000001E-3</v>
      </c>
      <c r="D13" s="122">
        <f t="shared" si="0"/>
        <v>1.5714285714285714</v>
      </c>
      <c r="E13" s="123">
        <v>0</v>
      </c>
      <c r="F13" s="122">
        <f t="shared" si="1"/>
        <v>866.41973942857146</v>
      </c>
      <c r="G13" s="124">
        <f t="shared" si="2"/>
        <v>8.6641973942857143E-4</v>
      </c>
    </row>
    <row r="14" spans="1:7">
      <c r="A14" s="10">
        <f>'4B_N2O emission'!B15</f>
        <v>2014</v>
      </c>
      <c r="B14" s="121">
        <f>'4D1_N_effluent'!H15</f>
        <v>113667.75493333334</v>
      </c>
      <c r="C14" s="121">
        <v>5.0000000000000001E-3</v>
      </c>
      <c r="D14" s="122">
        <f t="shared" si="0"/>
        <v>1.5714285714285714</v>
      </c>
      <c r="E14" s="123">
        <v>0</v>
      </c>
      <c r="F14" s="122">
        <f t="shared" si="1"/>
        <v>893.10378876190487</v>
      </c>
      <c r="G14" s="124">
        <f t="shared" si="2"/>
        <v>8.9310378876190488E-4</v>
      </c>
    </row>
    <row r="15" spans="1:7">
      <c r="A15" s="10">
        <f>'4B_N2O emission'!B16</f>
        <v>2015</v>
      </c>
      <c r="B15" s="121">
        <f>'4D1_N_effluent'!H16</f>
        <v>114001.37466666668</v>
      </c>
      <c r="C15" s="121">
        <v>5.0000000000000001E-3</v>
      </c>
      <c r="D15" s="122">
        <f t="shared" si="0"/>
        <v>1.5714285714285714</v>
      </c>
      <c r="E15" s="123">
        <v>0</v>
      </c>
      <c r="F15" s="122">
        <f t="shared" si="1"/>
        <v>895.72508666666693</v>
      </c>
      <c r="G15" s="124">
        <f t="shared" si="2"/>
        <v>8.9572508666666689E-4</v>
      </c>
    </row>
    <row r="16" spans="1:7">
      <c r="A16" s="10">
        <f>'4B_N2O emission'!B17</f>
        <v>2016</v>
      </c>
      <c r="B16" s="121">
        <f>'4D1_N_effluent'!H17</f>
        <v>114523.75293333334</v>
      </c>
      <c r="C16" s="121">
        <v>5.0000000000000001E-3</v>
      </c>
      <c r="D16" s="122">
        <f t="shared" si="0"/>
        <v>1.5714285714285714</v>
      </c>
      <c r="E16" s="123">
        <v>0</v>
      </c>
      <c r="F16" s="122">
        <f t="shared" si="1"/>
        <v>899.82948733333342</v>
      </c>
      <c r="G16" s="124">
        <f t="shared" si="2"/>
        <v>8.998294873333334E-4</v>
      </c>
    </row>
    <row r="17" spans="1:7">
      <c r="A17" s="10">
        <f>'4B_N2O emission'!B18</f>
        <v>2017</v>
      </c>
      <c r="B17" s="121">
        <f>'4D1_N_effluent'!H18</f>
        <v>115388.48650266667</v>
      </c>
      <c r="C17" s="121">
        <v>5.0000000000000001E-3</v>
      </c>
      <c r="D17" s="122">
        <f t="shared" si="0"/>
        <v>1.5714285714285714</v>
      </c>
      <c r="E17" s="123">
        <v>0</v>
      </c>
      <c r="F17" s="122">
        <f t="shared" si="1"/>
        <v>906.62382252095233</v>
      </c>
      <c r="G17" s="124">
        <f t="shared" si="2"/>
        <v>9.0662382252095235E-4</v>
      </c>
    </row>
    <row r="18" spans="1:7">
      <c r="A18" s="10">
        <f>'4B_N2O emission'!B19</f>
        <v>2018</v>
      </c>
      <c r="B18" s="121">
        <f>'4D1_N_effluent'!H19</f>
        <v>116067.00758400002</v>
      </c>
      <c r="C18" s="121">
        <v>5.0000000000000001E-3</v>
      </c>
      <c r="D18" s="122">
        <f t="shared" si="0"/>
        <v>1.5714285714285714</v>
      </c>
      <c r="E18" s="123">
        <v>0</v>
      </c>
      <c r="F18" s="122">
        <f t="shared" si="1"/>
        <v>911.95505958857154</v>
      </c>
      <c r="G18" s="124">
        <f t="shared" si="2"/>
        <v>9.1195505958857159E-4</v>
      </c>
    </row>
    <row r="19" spans="1:7">
      <c r="A19" s="10">
        <f>'4B_N2O emission'!B20</f>
        <v>2019</v>
      </c>
      <c r="B19" s="121">
        <f>'4D1_N_effluent'!H20</f>
        <v>116745.52866533335</v>
      </c>
      <c r="C19" s="121">
        <v>5.0000000000000001E-3</v>
      </c>
      <c r="D19" s="122">
        <f t="shared" si="0"/>
        <v>1.5714285714285714</v>
      </c>
      <c r="E19" s="123">
        <v>0</v>
      </c>
      <c r="F19" s="122">
        <f t="shared" si="1"/>
        <v>917.28629665619064</v>
      </c>
      <c r="G19" s="124">
        <f t="shared" si="2"/>
        <v>9.1728629665619062E-4</v>
      </c>
    </row>
    <row r="20" spans="1:7">
      <c r="A20" s="10">
        <f>'4B_N2O emission'!B21</f>
        <v>2020</v>
      </c>
      <c r="B20" s="121">
        <f>'4D1_N_effluent'!H21</f>
        <v>117424.04974666669</v>
      </c>
      <c r="C20" s="121">
        <v>5.0000000000000001E-3</v>
      </c>
      <c r="D20" s="122">
        <f t="shared" si="0"/>
        <v>1.5714285714285714</v>
      </c>
      <c r="E20" s="123">
        <v>0</v>
      </c>
      <c r="F20" s="122">
        <f t="shared" si="1"/>
        <v>922.61753372380974</v>
      </c>
      <c r="G20" s="124">
        <f t="shared" si="2"/>
        <v>9.2261753372380976E-4</v>
      </c>
    </row>
    <row r="21" spans="1:7">
      <c r="A21" s="10">
        <f>'4B_N2O emission'!B22</f>
        <v>2021</v>
      </c>
      <c r="B21" s="121">
        <f>'4D1_N_effluent'!H22</f>
        <v>118102.57082800001</v>
      </c>
      <c r="C21" s="121">
        <v>5.0000000000000001E-3</v>
      </c>
      <c r="D21" s="122">
        <f t="shared" si="0"/>
        <v>1.5714285714285714</v>
      </c>
      <c r="E21" s="123">
        <v>0</v>
      </c>
      <c r="F21" s="122">
        <f t="shared" si="1"/>
        <v>927.94877079142861</v>
      </c>
      <c r="G21" s="124">
        <f t="shared" si="2"/>
        <v>9.2794877079142857E-4</v>
      </c>
    </row>
    <row r="22" spans="1:7">
      <c r="A22" s="10">
        <f>'4B_N2O emission'!B23</f>
        <v>2022</v>
      </c>
      <c r="B22" s="121">
        <f>'4D1_N_effluent'!H23</f>
        <v>118781.09190933335</v>
      </c>
      <c r="C22" s="121">
        <v>5.0000000000000001E-3</v>
      </c>
      <c r="D22" s="122">
        <f t="shared" si="0"/>
        <v>1.5714285714285714</v>
      </c>
      <c r="E22" s="123">
        <v>0</v>
      </c>
      <c r="F22" s="122">
        <f t="shared" si="1"/>
        <v>933.28000785904771</v>
      </c>
      <c r="G22" s="124">
        <f t="shared" si="2"/>
        <v>9.332800078590477E-4</v>
      </c>
    </row>
    <row r="23" spans="1:7">
      <c r="A23" s="10">
        <f>'4B_N2O emission'!B24</f>
        <v>2023</v>
      </c>
      <c r="B23" s="121">
        <f>'4D1_N_effluent'!H24</f>
        <v>119459.61299066668</v>
      </c>
      <c r="C23" s="121">
        <v>5.0000000000000001E-3</v>
      </c>
      <c r="D23" s="122">
        <f t="shared" si="0"/>
        <v>1.5714285714285714</v>
      </c>
      <c r="E23" s="123">
        <v>0</v>
      </c>
      <c r="F23" s="122">
        <f t="shared" si="1"/>
        <v>938.61124492666681</v>
      </c>
      <c r="G23" s="124">
        <f t="shared" si="2"/>
        <v>9.3861124492666684E-4</v>
      </c>
    </row>
    <row r="24" spans="1:7">
      <c r="A24" s="10">
        <f>'4B_N2O emission'!B25</f>
        <v>2024</v>
      </c>
      <c r="B24" s="121">
        <f>'4D1_N_effluent'!H25</f>
        <v>120138.13407199999</v>
      </c>
      <c r="C24" s="121">
        <v>5.0000000000000001E-3</v>
      </c>
      <c r="D24" s="122">
        <f t="shared" si="0"/>
        <v>1.5714285714285714</v>
      </c>
      <c r="E24" s="123">
        <v>0</v>
      </c>
      <c r="F24" s="122">
        <f t="shared" si="1"/>
        <v>943.94248199428557</v>
      </c>
      <c r="G24" s="124">
        <f t="shared" si="2"/>
        <v>9.4394248199428554E-4</v>
      </c>
    </row>
    <row r="25" spans="1:7">
      <c r="A25" s="10">
        <f>'4B_N2O emission'!B26</f>
        <v>2025</v>
      </c>
      <c r="B25" s="121">
        <f>'4D1_N_effluent'!H26</f>
        <v>120816.65515333335</v>
      </c>
      <c r="C25" s="121">
        <v>5.0000000000000001E-3</v>
      </c>
      <c r="D25" s="122">
        <f t="shared" si="0"/>
        <v>1.5714285714285714</v>
      </c>
      <c r="E25" s="123">
        <v>0</v>
      </c>
      <c r="F25" s="122">
        <f t="shared" si="1"/>
        <v>949.27371906190501</v>
      </c>
      <c r="G25" s="124">
        <f t="shared" si="2"/>
        <v>9.4927371906190501E-4</v>
      </c>
    </row>
    <row r="26" spans="1:7">
      <c r="A26" s="10">
        <f>'4B_N2O emission'!B27</f>
        <v>2026</v>
      </c>
      <c r="B26" s="121">
        <f>'4D1_N_effluent'!H27</f>
        <v>121495.17623466667</v>
      </c>
      <c r="C26" s="121">
        <v>5.0000000000000001E-3</v>
      </c>
      <c r="D26" s="122">
        <f t="shared" si="0"/>
        <v>1.5714285714285714</v>
      </c>
      <c r="E26" s="123">
        <v>0</v>
      </c>
      <c r="F26" s="122">
        <f t="shared" si="1"/>
        <v>954.60495612952388</v>
      </c>
      <c r="G26" s="124">
        <f t="shared" si="2"/>
        <v>9.5460495612952393E-4</v>
      </c>
    </row>
    <row r="27" spans="1:7">
      <c r="A27" s="10">
        <f>'4B_N2O emission'!B28</f>
        <v>2027</v>
      </c>
      <c r="B27" s="121">
        <f>'4D1_N_effluent'!H28</f>
        <v>122173.69731600002</v>
      </c>
      <c r="C27" s="121">
        <v>5.0000000000000001E-3</v>
      </c>
      <c r="D27" s="122">
        <f t="shared" si="0"/>
        <v>1.5714285714285714</v>
      </c>
      <c r="E27" s="123">
        <v>0</v>
      </c>
      <c r="F27" s="122">
        <f t="shared" si="1"/>
        <v>959.93619319714298</v>
      </c>
      <c r="G27" s="124">
        <f t="shared" si="2"/>
        <v>9.5993619319714295E-4</v>
      </c>
    </row>
    <row r="28" spans="1:7">
      <c r="A28" s="10">
        <f>'4B_N2O emission'!B29</f>
        <v>2028</v>
      </c>
      <c r="B28" s="121">
        <f>'4D1_N_effluent'!H29</f>
        <v>122852.21839733333</v>
      </c>
      <c r="C28" s="121">
        <v>5.0000000000000001E-3</v>
      </c>
      <c r="D28" s="122">
        <f t="shared" si="0"/>
        <v>1.5714285714285714</v>
      </c>
      <c r="E28" s="123">
        <v>0</v>
      </c>
      <c r="F28" s="122">
        <f t="shared" si="1"/>
        <v>965.26743026476186</v>
      </c>
      <c r="G28" s="124">
        <f t="shared" si="2"/>
        <v>9.6526743026476187E-4</v>
      </c>
    </row>
    <row r="29" spans="1:7">
      <c r="A29" s="10">
        <f>'4B_N2O emission'!B30</f>
        <v>2029</v>
      </c>
      <c r="B29" s="121">
        <f>'4D1_N_effluent'!H30</f>
        <v>123530.73947866668</v>
      </c>
      <c r="C29" s="121">
        <v>5.0000000000000001E-3</v>
      </c>
      <c r="D29" s="122">
        <f t="shared" si="0"/>
        <v>1.5714285714285714</v>
      </c>
      <c r="E29" s="123">
        <v>0</v>
      </c>
      <c r="F29" s="122">
        <f t="shared" si="1"/>
        <v>970.59866733238118</v>
      </c>
      <c r="G29" s="124">
        <f t="shared" si="2"/>
        <v>9.7059866733238123E-4</v>
      </c>
    </row>
    <row r="30" spans="1:7">
      <c r="A30" s="10">
        <f>'4B_N2O emission'!B31</f>
        <v>2030</v>
      </c>
      <c r="B30" s="121">
        <f>'4D1_N_effluent'!H31</f>
        <v>124209.26056000002</v>
      </c>
      <c r="C30" s="121">
        <v>5.0000000000000001E-3</v>
      </c>
      <c r="D30" s="122">
        <f t="shared" si="0"/>
        <v>1.5714285714285714</v>
      </c>
      <c r="E30" s="123">
        <v>0</v>
      </c>
      <c r="F30" s="122">
        <f t="shared" si="1"/>
        <v>975.92990440000017</v>
      </c>
      <c r="G30" s="124">
        <f t="shared" si="2"/>
        <v>9.7592990440000015E-4</v>
      </c>
    </row>
    <row r="31" spans="1:7">
      <c r="A31" s="10">
        <f>'4B_N2O emission'!B32</f>
        <v>2031</v>
      </c>
      <c r="B31" s="121">
        <f>'4D1_N_effluent'!H32</f>
        <v>0</v>
      </c>
      <c r="C31" s="121">
        <v>5.0000000000000001E-3</v>
      </c>
      <c r="D31" s="122">
        <f t="shared" si="0"/>
        <v>1.5714285714285714</v>
      </c>
      <c r="E31" s="123">
        <v>0</v>
      </c>
      <c r="F31" s="122">
        <f t="shared" si="1"/>
        <v>0</v>
      </c>
      <c r="G31" s="124">
        <f t="shared" si="2"/>
        <v>0</v>
      </c>
    </row>
    <row r="32" spans="1:7">
      <c r="C32" s="125"/>
    </row>
  </sheetData>
  <mergeCells count="5">
    <mergeCell ref="B6:F6"/>
    <mergeCell ref="B2:G2"/>
    <mergeCell ref="B3:G3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00B050"/>
  </sheetPr>
  <dimension ref="A1:G40"/>
  <sheetViews>
    <sheetView topLeftCell="A7" zoomScaleNormal="100" workbookViewId="0">
      <selection activeCell="C12" sqref="C12"/>
    </sheetView>
  </sheetViews>
  <sheetFormatPr defaultRowHeight="12.75"/>
  <cols>
    <col min="1" max="1" width="15.7109375" style="6" customWidth="1"/>
    <col min="2" max="2" width="13" style="6" customWidth="1"/>
    <col min="3" max="7" width="20.140625" style="6" customWidth="1"/>
    <col min="8" max="11" width="9.140625" style="6"/>
    <col min="12" max="12" width="13.140625" style="6" customWidth="1"/>
    <col min="13" max="16384" width="9.140625" style="6"/>
  </cols>
  <sheetData>
    <row r="1" spans="1:7">
      <c r="A1" s="222"/>
      <c r="B1" s="222"/>
      <c r="C1" s="222"/>
      <c r="D1" s="222"/>
      <c r="E1" s="222"/>
      <c r="F1" s="222"/>
      <c r="G1" s="222"/>
    </row>
    <row r="2" spans="1:7">
      <c r="A2" s="197" t="s">
        <v>0</v>
      </c>
      <c r="B2" s="197"/>
      <c r="C2" s="196" t="s">
        <v>1</v>
      </c>
      <c r="D2" s="196"/>
      <c r="E2" s="196"/>
      <c r="F2" s="196"/>
      <c r="G2" s="196"/>
    </row>
    <row r="3" spans="1:7">
      <c r="A3" s="197" t="s">
        <v>2</v>
      </c>
      <c r="B3" s="197"/>
      <c r="C3" s="196" t="s">
        <v>3</v>
      </c>
      <c r="D3" s="196"/>
      <c r="E3" s="196"/>
      <c r="F3" s="196"/>
      <c r="G3" s="196"/>
    </row>
    <row r="4" spans="1:7">
      <c r="A4" s="197" t="s">
        <v>4</v>
      </c>
      <c r="B4" s="197"/>
      <c r="C4" s="196" t="s">
        <v>5</v>
      </c>
      <c r="D4" s="196"/>
      <c r="E4" s="196"/>
      <c r="F4" s="196"/>
      <c r="G4" s="196"/>
    </row>
    <row r="5" spans="1:7" ht="14.25" customHeight="1">
      <c r="A5" s="197" t="s">
        <v>6</v>
      </c>
      <c r="B5" s="197"/>
      <c r="C5" s="196" t="s">
        <v>7</v>
      </c>
      <c r="D5" s="196"/>
      <c r="E5" s="196"/>
      <c r="F5" s="196"/>
      <c r="G5" s="196"/>
    </row>
    <row r="6" spans="1:7">
      <c r="A6" s="56"/>
      <c r="B6" s="57"/>
      <c r="C6" s="58" t="s">
        <v>8</v>
      </c>
      <c r="D6" s="213" t="s">
        <v>9</v>
      </c>
      <c r="E6" s="214"/>
      <c r="F6" s="215" t="s">
        <v>10</v>
      </c>
      <c r="G6" s="214"/>
    </row>
    <row r="7" spans="1:7">
      <c r="A7" s="59"/>
      <c r="B7" s="59"/>
      <c r="C7" s="10" t="s">
        <v>11</v>
      </c>
      <c r="D7" s="10" t="s">
        <v>12</v>
      </c>
      <c r="E7" s="10" t="s">
        <v>13</v>
      </c>
      <c r="F7" s="10" t="s">
        <v>14</v>
      </c>
      <c r="G7" s="10" t="s">
        <v>15</v>
      </c>
    </row>
    <row r="8" spans="1:7" ht="53.25" customHeight="1">
      <c r="A8" s="201" t="s">
        <v>16</v>
      </c>
      <c r="B8" s="207" t="s">
        <v>28</v>
      </c>
      <c r="C8" s="51" t="s">
        <v>17</v>
      </c>
      <c r="D8" s="51" t="s">
        <v>18</v>
      </c>
      <c r="E8" s="51" t="s">
        <v>19</v>
      </c>
      <c r="F8" s="51" t="s">
        <v>20</v>
      </c>
      <c r="G8" s="51" t="s">
        <v>21</v>
      </c>
    </row>
    <row r="9" spans="1:7" ht="28.5">
      <c r="A9" s="202"/>
      <c r="B9" s="208"/>
      <c r="C9" s="1" t="s">
        <v>22</v>
      </c>
      <c r="D9" s="1" t="s">
        <v>23</v>
      </c>
      <c r="E9" s="1" t="s">
        <v>24</v>
      </c>
      <c r="F9" s="1" t="s">
        <v>24</v>
      </c>
      <c r="G9" s="1" t="s">
        <v>24</v>
      </c>
    </row>
    <row r="10" spans="1:7" ht="15" thickBot="1">
      <c r="A10" s="203"/>
      <c r="B10" s="209"/>
      <c r="C10" s="11"/>
      <c r="D10" s="11"/>
      <c r="E10" s="11" t="s">
        <v>25</v>
      </c>
      <c r="F10" s="11"/>
      <c r="G10" s="11" t="s">
        <v>26</v>
      </c>
    </row>
    <row r="11" spans="1:7" ht="28.5" customHeight="1" thickTop="1" thickBot="1">
      <c r="B11" s="60"/>
      <c r="C11" s="60"/>
      <c r="D11" s="60"/>
      <c r="E11" s="60"/>
      <c r="F11" s="61" t="s">
        <v>258</v>
      </c>
      <c r="G11" s="60"/>
    </row>
    <row r="12" spans="1:7" ht="13.5" thickTop="1">
      <c r="A12" s="210" t="s">
        <v>27</v>
      </c>
      <c r="B12" s="10">
        <v>2011</v>
      </c>
      <c r="C12" s="130">
        <f>'[1]Fraksi pengelolaan sampah BaU'!D29</f>
        <v>6.4943234999999988E-2</v>
      </c>
      <c r="D12" s="64">
        <v>4</v>
      </c>
      <c r="E12" s="65">
        <f>C12*D12/1000</f>
        <v>2.5977293999999995E-4</v>
      </c>
      <c r="F12" s="66">
        <v>0</v>
      </c>
      <c r="G12" s="65">
        <f>E12-F12</f>
        <v>2.5977293999999995E-4</v>
      </c>
    </row>
    <row r="13" spans="1:7">
      <c r="A13" s="211"/>
      <c r="B13" s="10">
        <v>2012</v>
      </c>
      <c r="C13" s="130">
        <f>'[1]Fraksi pengelolaan sampah BaU'!D30</f>
        <v>6.5463930000000004E-2</v>
      </c>
      <c r="D13" s="64">
        <v>4</v>
      </c>
      <c r="E13" s="65">
        <f t="shared" ref="E13:E32" si="0">C13*D13/1000</f>
        <v>2.6185572000000002E-4</v>
      </c>
      <c r="F13" s="66">
        <v>0</v>
      </c>
      <c r="G13" s="65">
        <f t="shared" ref="G13:G32" si="1">E13-F13</f>
        <v>2.6185572000000002E-4</v>
      </c>
    </row>
    <row r="14" spans="1:7">
      <c r="A14" s="211"/>
      <c r="B14" s="10">
        <v>2013</v>
      </c>
      <c r="C14" s="130">
        <f>'[1]Fraksi pengelolaan sampah BaU'!D31</f>
        <v>6.5864069999999983E-2</v>
      </c>
      <c r="D14" s="64">
        <v>4</v>
      </c>
      <c r="E14" s="65">
        <f t="shared" si="0"/>
        <v>2.6345627999999993E-4</v>
      </c>
      <c r="F14" s="66">
        <v>0</v>
      </c>
      <c r="G14" s="65">
        <f t="shared" si="1"/>
        <v>2.6345627999999993E-4</v>
      </c>
    </row>
    <row r="15" spans="1:7">
      <c r="A15" s="211"/>
      <c r="B15" s="10">
        <v>2014</v>
      </c>
      <c r="C15" s="130">
        <f>'[1]Fraksi pengelolaan sampah BaU'!D32</f>
        <v>6.6418110000000002E-2</v>
      </c>
      <c r="D15" s="64">
        <v>4</v>
      </c>
      <c r="E15" s="65">
        <f t="shared" si="0"/>
        <v>2.6567244000000003E-4</v>
      </c>
      <c r="F15" s="66">
        <v>0</v>
      </c>
      <c r="G15" s="65">
        <f t="shared" si="1"/>
        <v>2.6567244000000003E-4</v>
      </c>
    </row>
    <row r="16" spans="1:7">
      <c r="A16" s="211"/>
      <c r="B16" s="10">
        <v>2015</v>
      </c>
      <c r="C16" s="130">
        <f>'[1]Fraksi pengelolaan sampah BaU'!D33</f>
        <v>6.6613050000000007E-2</v>
      </c>
      <c r="D16" s="64">
        <v>4</v>
      </c>
      <c r="E16" s="65">
        <f t="shared" si="0"/>
        <v>2.6645220000000004E-4</v>
      </c>
      <c r="F16" s="66">
        <v>0</v>
      </c>
      <c r="G16" s="65">
        <f t="shared" si="1"/>
        <v>2.6645220000000004E-4</v>
      </c>
    </row>
    <row r="17" spans="1:7">
      <c r="A17" s="211"/>
      <c r="B17" s="10">
        <v>2016</v>
      </c>
      <c r="C17" s="130">
        <f>'[1]Fraksi pengelolaan sampah BaU'!D34</f>
        <v>6.6918284999999994E-2</v>
      </c>
      <c r="D17" s="64">
        <v>4</v>
      </c>
      <c r="E17" s="65">
        <f t="shared" si="0"/>
        <v>2.6767313999999999E-4</v>
      </c>
      <c r="F17" s="66">
        <v>0</v>
      </c>
      <c r="G17" s="65">
        <f t="shared" si="1"/>
        <v>2.6767313999999999E-4</v>
      </c>
    </row>
    <row r="18" spans="1:7">
      <c r="A18" s="211"/>
      <c r="B18" s="10">
        <v>2017</v>
      </c>
      <c r="C18" s="130">
        <f>'[1]Fraksi pengelolaan sampah BaU'!D35</f>
        <v>6.9345135933974997E-2</v>
      </c>
      <c r="D18" s="64">
        <v>4</v>
      </c>
      <c r="E18" s="65">
        <f t="shared" si="0"/>
        <v>2.7738054373589998E-4</v>
      </c>
      <c r="F18" s="66">
        <v>0</v>
      </c>
      <c r="G18" s="65">
        <f t="shared" si="1"/>
        <v>2.7738054373589998E-4</v>
      </c>
    </row>
    <row r="19" spans="1:7">
      <c r="A19" s="211"/>
      <c r="B19" s="10">
        <v>2018</v>
      </c>
      <c r="C19" s="130">
        <f>'[1]Fraksi pengelolaan sampah BaU'!D36</f>
        <v>7.1740865299365894E-2</v>
      </c>
      <c r="D19" s="64">
        <v>4</v>
      </c>
      <c r="E19" s="65">
        <f t="shared" si="0"/>
        <v>2.8696346119746357E-4</v>
      </c>
      <c r="F19" s="66">
        <v>0</v>
      </c>
      <c r="G19" s="65">
        <f t="shared" si="1"/>
        <v>2.8696346119746357E-4</v>
      </c>
    </row>
    <row r="20" spans="1:7">
      <c r="A20" s="211"/>
      <c r="B20" s="10">
        <v>2019</v>
      </c>
      <c r="C20" s="130">
        <f>'[1]Fraksi pengelolaan sampah BaU'!D37</f>
        <v>7.4216825651921697E-2</v>
      </c>
      <c r="D20" s="64">
        <v>4</v>
      </c>
      <c r="E20" s="65">
        <f t="shared" si="0"/>
        <v>2.9686730260768677E-4</v>
      </c>
      <c r="F20" s="66">
        <v>0</v>
      </c>
      <c r="G20" s="65">
        <f t="shared" si="1"/>
        <v>2.9686730260768677E-4</v>
      </c>
    </row>
    <row r="21" spans="1:7">
      <c r="A21" s="211"/>
      <c r="B21" s="10">
        <v>2020</v>
      </c>
      <c r="C21" s="130">
        <f>'[1]Fraksi pengelolaan sampah BaU'!D38</f>
        <v>7.6775644226733789E-2</v>
      </c>
      <c r="D21" s="64">
        <v>4</v>
      </c>
      <c r="E21" s="65">
        <f t="shared" si="0"/>
        <v>3.0710257690693516E-4</v>
      </c>
      <c r="F21" s="66">
        <v>0</v>
      </c>
      <c r="G21" s="65">
        <f t="shared" si="1"/>
        <v>3.0710257690693516E-4</v>
      </c>
    </row>
    <row r="22" spans="1:7">
      <c r="A22" s="211"/>
      <c r="B22" s="10">
        <v>2021</v>
      </c>
      <c r="C22" s="130">
        <f>'[1]Fraksi pengelolaan sampah BaU'!D39</f>
        <v>7.9420032843674382E-2</v>
      </c>
      <c r="D22" s="64">
        <v>4</v>
      </c>
      <c r="E22" s="65">
        <f t="shared" si="0"/>
        <v>3.1768013137469751E-4</v>
      </c>
      <c r="F22" s="66">
        <v>0</v>
      </c>
      <c r="G22" s="65">
        <f>E22-F22</f>
        <v>3.1768013137469751E-4</v>
      </c>
    </row>
    <row r="23" spans="1:7">
      <c r="A23" s="211"/>
      <c r="B23" s="10">
        <v>2022</v>
      </c>
      <c r="C23" s="130">
        <f>'[1]Fraksi pengelolaan sampah BaU'!D40</f>
        <v>8.2152790594757427E-2</v>
      </c>
      <c r="D23" s="64">
        <v>4</v>
      </c>
      <c r="E23" s="65">
        <f t="shared" si="0"/>
        <v>3.2861116237902968E-4</v>
      </c>
      <c r="F23" s="66">
        <v>0</v>
      </c>
      <c r="G23" s="65">
        <f t="shared" si="1"/>
        <v>3.2861116237902968E-4</v>
      </c>
    </row>
    <row r="24" spans="1:7">
      <c r="A24" s="211"/>
      <c r="B24" s="10">
        <v>2023</v>
      </c>
      <c r="C24" s="130">
        <f>'[1]Fraksi pengelolaan sampah BaU'!D41</f>
        <v>8.497680661597494E-2</v>
      </c>
      <c r="D24" s="64">
        <v>4</v>
      </c>
      <c r="E24" s="65">
        <f t="shared" si="0"/>
        <v>3.3990722646389974E-4</v>
      </c>
      <c r="F24" s="66">
        <v>0</v>
      </c>
      <c r="G24" s="65">
        <f t="shared" si="1"/>
        <v>3.3990722646389974E-4</v>
      </c>
    </row>
    <row r="25" spans="1:7">
      <c r="A25" s="211"/>
      <c r="B25" s="10">
        <v>2024</v>
      </c>
      <c r="C25" s="130">
        <f>'[1]Fraksi pengelolaan sampah BaU'!D42</f>
        <v>8.7895062946241234E-2</v>
      </c>
      <c r="D25" s="64">
        <v>4</v>
      </c>
      <c r="E25" s="65">
        <f t="shared" si="0"/>
        <v>3.5158025178496494E-4</v>
      </c>
      <c r="F25" s="66">
        <v>0</v>
      </c>
      <c r="G25" s="65">
        <f t="shared" si="1"/>
        <v>3.5158025178496494E-4</v>
      </c>
    </row>
    <row r="26" spans="1:7">
      <c r="A26" s="211"/>
      <c r="B26" s="10">
        <v>2025</v>
      </c>
      <c r="C26" s="130">
        <f>'[1]Fraksi pengelolaan sampah BaU'!D43</f>
        <v>9.0910637476158893E-2</v>
      </c>
      <c r="D26" s="64">
        <v>4</v>
      </c>
      <c r="E26" s="65">
        <f t="shared" si="0"/>
        <v>3.6364254990463557E-4</v>
      </c>
      <c r="F26" s="66">
        <v>0</v>
      </c>
      <c r="G26" s="65">
        <f t="shared" si="1"/>
        <v>3.6364254990463557E-4</v>
      </c>
    </row>
    <row r="27" spans="1:7">
      <c r="A27" s="211"/>
      <c r="B27" s="10">
        <v>2026</v>
      </c>
      <c r="C27" s="130">
        <f>'[1]Fraksi pengelolaan sampah BaU'!D44</f>
        <v>9.4026706989403797E-2</v>
      </c>
      <c r="D27" s="64">
        <v>4</v>
      </c>
      <c r="E27" s="65">
        <f t="shared" si="0"/>
        <v>3.7610682795761519E-4</v>
      </c>
      <c r="F27" s="66">
        <v>0</v>
      </c>
      <c r="G27" s="65">
        <f t="shared" si="1"/>
        <v>3.7610682795761519E-4</v>
      </c>
    </row>
    <row r="28" spans="1:7">
      <c r="A28" s="211"/>
      <c r="B28" s="10">
        <v>2027</v>
      </c>
      <c r="C28" s="130">
        <f>'[1]Fraksi pengelolaan sampah BaU'!D45</f>
        <v>9.7246550299613627E-2</v>
      </c>
      <c r="D28" s="64">
        <v>4</v>
      </c>
      <c r="E28" s="65">
        <f t="shared" si="0"/>
        <v>3.8898620119845451E-4</v>
      </c>
      <c r="F28" s="66">
        <v>0</v>
      </c>
      <c r="G28" s="65">
        <f t="shared" si="1"/>
        <v>3.8898620119845451E-4</v>
      </c>
    </row>
    <row r="29" spans="1:7">
      <c r="A29" s="211"/>
      <c r="B29" s="10">
        <v>2028</v>
      </c>
      <c r="C29" s="130">
        <f>'[1]Fraksi pengelolaan sampah BaU'!D46</f>
        <v>0.10057355148575327</v>
      </c>
      <c r="D29" s="64">
        <v>4</v>
      </c>
      <c r="E29" s="65">
        <f t="shared" si="0"/>
        <v>4.0229420594301306E-4</v>
      </c>
      <c r="F29" s="66">
        <v>0</v>
      </c>
      <c r="G29" s="65">
        <f t="shared" si="1"/>
        <v>4.0229420594301306E-4</v>
      </c>
    </row>
    <row r="30" spans="1:7">
      <c r="A30" s="211"/>
      <c r="B30" s="10">
        <v>2029</v>
      </c>
      <c r="C30" s="130">
        <f>'[1]Fraksi pengelolaan sampah BaU'!D47</f>
        <v>0.10401120322902203</v>
      </c>
      <c r="D30" s="64">
        <v>4</v>
      </c>
      <c r="E30" s="65">
        <f t="shared" si="0"/>
        <v>4.1604481291608814E-4</v>
      </c>
      <c r="F30" s="66">
        <v>0</v>
      </c>
      <c r="G30" s="65">
        <f t="shared" si="1"/>
        <v>4.1604481291608814E-4</v>
      </c>
    </row>
    <row r="31" spans="1:7">
      <c r="A31" s="211"/>
      <c r="B31" s="10">
        <v>2030</v>
      </c>
      <c r="C31" s="130">
        <f>'[1]Fraksi pengelolaan sampah BaU'!D48</f>
        <v>0.10752252000000001</v>
      </c>
      <c r="D31" s="64">
        <v>4</v>
      </c>
      <c r="E31" s="65">
        <f t="shared" si="0"/>
        <v>4.3009008000000006E-4</v>
      </c>
      <c r="F31" s="66">
        <v>0</v>
      </c>
      <c r="G31" s="65">
        <f t="shared" si="1"/>
        <v>4.3009008000000006E-4</v>
      </c>
    </row>
    <row r="32" spans="1:7">
      <c r="A32" s="212"/>
      <c r="B32" s="10">
        <v>2031</v>
      </c>
      <c r="C32" s="63"/>
      <c r="D32" s="64">
        <v>4</v>
      </c>
      <c r="E32" s="65">
        <f t="shared" si="0"/>
        <v>0</v>
      </c>
      <c r="F32" s="66">
        <v>0</v>
      </c>
      <c r="G32" s="65">
        <f t="shared" si="1"/>
        <v>0</v>
      </c>
    </row>
    <row r="33" spans="1:7" ht="56.25" customHeight="1">
      <c r="A33" s="41" t="s">
        <v>246</v>
      </c>
      <c r="B33" s="53"/>
      <c r="C33" s="53"/>
      <c r="D33" s="53"/>
      <c r="E33" s="53"/>
      <c r="F33" s="53"/>
      <c r="G33" s="53"/>
    </row>
    <row r="34" spans="1:7">
      <c r="A34" s="2"/>
      <c r="B34" s="53"/>
      <c r="C34" s="53"/>
      <c r="D34" s="53"/>
      <c r="E34" s="53"/>
      <c r="F34" s="53"/>
      <c r="G34" s="53"/>
    </row>
    <row r="35" spans="1:7">
      <c r="A35" s="2"/>
      <c r="B35" s="53"/>
      <c r="C35" s="53"/>
      <c r="D35" s="53"/>
      <c r="E35" s="53"/>
      <c r="F35" s="53"/>
      <c r="G35" s="53"/>
    </row>
    <row r="36" spans="1:7">
      <c r="A36" s="2"/>
      <c r="B36" s="53"/>
      <c r="C36" s="53"/>
      <c r="D36" s="53"/>
      <c r="E36" s="53"/>
      <c r="F36" s="53"/>
      <c r="G36" s="53"/>
    </row>
    <row r="37" spans="1:7">
      <c r="A37" s="198"/>
      <c r="B37" s="199"/>
      <c r="C37" s="199"/>
      <c r="D37" s="199"/>
      <c r="E37" s="199"/>
      <c r="F37" s="200"/>
      <c r="G37" s="67"/>
    </row>
    <row r="38" spans="1:7" ht="24.75" customHeight="1">
      <c r="A38" s="216" t="s">
        <v>49</v>
      </c>
      <c r="B38" s="217"/>
      <c r="C38" s="217"/>
      <c r="D38" s="217"/>
      <c r="E38" s="217"/>
      <c r="F38" s="217"/>
      <c r="G38" s="218"/>
    </row>
    <row r="39" spans="1:7" ht="13.5" customHeight="1">
      <c r="A39" s="219" t="s">
        <v>50</v>
      </c>
      <c r="B39" s="220"/>
      <c r="C39" s="220"/>
      <c r="D39" s="220"/>
      <c r="E39" s="220"/>
      <c r="F39" s="220"/>
      <c r="G39" s="221"/>
    </row>
    <row r="40" spans="1:7" ht="13.5" customHeight="1">
      <c r="A40" s="204" t="s">
        <v>51</v>
      </c>
      <c r="B40" s="205"/>
      <c r="C40" s="205"/>
      <c r="D40" s="205"/>
      <c r="E40" s="205"/>
      <c r="F40" s="205"/>
      <c r="G40" s="206"/>
    </row>
  </sheetData>
  <mergeCells count="18">
    <mergeCell ref="A1:G1"/>
    <mergeCell ref="A2:B2"/>
    <mergeCell ref="C2:G2"/>
    <mergeCell ref="A3:B3"/>
    <mergeCell ref="C3:G3"/>
    <mergeCell ref="C4:G4"/>
    <mergeCell ref="A5:B5"/>
    <mergeCell ref="A37:F37"/>
    <mergeCell ref="A8:A10"/>
    <mergeCell ref="A40:G40"/>
    <mergeCell ref="B8:B10"/>
    <mergeCell ref="C5:G5"/>
    <mergeCell ref="A12:A32"/>
    <mergeCell ref="D6:E6"/>
    <mergeCell ref="F6:G6"/>
    <mergeCell ref="A38:G38"/>
    <mergeCell ref="A39:G39"/>
    <mergeCell ref="A4:B4"/>
  </mergeCells>
  <phoneticPr fontId="13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50"/>
  </sheetPr>
  <dimension ref="A2:E41"/>
  <sheetViews>
    <sheetView topLeftCell="A10" zoomScaleNormal="100" workbookViewId="0">
      <selection activeCell="C25" sqref="C25"/>
    </sheetView>
  </sheetViews>
  <sheetFormatPr defaultRowHeight="12.75"/>
  <cols>
    <col min="1" max="1" width="15.28515625" style="6" customWidth="1"/>
    <col min="2" max="2" width="17.140625" style="6" customWidth="1"/>
    <col min="3" max="3" width="28.28515625" style="6" customWidth="1"/>
    <col min="4" max="4" width="23.7109375" style="6" customWidth="1"/>
    <col min="5" max="5" width="20.140625" style="6" customWidth="1"/>
    <col min="6" max="16384" width="9.140625" style="6"/>
  </cols>
  <sheetData>
    <row r="2" spans="1:5">
      <c r="A2" s="197" t="s">
        <v>0</v>
      </c>
      <c r="B2" s="197"/>
      <c r="C2" s="196" t="s">
        <v>1</v>
      </c>
      <c r="D2" s="196"/>
      <c r="E2" s="196"/>
    </row>
    <row r="3" spans="1:5" ht="13.5" customHeight="1">
      <c r="A3" s="197" t="s">
        <v>2</v>
      </c>
      <c r="B3" s="197"/>
      <c r="C3" s="196" t="s">
        <v>3</v>
      </c>
      <c r="D3" s="196"/>
      <c r="E3" s="196"/>
    </row>
    <row r="4" spans="1:5">
      <c r="A4" s="197" t="s">
        <v>4</v>
      </c>
      <c r="B4" s="197"/>
      <c r="C4" s="196" t="s">
        <v>5</v>
      </c>
      <c r="D4" s="196"/>
      <c r="E4" s="196"/>
    </row>
    <row r="5" spans="1:5" ht="15.75" customHeight="1">
      <c r="A5" s="197" t="s">
        <v>6</v>
      </c>
      <c r="B5" s="197"/>
      <c r="C5" s="196" t="s">
        <v>29</v>
      </c>
      <c r="D5" s="196"/>
      <c r="E5" s="196"/>
    </row>
    <row r="6" spans="1:5">
      <c r="A6" s="68"/>
      <c r="B6" s="69"/>
      <c r="C6" s="69" t="s">
        <v>8</v>
      </c>
      <c r="D6" s="223" t="s">
        <v>9</v>
      </c>
      <c r="E6" s="223"/>
    </row>
    <row r="7" spans="1:5">
      <c r="A7" s="3"/>
      <c r="B7" s="70"/>
      <c r="C7" s="10" t="s">
        <v>11</v>
      </c>
      <c r="D7" s="10" t="s">
        <v>12</v>
      </c>
      <c r="E7" s="10" t="s">
        <v>13</v>
      </c>
    </row>
    <row r="8" spans="1:5" ht="30" customHeight="1">
      <c r="A8" s="207" t="s">
        <v>16</v>
      </c>
      <c r="B8" s="207" t="s">
        <v>30</v>
      </c>
      <c r="C8" s="51" t="s">
        <v>17</v>
      </c>
      <c r="D8" s="51" t="s">
        <v>18</v>
      </c>
      <c r="E8" s="51" t="s">
        <v>31</v>
      </c>
    </row>
    <row r="9" spans="1:5" ht="15.75">
      <c r="A9" s="207"/>
      <c r="B9" s="207"/>
      <c r="C9" s="1" t="s">
        <v>22</v>
      </c>
      <c r="D9" s="1" t="s">
        <v>32</v>
      </c>
      <c r="E9" s="1" t="s">
        <v>33</v>
      </c>
    </row>
    <row r="10" spans="1:5" ht="15" thickBot="1">
      <c r="A10" s="224"/>
      <c r="B10" s="224"/>
      <c r="C10" s="11"/>
      <c r="D10" s="11"/>
      <c r="E10" s="71" t="s">
        <v>202</v>
      </c>
    </row>
    <row r="11" spans="1:5" ht="14.25" customHeight="1" thickTop="1" thickBot="1">
      <c r="B11" s="60"/>
      <c r="C11" s="60"/>
      <c r="D11" s="60"/>
      <c r="E11" s="72" t="s">
        <v>230</v>
      </c>
    </row>
    <row r="12" spans="1:5" ht="13.5" thickTop="1">
      <c r="A12" s="225" t="s">
        <v>27</v>
      </c>
      <c r="B12" s="74">
        <f>'4B_CH4 emissions'!B12</f>
        <v>2011</v>
      </c>
      <c r="C12" s="131">
        <f>'4B_CH4 emissions'!C12</f>
        <v>6.4943234999999988E-2</v>
      </c>
      <c r="D12" s="65">
        <v>0.3</v>
      </c>
      <c r="E12" s="65">
        <f>C12*D12/1000</f>
        <v>1.9482970499999996E-5</v>
      </c>
    </row>
    <row r="13" spans="1:5">
      <c r="A13" s="226"/>
      <c r="B13" s="74">
        <f>'4B_CH4 emissions'!B13</f>
        <v>2012</v>
      </c>
      <c r="C13" s="131">
        <f>'4B_CH4 emissions'!C13</f>
        <v>6.5463930000000004E-2</v>
      </c>
      <c r="D13" s="65">
        <v>0.3</v>
      </c>
      <c r="E13" s="65">
        <f t="shared" ref="E13:E32" si="0">C13*D13/1000</f>
        <v>1.9639178999999999E-5</v>
      </c>
    </row>
    <row r="14" spans="1:5">
      <c r="A14" s="226"/>
      <c r="B14" s="74">
        <f>'4B_CH4 emissions'!B14</f>
        <v>2013</v>
      </c>
      <c r="C14" s="131">
        <f>'4B_CH4 emissions'!C14</f>
        <v>6.5864069999999983E-2</v>
      </c>
      <c r="D14" s="65">
        <v>0.3</v>
      </c>
      <c r="E14" s="65">
        <f t="shared" si="0"/>
        <v>1.9759220999999993E-5</v>
      </c>
    </row>
    <row r="15" spans="1:5">
      <c r="A15" s="226"/>
      <c r="B15" s="74">
        <f>'4B_CH4 emissions'!B15</f>
        <v>2014</v>
      </c>
      <c r="C15" s="131">
        <f>'4B_CH4 emissions'!C15</f>
        <v>6.6418110000000002E-2</v>
      </c>
      <c r="D15" s="65">
        <v>0.3</v>
      </c>
      <c r="E15" s="65">
        <f t="shared" si="0"/>
        <v>1.9925433000000001E-5</v>
      </c>
    </row>
    <row r="16" spans="1:5">
      <c r="A16" s="226"/>
      <c r="B16" s="74">
        <f>'4B_CH4 emissions'!B16</f>
        <v>2015</v>
      </c>
      <c r="C16" s="131">
        <f>'4B_CH4 emissions'!C16</f>
        <v>6.6613050000000007E-2</v>
      </c>
      <c r="D16" s="65">
        <v>0.3</v>
      </c>
      <c r="E16" s="65">
        <f t="shared" si="0"/>
        <v>1.9983915000000001E-5</v>
      </c>
    </row>
    <row r="17" spans="1:5">
      <c r="A17" s="226"/>
      <c r="B17" s="74">
        <f>'4B_CH4 emissions'!B17</f>
        <v>2016</v>
      </c>
      <c r="C17" s="131">
        <f>'4B_CH4 emissions'!C17</f>
        <v>6.6918284999999994E-2</v>
      </c>
      <c r="D17" s="65">
        <v>0.3</v>
      </c>
      <c r="E17" s="65">
        <f t="shared" si="0"/>
        <v>2.0075485499999998E-5</v>
      </c>
    </row>
    <row r="18" spans="1:5">
      <c r="A18" s="226"/>
      <c r="B18" s="74">
        <f>'4B_CH4 emissions'!B18</f>
        <v>2017</v>
      </c>
      <c r="C18" s="131">
        <f>'4B_CH4 emissions'!C18</f>
        <v>6.9345135933974997E-2</v>
      </c>
      <c r="D18" s="65">
        <v>0.3</v>
      </c>
      <c r="E18" s="65">
        <f t="shared" si="0"/>
        <v>2.0803540780192501E-5</v>
      </c>
    </row>
    <row r="19" spans="1:5">
      <c r="A19" s="226"/>
      <c r="B19" s="74">
        <f>'4B_CH4 emissions'!B19</f>
        <v>2018</v>
      </c>
      <c r="C19" s="131">
        <f>'4B_CH4 emissions'!C19</f>
        <v>7.1740865299365894E-2</v>
      </c>
      <c r="D19" s="65">
        <v>0.3</v>
      </c>
      <c r="E19" s="65">
        <f t="shared" si="0"/>
        <v>2.152225958980977E-5</v>
      </c>
    </row>
    <row r="20" spans="1:5">
      <c r="A20" s="226"/>
      <c r="B20" s="74">
        <f>'4B_CH4 emissions'!B20</f>
        <v>2019</v>
      </c>
      <c r="C20" s="131">
        <f>'4B_CH4 emissions'!C20</f>
        <v>7.4216825651921697E-2</v>
      </c>
      <c r="D20" s="65">
        <v>0.3</v>
      </c>
      <c r="E20" s="65">
        <f t="shared" si="0"/>
        <v>2.226504769557651E-5</v>
      </c>
    </row>
    <row r="21" spans="1:5">
      <c r="A21" s="226"/>
      <c r="B21" s="74">
        <f>'4B_CH4 emissions'!B21</f>
        <v>2020</v>
      </c>
      <c r="C21" s="131">
        <f>'4B_CH4 emissions'!C21</f>
        <v>7.6775644226733789E-2</v>
      </c>
      <c r="D21" s="65">
        <v>0.3</v>
      </c>
      <c r="E21" s="65">
        <f t="shared" si="0"/>
        <v>2.3032693268020138E-5</v>
      </c>
    </row>
    <row r="22" spans="1:5">
      <c r="A22" s="226"/>
      <c r="B22" s="74">
        <f>'4B_CH4 emissions'!B22</f>
        <v>2021</v>
      </c>
      <c r="C22" s="131">
        <f>'4B_CH4 emissions'!C22</f>
        <v>7.9420032843674382E-2</v>
      </c>
      <c r="D22" s="65">
        <v>0.3</v>
      </c>
      <c r="E22" s="65">
        <f t="shared" si="0"/>
        <v>2.3826009853102314E-5</v>
      </c>
    </row>
    <row r="23" spans="1:5">
      <c r="A23" s="226"/>
      <c r="B23" s="74">
        <f>'4B_CH4 emissions'!B23</f>
        <v>2022</v>
      </c>
      <c r="C23" s="65">
        <f>'4B_CH4 emissions'!C23</f>
        <v>8.2152790594757427E-2</v>
      </c>
      <c r="D23" s="65">
        <v>0.3</v>
      </c>
      <c r="E23" s="65">
        <f t="shared" si="0"/>
        <v>2.4645837178427228E-5</v>
      </c>
    </row>
    <row r="24" spans="1:5">
      <c r="A24" s="226"/>
      <c r="B24" s="74">
        <f>'4B_CH4 emissions'!B24</f>
        <v>2023</v>
      </c>
      <c r="C24" s="65">
        <f>'4B_CH4 emissions'!C24</f>
        <v>8.497680661597494E-2</v>
      </c>
      <c r="D24" s="65">
        <v>0.3</v>
      </c>
      <c r="E24" s="65">
        <f t="shared" si="0"/>
        <v>2.5493041984792482E-5</v>
      </c>
    </row>
    <row r="25" spans="1:5">
      <c r="A25" s="226"/>
      <c r="B25" s="74">
        <f>'4B_CH4 emissions'!B25</f>
        <v>2024</v>
      </c>
      <c r="C25" s="65">
        <f>'4B_CH4 emissions'!C25</f>
        <v>8.7895062946241234E-2</v>
      </c>
      <c r="D25" s="65">
        <v>0.3</v>
      </c>
      <c r="E25" s="65">
        <f t="shared" si="0"/>
        <v>2.6368518883872368E-5</v>
      </c>
    </row>
    <row r="26" spans="1:5">
      <c r="A26" s="226"/>
      <c r="B26" s="74">
        <f>'4B_CH4 emissions'!B26</f>
        <v>2025</v>
      </c>
      <c r="C26" s="65">
        <f>'4B_CH4 emissions'!C26</f>
        <v>9.0910637476158893E-2</v>
      </c>
      <c r="D26" s="65">
        <v>0.3</v>
      </c>
      <c r="E26" s="65">
        <f t="shared" si="0"/>
        <v>2.7273191242847667E-5</v>
      </c>
    </row>
    <row r="27" spans="1:5">
      <c r="A27" s="226"/>
      <c r="B27" s="74">
        <f>'4B_CH4 emissions'!B27</f>
        <v>2026</v>
      </c>
      <c r="C27" s="65">
        <f>'4B_CH4 emissions'!C27</f>
        <v>9.4026706989403797E-2</v>
      </c>
      <c r="D27" s="65">
        <v>0.3</v>
      </c>
      <c r="E27" s="65">
        <f t="shared" si="0"/>
        <v>2.8208012096821139E-5</v>
      </c>
    </row>
    <row r="28" spans="1:5">
      <c r="A28" s="226"/>
      <c r="B28" s="74">
        <f>'4B_CH4 emissions'!B28</f>
        <v>2027</v>
      </c>
      <c r="C28" s="65">
        <f>'4B_CH4 emissions'!C28</f>
        <v>9.7246550299613627E-2</v>
      </c>
      <c r="D28" s="65">
        <v>0.3</v>
      </c>
      <c r="E28" s="65">
        <f t="shared" si="0"/>
        <v>2.9173965089884087E-5</v>
      </c>
    </row>
    <row r="29" spans="1:5">
      <c r="A29" s="226"/>
      <c r="B29" s="74">
        <f>'4B_CH4 emissions'!B29</f>
        <v>2028</v>
      </c>
      <c r="C29" s="65">
        <f>'4B_CH4 emissions'!C29</f>
        <v>0.10057355148575327</v>
      </c>
      <c r="D29" s="65">
        <v>0.3</v>
      </c>
      <c r="E29" s="65">
        <f t="shared" si="0"/>
        <v>3.0172065445725979E-5</v>
      </c>
    </row>
    <row r="30" spans="1:5">
      <c r="A30" s="226"/>
      <c r="B30" s="74">
        <f>'4B_CH4 emissions'!B30</f>
        <v>2029</v>
      </c>
      <c r="C30" s="65">
        <f>'4B_CH4 emissions'!C30</f>
        <v>0.10401120322902203</v>
      </c>
      <c r="D30" s="65">
        <v>0.3</v>
      </c>
      <c r="E30" s="65">
        <f t="shared" si="0"/>
        <v>3.1203360968706605E-5</v>
      </c>
    </row>
    <row r="31" spans="1:5">
      <c r="A31" s="226"/>
      <c r="B31" s="74">
        <f>'4B_CH4 emissions'!B31</f>
        <v>2030</v>
      </c>
      <c r="C31" s="65">
        <f>'4B_CH4 emissions'!C31</f>
        <v>0.10752252000000001</v>
      </c>
      <c r="D31" s="65">
        <v>0.3</v>
      </c>
      <c r="E31" s="65">
        <f t="shared" si="0"/>
        <v>3.2256756000000006E-5</v>
      </c>
    </row>
    <row r="32" spans="1:5">
      <c r="A32" s="227"/>
      <c r="B32" s="4">
        <f>'4B_CH4 emissions'!B32</f>
        <v>2031</v>
      </c>
      <c r="C32" s="65">
        <f>'4B_CH4 emissions'!C32</f>
        <v>0</v>
      </c>
      <c r="D32" s="65">
        <v>0.3</v>
      </c>
      <c r="E32" s="65">
        <f t="shared" si="0"/>
        <v>0</v>
      </c>
    </row>
    <row r="33" spans="1:5">
      <c r="A33" s="4"/>
      <c r="B33" s="62"/>
      <c r="C33" s="65"/>
      <c r="D33" s="65"/>
      <c r="E33" s="65"/>
    </row>
    <row r="34" spans="1:5" ht="60.75" customHeight="1">
      <c r="A34" s="41" t="s">
        <v>246</v>
      </c>
      <c r="B34" s="53"/>
      <c r="C34" s="53"/>
      <c r="D34" s="53"/>
      <c r="E34" s="53"/>
    </row>
    <row r="35" spans="1:5">
      <c r="A35" s="53"/>
      <c r="B35" s="53"/>
      <c r="C35" s="53"/>
      <c r="D35" s="53"/>
      <c r="E35" s="53"/>
    </row>
    <row r="36" spans="1:5">
      <c r="A36" s="53"/>
      <c r="B36" s="53"/>
      <c r="C36" s="53"/>
      <c r="D36" s="53"/>
      <c r="E36" s="53"/>
    </row>
    <row r="37" spans="1:5">
      <c r="A37" s="53"/>
      <c r="B37" s="53"/>
      <c r="C37" s="53"/>
      <c r="D37" s="53"/>
      <c r="E37" s="53"/>
    </row>
    <row r="38" spans="1:5">
      <c r="A38" s="198"/>
      <c r="B38" s="199"/>
      <c r="C38" s="199"/>
      <c r="D38" s="200"/>
      <c r="E38" s="73"/>
    </row>
    <row r="39" spans="1:5" ht="13.5" customHeight="1">
      <c r="A39" s="216" t="s">
        <v>52</v>
      </c>
      <c r="B39" s="217"/>
      <c r="C39" s="217"/>
      <c r="D39" s="217"/>
      <c r="E39" s="218"/>
    </row>
    <row r="40" spans="1:5" ht="12.75" customHeight="1">
      <c r="A40" s="219" t="s">
        <v>50</v>
      </c>
      <c r="B40" s="220"/>
      <c r="C40" s="220"/>
      <c r="D40" s="220"/>
      <c r="E40" s="221"/>
    </row>
    <row r="41" spans="1:5" ht="13.5" customHeight="1">
      <c r="A41" s="204" t="s">
        <v>51</v>
      </c>
      <c r="B41" s="205"/>
      <c r="C41" s="205"/>
      <c r="D41" s="205"/>
      <c r="E41" s="206"/>
    </row>
  </sheetData>
  <mergeCells count="16">
    <mergeCell ref="A39:E39"/>
    <mergeCell ref="A40:E40"/>
    <mergeCell ref="A41:E41"/>
    <mergeCell ref="A38:D38"/>
    <mergeCell ref="D6:E6"/>
    <mergeCell ref="A8:A10"/>
    <mergeCell ref="B8:B10"/>
    <mergeCell ref="A12:A32"/>
    <mergeCell ref="A4:B4"/>
    <mergeCell ref="C4:E4"/>
    <mergeCell ref="A5:B5"/>
    <mergeCell ref="C5:E5"/>
    <mergeCell ref="A2:B2"/>
    <mergeCell ref="C2:E2"/>
    <mergeCell ref="A3:B3"/>
    <mergeCell ref="C3:E3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9"/>
  <sheetViews>
    <sheetView topLeftCell="A58" zoomScaleNormal="100" workbookViewId="0">
      <selection activeCell="G72" sqref="G72"/>
    </sheetView>
  </sheetViews>
  <sheetFormatPr defaultRowHeight="12.75"/>
  <cols>
    <col min="1" max="1" width="9.140625" style="143"/>
    <col min="2" max="2" width="11.42578125" style="143" bestFit="1" customWidth="1"/>
    <col min="3" max="3" width="17.85546875" style="143" customWidth="1"/>
    <col min="4" max="4" width="12.28515625" style="143" bestFit="1" customWidth="1"/>
    <col min="5" max="5" width="19.140625" style="143" customWidth="1"/>
    <col min="6" max="6" width="16.140625" style="143" customWidth="1"/>
    <col min="7" max="16384" width="9.140625" style="143"/>
  </cols>
  <sheetData>
    <row r="2" spans="1:6" ht="13.5" thickBot="1">
      <c r="A2" s="126" t="s">
        <v>265</v>
      </c>
    </row>
    <row r="3" spans="1:6" ht="16.5" customHeight="1" thickBot="1">
      <c r="A3" s="238" t="s">
        <v>259</v>
      </c>
      <c r="B3" s="240" t="s">
        <v>264</v>
      </c>
      <c r="C3" s="241"/>
      <c r="D3" s="241"/>
      <c r="E3" s="241"/>
      <c r="F3" s="242"/>
    </row>
    <row r="4" spans="1:6" ht="16.5" thickBot="1">
      <c r="A4" s="239"/>
      <c r="B4" s="240" t="s">
        <v>310</v>
      </c>
      <c r="C4" s="242"/>
      <c r="D4" s="240" t="s">
        <v>311</v>
      </c>
      <c r="E4" s="242"/>
      <c r="F4" s="234" t="s">
        <v>312</v>
      </c>
    </row>
    <row r="5" spans="1:6" ht="15.75">
      <c r="A5" s="239"/>
      <c r="B5" s="156" t="s">
        <v>313</v>
      </c>
      <c r="C5" s="156" t="s">
        <v>314</v>
      </c>
      <c r="D5" s="156" t="s">
        <v>315</v>
      </c>
      <c r="E5" s="156" t="s">
        <v>314</v>
      </c>
      <c r="F5" s="235"/>
    </row>
    <row r="6" spans="1:6">
      <c r="A6" s="157">
        <f>'4B_N2O emission'!B12</f>
        <v>2011</v>
      </c>
      <c r="B6" s="144">
        <f>'4B_CH4 emissions'!G12</f>
        <v>2.5977293999999995E-4</v>
      </c>
      <c r="C6" s="145">
        <f>B6*21</f>
        <v>5.4552317399999993E-3</v>
      </c>
      <c r="D6" s="146">
        <f>'4B_N2O emission'!E12</f>
        <v>1.9482970499999996E-5</v>
      </c>
      <c r="E6" s="145">
        <f>D6*310</f>
        <v>6.0397208549999989E-3</v>
      </c>
      <c r="F6" s="147">
        <f>E6+C6</f>
        <v>1.1494952594999998E-2</v>
      </c>
    </row>
    <row r="7" spans="1:6">
      <c r="A7" s="157">
        <f>'4B_N2O emission'!B13</f>
        <v>2012</v>
      </c>
      <c r="B7" s="144">
        <f>'4B_CH4 emissions'!G13</f>
        <v>2.6185572000000002E-4</v>
      </c>
      <c r="C7" s="145">
        <f t="shared" ref="C7:C25" si="0">B7*21</f>
        <v>5.4989701200000001E-3</v>
      </c>
      <c r="D7" s="146">
        <f>'4B_N2O emission'!E13</f>
        <v>1.9639178999999999E-5</v>
      </c>
      <c r="E7" s="145">
        <f t="shared" ref="E7:E25" si="1">D7*310</f>
        <v>6.0881454899999994E-3</v>
      </c>
      <c r="F7" s="147">
        <f t="shared" ref="F7:F25" si="2">E7+C7</f>
        <v>1.158711561E-2</v>
      </c>
    </row>
    <row r="8" spans="1:6">
      <c r="A8" s="157">
        <f>'4B_N2O emission'!B14</f>
        <v>2013</v>
      </c>
      <c r="B8" s="144">
        <f>'4B_CH4 emissions'!G14</f>
        <v>2.6345627999999993E-4</v>
      </c>
      <c r="C8" s="145">
        <f t="shared" si="0"/>
        <v>5.5325818799999982E-3</v>
      </c>
      <c r="D8" s="146">
        <f>'4B_N2O emission'!E14</f>
        <v>1.9759220999999993E-5</v>
      </c>
      <c r="E8" s="145">
        <f t="shared" si="1"/>
        <v>6.125358509999998E-3</v>
      </c>
      <c r="F8" s="147">
        <f t="shared" si="2"/>
        <v>1.1657940389999996E-2</v>
      </c>
    </row>
    <row r="9" spans="1:6">
      <c r="A9" s="157">
        <f>'4B_N2O emission'!B15</f>
        <v>2014</v>
      </c>
      <c r="B9" s="144">
        <f>'4B_CH4 emissions'!G15</f>
        <v>2.6567244000000003E-4</v>
      </c>
      <c r="C9" s="145">
        <f t="shared" si="0"/>
        <v>5.579121240000001E-3</v>
      </c>
      <c r="D9" s="146">
        <f>'4B_N2O emission'!E15</f>
        <v>1.9925433000000001E-5</v>
      </c>
      <c r="E9" s="145">
        <f t="shared" si="1"/>
        <v>6.1768842300000005E-3</v>
      </c>
      <c r="F9" s="147">
        <f t="shared" si="2"/>
        <v>1.1756005470000001E-2</v>
      </c>
    </row>
    <row r="10" spans="1:6">
      <c r="A10" s="157">
        <f>'4B_N2O emission'!B16</f>
        <v>2015</v>
      </c>
      <c r="B10" s="144">
        <f>'4B_CH4 emissions'!G16</f>
        <v>2.6645220000000004E-4</v>
      </c>
      <c r="C10" s="145">
        <f t="shared" si="0"/>
        <v>5.5954962000000011E-3</v>
      </c>
      <c r="D10" s="146">
        <f>'4B_N2O emission'!E16</f>
        <v>1.9983915000000001E-5</v>
      </c>
      <c r="E10" s="145">
        <f t="shared" si="1"/>
        <v>6.1950136500000001E-3</v>
      </c>
      <c r="F10" s="147">
        <f t="shared" si="2"/>
        <v>1.1790509850000002E-2</v>
      </c>
    </row>
    <row r="11" spans="1:6">
      <c r="A11" s="157">
        <f>'4B_N2O emission'!B17</f>
        <v>2016</v>
      </c>
      <c r="B11" s="144">
        <f>'4B_CH4 emissions'!G17</f>
        <v>2.6767313999999999E-4</v>
      </c>
      <c r="C11" s="145">
        <f t="shared" si="0"/>
        <v>5.6211359399999999E-3</v>
      </c>
      <c r="D11" s="146">
        <f>'4B_N2O emission'!E17</f>
        <v>2.0075485499999998E-5</v>
      </c>
      <c r="E11" s="145">
        <f t="shared" si="1"/>
        <v>6.2234005049999997E-3</v>
      </c>
      <c r="F11" s="147">
        <f t="shared" si="2"/>
        <v>1.1844536445E-2</v>
      </c>
    </row>
    <row r="12" spans="1:6">
      <c r="A12" s="157">
        <f>'4B_N2O emission'!B18</f>
        <v>2017</v>
      </c>
      <c r="B12" s="144">
        <f>'4B_CH4 emissions'!G18</f>
        <v>2.7738054373589998E-4</v>
      </c>
      <c r="C12" s="145">
        <f t="shared" si="0"/>
        <v>5.8249914184538999E-3</v>
      </c>
      <c r="D12" s="146">
        <f>'4B_N2O emission'!E18</f>
        <v>2.0803540780192501E-5</v>
      </c>
      <c r="E12" s="145">
        <f t="shared" si="1"/>
        <v>6.4490976418596756E-3</v>
      </c>
      <c r="F12" s="147">
        <f t="shared" si="2"/>
        <v>1.2274089060313575E-2</v>
      </c>
    </row>
    <row r="13" spans="1:6">
      <c r="A13" s="157">
        <f>'4B_N2O emission'!B19</f>
        <v>2018</v>
      </c>
      <c r="B13" s="144">
        <f>'4B_CH4 emissions'!G19</f>
        <v>2.8696346119746357E-4</v>
      </c>
      <c r="C13" s="145">
        <f t="shared" si="0"/>
        <v>6.0262326851467348E-3</v>
      </c>
      <c r="D13" s="146">
        <f>'4B_N2O emission'!E19</f>
        <v>2.152225958980977E-5</v>
      </c>
      <c r="E13" s="145">
        <f t="shared" si="1"/>
        <v>6.6719004728410291E-3</v>
      </c>
      <c r="F13" s="147">
        <f t="shared" si="2"/>
        <v>1.2698133157987764E-2</v>
      </c>
    </row>
    <row r="14" spans="1:6">
      <c r="A14" s="157">
        <f>'4B_N2O emission'!B20</f>
        <v>2019</v>
      </c>
      <c r="B14" s="144">
        <f>'4B_CH4 emissions'!G20</f>
        <v>2.9686730260768677E-4</v>
      </c>
      <c r="C14" s="145">
        <f t="shared" si="0"/>
        <v>6.2342133547614222E-3</v>
      </c>
      <c r="D14" s="146">
        <f>'4B_N2O emission'!E20</f>
        <v>2.226504769557651E-5</v>
      </c>
      <c r="E14" s="145">
        <f t="shared" si="1"/>
        <v>6.902164785628718E-3</v>
      </c>
      <c r="F14" s="147">
        <f t="shared" si="2"/>
        <v>1.3136378140390141E-2</v>
      </c>
    </row>
    <row r="15" spans="1:6">
      <c r="A15" s="157">
        <f>'4B_N2O emission'!B21</f>
        <v>2020</v>
      </c>
      <c r="B15" s="144">
        <f>'4B_CH4 emissions'!G21</f>
        <v>3.0710257690693516E-4</v>
      </c>
      <c r="C15" s="145">
        <f t="shared" si="0"/>
        <v>6.4491541150456383E-3</v>
      </c>
      <c r="D15" s="146">
        <f>'4B_N2O emission'!E21</f>
        <v>2.3032693268020138E-5</v>
      </c>
      <c r="E15" s="145">
        <f t="shared" si="1"/>
        <v>7.1401349130862431E-3</v>
      </c>
      <c r="F15" s="147">
        <f t="shared" si="2"/>
        <v>1.3589289028131881E-2</v>
      </c>
    </row>
    <row r="16" spans="1:6">
      <c r="A16" s="157">
        <f>'4B_N2O emission'!B22</f>
        <v>2021</v>
      </c>
      <c r="B16" s="144">
        <f>'4B_CH4 emissions'!G22</f>
        <v>3.1768013137469751E-4</v>
      </c>
      <c r="C16" s="145">
        <f t="shared" si="0"/>
        <v>6.6712827588686473E-3</v>
      </c>
      <c r="D16" s="146">
        <f>'4B_N2O emission'!E22</f>
        <v>2.3826009853102314E-5</v>
      </c>
      <c r="E16" s="145">
        <f t="shared" si="1"/>
        <v>7.3860630544617173E-3</v>
      </c>
      <c r="F16" s="147">
        <f t="shared" si="2"/>
        <v>1.4057345813330364E-2</v>
      </c>
    </row>
    <row r="17" spans="1:7">
      <c r="A17" s="157">
        <f>'4B_N2O emission'!B23</f>
        <v>2022</v>
      </c>
      <c r="B17" s="144">
        <f>'4B_CH4 emissions'!G23</f>
        <v>3.2861116237902968E-4</v>
      </c>
      <c r="C17" s="145">
        <f t="shared" si="0"/>
        <v>6.9008344099596233E-3</v>
      </c>
      <c r="D17" s="146">
        <f>'4B_N2O emission'!E23</f>
        <v>2.4645837178427228E-5</v>
      </c>
      <c r="E17" s="145">
        <f t="shared" si="1"/>
        <v>7.6402095253124405E-3</v>
      </c>
      <c r="F17" s="147">
        <f t="shared" si="2"/>
        <v>1.4541043935272065E-2</v>
      </c>
    </row>
    <row r="18" spans="1:7">
      <c r="A18" s="157">
        <f>'4B_N2O emission'!B24</f>
        <v>2023</v>
      </c>
      <c r="B18" s="144">
        <f>'4B_CH4 emissions'!G24</f>
        <v>3.3990722646389974E-4</v>
      </c>
      <c r="C18" s="145">
        <f t="shared" si="0"/>
        <v>7.1380517557418947E-3</v>
      </c>
      <c r="D18" s="146">
        <f>'4B_N2O emission'!E24</f>
        <v>2.5493041984792482E-5</v>
      </c>
      <c r="E18" s="145">
        <f t="shared" si="1"/>
        <v>7.90284301528567E-3</v>
      </c>
      <c r="F18" s="147">
        <f t="shared" si="2"/>
        <v>1.5040894771027564E-2</v>
      </c>
    </row>
    <row r="19" spans="1:7">
      <c r="A19" s="157">
        <f>'4B_N2O emission'!B25</f>
        <v>2024</v>
      </c>
      <c r="B19" s="144">
        <f>'4B_CH4 emissions'!G25</f>
        <v>3.5158025178496494E-4</v>
      </c>
      <c r="C19" s="145">
        <f t="shared" si="0"/>
        <v>7.3831852874842634E-3</v>
      </c>
      <c r="D19" s="146">
        <f>'4B_N2O emission'!E25</f>
        <v>2.6368518883872368E-5</v>
      </c>
      <c r="E19" s="145">
        <f t="shared" si="1"/>
        <v>8.1742408540004339E-3</v>
      </c>
      <c r="F19" s="147">
        <f t="shared" si="2"/>
        <v>1.5557426141484698E-2</v>
      </c>
    </row>
    <row r="20" spans="1:7">
      <c r="A20" s="157">
        <f>'4B_N2O emission'!B26</f>
        <v>2025</v>
      </c>
      <c r="B20" s="144">
        <f>'4B_CH4 emissions'!G26</f>
        <v>3.6364254990463557E-4</v>
      </c>
      <c r="C20" s="145">
        <f t="shared" si="0"/>
        <v>7.6364935479973466E-3</v>
      </c>
      <c r="D20" s="146">
        <f>'4B_N2O emission'!E26</f>
        <v>2.7273191242847667E-5</v>
      </c>
      <c r="E20" s="145">
        <f t="shared" si="1"/>
        <v>8.4546892852827762E-3</v>
      </c>
      <c r="F20" s="147">
        <f t="shared" si="2"/>
        <v>1.6091182833280121E-2</v>
      </c>
    </row>
    <row r="21" spans="1:7">
      <c r="A21" s="157">
        <f>'4B_N2O emission'!B27</f>
        <v>2026</v>
      </c>
      <c r="B21" s="144">
        <f>'4B_CH4 emissions'!G27</f>
        <v>3.7610682795761519E-4</v>
      </c>
      <c r="C21" s="145">
        <f t="shared" si="0"/>
        <v>7.8982433871099197E-3</v>
      </c>
      <c r="D21" s="146">
        <f>'4B_N2O emission'!E27</f>
        <v>2.8208012096821139E-5</v>
      </c>
      <c r="E21" s="145">
        <f t="shared" si="1"/>
        <v>8.744483750014553E-3</v>
      </c>
      <c r="F21" s="147">
        <f t="shared" si="2"/>
        <v>1.6642727137124474E-2</v>
      </c>
    </row>
    <row r="22" spans="1:7">
      <c r="A22" s="157">
        <f>'4B_N2O emission'!B28</f>
        <v>2027</v>
      </c>
      <c r="B22" s="144">
        <f>'4B_CH4 emissions'!G28</f>
        <v>3.8898620119845451E-4</v>
      </c>
      <c r="C22" s="145">
        <f t="shared" si="0"/>
        <v>8.1687102251675452E-3</v>
      </c>
      <c r="D22" s="146">
        <f>'4B_N2O emission'!E28</f>
        <v>2.9173965089884087E-5</v>
      </c>
      <c r="E22" s="145">
        <f t="shared" si="1"/>
        <v>9.0439291778640664E-3</v>
      </c>
      <c r="F22" s="147">
        <f t="shared" si="2"/>
        <v>1.721263940303161E-2</v>
      </c>
    </row>
    <row r="23" spans="1:7">
      <c r="A23" s="157">
        <f>'4B_N2O emission'!B29</f>
        <v>2028</v>
      </c>
      <c r="B23" s="144">
        <f>'4B_CH4 emissions'!G29</f>
        <v>4.0229420594301306E-4</v>
      </c>
      <c r="C23" s="145">
        <f t="shared" si="0"/>
        <v>8.4481783248032735E-3</v>
      </c>
      <c r="D23" s="146">
        <f>'4B_N2O emission'!E29</f>
        <v>3.0172065445725979E-5</v>
      </c>
      <c r="E23" s="145">
        <f t="shared" si="1"/>
        <v>9.3533402881750532E-3</v>
      </c>
      <c r="F23" s="147">
        <f t="shared" si="2"/>
        <v>1.7801518612978327E-2</v>
      </c>
    </row>
    <row r="24" spans="1:7">
      <c r="A24" s="157">
        <f>'4B_N2O emission'!B30</f>
        <v>2029</v>
      </c>
      <c r="B24" s="144">
        <f>'4B_CH4 emissions'!G30</f>
        <v>4.1604481291608814E-4</v>
      </c>
      <c r="C24" s="145">
        <f t="shared" si="0"/>
        <v>8.7369410712378505E-3</v>
      </c>
      <c r="D24" s="146">
        <f>'4B_N2O emission'!E30</f>
        <v>3.1203360968706605E-5</v>
      </c>
      <c r="E24" s="145">
        <f t="shared" si="1"/>
        <v>9.6730419002990474E-3</v>
      </c>
      <c r="F24" s="147">
        <f t="shared" si="2"/>
        <v>1.8409982971536898E-2</v>
      </c>
    </row>
    <row r="25" spans="1:7">
      <c r="A25" s="157">
        <f>'4B_N2O emission'!B31</f>
        <v>2030</v>
      </c>
      <c r="B25" s="144">
        <f>'4B_CH4 emissions'!G31</f>
        <v>4.3009008000000006E-4</v>
      </c>
      <c r="C25" s="145">
        <f t="shared" si="0"/>
        <v>9.031891680000001E-3</v>
      </c>
      <c r="D25" s="146">
        <f>'4B_N2O emission'!E31</f>
        <v>3.2256756000000006E-5</v>
      </c>
      <c r="E25" s="145">
        <f t="shared" si="1"/>
        <v>9.9995943600000026E-3</v>
      </c>
      <c r="F25" s="147">
        <f t="shared" si="2"/>
        <v>1.9031486040000004E-2</v>
      </c>
    </row>
    <row r="26" spans="1:7">
      <c r="A26" s="158"/>
      <c r="B26" s="148"/>
      <c r="C26" s="149"/>
      <c r="D26" s="150"/>
      <c r="E26" s="149"/>
      <c r="F26" s="151"/>
    </row>
    <row r="28" spans="1:7" ht="13.5" thickBot="1">
      <c r="A28" s="127" t="s">
        <v>266</v>
      </c>
    </row>
    <row r="29" spans="1:7" ht="16.5" customHeight="1" thickBot="1">
      <c r="A29" s="243" t="s">
        <v>259</v>
      </c>
      <c r="B29" s="245" t="s">
        <v>263</v>
      </c>
      <c r="C29" s="246"/>
      <c r="D29" s="246"/>
      <c r="E29" s="246"/>
      <c r="F29" s="246"/>
      <c r="G29" s="247"/>
    </row>
    <row r="30" spans="1:7" ht="14.25" customHeight="1" thickBot="1">
      <c r="A30" s="244"/>
      <c r="B30" s="245" t="s">
        <v>310</v>
      </c>
      <c r="C30" s="247"/>
      <c r="D30" s="245" t="s">
        <v>311</v>
      </c>
      <c r="E30" s="247"/>
      <c r="F30" s="159" t="s">
        <v>316</v>
      </c>
      <c r="G30" s="236" t="s">
        <v>312</v>
      </c>
    </row>
    <row r="31" spans="1:7" ht="15.75">
      <c r="A31" s="244"/>
      <c r="B31" s="160" t="s">
        <v>313</v>
      </c>
      <c r="C31" s="160" t="s">
        <v>314</v>
      </c>
      <c r="D31" s="160" t="s">
        <v>315</v>
      </c>
      <c r="E31" s="160" t="s">
        <v>314</v>
      </c>
      <c r="F31" s="160" t="s">
        <v>317</v>
      </c>
      <c r="G31" s="237"/>
    </row>
    <row r="32" spans="1:7">
      <c r="A32" s="157">
        <f t="shared" ref="A32:A42" si="3">A6</f>
        <v>2011</v>
      </c>
      <c r="B32" s="152">
        <f>'4C2_CH4_OpenBurning'!D11</f>
        <v>1.9973051393750003E-3</v>
      </c>
      <c r="C32" s="145">
        <f>B32*21</f>
        <v>4.1943407926875002E-2</v>
      </c>
      <c r="D32" s="153">
        <f>'4C2_N2O_OpenBurning'!D12</f>
        <v>4.6091657062500007E-5</v>
      </c>
      <c r="E32" s="145">
        <f>D32*310</f>
        <v>1.4288413689375001E-2</v>
      </c>
      <c r="F32" s="133">
        <f>'4C2_CO2_OpenBurning'!M13</f>
        <v>5.3261658457779339E-2</v>
      </c>
      <c r="G32" s="147">
        <f>C32+E32+F32</f>
        <v>0.10949348007402934</v>
      </c>
    </row>
    <row r="33" spans="1:7" ht="12.75" customHeight="1">
      <c r="A33" s="157">
        <f t="shared" si="3"/>
        <v>2012</v>
      </c>
      <c r="B33" s="152">
        <f>'4C2_CH4_OpenBurning'!D12</f>
        <v>2.0133189212499995E-3</v>
      </c>
      <c r="C33" s="145">
        <f t="shared" ref="C33:C51" si="4">B33*21</f>
        <v>4.2279697346249992E-2</v>
      </c>
      <c r="D33" s="153">
        <f>'4C2_N2O_OpenBurning'!D13</f>
        <v>4.6461205874999992E-5</v>
      </c>
      <c r="E33" s="145">
        <f t="shared" ref="E33:E51" si="5">D33*310</f>
        <v>1.4402973821249998E-2</v>
      </c>
      <c r="F33" s="133">
        <f>'4C2_CO2_OpenBurning'!M14</f>
        <v>5.3688694149036063E-2</v>
      </c>
      <c r="G33" s="147">
        <f t="shared" ref="G33:G51" si="6">C33+E33+F33</f>
        <v>0.11037136531653605</v>
      </c>
    </row>
    <row r="34" spans="1:7" ht="13.5" customHeight="1">
      <c r="A34" s="157">
        <f t="shared" si="3"/>
        <v>2013</v>
      </c>
      <c r="B34" s="152">
        <f>'4C2_CH4_OpenBurning'!D13</f>
        <v>2.0256250787499997E-3</v>
      </c>
      <c r="C34" s="145">
        <f t="shared" si="4"/>
        <v>4.2538126653749994E-2</v>
      </c>
      <c r="D34" s="153">
        <f>'4C2_N2O_OpenBurning'!D14</f>
        <v>4.6745194124999997E-5</v>
      </c>
      <c r="E34" s="145">
        <f t="shared" si="5"/>
        <v>1.449101017875E-2</v>
      </c>
      <c r="F34" s="133">
        <f>'4C2_CO2_OpenBurning'!M15</f>
        <v>5.4016859507834344E-2</v>
      </c>
      <c r="G34" s="147">
        <f t="shared" si="6"/>
        <v>0.11104599634033434</v>
      </c>
    </row>
    <row r="35" spans="1:7">
      <c r="A35" s="157">
        <f t="shared" si="3"/>
        <v>2014</v>
      </c>
      <c r="B35" s="152">
        <f>'4C2_CH4_OpenBurning'!D14</f>
        <v>2.0426643737500002E-3</v>
      </c>
      <c r="C35" s="145">
        <f t="shared" si="4"/>
        <v>4.2895951848750002E-2</v>
      </c>
      <c r="D35" s="153">
        <f>'4C2_N2O_OpenBurning'!D15</f>
        <v>4.7138408625000002E-5</v>
      </c>
      <c r="E35" s="145">
        <f t="shared" si="5"/>
        <v>1.461290667375E-2</v>
      </c>
      <c r="F35" s="133">
        <f>'4C2_CO2_OpenBurning'!M16</f>
        <v>5.4471242312324267E-2</v>
      </c>
      <c r="G35" s="147">
        <f t="shared" si="6"/>
        <v>0.11198010083482426</v>
      </c>
    </row>
    <row r="36" spans="1:7">
      <c r="A36" s="157">
        <f t="shared" si="3"/>
        <v>2015</v>
      </c>
      <c r="B36" s="152">
        <f>'4C2_CH4_OpenBurning'!D15</f>
        <v>2.04865968125E-3</v>
      </c>
      <c r="C36" s="145">
        <f t="shared" si="4"/>
        <v>4.3021853306249996E-2</v>
      </c>
      <c r="D36" s="153">
        <f>'4C2_N2O_OpenBurning'!D16</f>
        <v>4.7276761875000011E-5</v>
      </c>
      <c r="E36" s="145">
        <f t="shared" si="5"/>
        <v>1.4655796181250003E-2</v>
      </c>
      <c r="F36" s="133">
        <f>'4C2_CO2_OpenBurning'!M17</f>
        <v>5.4631117743533686E-2</v>
      </c>
      <c r="G36" s="147">
        <f t="shared" si="6"/>
        <v>0.11230876723103368</v>
      </c>
    </row>
    <row r="37" spans="1:7">
      <c r="A37" s="157">
        <f t="shared" si="3"/>
        <v>2016</v>
      </c>
      <c r="B37" s="152">
        <f>'4C2_CH4_OpenBurning'!D16</f>
        <v>2.0580470706249997E-3</v>
      </c>
      <c r="C37" s="145">
        <f t="shared" si="4"/>
        <v>4.3218988483124991E-2</v>
      </c>
      <c r="D37" s="153">
        <f>'4C2_N2O_OpenBurning'!D17</f>
        <v>4.7493393937499992E-5</v>
      </c>
      <c r="E37" s="145">
        <f t="shared" si="5"/>
        <v>1.4722952120624997E-2</v>
      </c>
      <c r="F37" s="133">
        <f>'4C2_CO2_OpenBurning'!M18</f>
        <v>5.4881449010822106E-2</v>
      </c>
      <c r="G37" s="147">
        <f t="shared" si="6"/>
        <v>0.1128233896145721</v>
      </c>
    </row>
    <row r="38" spans="1:7">
      <c r="A38" s="157">
        <f t="shared" si="3"/>
        <v>2017</v>
      </c>
      <c r="B38" s="152">
        <f>'4C2_CH4_OpenBurning'!D17</f>
        <v>2.0735867498937505E-3</v>
      </c>
      <c r="C38" s="145">
        <f t="shared" si="4"/>
        <v>4.3545321747768762E-2</v>
      </c>
      <c r="D38" s="153">
        <f>'4C2_N2O_OpenBurning'!D18</f>
        <v>4.7852001920625004E-5</v>
      </c>
      <c r="E38" s="145">
        <f t="shared" si="5"/>
        <v>1.4834120595393751E-2</v>
      </c>
      <c r="F38" s="133">
        <f>'4C2_CO2_OpenBurning'!M19</f>
        <v>5.5295841921268733E-2</v>
      </c>
      <c r="G38" s="147">
        <f t="shared" si="6"/>
        <v>0.11367528426443124</v>
      </c>
    </row>
    <row r="39" spans="1:7">
      <c r="A39" s="157">
        <f t="shared" si="3"/>
        <v>2018</v>
      </c>
      <c r="B39" s="152">
        <f>'4C2_CH4_OpenBurning'!D18</f>
        <v>2.0857801009499998E-3</v>
      </c>
      <c r="C39" s="145">
        <f t="shared" si="4"/>
        <v>4.3801382119949994E-2</v>
      </c>
      <c r="D39" s="153">
        <f>'4C2_N2O_OpenBurning'!D19</f>
        <v>4.8133386944999996E-5</v>
      </c>
      <c r="E39" s="145">
        <f t="shared" si="5"/>
        <v>1.4921349952949999E-2</v>
      </c>
      <c r="F39" s="133">
        <f>'4C2_CO2_OpenBurning'!M20</f>
        <v>5.5620999097611354E-2</v>
      </c>
      <c r="G39" s="147">
        <f t="shared" si="6"/>
        <v>0.11434373117051135</v>
      </c>
    </row>
    <row r="40" spans="1:7">
      <c r="A40" s="157">
        <f t="shared" si="3"/>
        <v>2019</v>
      </c>
      <c r="B40" s="152">
        <f>'4C2_CH4_OpenBurning'!D19</f>
        <v>2.0979734520062496E-3</v>
      </c>
      <c r="C40" s="145">
        <f t="shared" si="4"/>
        <v>4.4057442492131241E-2</v>
      </c>
      <c r="D40" s="153">
        <f>'4C2_N2O_OpenBurning'!D20</f>
        <v>4.8414771969374995E-5</v>
      </c>
      <c r="E40" s="145">
        <f t="shared" si="5"/>
        <v>1.5008579310506249E-2</v>
      </c>
      <c r="F40" s="133">
        <f>'4C2_CO2_OpenBurning'!M21</f>
        <v>5.5946156273953981E-2</v>
      </c>
      <c r="G40" s="147">
        <f t="shared" si="6"/>
        <v>0.11501217807659148</v>
      </c>
    </row>
    <row r="41" spans="1:7">
      <c r="A41" s="157">
        <f t="shared" si="3"/>
        <v>2020</v>
      </c>
      <c r="B41" s="152">
        <f>'4C2_CH4_OpenBurning'!D20</f>
        <v>2.1101668030625003E-3</v>
      </c>
      <c r="C41" s="145">
        <f t="shared" si="4"/>
        <v>4.4313502864312508E-2</v>
      </c>
      <c r="D41" s="153">
        <f>'4C2_N2O_OpenBurning'!D21</f>
        <v>4.8696156993749993E-5</v>
      </c>
      <c r="E41" s="145">
        <f t="shared" si="5"/>
        <v>1.5095808668062498E-2</v>
      </c>
      <c r="F41" s="133">
        <f>'4C2_CO2_OpenBurning'!M22</f>
        <v>5.6271313450296602E-2</v>
      </c>
      <c r="G41" s="147">
        <f t="shared" si="6"/>
        <v>0.11568062498267161</v>
      </c>
    </row>
    <row r="42" spans="1:7">
      <c r="A42" s="157">
        <f t="shared" si="3"/>
        <v>2021</v>
      </c>
      <c r="B42" s="152">
        <f>'4C2_CH4_OpenBurning'!D21</f>
        <v>2.1223601541187501E-3</v>
      </c>
      <c r="C42" s="145">
        <f t="shared" si="4"/>
        <v>4.4569563236493755E-2</v>
      </c>
      <c r="D42" s="153">
        <f>'4C2_N2O_OpenBurning'!D22</f>
        <v>4.8977542018124999E-5</v>
      </c>
      <c r="E42" s="145">
        <f t="shared" si="5"/>
        <v>1.518303802561875E-2</v>
      </c>
      <c r="F42" s="133">
        <f>'4C2_CO2_OpenBurning'!M23</f>
        <v>5.659647062663923E-2</v>
      </c>
      <c r="G42" s="147">
        <f t="shared" si="6"/>
        <v>0.11634907188875174</v>
      </c>
    </row>
    <row r="43" spans="1:7">
      <c r="A43" s="157">
        <f t="shared" ref="A43:A51" si="7">A17</f>
        <v>2022</v>
      </c>
      <c r="B43" s="152">
        <f>'4C2_CH4_OpenBurning'!D22</f>
        <v>2.1345535051749999E-3</v>
      </c>
      <c r="C43" s="145">
        <f t="shared" si="4"/>
        <v>4.4825623608674994E-2</v>
      </c>
      <c r="D43" s="153">
        <f>'4C2_N2O_OpenBurning'!D23</f>
        <v>4.9258927042499998E-5</v>
      </c>
      <c r="E43" s="145">
        <f t="shared" si="5"/>
        <v>1.5270267383174999E-2</v>
      </c>
      <c r="F43" s="133">
        <f>'4C2_CO2_OpenBurning'!M24</f>
        <v>5.6921627802981857E-2</v>
      </c>
      <c r="G43" s="147">
        <f t="shared" si="6"/>
        <v>0.11701751879483185</v>
      </c>
    </row>
    <row r="44" spans="1:7">
      <c r="A44" s="157">
        <f t="shared" si="7"/>
        <v>2023</v>
      </c>
      <c r="B44" s="152">
        <f>'4C2_CH4_OpenBurning'!D23</f>
        <v>2.1467468562312497E-3</v>
      </c>
      <c r="C44" s="145">
        <f t="shared" si="4"/>
        <v>4.5081683980856241E-2</v>
      </c>
      <c r="D44" s="153">
        <f>'4C2_N2O_OpenBurning'!D24</f>
        <v>4.9540312066874989E-5</v>
      </c>
      <c r="E44" s="145">
        <f t="shared" si="5"/>
        <v>1.5357496740731247E-2</v>
      </c>
      <c r="F44" s="133">
        <f>'4C2_CO2_OpenBurning'!M25</f>
        <v>5.7246784979324471E-2</v>
      </c>
      <c r="G44" s="147">
        <f t="shared" si="6"/>
        <v>0.11768596570091196</v>
      </c>
    </row>
    <row r="45" spans="1:7">
      <c r="A45" s="157">
        <f t="shared" si="7"/>
        <v>2024</v>
      </c>
      <c r="B45" s="152">
        <f>'4C2_CH4_OpenBurning'!D24</f>
        <v>2.1589402072874999E-3</v>
      </c>
      <c r="C45" s="145">
        <f t="shared" si="4"/>
        <v>4.5337744353037501E-2</v>
      </c>
      <c r="D45" s="153">
        <f>'4C2_N2O_OpenBurning'!D25</f>
        <v>4.9821697091249995E-5</v>
      </c>
      <c r="E45" s="145">
        <f t="shared" si="5"/>
        <v>1.5444726098287499E-2</v>
      </c>
      <c r="F45" s="133">
        <f>'4C2_CO2_OpenBurning'!M26</f>
        <v>5.7571942155667105E-2</v>
      </c>
      <c r="G45" s="147">
        <f t="shared" si="6"/>
        <v>0.1183544126069921</v>
      </c>
    </row>
    <row r="46" spans="1:7">
      <c r="A46" s="157">
        <f t="shared" si="7"/>
        <v>2025</v>
      </c>
      <c r="B46" s="152">
        <f>'4C2_CH4_OpenBurning'!D25</f>
        <v>2.1711335583437501E-3</v>
      </c>
      <c r="C46" s="145">
        <f t="shared" si="4"/>
        <v>4.5593804725218755E-2</v>
      </c>
      <c r="D46" s="153">
        <f>'4C2_N2O_OpenBurning'!D26</f>
        <v>5.0103082115625007E-5</v>
      </c>
      <c r="E46" s="145">
        <f t="shared" si="5"/>
        <v>1.5531955455843752E-2</v>
      </c>
      <c r="F46" s="133">
        <f>'4C2_CO2_OpenBurning'!M27</f>
        <v>5.7897099332009733E-2</v>
      </c>
      <c r="G46" s="147">
        <f t="shared" si="6"/>
        <v>0.11902285951307223</v>
      </c>
    </row>
    <row r="47" spans="1:7">
      <c r="A47" s="157">
        <f t="shared" si="7"/>
        <v>2026</v>
      </c>
      <c r="B47" s="152">
        <f>'4C2_CH4_OpenBurning'!D26</f>
        <v>2.1833269093999999E-3</v>
      </c>
      <c r="C47" s="145">
        <f t="shared" si="4"/>
        <v>4.5849865097400001E-2</v>
      </c>
      <c r="D47" s="153">
        <f>'4C2_N2O_OpenBurning'!D27</f>
        <v>5.0384467139999999E-5</v>
      </c>
      <c r="E47" s="145">
        <f t="shared" si="5"/>
        <v>1.56191848134E-2</v>
      </c>
      <c r="F47" s="133">
        <f>'4C2_CO2_OpenBurning'!M28</f>
        <v>5.8222256508352367E-2</v>
      </c>
      <c r="G47" s="147">
        <f t="shared" si="6"/>
        <v>0.11969130641915238</v>
      </c>
    </row>
    <row r="48" spans="1:7">
      <c r="A48" s="157">
        <f t="shared" si="7"/>
        <v>2027</v>
      </c>
      <c r="B48" s="152">
        <f>'4C2_CH4_OpenBurning'!D27</f>
        <v>2.1955202604562502E-3</v>
      </c>
      <c r="C48" s="145">
        <f t="shared" si="4"/>
        <v>4.6105925469581255E-2</v>
      </c>
      <c r="D48" s="153">
        <f>'4C2_N2O_OpenBurning'!D28</f>
        <v>5.0665852164374998E-5</v>
      </c>
      <c r="E48" s="145">
        <f t="shared" si="5"/>
        <v>1.5706414170956251E-2</v>
      </c>
      <c r="F48" s="133">
        <f>'4C2_CO2_OpenBurning'!M29</f>
        <v>5.8547413684694988E-2</v>
      </c>
      <c r="G48" s="147">
        <f t="shared" si="6"/>
        <v>0.12035975332523249</v>
      </c>
    </row>
    <row r="49" spans="1:7">
      <c r="A49" s="157">
        <f t="shared" si="7"/>
        <v>2028</v>
      </c>
      <c r="B49" s="152">
        <f>'4C2_CH4_OpenBurning'!D28</f>
        <v>2.2077136115125E-3</v>
      </c>
      <c r="C49" s="145">
        <f t="shared" si="4"/>
        <v>4.6361985841762501E-2</v>
      </c>
      <c r="D49" s="153">
        <f>'4C2_N2O_OpenBurning'!D29</f>
        <v>5.0947237188749997E-5</v>
      </c>
      <c r="E49" s="145">
        <f t="shared" si="5"/>
        <v>1.5793643528512497E-2</v>
      </c>
      <c r="F49" s="133">
        <f>'4C2_CO2_OpenBurning'!M30</f>
        <v>5.8872570861037608E-2</v>
      </c>
      <c r="G49" s="147">
        <f t="shared" si="6"/>
        <v>0.12102820023131261</v>
      </c>
    </row>
    <row r="50" spans="1:7">
      <c r="A50" s="157">
        <f t="shared" si="7"/>
        <v>2029</v>
      </c>
      <c r="B50" s="152">
        <f>'4C2_CH4_OpenBurning'!D29</f>
        <v>2.2199069625687498E-3</v>
      </c>
      <c r="C50" s="145">
        <f t="shared" si="4"/>
        <v>4.6618046213943748E-2</v>
      </c>
      <c r="D50" s="153">
        <f>'4C2_N2O_OpenBurning'!D30</f>
        <v>5.1228622213125002E-5</v>
      </c>
      <c r="E50" s="145">
        <f t="shared" si="5"/>
        <v>1.588087288606875E-2</v>
      </c>
      <c r="F50" s="133">
        <f>'4C2_CO2_OpenBurning'!M31</f>
        <v>5.9197728037380229E-2</v>
      </c>
      <c r="G50" s="147">
        <f t="shared" si="6"/>
        <v>0.12169664713739273</v>
      </c>
    </row>
    <row r="51" spans="1:7">
      <c r="A51" s="157">
        <f t="shared" si="7"/>
        <v>2030</v>
      </c>
      <c r="B51" s="152">
        <f>'4C2_CH4_OpenBurning'!D30</f>
        <v>2.2321003136249996E-3</v>
      </c>
      <c r="C51" s="145">
        <f t="shared" si="4"/>
        <v>4.6874106586124988E-2</v>
      </c>
      <c r="D51" s="153">
        <f>'4C2_N2O_OpenBurning'!D31</f>
        <v>5.1510007237500001E-5</v>
      </c>
      <c r="E51" s="145">
        <f t="shared" si="5"/>
        <v>1.5968102243625E-2</v>
      </c>
      <c r="F51" s="133">
        <f>'4C2_CO2_OpenBurning'!M32</f>
        <v>5.9522885213722863E-2</v>
      </c>
      <c r="G51" s="147">
        <f t="shared" si="6"/>
        <v>0.12236509404347284</v>
      </c>
    </row>
    <row r="52" spans="1:7">
      <c r="A52" s="158"/>
      <c r="B52" s="154"/>
      <c r="C52" s="155"/>
      <c r="D52" s="154"/>
      <c r="E52" s="155"/>
      <c r="F52" s="155"/>
    </row>
    <row r="53" spans="1:7">
      <c r="A53" s="158"/>
      <c r="B53" s="154"/>
      <c r="C53" s="155"/>
      <c r="D53" s="154"/>
      <c r="E53" s="155"/>
      <c r="F53" s="155"/>
    </row>
    <row r="54" spans="1:7" ht="13.5" thickBot="1">
      <c r="A54" s="128" t="s">
        <v>269</v>
      </c>
      <c r="B54" s="155"/>
      <c r="C54" s="154"/>
      <c r="D54" s="155"/>
    </row>
    <row r="55" spans="1:7" ht="14.25" customHeight="1" thickBot="1">
      <c r="A55" s="228" t="s">
        <v>259</v>
      </c>
      <c r="B55" s="230" t="s">
        <v>318</v>
      </c>
      <c r="C55" s="231"/>
      <c r="D55" s="161" t="s">
        <v>319</v>
      </c>
      <c r="E55" s="162"/>
      <c r="F55" s="163" t="s">
        <v>239</v>
      </c>
    </row>
    <row r="56" spans="1:7" ht="45" thickBot="1">
      <c r="A56" s="229"/>
      <c r="B56" s="164" t="s">
        <v>320</v>
      </c>
      <c r="C56" s="164" t="s">
        <v>321</v>
      </c>
      <c r="D56" s="165" t="s">
        <v>322</v>
      </c>
      <c r="E56" s="165" t="s">
        <v>323</v>
      </c>
      <c r="F56" s="166" t="s">
        <v>324</v>
      </c>
    </row>
    <row r="57" spans="1:7" ht="13.5" thickBot="1">
      <c r="A57" s="229"/>
      <c r="B57" s="232" t="s">
        <v>11</v>
      </c>
      <c r="C57" s="167" t="s">
        <v>12</v>
      </c>
      <c r="D57" s="168" t="s">
        <v>13</v>
      </c>
      <c r="E57" s="169" t="s">
        <v>14</v>
      </c>
      <c r="F57" s="170" t="s">
        <v>15</v>
      </c>
    </row>
    <row r="58" spans="1:7">
      <c r="A58" s="229"/>
      <c r="B58" s="233"/>
      <c r="C58" s="171" t="s">
        <v>260</v>
      </c>
      <c r="D58" s="172"/>
      <c r="E58" s="173" t="s">
        <v>261</v>
      </c>
      <c r="F58" s="174" t="s">
        <v>262</v>
      </c>
    </row>
    <row r="59" spans="1:7">
      <c r="A59" s="157">
        <f t="shared" ref="A59:A69" si="8">A32</f>
        <v>2011</v>
      </c>
      <c r="B59" s="133">
        <f>'4D1_CH4_Domestic_Wastewater'!N12</f>
        <v>2.6451204914399999E-2</v>
      </c>
      <c r="C59" s="145">
        <f>B59*21</f>
        <v>0.55547530320240002</v>
      </c>
      <c r="D59" s="175">
        <f>'4D1_Indirect_N2O'!G11</f>
        <v>8.9894747800000003E-4</v>
      </c>
      <c r="E59" s="145">
        <f>D59*310</f>
        <v>0.27867371818000003</v>
      </c>
      <c r="F59" s="176">
        <f>C59+E59</f>
        <v>0.8341490213824001</v>
      </c>
    </row>
    <row r="60" spans="1:7">
      <c r="A60" s="157">
        <f t="shared" si="8"/>
        <v>2012</v>
      </c>
      <c r="B60" s="133">
        <f>'4D1_CH4_Domestic_Wastewater'!N13</f>
        <v>2.6663282587200004E-2</v>
      </c>
      <c r="C60" s="145">
        <f t="shared" ref="C60:C79" si="9">B60*21</f>
        <v>0.55992893433120006</v>
      </c>
      <c r="D60" s="175">
        <f>'4D1_Indirect_N2O'!G12</f>
        <v>8.7350868000000016E-4</v>
      </c>
      <c r="E60" s="145">
        <f t="shared" ref="E60:E79" si="10">D60*310</f>
        <v>0.27078769080000004</v>
      </c>
      <c r="F60" s="176">
        <f t="shared" ref="F60:F79" si="11">C60+E60</f>
        <v>0.83071662513120015</v>
      </c>
    </row>
    <row r="61" spans="1:7">
      <c r="A61" s="157">
        <f t="shared" si="8"/>
        <v>2013</v>
      </c>
      <c r="B61" s="133">
        <f>'4D1_CH4_Domestic_Wastewater'!N14</f>
        <v>2.6826258532800001E-2</v>
      </c>
      <c r="C61" s="145">
        <f t="shared" si="9"/>
        <v>0.56335142918879999</v>
      </c>
      <c r="D61" s="175">
        <f>'4D1_Indirect_N2O'!G13</f>
        <v>8.6641973942857143E-4</v>
      </c>
      <c r="E61" s="145">
        <f t="shared" si="10"/>
        <v>0.26859011922285714</v>
      </c>
      <c r="F61" s="176">
        <f t="shared" si="11"/>
        <v>0.83194154841165713</v>
      </c>
    </row>
    <row r="62" spans="1:7">
      <c r="A62" s="157">
        <f t="shared" si="8"/>
        <v>2014</v>
      </c>
      <c r="B62" s="133">
        <f>'4D1_CH4_Domestic_Wastewater'!N15</f>
        <v>2.7051917534400005E-2</v>
      </c>
      <c r="C62" s="145">
        <f t="shared" si="9"/>
        <v>0.56809026822240005</v>
      </c>
      <c r="D62" s="175">
        <f>'4D1_Indirect_N2O'!G14</f>
        <v>8.9310378876190488E-4</v>
      </c>
      <c r="E62" s="145">
        <f t="shared" si="10"/>
        <v>0.2768621745161905</v>
      </c>
      <c r="F62" s="176">
        <f t="shared" si="11"/>
        <v>0.8449524427385906</v>
      </c>
    </row>
    <row r="63" spans="1:7">
      <c r="A63" s="157">
        <f t="shared" si="8"/>
        <v>2015</v>
      </c>
      <c r="B63" s="133">
        <f>'4D1_CH4_Domestic_Wastewater'!N16</f>
        <v>2.7131316072000002E-2</v>
      </c>
      <c r="C63" s="145">
        <f t="shared" si="9"/>
        <v>0.56975763751200004</v>
      </c>
      <c r="D63" s="175">
        <f>'4D1_Indirect_N2O'!G15</f>
        <v>8.9572508666666689E-4</v>
      </c>
      <c r="E63" s="145">
        <f t="shared" si="10"/>
        <v>0.27767477686666675</v>
      </c>
      <c r="F63" s="176">
        <f t="shared" si="11"/>
        <v>0.84743241437866679</v>
      </c>
    </row>
    <row r="64" spans="1:7">
      <c r="A64" s="157">
        <f t="shared" si="8"/>
        <v>2016</v>
      </c>
      <c r="B64" s="133">
        <f>'4D1_CH4_Domestic_Wastewater'!N17</f>
        <v>2.7255637466399994E-2</v>
      </c>
      <c r="C64" s="145">
        <f t="shared" si="9"/>
        <v>0.57236838679439983</v>
      </c>
      <c r="D64" s="175">
        <f>'4D1_Indirect_N2O'!G16</f>
        <v>8.998294873333334E-4</v>
      </c>
      <c r="E64" s="145">
        <f t="shared" si="10"/>
        <v>0.27894714107333335</v>
      </c>
      <c r="F64" s="176">
        <f t="shared" si="11"/>
        <v>0.85131552786773312</v>
      </c>
    </row>
    <row r="65" spans="1:6">
      <c r="A65" s="157">
        <f t="shared" si="8"/>
        <v>2017</v>
      </c>
      <c r="B65" s="133">
        <f>'4D1_CH4_Domestic_Wastewater'!N18</f>
        <v>2.7461436386424003E-2</v>
      </c>
      <c r="C65" s="145">
        <f t="shared" si="9"/>
        <v>0.57669016411490404</v>
      </c>
      <c r="D65" s="175">
        <f>'4D1_Indirect_N2O'!G17</f>
        <v>9.0662382252095235E-4</v>
      </c>
      <c r="E65" s="145">
        <f t="shared" si="10"/>
        <v>0.28105338498149524</v>
      </c>
      <c r="F65" s="176">
        <f t="shared" si="11"/>
        <v>0.85774354909639927</v>
      </c>
    </row>
    <row r="66" spans="1:6">
      <c r="A66" s="157">
        <f t="shared" si="8"/>
        <v>2018</v>
      </c>
      <c r="B66" s="133">
        <f>'4D1_CH4_Domestic_Wastewater'!N19</f>
        <v>2.7622918385856007E-2</v>
      </c>
      <c r="C66" s="145">
        <f t="shared" si="9"/>
        <v>0.58008128610297616</v>
      </c>
      <c r="D66" s="175">
        <f>'4D1_Indirect_N2O'!G18</f>
        <v>9.1195505958857159E-4</v>
      </c>
      <c r="E66" s="145">
        <f t="shared" si="10"/>
        <v>0.28270606847245722</v>
      </c>
      <c r="F66" s="176">
        <f t="shared" si="11"/>
        <v>0.86278735457543343</v>
      </c>
    </row>
    <row r="67" spans="1:6">
      <c r="A67" s="157">
        <f t="shared" si="8"/>
        <v>2019</v>
      </c>
      <c r="B67" s="133">
        <f>'4D1_CH4_Domestic_Wastewater'!N20</f>
        <v>2.7784400385288E-2</v>
      </c>
      <c r="C67" s="145">
        <f t="shared" si="9"/>
        <v>0.58347240809104806</v>
      </c>
      <c r="D67" s="175">
        <f>'4D1_Indirect_N2O'!G19</f>
        <v>9.1728629665619062E-4</v>
      </c>
      <c r="E67" s="145">
        <f t="shared" si="10"/>
        <v>0.28435875196341909</v>
      </c>
      <c r="F67" s="176">
        <f t="shared" si="11"/>
        <v>0.86783116005446714</v>
      </c>
    </row>
    <row r="68" spans="1:6">
      <c r="A68" s="157">
        <f t="shared" si="8"/>
        <v>2020</v>
      </c>
      <c r="B68" s="133">
        <f>'4D1_CH4_Domestic_Wastewater'!N21</f>
        <v>2.7945882384720004E-2</v>
      </c>
      <c r="C68" s="145">
        <f t="shared" si="9"/>
        <v>0.58686353007912007</v>
      </c>
      <c r="D68" s="175">
        <f>'4D1_Indirect_N2O'!G20</f>
        <v>9.2261753372380976E-4</v>
      </c>
      <c r="E68" s="145">
        <f t="shared" si="10"/>
        <v>0.28601143545438101</v>
      </c>
      <c r="F68" s="176">
        <f t="shared" si="11"/>
        <v>0.87287496553350108</v>
      </c>
    </row>
    <row r="69" spans="1:6">
      <c r="A69" s="157">
        <f t="shared" si="8"/>
        <v>2021</v>
      </c>
      <c r="B69" s="133">
        <f>'4D1_CH4_Domestic_Wastewater'!N22</f>
        <v>2.8107364384152001E-2</v>
      </c>
      <c r="C69" s="145">
        <f t="shared" si="9"/>
        <v>0.59025465206719208</v>
      </c>
      <c r="D69" s="175">
        <f>'4D1_Indirect_N2O'!G21</f>
        <v>9.2794877079142857E-4</v>
      </c>
      <c r="E69" s="145">
        <f t="shared" si="10"/>
        <v>0.28766411894534283</v>
      </c>
      <c r="F69" s="176">
        <f t="shared" si="11"/>
        <v>0.8779187710125349</v>
      </c>
    </row>
    <row r="70" spans="1:6">
      <c r="A70" s="157">
        <f t="shared" ref="A70:A78" si="12">A43</f>
        <v>2022</v>
      </c>
      <c r="B70" s="133">
        <f>'4D1_CH4_Domestic_Wastewater'!N23</f>
        <v>2.8268846383584005E-2</v>
      </c>
      <c r="C70" s="145">
        <f t="shared" si="9"/>
        <v>0.59364577405526409</v>
      </c>
      <c r="D70" s="175">
        <f>'4D1_Indirect_N2O'!G22</f>
        <v>9.332800078590477E-4</v>
      </c>
      <c r="E70" s="145">
        <f t="shared" si="10"/>
        <v>0.28931680243630481</v>
      </c>
      <c r="F70" s="176">
        <f t="shared" si="11"/>
        <v>0.88296257649156895</v>
      </c>
    </row>
    <row r="71" spans="1:6">
      <c r="A71" s="157">
        <f t="shared" si="12"/>
        <v>2023</v>
      </c>
      <c r="B71" s="133">
        <f>'4D1_CH4_Domestic_Wastewater'!N24</f>
        <v>2.8430328383016002E-2</v>
      </c>
      <c r="C71" s="145">
        <f t="shared" si="9"/>
        <v>0.5970368960433361</v>
      </c>
      <c r="D71" s="175">
        <f>'4D1_Indirect_N2O'!G23</f>
        <v>9.3861124492666684E-4</v>
      </c>
      <c r="E71" s="145">
        <f t="shared" si="10"/>
        <v>0.29096948592726674</v>
      </c>
      <c r="F71" s="176">
        <f t="shared" si="11"/>
        <v>0.88800638197060278</v>
      </c>
    </row>
    <row r="72" spans="1:6">
      <c r="A72" s="157">
        <f t="shared" si="12"/>
        <v>2024</v>
      </c>
      <c r="B72" s="133">
        <f>'4D1_CH4_Domestic_Wastewater'!N25</f>
        <v>2.8591810382447999E-2</v>
      </c>
      <c r="C72" s="145">
        <f t="shared" si="9"/>
        <v>0.600428018031408</v>
      </c>
      <c r="D72" s="175">
        <f>'4D1_Indirect_N2O'!G24</f>
        <v>9.4394248199428554E-4</v>
      </c>
      <c r="E72" s="145">
        <f t="shared" si="10"/>
        <v>0.29262216941822849</v>
      </c>
      <c r="F72" s="176">
        <f t="shared" si="11"/>
        <v>0.89305018744963649</v>
      </c>
    </row>
    <row r="73" spans="1:6">
      <c r="A73" s="157">
        <f t="shared" si="12"/>
        <v>2025</v>
      </c>
      <c r="B73" s="133">
        <f>'4D1_CH4_Domestic_Wastewater'!N26</f>
        <v>2.875329238188E-2</v>
      </c>
      <c r="C73" s="145">
        <f t="shared" si="9"/>
        <v>0.60381914001948001</v>
      </c>
      <c r="D73" s="175">
        <f>'4D1_Indirect_N2O'!G25</f>
        <v>9.4927371906190501E-4</v>
      </c>
      <c r="E73" s="145">
        <f t="shared" si="10"/>
        <v>0.29427485290919053</v>
      </c>
      <c r="F73" s="176">
        <f t="shared" si="11"/>
        <v>0.89809399292867054</v>
      </c>
    </row>
    <row r="74" spans="1:6">
      <c r="A74" s="157">
        <f t="shared" si="12"/>
        <v>2026</v>
      </c>
      <c r="B74" s="133">
        <f>'4D1_CH4_Domestic_Wastewater'!N27</f>
        <v>2.8914774381312E-2</v>
      </c>
      <c r="C74" s="145">
        <f t="shared" si="9"/>
        <v>0.60721026200755202</v>
      </c>
      <c r="D74" s="175">
        <f>'4D1_Indirect_N2O'!G26</f>
        <v>9.5460495612952393E-4</v>
      </c>
      <c r="E74" s="145">
        <f t="shared" si="10"/>
        <v>0.2959275364001524</v>
      </c>
      <c r="F74" s="176">
        <f t="shared" si="11"/>
        <v>0.90313779840770447</v>
      </c>
    </row>
    <row r="75" spans="1:6">
      <c r="A75" s="157">
        <f t="shared" si="12"/>
        <v>2027</v>
      </c>
      <c r="B75" s="133">
        <f>'4D1_CH4_Domestic_Wastewater'!N28</f>
        <v>2.9076256380744004E-2</v>
      </c>
      <c r="C75" s="145">
        <f t="shared" si="9"/>
        <v>0.61060138399562414</v>
      </c>
      <c r="D75" s="175">
        <f>'4D1_Indirect_N2O'!G27</f>
        <v>9.5993619319714295E-4</v>
      </c>
      <c r="E75" s="145">
        <f t="shared" si="10"/>
        <v>0.29758021989111433</v>
      </c>
      <c r="F75" s="176">
        <f t="shared" si="11"/>
        <v>0.90818160388673852</v>
      </c>
    </row>
    <row r="76" spans="1:6">
      <c r="A76" s="157">
        <f t="shared" si="12"/>
        <v>2028</v>
      </c>
      <c r="B76" s="133">
        <f>'4D1_CH4_Domestic_Wastewater'!N29</f>
        <v>2.9237738380175998E-2</v>
      </c>
      <c r="C76" s="145">
        <f t="shared" si="9"/>
        <v>0.61399250598369592</v>
      </c>
      <c r="D76" s="175">
        <f>'4D1_Indirect_N2O'!G28</f>
        <v>9.6526743026476187E-4</v>
      </c>
      <c r="E76" s="145">
        <f t="shared" si="10"/>
        <v>0.2992329033820762</v>
      </c>
      <c r="F76" s="176">
        <f t="shared" si="11"/>
        <v>0.91322540936577212</v>
      </c>
    </row>
    <row r="77" spans="1:6">
      <c r="A77" s="157">
        <f t="shared" si="12"/>
        <v>2029</v>
      </c>
      <c r="B77" s="133">
        <f>'4D1_CH4_Domestic_Wastewater'!N30</f>
        <v>2.9399220379608005E-2</v>
      </c>
      <c r="C77" s="145">
        <f t="shared" si="9"/>
        <v>0.61738362797176816</v>
      </c>
      <c r="D77" s="175">
        <f>'4D1_Indirect_N2O'!G29</f>
        <v>9.7059866733238123E-4</v>
      </c>
      <c r="E77" s="145">
        <f t="shared" si="10"/>
        <v>0.30088558687303818</v>
      </c>
      <c r="F77" s="176">
        <f t="shared" si="11"/>
        <v>0.91826921484480639</v>
      </c>
    </row>
    <row r="78" spans="1:6">
      <c r="A78" s="157">
        <f t="shared" si="12"/>
        <v>2030</v>
      </c>
      <c r="B78" s="133">
        <f>'4D1_CH4_Domestic_Wastewater'!N31</f>
        <v>2.9560702379040009E-2</v>
      </c>
      <c r="C78" s="145">
        <f t="shared" si="9"/>
        <v>0.62077474995984017</v>
      </c>
      <c r="D78" s="175">
        <f>'4D1_Indirect_N2O'!G30</f>
        <v>9.7592990440000015E-4</v>
      </c>
      <c r="E78" s="145">
        <f t="shared" si="10"/>
        <v>0.30253827036400005</v>
      </c>
      <c r="F78" s="176">
        <f t="shared" si="11"/>
        <v>0.92331302032384022</v>
      </c>
    </row>
    <row r="79" spans="1:6">
      <c r="A79" s="157"/>
      <c r="B79" s="133">
        <f>'4D1_CH4_Domestic_Wastewater'!N32</f>
        <v>0</v>
      </c>
      <c r="C79" s="145">
        <f t="shared" si="9"/>
        <v>0</v>
      </c>
      <c r="D79" s="177">
        <f>'4D1_Indirect_N2O'!G31</f>
        <v>0</v>
      </c>
      <c r="E79" s="145">
        <f t="shared" si="10"/>
        <v>0</v>
      </c>
      <c r="F79" s="176">
        <f t="shared" si="11"/>
        <v>0</v>
      </c>
    </row>
  </sheetData>
  <mergeCells count="13">
    <mergeCell ref="A55:A58"/>
    <mergeCell ref="B55:C55"/>
    <mergeCell ref="B57:B58"/>
    <mergeCell ref="F4:F5"/>
    <mergeCell ref="G30:G31"/>
    <mergeCell ref="A3:A5"/>
    <mergeCell ref="B3:F3"/>
    <mergeCell ref="B4:C4"/>
    <mergeCell ref="D4:E4"/>
    <mergeCell ref="A29:A31"/>
    <mergeCell ref="B29:G29"/>
    <mergeCell ref="B30:C30"/>
    <mergeCell ref="D30:E30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C00000"/>
  </sheetPr>
  <dimension ref="A2:G33"/>
  <sheetViews>
    <sheetView topLeftCell="A10" zoomScaleNormal="100" workbookViewId="0">
      <selection activeCell="C12" sqref="C12:C32"/>
    </sheetView>
  </sheetViews>
  <sheetFormatPr defaultRowHeight="12.75"/>
  <cols>
    <col min="1" max="1" width="23.28515625" style="6" customWidth="1"/>
    <col min="2" max="2" width="14.140625" style="6" customWidth="1"/>
    <col min="3" max="3" width="19.42578125" style="6" customWidth="1"/>
    <col min="4" max="4" width="19.140625" style="6" customWidth="1"/>
    <col min="5" max="5" width="19.7109375" style="6" customWidth="1"/>
    <col min="6" max="6" width="15.42578125" style="6" customWidth="1"/>
    <col min="7" max="7" width="20.85546875" style="6" customWidth="1"/>
    <col min="8" max="16384" width="9.140625" style="6"/>
  </cols>
  <sheetData>
    <row r="2" spans="1:7">
      <c r="A2" s="75" t="s">
        <v>0</v>
      </c>
      <c r="B2" s="196" t="s">
        <v>1</v>
      </c>
      <c r="C2" s="196"/>
      <c r="D2" s="196"/>
      <c r="E2" s="196"/>
      <c r="F2" s="196"/>
      <c r="G2" s="196"/>
    </row>
    <row r="3" spans="1:7">
      <c r="A3" s="75" t="s">
        <v>2</v>
      </c>
      <c r="B3" s="196" t="s">
        <v>34</v>
      </c>
      <c r="C3" s="196"/>
      <c r="D3" s="196"/>
      <c r="E3" s="196"/>
      <c r="F3" s="196"/>
      <c r="G3" s="196"/>
    </row>
    <row r="4" spans="1:7" ht="13.5" customHeight="1">
      <c r="A4" s="75" t="s">
        <v>4</v>
      </c>
      <c r="B4" s="196" t="s">
        <v>35</v>
      </c>
      <c r="C4" s="196"/>
      <c r="D4" s="196"/>
      <c r="E4" s="196"/>
      <c r="F4" s="196"/>
      <c r="G4" s="196"/>
    </row>
    <row r="5" spans="1:7">
      <c r="A5" s="75" t="s">
        <v>6</v>
      </c>
      <c r="B5" s="196" t="s">
        <v>56</v>
      </c>
      <c r="C5" s="196"/>
      <c r="D5" s="196"/>
      <c r="E5" s="196"/>
      <c r="F5" s="196"/>
      <c r="G5" s="196"/>
    </row>
    <row r="6" spans="1:7">
      <c r="A6" s="250" t="s">
        <v>8</v>
      </c>
      <c r="B6" s="250"/>
      <c r="C6" s="250"/>
      <c r="D6" s="250"/>
      <c r="E6" s="250"/>
      <c r="F6" s="250"/>
      <c r="G6" s="250"/>
    </row>
    <row r="7" spans="1:7">
      <c r="A7" s="59"/>
      <c r="B7" s="7" t="s">
        <v>36</v>
      </c>
      <c r="C7" s="7" t="s">
        <v>12</v>
      </c>
      <c r="D7" s="7" t="s">
        <v>13</v>
      </c>
      <c r="E7" s="7" t="s">
        <v>57</v>
      </c>
      <c r="F7" s="7" t="s">
        <v>15</v>
      </c>
      <c r="G7" s="7" t="s">
        <v>58</v>
      </c>
    </row>
    <row r="8" spans="1:7" ht="56.25" customHeight="1">
      <c r="A8" s="190" t="s">
        <v>259</v>
      </c>
      <c r="B8" s="59" t="s">
        <v>59</v>
      </c>
      <c r="C8" s="132" t="s">
        <v>60</v>
      </c>
      <c r="D8" s="59" t="s">
        <v>61</v>
      </c>
      <c r="E8" s="59" t="s">
        <v>62</v>
      </c>
      <c r="F8" s="59" t="s">
        <v>74</v>
      </c>
      <c r="G8" s="59" t="s">
        <v>63</v>
      </c>
    </row>
    <row r="9" spans="1:7" ht="15.75">
      <c r="A9" s="251"/>
      <c r="B9" s="76" t="s">
        <v>64</v>
      </c>
      <c r="C9" s="76" t="s">
        <v>65</v>
      </c>
      <c r="D9" s="76" t="s">
        <v>66</v>
      </c>
      <c r="E9" s="76" t="s">
        <v>67</v>
      </c>
      <c r="F9" s="76"/>
      <c r="G9" s="76" t="s">
        <v>68</v>
      </c>
    </row>
    <row r="10" spans="1:7">
      <c r="A10" s="251"/>
      <c r="B10" s="8" t="s">
        <v>69</v>
      </c>
      <c r="C10" s="8" t="s">
        <v>44</v>
      </c>
      <c r="D10" s="8" t="s">
        <v>70</v>
      </c>
      <c r="E10" s="8" t="s">
        <v>44</v>
      </c>
      <c r="F10" s="8" t="s">
        <v>71</v>
      </c>
      <c r="G10" s="8" t="s">
        <v>72</v>
      </c>
    </row>
    <row r="11" spans="1:7" ht="13.5" thickBot="1">
      <c r="A11" s="252"/>
      <c r="B11" s="70"/>
      <c r="C11" s="77"/>
      <c r="D11" s="77"/>
      <c r="E11" s="77"/>
      <c r="F11" s="77"/>
      <c r="G11" s="5" t="s">
        <v>73</v>
      </c>
    </row>
    <row r="12" spans="1:7" ht="13.5" thickTop="1">
      <c r="A12" s="78">
        <f>'4B_N2O emission'!B12</f>
        <v>2011</v>
      </c>
      <c r="B12" s="179">
        <f>'[1]timbulan sampah'!B5</f>
        <v>25319</v>
      </c>
      <c r="C12" s="185">
        <v>0.35</v>
      </c>
      <c r="D12" s="183">
        <v>0.19</v>
      </c>
      <c r="E12" s="42">
        <v>0.5</v>
      </c>
      <c r="F12" s="78">
        <v>365</v>
      </c>
      <c r="G12" s="80">
        <f>B12*C12*D12*E12*F12*1000/(10^9)</f>
        <v>0.30727771375000001</v>
      </c>
    </row>
    <row r="13" spans="1:7">
      <c r="A13" s="178">
        <f>'4B_N2O emission'!B13</f>
        <v>2012</v>
      </c>
      <c r="B13" s="79">
        <f>'[1]timbulan sampah'!B6</f>
        <v>25522</v>
      </c>
      <c r="C13" s="186">
        <f>C12</f>
        <v>0.35</v>
      </c>
      <c r="D13" s="44">
        <v>0.19</v>
      </c>
      <c r="E13" s="44">
        <v>0.5</v>
      </c>
      <c r="F13" s="178">
        <v>365</v>
      </c>
      <c r="G13" s="81">
        <f t="shared" ref="G13:G32" si="0">B13*C13*D13*E13*F13*1000/(10^9)</f>
        <v>0.30974137249999995</v>
      </c>
    </row>
    <row r="14" spans="1:7">
      <c r="A14" s="178">
        <f>'4B_N2O emission'!B14</f>
        <v>2013</v>
      </c>
      <c r="B14" s="79">
        <f>'[1]timbulan sampah'!B7</f>
        <v>25678</v>
      </c>
      <c r="C14" s="186">
        <f t="shared" ref="C14:C32" si="1">C13</f>
        <v>0.35</v>
      </c>
      <c r="D14" s="44">
        <v>0.19</v>
      </c>
      <c r="E14" s="44">
        <v>0.5</v>
      </c>
      <c r="F14" s="178">
        <v>365</v>
      </c>
      <c r="G14" s="81">
        <f t="shared" si="0"/>
        <v>0.31163462749999998</v>
      </c>
    </row>
    <row r="15" spans="1:7">
      <c r="A15" s="178">
        <f>'4B_N2O emission'!B15</f>
        <v>2014</v>
      </c>
      <c r="B15" s="79">
        <f>'[1]timbulan sampah'!B8</f>
        <v>25894</v>
      </c>
      <c r="C15" s="186">
        <f t="shared" si="1"/>
        <v>0.35</v>
      </c>
      <c r="D15" s="44">
        <v>0.19</v>
      </c>
      <c r="E15" s="44">
        <v>0.5</v>
      </c>
      <c r="F15" s="178">
        <v>365</v>
      </c>
      <c r="G15" s="81">
        <f t="shared" si="0"/>
        <v>0.31425605750000002</v>
      </c>
    </row>
    <row r="16" spans="1:7">
      <c r="A16" s="178">
        <f>'4B_N2O emission'!B16</f>
        <v>2015</v>
      </c>
      <c r="B16" s="79">
        <f>'[1]timbulan sampah'!B9</f>
        <v>25970</v>
      </c>
      <c r="C16" s="186">
        <f t="shared" si="1"/>
        <v>0.35</v>
      </c>
      <c r="D16" s="44">
        <v>0.19</v>
      </c>
      <c r="E16" s="44">
        <v>0.5</v>
      </c>
      <c r="F16" s="178">
        <v>365</v>
      </c>
      <c r="G16" s="81">
        <f t="shared" si="0"/>
        <v>0.31517841250000006</v>
      </c>
    </row>
    <row r="17" spans="1:7">
      <c r="A17" s="178">
        <f>'4B_N2O emission'!B17</f>
        <v>2016</v>
      </c>
      <c r="B17" s="79">
        <f>'[1]timbulan sampah'!B10</f>
        <v>26089</v>
      </c>
      <c r="C17" s="186">
        <f t="shared" si="1"/>
        <v>0.35</v>
      </c>
      <c r="D17" s="44">
        <v>0.19</v>
      </c>
      <c r="E17" s="44">
        <v>0.5</v>
      </c>
      <c r="F17" s="178">
        <v>365</v>
      </c>
      <c r="G17" s="81">
        <f t="shared" si="0"/>
        <v>0.31662262624999998</v>
      </c>
    </row>
    <row r="18" spans="1:7">
      <c r="A18" s="178">
        <f>'4B_N2O emission'!B18</f>
        <v>2017</v>
      </c>
      <c r="B18" s="79">
        <f>'[1]timbulan sampah'!B11</f>
        <v>26285.99</v>
      </c>
      <c r="C18" s="186">
        <f t="shared" si="1"/>
        <v>0.35</v>
      </c>
      <c r="D18" s="44">
        <v>0.19</v>
      </c>
      <c r="E18" s="44">
        <v>0.5</v>
      </c>
      <c r="F18" s="178">
        <v>365</v>
      </c>
      <c r="G18" s="81">
        <f t="shared" si="0"/>
        <v>0.31901334613750004</v>
      </c>
    </row>
    <row r="19" spans="1:7">
      <c r="A19" s="178">
        <f>'4B_N2O emission'!B19</f>
        <v>2018</v>
      </c>
      <c r="B19" s="79">
        <f>'[1]timbulan sampah'!B12</f>
        <v>26440.560000000001</v>
      </c>
      <c r="C19" s="186">
        <f t="shared" si="1"/>
        <v>0.35</v>
      </c>
      <c r="D19" s="44">
        <v>0.19</v>
      </c>
      <c r="E19" s="44">
        <v>0.5</v>
      </c>
      <c r="F19" s="178">
        <v>365</v>
      </c>
      <c r="G19" s="81">
        <f t="shared" si="0"/>
        <v>0.32088924629999999</v>
      </c>
    </row>
    <row r="20" spans="1:7">
      <c r="A20" s="178">
        <f>'4B_N2O emission'!B20</f>
        <v>2019</v>
      </c>
      <c r="B20" s="79">
        <f>'[1]timbulan sampah'!B13</f>
        <v>26595.13</v>
      </c>
      <c r="C20" s="186">
        <f t="shared" si="1"/>
        <v>0.35</v>
      </c>
      <c r="D20" s="44">
        <v>0.19</v>
      </c>
      <c r="E20" s="44">
        <v>0.5</v>
      </c>
      <c r="F20" s="178">
        <v>365</v>
      </c>
      <c r="G20" s="81">
        <f t="shared" si="0"/>
        <v>0.32276514646249999</v>
      </c>
    </row>
    <row r="21" spans="1:7">
      <c r="A21" s="178">
        <f>'4B_N2O emission'!B21</f>
        <v>2020</v>
      </c>
      <c r="B21" s="79">
        <f>'[1]timbulan sampah'!B14</f>
        <v>26749.7</v>
      </c>
      <c r="C21" s="186">
        <f t="shared" si="1"/>
        <v>0.35</v>
      </c>
      <c r="D21" s="44">
        <v>0.19</v>
      </c>
      <c r="E21" s="44">
        <v>0.5</v>
      </c>
      <c r="F21" s="178">
        <v>365</v>
      </c>
      <c r="G21" s="81">
        <f t="shared" si="0"/>
        <v>0.32464104662499998</v>
      </c>
    </row>
    <row r="22" spans="1:7">
      <c r="A22" s="178">
        <f>'4B_N2O emission'!B22</f>
        <v>2021</v>
      </c>
      <c r="B22" s="79">
        <f>'[1]timbulan sampah'!B15</f>
        <v>26904.27</v>
      </c>
      <c r="C22" s="186">
        <f t="shared" si="1"/>
        <v>0.35</v>
      </c>
      <c r="D22" s="44">
        <v>0.19</v>
      </c>
      <c r="E22" s="44">
        <v>0.5</v>
      </c>
      <c r="F22" s="178">
        <v>365</v>
      </c>
      <c r="G22" s="81">
        <f t="shared" si="0"/>
        <v>0.32651694678749998</v>
      </c>
    </row>
    <row r="23" spans="1:7">
      <c r="A23" s="178">
        <f>'4B_N2O emission'!B23</f>
        <v>2022</v>
      </c>
      <c r="B23" s="79">
        <f>'[1]timbulan sampah'!B16</f>
        <v>27058.84</v>
      </c>
      <c r="C23" s="186">
        <f t="shared" si="1"/>
        <v>0.35</v>
      </c>
      <c r="D23" s="44">
        <v>0.19</v>
      </c>
      <c r="E23" s="44">
        <v>0.5</v>
      </c>
      <c r="F23" s="178">
        <v>365</v>
      </c>
      <c r="G23" s="81">
        <f t="shared" si="0"/>
        <v>0.32839284694999998</v>
      </c>
    </row>
    <row r="24" spans="1:7">
      <c r="A24" s="178">
        <f>'4B_N2O emission'!B24</f>
        <v>2023</v>
      </c>
      <c r="B24" s="79">
        <f>'[1]timbulan sampah'!B17</f>
        <v>27213.41</v>
      </c>
      <c r="C24" s="186">
        <f t="shared" si="1"/>
        <v>0.35</v>
      </c>
      <c r="D24" s="44">
        <v>0.19</v>
      </c>
      <c r="E24" s="44">
        <v>0.5</v>
      </c>
      <c r="F24" s="178">
        <v>365</v>
      </c>
      <c r="G24" s="81">
        <f t="shared" si="0"/>
        <v>0.33026874711249993</v>
      </c>
    </row>
    <row r="25" spans="1:7">
      <c r="A25" s="178">
        <f>'4B_N2O emission'!B25</f>
        <v>2024</v>
      </c>
      <c r="B25" s="79">
        <f>'[1]timbulan sampah'!B18</f>
        <v>27367.98</v>
      </c>
      <c r="C25" s="186">
        <f t="shared" si="1"/>
        <v>0.35</v>
      </c>
      <c r="D25" s="44">
        <v>0.19</v>
      </c>
      <c r="E25" s="44">
        <v>0.5</v>
      </c>
      <c r="F25" s="178">
        <v>365</v>
      </c>
      <c r="G25" s="81">
        <f t="shared" si="0"/>
        <v>0.33214464727499998</v>
      </c>
    </row>
    <row r="26" spans="1:7">
      <c r="A26" s="178">
        <f>'4B_N2O emission'!B26</f>
        <v>2025</v>
      </c>
      <c r="B26" s="79">
        <f>'[1]timbulan sampah'!B19</f>
        <v>27522.55</v>
      </c>
      <c r="C26" s="186">
        <f t="shared" si="1"/>
        <v>0.35</v>
      </c>
      <c r="D26" s="44">
        <v>0.19</v>
      </c>
      <c r="E26" s="44">
        <v>0.5</v>
      </c>
      <c r="F26" s="178">
        <v>365</v>
      </c>
      <c r="G26" s="81">
        <f t="shared" si="0"/>
        <v>0.33402054743750004</v>
      </c>
    </row>
    <row r="27" spans="1:7">
      <c r="A27" s="178">
        <f>'4B_N2O emission'!B27</f>
        <v>2026</v>
      </c>
      <c r="B27" s="79">
        <f>'[1]timbulan sampah'!B20</f>
        <v>27677.119999999999</v>
      </c>
      <c r="C27" s="186">
        <f t="shared" si="1"/>
        <v>0.35</v>
      </c>
      <c r="D27" s="44">
        <v>0.19</v>
      </c>
      <c r="E27" s="44">
        <v>0.5</v>
      </c>
      <c r="F27" s="178">
        <v>365</v>
      </c>
      <c r="G27" s="81">
        <f t="shared" si="0"/>
        <v>0.33589644759999998</v>
      </c>
    </row>
    <row r="28" spans="1:7">
      <c r="A28" s="178">
        <f>'4B_N2O emission'!B28</f>
        <v>2027</v>
      </c>
      <c r="B28" s="79">
        <f>'[1]timbulan sampah'!B21</f>
        <v>27831.69</v>
      </c>
      <c r="C28" s="186">
        <f t="shared" si="1"/>
        <v>0.35</v>
      </c>
      <c r="D28" s="44">
        <v>0.19</v>
      </c>
      <c r="E28" s="44">
        <v>0.5</v>
      </c>
      <c r="F28" s="178">
        <v>365</v>
      </c>
      <c r="G28" s="81">
        <f t="shared" si="0"/>
        <v>0.33777234776249998</v>
      </c>
    </row>
    <row r="29" spans="1:7">
      <c r="A29" s="178">
        <f>'4B_N2O emission'!B29</f>
        <v>2028</v>
      </c>
      <c r="B29" s="79">
        <f>'[1]timbulan sampah'!B22</f>
        <v>27986.26</v>
      </c>
      <c r="C29" s="186">
        <f t="shared" si="1"/>
        <v>0.35</v>
      </c>
      <c r="D29" s="44">
        <v>0.19</v>
      </c>
      <c r="E29" s="44">
        <v>0.5</v>
      </c>
      <c r="F29" s="178">
        <v>365</v>
      </c>
      <c r="G29" s="81">
        <f t="shared" si="0"/>
        <v>0.33964824792499998</v>
      </c>
    </row>
    <row r="30" spans="1:7">
      <c r="A30" s="178">
        <f>'4B_N2O emission'!B30</f>
        <v>2029</v>
      </c>
      <c r="B30" s="79">
        <f>'[1]timbulan sampah'!B23</f>
        <v>28140.83</v>
      </c>
      <c r="C30" s="186">
        <f t="shared" si="1"/>
        <v>0.35</v>
      </c>
      <c r="D30" s="44">
        <v>0.19</v>
      </c>
      <c r="E30" s="44">
        <v>0.5</v>
      </c>
      <c r="F30" s="178">
        <v>365</v>
      </c>
      <c r="G30" s="81">
        <f t="shared" si="0"/>
        <v>0.34152414808749998</v>
      </c>
    </row>
    <row r="31" spans="1:7">
      <c r="A31" s="178">
        <f>'4B_N2O emission'!B31</f>
        <v>2030</v>
      </c>
      <c r="B31" s="79">
        <f>'[1]timbulan sampah'!B24</f>
        <v>28295.4</v>
      </c>
      <c r="C31" s="186">
        <f t="shared" si="1"/>
        <v>0.35</v>
      </c>
      <c r="D31" s="44">
        <v>0.19</v>
      </c>
      <c r="E31" s="44">
        <v>0.5</v>
      </c>
      <c r="F31" s="178">
        <v>365</v>
      </c>
      <c r="G31" s="81">
        <f t="shared" si="0"/>
        <v>0.34340004824999998</v>
      </c>
    </row>
    <row r="32" spans="1:7">
      <c r="A32" s="178">
        <f>'4B_N2O emission'!B32</f>
        <v>2031</v>
      </c>
      <c r="B32" s="79">
        <f>'[1]timbulan sampah'!B25</f>
        <v>0</v>
      </c>
      <c r="C32" s="186">
        <f t="shared" si="1"/>
        <v>0.35</v>
      </c>
      <c r="D32" s="44">
        <v>0.19</v>
      </c>
      <c r="E32" s="44">
        <v>0.5</v>
      </c>
      <c r="F32" s="178">
        <v>365</v>
      </c>
      <c r="G32" s="81">
        <f t="shared" si="0"/>
        <v>0</v>
      </c>
    </row>
    <row r="33" spans="1:7" ht="27" customHeight="1">
      <c r="A33" s="248" t="s">
        <v>199</v>
      </c>
      <c r="B33" s="249"/>
      <c r="C33" s="249"/>
      <c r="D33" s="249"/>
      <c r="E33" s="249"/>
      <c r="F33" s="249"/>
      <c r="G33" s="249"/>
    </row>
  </sheetData>
  <mergeCells count="7">
    <mergeCell ref="B2:G2"/>
    <mergeCell ref="B3:G3"/>
    <mergeCell ref="A33:G33"/>
    <mergeCell ref="A6:G6"/>
    <mergeCell ref="A8:A11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rgb="FFC00000"/>
  </sheetPr>
  <dimension ref="A2:M605"/>
  <sheetViews>
    <sheetView topLeftCell="A7" zoomScale="85" zoomScaleNormal="85" workbookViewId="0">
      <selection activeCell="O19" sqref="O19"/>
    </sheetView>
  </sheetViews>
  <sheetFormatPr defaultRowHeight="12.75"/>
  <cols>
    <col min="1" max="1" width="14.42578125" style="6" customWidth="1"/>
    <col min="2" max="2" width="15.7109375" style="6" customWidth="1"/>
    <col min="3" max="3" width="20.140625" style="6" customWidth="1"/>
    <col min="4" max="4" width="11.5703125" style="6" customWidth="1"/>
    <col min="5" max="5" width="14.85546875" style="6" customWidth="1"/>
    <col min="6" max="6" width="17.7109375" style="6" customWidth="1"/>
    <col min="7" max="8" width="11.140625" style="6" customWidth="1"/>
    <col min="9" max="9" width="23.28515625" style="6" customWidth="1"/>
    <col min="10" max="10" width="9.140625" style="6"/>
    <col min="11" max="11" width="9.140625" style="82"/>
    <col min="12" max="12" width="14" style="82" customWidth="1"/>
    <col min="13" max="13" width="17.140625" style="6" customWidth="1"/>
    <col min="14" max="16384" width="9.140625" style="6"/>
  </cols>
  <sheetData>
    <row r="2" spans="1:13">
      <c r="A2" s="197" t="s">
        <v>0</v>
      </c>
      <c r="B2" s="197"/>
      <c r="C2" s="196" t="s">
        <v>1</v>
      </c>
      <c r="D2" s="196"/>
      <c r="E2" s="196"/>
      <c r="F2" s="196"/>
      <c r="G2" s="196"/>
      <c r="H2" s="196"/>
      <c r="I2" s="196"/>
    </row>
    <row r="3" spans="1:13">
      <c r="A3" s="197" t="s">
        <v>2</v>
      </c>
      <c r="B3" s="197"/>
      <c r="C3" s="196" t="s">
        <v>75</v>
      </c>
      <c r="D3" s="196"/>
      <c r="E3" s="196"/>
      <c r="F3" s="196"/>
      <c r="G3" s="196"/>
      <c r="H3" s="196"/>
      <c r="I3" s="196"/>
    </row>
    <row r="4" spans="1:13">
      <c r="A4" s="197" t="s">
        <v>4</v>
      </c>
      <c r="B4" s="197"/>
      <c r="C4" s="196" t="s">
        <v>76</v>
      </c>
      <c r="D4" s="196"/>
      <c r="E4" s="196"/>
      <c r="F4" s="196"/>
      <c r="G4" s="196"/>
      <c r="H4" s="196"/>
      <c r="I4" s="196"/>
    </row>
    <row r="5" spans="1:13" ht="14.25" customHeight="1">
      <c r="A5" s="197" t="s">
        <v>6</v>
      </c>
      <c r="B5" s="197"/>
      <c r="C5" s="196" t="s">
        <v>77</v>
      </c>
      <c r="D5" s="196"/>
      <c r="E5" s="196"/>
      <c r="F5" s="196"/>
      <c r="G5" s="196"/>
      <c r="H5" s="196"/>
      <c r="I5" s="196"/>
    </row>
    <row r="6" spans="1:13">
      <c r="A6" s="250" t="s">
        <v>8</v>
      </c>
      <c r="B6" s="250"/>
      <c r="C6" s="250"/>
      <c r="D6" s="250" t="s">
        <v>9</v>
      </c>
      <c r="E6" s="262"/>
      <c r="F6" s="262"/>
      <c r="G6" s="262"/>
      <c r="H6" s="262"/>
      <c r="I6" s="83"/>
    </row>
    <row r="7" spans="1:13">
      <c r="A7" s="259"/>
      <c r="B7" s="259"/>
      <c r="C7" s="7" t="s">
        <v>58</v>
      </c>
      <c r="D7" s="7" t="s">
        <v>78</v>
      </c>
      <c r="E7" s="7" t="s">
        <v>79</v>
      </c>
      <c r="F7" s="7" t="s">
        <v>80</v>
      </c>
      <c r="G7" s="7" t="s">
        <v>81</v>
      </c>
      <c r="H7" s="7" t="s">
        <v>82</v>
      </c>
      <c r="I7" s="7" t="s">
        <v>83</v>
      </c>
    </row>
    <row r="8" spans="1:13" ht="25.5" customHeight="1">
      <c r="A8" s="207" t="s">
        <v>84</v>
      </c>
      <c r="B8" s="207"/>
      <c r="C8" s="59" t="s">
        <v>85</v>
      </c>
      <c r="D8" s="259" t="s">
        <v>86</v>
      </c>
      <c r="E8" s="59" t="s">
        <v>87</v>
      </c>
      <c r="F8" s="59" t="s">
        <v>89</v>
      </c>
      <c r="G8" s="259" t="s">
        <v>91</v>
      </c>
      <c r="H8" s="259" t="s">
        <v>38</v>
      </c>
      <c r="I8" s="259" t="s">
        <v>92</v>
      </c>
      <c r="K8" s="263" t="s">
        <v>259</v>
      </c>
      <c r="L8" s="263" t="s">
        <v>267</v>
      </c>
      <c r="M8" s="263" t="s">
        <v>249</v>
      </c>
    </row>
    <row r="9" spans="1:13" ht="14.25" customHeight="1">
      <c r="A9" s="207"/>
      <c r="B9" s="207"/>
      <c r="C9" s="76" t="s">
        <v>37</v>
      </c>
      <c r="D9" s="251"/>
      <c r="E9" s="76" t="s">
        <v>88</v>
      </c>
      <c r="F9" s="76" t="s">
        <v>90</v>
      </c>
      <c r="G9" s="251"/>
      <c r="H9" s="251"/>
      <c r="I9" s="251"/>
      <c r="K9" s="263"/>
      <c r="L9" s="263"/>
      <c r="M9" s="263"/>
    </row>
    <row r="10" spans="1:13">
      <c r="A10" s="208"/>
      <c r="B10" s="208"/>
      <c r="C10" s="76"/>
      <c r="D10" s="76" t="s">
        <v>39</v>
      </c>
      <c r="E10" s="76" t="s">
        <v>40</v>
      </c>
      <c r="F10" s="76" t="s">
        <v>41</v>
      </c>
      <c r="G10" s="76" t="s">
        <v>42</v>
      </c>
      <c r="H10" s="76"/>
      <c r="I10" s="76"/>
      <c r="K10" s="263"/>
      <c r="L10" s="263"/>
      <c r="M10" s="263"/>
    </row>
    <row r="11" spans="1:13" ht="16.5" customHeight="1">
      <c r="A11" s="208"/>
      <c r="B11" s="208"/>
      <c r="C11" s="8" t="s">
        <v>43</v>
      </c>
      <c r="D11" s="8" t="s">
        <v>44</v>
      </c>
      <c r="E11" s="8" t="s">
        <v>44</v>
      </c>
      <c r="F11" s="8" t="s">
        <v>44</v>
      </c>
      <c r="G11" s="8" t="s">
        <v>44</v>
      </c>
      <c r="H11" s="8" t="s">
        <v>45</v>
      </c>
      <c r="I11" s="8" t="s">
        <v>46</v>
      </c>
      <c r="K11" s="263"/>
      <c r="L11" s="263"/>
      <c r="M11" s="263"/>
    </row>
    <row r="12" spans="1:13" ht="18" customHeight="1" thickBot="1">
      <c r="A12" s="260"/>
      <c r="B12" s="260"/>
      <c r="C12" s="5" t="s">
        <v>93</v>
      </c>
      <c r="D12" s="5"/>
      <c r="E12" s="5"/>
      <c r="F12" s="5"/>
      <c r="G12" s="5"/>
      <c r="H12" s="5"/>
      <c r="I12" s="5" t="s">
        <v>94</v>
      </c>
      <c r="K12" s="263"/>
      <c r="L12" s="263"/>
      <c r="M12" s="263"/>
    </row>
    <row r="13" spans="1:13" ht="14.25" customHeight="1" thickTop="1">
      <c r="A13" s="261" t="s">
        <v>95</v>
      </c>
      <c r="B13" s="53" t="s">
        <v>203</v>
      </c>
      <c r="C13" s="84">
        <f>'4A_DOC'!$B$39*$L$13</f>
        <v>0.20400167415862502</v>
      </c>
      <c r="D13" s="85">
        <v>0.4</v>
      </c>
      <c r="E13" s="85">
        <v>0.38</v>
      </c>
      <c r="F13" s="34">
        <v>0</v>
      </c>
      <c r="G13" s="86">
        <v>0.57999999999999996</v>
      </c>
      <c r="H13" s="85">
        <f>44/12</f>
        <v>3.6666666666666665</v>
      </c>
      <c r="I13" s="53">
        <f>C13*D13*E13*F13*G13*H13</f>
        <v>0</v>
      </c>
      <c r="K13" s="87">
        <f>'4B_N2O emission'!B12</f>
        <v>2011</v>
      </c>
      <c r="L13" s="90">
        <f>'4C1_Amount_Waste_OpenBurned'!G12</f>
        <v>0.30727771375000001</v>
      </c>
      <c r="M13" s="180">
        <f>I23</f>
        <v>5.3261658457779339E-2</v>
      </c>
    </row>
    <row r="14" spans="1:13" ht="12.75" customHeight="1">
      <c r="A14" s="261"/>
      <c r="B14" s="53" t="s">
        <v>204</v>
      </c>
      <c r="C14" s="84">
        <f>'4A_DOC'!$B$40*$L$13</f>
        <v>3.9485186216875003E-2</v>
      </c>
      <c r="D14" s="85">
        <v>0.9</v>
      </c>
      <c r="E14" s="85">
        <v>0.46</v>
      </c>
      <c r="F14" s="34">
        <f>1/100</f>
        <v>0.01</v>
      </c>
      <c r="G14" s="86">
        <v>0.57999999999999996</v>
      </c>
      <c r="H14" s="85">
        <f t="shared" ref="H14:H21" si="0">44/12</f>
        <v>3.6666666666666665</v>
      </c>
      <c r="I14" s="53">
        <f t="shared" ref="I14:I21" si="1">C14*D14*E14*F14*G14*H14</f>
        <v>3.4764337352785428E-4</v>
      </c>
      <c r="K14" s="87">
        <f>'4B_N2O emission'!B13</f>
        <v>2012</v>
      </c>
      <c r="L14" s="90">
        <f>'4C1_Amount_Waste_OpenBurned'!G13</f>
        <v>0.30974137249999995</v>
      </c>
      <c r="M14" s="181">
        <f>I57</f>
        <v>5.3688694149036063E-2</v>
      </c>
    </row>
    <row r="15" spans="1:13">
      <c r="A15" s="261"/>
      <c r="B15" s="53" t="s">
        <v>205</v>
      </c>
      <c r="C15" s="84">
        <f>'4A_DOC'!$B$41*$L$13</f>
        <v>0</v>
      </c>
      <c r="D15" s="85">
        <v>0.85</v>
      </c>
      <c r="E15" s="85">
        <v>0.5</v>
      </c>
      <c r="F15" s="34">
        <v>0</v>
      </c>
      <c r="G15" s="86">
        <v>0.57999999999999996</v>
      </c>
      <c r="H15" s="85">
        <f t="shared" si="0"/>
        <v>3.6666666666666665</v>
      </c>
      <c r="I15" s="53">
        <f t="shared" si="1"/>
        <v>0</v>
      </c>
      <c r="K15" s="87">
        <f>'4B_N2O emission'!B14</f>
        <v>2013</v>
      </c>
      <c r="L15" s="90">
        <f>'4C1_Amount_Waste_OpenBurned'!G14</f>
        <v>0.31163462749999998</v>
      </c>
      <c r="M15" s="181">
        <f>I87</f>
        <v>5.4016859507834344E-2</v>
      </c>
    </row>
    <row r="16" spans="1:13">
      <c r="A16" s="261"/>
      <c r="B16" s="53" t="s">
        <v>47</v>
      </c>
      <c r="C16" s="84">
        <f>'4A_DOC'!$B$42*$L$13</f>
        <v>2.4889494813750005E-3</v>
      </c>
      <c r="D16" s="85">
        <v>0.8</v>
      </c>
      <c r="E16" s="85">
        <v>0.5</v>
      </c>
      <c r="F16" s="34">
        <f>20/100</f>
        <v>0.2</v>
      </c>
      <c r="G16" s="86">
        <v>0.57999999999999996</v>
      </c>
      <c r="H16" s="85">
        <f t="shared" si="0"/>
        <v>3.6666666666666665</v>
      </c>
      <c r="I16" s="53">
        <f t="shared" si="1"/>
        <v>4.2345327176459999E-4</v>
      </c>
      <c r="K16" s="87">
        <f>'4B_N2O emission'!B15</f>
        <v>2014</v>
      </c>
      <c r="L16" s="90">
        <f>'4C1_Amount_Waste_OpenBurned'!G15</f>
        <v>0.31425605750000002</v>
      </c>
      <c r="M16" s="181">
        <f>I118</f>
        <v>5.4471242312324267E-2</v>
      </c>
    </row>
    <row r="17" spans="1:13" ht="13.5" customHeight="1">
      <c r="A17" s="261"/>
      <c r="B17" s="53" t="s">
        <v>206</v>
      </c>
      <c r="C17" s="84">
        <f>'4A_DOC'!$B$43*$L$13</f>
        <v>0</v>
      </c>
      <c r="D17" s="85">
        <v>0.84</v>
      </c>
      <c r="E17" s="85">
        <v>0.67</v>
      </c>
      <c r="F17" s="34">
        <f>20/100</f>
        <v>0.2</v>
      </c>
      <c r="G17" s="86">
        <v>0.57999999999999996</v>
      </c>
      <c r="H17" s="85">
        <f t="shared" si="0"/>
        <v>3.6666666666666665</v>
      </c>
      <c r="I17" s="53">
        <f t="shared" si="1"/>
        <v>0</v>
      </c>
      <c r="K17" s="87">
        <f>'4B_N2O emission'!B16</f>
        <v>2015</v>
      </c>
      <c r="L17" s="90">
        <f>'4C1_Amount_Waste_OpenBurned'!G16</f>
        <v>0.31517841250000006</v>
      </c>
      <c r="M17" s="181">
        <f>I149</f>
        <v>5.4631117743533686E-2</v>
      </c>
    </row>
    <row r="18" spans="1:13">
      <c r="A18" s="261"/>
      <c r="B18" s="53" t="s">
        <v>207</v>
      </c>
      <c r="C18" s="84">
        <f>'4A_DOC'!$B$44*$L$13</f>
        <v>3.2909443142625006E-2</v>
      </c>
      <c r="D18" s="85">
        <v>1</v>
      </c>
      <c r="E18" s="85">
        <v>0.75</v>
      </c>
      <c r="F18" s="34">
        <f>100/100</f>
        <v>1</v>
      </c>
      <c r="G18" s="86">
        <v>0.57999999999999996</v>
      </c>
      <c r="H18" s="85">
        <f t="shared" si="0"/>
        <v>3.6666666666666665</v>
      </c>
      <c r="I18" s="53">
        <f t="shared" si="1"/>
        <v>5.2490561812486881E-2</v>
      </c>
      <c r="K18" s="87">
        <f>'4B_N2O emission'!B17</f>
        <v>2016</v>
      </c>
      <c r="L18" s="90">
        <f>'4C1_Amount_Waste_OpenBurned'!G17</f>
        <v>0.31662262624999998</v>
      </c>
      <c r="M18" s="182">
        <f>I179</f>
        <v>5.4881449010822106E-2</v>
      </c>
    </row>
    <row r="19" spans="1:13">
      <c r="A19" s="261"/>
      <c r="B19" s="53" t="s">
        <v>208</v>
      </c>
      <c r="C19" s="84">
        <f>'4A_DOC'!$B$45*$L$13</f>
        <v>5.438815533375E-3</v>
      </c>
      <c r="D19" s="85">
        <v>1</v>
      </c>
      <c r="E19" s="85">
        <v>0</v>
      </c>
      <c r="F19" s="34">
        <v>0</v>
      </c>
      <c r="G19" s="86">
        <v>0.57999999999999996</v>
      </c>
      <c r="H19" s="85">
        <f t="shared" si="0"/>
        <v>3.6666666666666665</v>
      </c>
      <c r="I19" s="53">
        <f t="shared" si="1"/>
        <v>0</v>
      </c>
      <c r="K19" s="87">
        <f>'4B_N2O emission'!B18</f>
        <v>2017</v>
      </c>
      <c r="L19" s="90">
        <f>'4C1_Amount_Waste_OpenBurned'!G18</f>
        <v>0.31901334613750004</v>
      </c>
      <c r="M19" s="181">
        <f>I209</f>
        <v>5.5295841921268733E-2</v>
      </c>
    </row>
    <row r="20" spans="1:13">
      <c r="A20" s="261"/>
      <c r="B20" s="53" t="s">
        <v>209</v>
      </c>
      <c r="C20" s="84">
        <f>'4A_DOC'!$B$46*$L$13</f>
        <v>4.0867935928750009E-3</v>
      </c>
      <c r="D20" s="85">
        <v>1</v>
      </c>
      <c r="E20" s="85">
        <v>0</v>
      </c>
      <c r="F20" s="34">
        <v>0</v>
      </c>
      <c r="G20" s="86">
        <v>0.57999999999999996</v>
      </c>
      <c r="H20" s="85">
        <f t="shared" si="0"/>
        <v>3.6666666666666665</v>
      </c>
      <c r="I20" s="53">
        <f t="shared" si="1"/>
        <v>0</v>
      </c>
      <c r="K20" s="87">
        <f>'4B_N2O emission'!B19</f>
        <v>2018</v>
      </c>
      <c r="L20" s="90">
        <f>'4C1_Amount_Waste_OpenBurned'!G19</f>
        <v>0.32088924629999999</v>
      </c>
      <c r="M20" s="181">
        <f>I239</f>
        <v>5.5620999097611354E-2</v>
      </c>
    </row>
    <row r="21" spans="1:13">
      <c r="A21" s="261"/>
      <c r="B21" s="53" t="s">
        <v>210</v>
      </c>
      <c r="C21" s="84">
        <f>'4A_DOC'!$B$47*$L$13</f>
        <v>1.9081946023875002E-2</v>
      </c>
      <c r="D21" s="85">
        <v>0.9</v>
      </c>
      <c r="E21" s="85">
        <v>0</v>
      </c>
      <c r="F21" s="34">
        <v>0</v>
      </c>
      <c r="G21" s="86">
        <v>0.57999999999999996</v>
      </c>
      <c r="H21" s="85">
        <f t="shared" si="0"/>
        <v>3.6666666666666665</v>
      </c>
      <c r="I21" s="53">
        <f t="shared" si="1"/>
        <v>0</v>
      </c>
      <c r="K21" s="87">
        <f>'4B_N2O emission'!B20</f>
        <v>2019</v>
      </c>
      <c r="L21" s="90">
        <f>'4C1_Amount_Waste_OpenBurned'!G20</f>
        <v>0.32276514646249999</v>
      </c>
      <c r="M21" s="181">
        <f>I269</f>
        <v>5.5946156273953981E-2</v>
      </c>
    </row>
    <row r="22" spans="1:13">
      <c r="A22" s="261" t="s">
        <v>48</v>
      </c>
      <c r="B22" s="261"/>
      <c r="C22" s="7"/>
      <c r="D22" s="53"/>
      <c r="E22" s="53"/>
      <c r="F22" s="53"/>
      <c r="G22" s="53"/>
      <c r="H22" s="53"/>
      <c r="I22" s="53"/>
      <c r="K22" s="87">
        <f>'4B_N2O emission'!B21</f>
        <v>2020</v>
      </c>
      <c r="L22" s="90">
        <f>'4C1_Amount_Waste_OpenBurned'!G21</f>
        <v>0.32464104662499998</v>
      </c>
      <c r="M22" s="181">
        <f>I299</f>
        <v>5.6271313450296602E-2</v>
      </c>
    </row>
    <row r="23" spans="1:13">
      <c r="A23" s="198" t="s">
        <v>270</v>
      </c>
      <c r="B23" s="199"/>
      <c r="C23" s="199"/>
      <c r="D23" s="199"/>
      <c r="E23" s="199"/>
      <c r="F23" s="199"/>
      <c r="G23" s="199"/>
      <c r="H23" s="200"/>
      <c r="I23" s="88">
        <f>SUM(I13:I22)</f>
        <v>5.3261658457779339E-2</v>
      </c>
      <c r="K23" s="87">
        <f>'4B_N2O emission'!B22</f>
        <v>2021</v>
      </c>
      <c r="L23" s="90">
        <f>'4C1_Amount_Waste_OpenBurned'!G22</f>
        <v>0.32651694678749998</v>
      </c>
      <c r="M23" s="181">
        <f>I329</f>
        <v>5.659647062663923E-2</v>
      </c>
    </row>
    <row r="24" spans="1:13" ht="12.75" customHeight="1">
      <c r="A24" s="253" t="s">
        <v>53</v>
      </c>
      <c r="B24" s="254"/>
      <c r="C24" s="254"/>
      <c r="D24" s="254"/>
      <c r="E24" s="254"/>
      <c r="F24" s="254"/>
      <c r="G24" s="254"/>
      <c r="H24" s="254"/>
      <c r="I24" s="254"/>
      <c r="K24" s="87">
        <f>'4B_N2O emission'!B23</f>
        <v>2022</v>
      </c>
      <c r="L24" s="90">
        <f>'4C1_Amount_Waste_OpenBurned'!G23</f>
        <v>0.32839284694999998</v>
      </c>
      <c r="M24" s="181">
        <f>I359</f>
        <v>5.6921627802981857E-2</v>
      </c>
    </row>
    <row r="25" spans="1:13" ht="12.75" customHeight="1">
      <c r="A25" s="255" t="s">
        <v>54</v>
      </c>
      <c r="B25" s="256"/>
      <c r="C25" s="256"/>
      <c r="D25" s="256"/>
      <c r="E25" s="256"/>
      <c r="F25" s="256"/>
      <c r="G25" s="256"/>
      <c r="H25" s="256"/>
      <c r="I25" s="256"/>
      <c r="K25" s="87">
        <f>'4B_N2O emission'!B24</f>
        <v>2023</v>
      </c>
      <c r="L25" s="90">
        <f>'4C1_Amount_Waste_OpenBurned'!G24</f>
        <v>0.33026874711249993</v>
      </c>
      <c r="M25" s="181">
        <f>I389</f>
        <v>5.7246784979324471E-2</v>
      </c>
    </row>
    <row r="26" spans="1:13" ht="12.75" customHeight="1">
      <c r="A26" s="255" t="s">
        <v>55</v>
      </c>
      <c r="B26" s="256"/>
      <c r="C26" s="256"/>
      <c r="D26" s="256"/>
      <c r="E26" s="256"/>
      <c r="F26" s="256"/>
      <c r="G26" s="256"/>
      <c r="H26" s="256"/>
      <c r="I26" s="256"/>
      <c r="K26" s="87">
        <f>'4B_N2O emission'!B25</f>
        <v>2024</v>
      </c>
      <c r="L26" s="90">
        <f>'4C1_Amount_Waste_OpenBurned'!G25</f>
        <v>0.33214464727499998</v>
      </c>
      <c r="M26" s="180">
        <f>I419</f>
        <v>5.7571942155667105E-2</v>
      </c>
    </row>
    <row r="27" spans="1:13" ht="12.75" customHeight="1">
      <c r="A27" s="255" t="s">
        <v>96</v>
      </c>
      <c r="B27" s="256"/>
      <c r="C27" s="256"/>
      <c r="D27" s="256"/>
      <c r="E27" s="256"/>
      <c r="F27" s="256"/>
      <c r="G27" s="256"/>
      <c r="H27" s="256"/>
      <c r="I27" s="256"/>
      <c r="K27" s="87">
        <f>'4B_N2O emission'!B26</f>
        <v>2025</v>
      </c>
      <c r="L27" s="90">
        <f>'4C1_Amount_Waste_OpenBurned'!G26</f>
        <v>0.33402054743750004</v>
      </c>
      <c r="M27" s="181">
        <f>I449</f>
        <v>5.7897099332009733E-2</v>
      </c>
    </row>
    <row r="28" spans="1:13" ht="12.75" customHeight="1">
      <c r="A28" s="255" t="s">
        <v>97</v>
      </c>
      <c r="B28" s="256"/>
      <c r="C28" s="256"/>
      <c r="D28" s="256"/>
      <c r="E28" s="256"/>
      <c r="F28" s="256"/>
      <c r="G28" s="256"/>
      <c r="H28" s="256"/>
      <c r="I28" s="256"/>
      <c r="K28" s="87">
        <f>'4B_N2O emission'!B27</f>
        <v>2026</v>
      </c>
      <c r="L28" s="90">
        <f>'4C1_Amount_Waste_OpenBurned'!G27</f>
        <v>0.33589644759999998</v>
      </c>
      <c r="M28" s="181">
        <f>I479</f>
        <v>5.8222256508352367E-2</v>
      </c>
    </row>
    <row r="29" spans="1:13" ht="21.75" customHeight="1">
      <c r="A29" s="257" t="s">
        <v>200</v>
      </c>
      <c r="B29" s="258"/>
      <c r="C29" s="258"/>
      <c r="D29" s="258"/>
      <c r="E29" s="258"/>
      <c r="F29" s="258"/>
      <c r="G29" s="258"/>
      <c r="H29" s="258"/>
      <c r="I29" s="258"/>
      <c r="K29" s="87">
        <f>'4B_N2O emission'!B28</f>
        <v>2027</v>
      </c>
      <c r="L29" s="90">
        <f>'4C1_Amount_Waste_OpenBurned'!G28</f>
        <v>0.33777234776249998</v>
      </c>
      <c r="M29" s="181">
        <f>I509</f>
        <v>5.8547413684694988E-2</v>
      </c>
    </row>
    <row r="30" spans="1:13">
      <c r="K30" s="87">
        <f>'4B_N2O emission'!B29</f>
        <v>2028</v>
      </c>
      <c r="L30" s="90">
        <f>'4C1_Amount_Waste_OpenBurned'!G29</f>
        <v>0.33964824792499998</v>
      </c>
      <c r="M30" s="181">
        <f>I539</f>
        <v>5.8872570861037608E-2</v>
      </c>
    </row>
    <row r="31" spans="1:13">
      <c r="K31" s="87">
        <f>'4B_N2O emission'!B30</f>
        <v>2029</v>
      </c>
      <c r="L31" s="90">
        <f>'4C1_Amount_Waste_OpenBurned'!G30</f>
        <v>0.34152414808749998</v>
      </c>
      <c r="M31" s="181">
        <f>I569</f>
        <v>5.9197728037380229E-2</v>
      </c>
    </row>
    <row r="32" spans="1:13">
      <c r="K32" s="87">
        <f>'4B_N2O emission'!B31</f>
        <v>2030</v>
      </c>
      <c r="L32" s="90">
        <f>'4C1_Amount_Waste_OpenBurned'!G31</f>
        <v>0.34340004824999998</v>
      </c>
      <c r="M32" s="181">
        <f>I599</f>
        <v>5.9522885213722863E-2</v>
      </c>
    </row>
    <row r="33" spans="1:13">
      <c r="F33" s="94" t="s">
        <v>268</v>
      </c>
      <c r="K33" s="87">
        <f>'4B_N2O emission'!B32</f>
        <v>2031</v>
      </c>
      <c r="L33" s="90">
        <f>'4C1_Amount_Waste_OpenBurned'!G32</f>
        <v>0</v>
      </c>
      <c r="M33" s="92"/>
    </row>
    <row r="36" spans="1:13">
      <c r="A36" s="197" t="s">
        <v>0</v>
      </c>
      <c r="B36" s="197"/>
      <c r="C36" s="196" t="s">
        <v>1</v>
      </c>
      <c r="D36" s="196"/>
      <c r="E36" s="196"/>
      <c r="F36" s="196"/>
      <c r="G36" s="196"/>
      <c r="H36" s="196"/>
      <c r="I36" s="196"/>
    </row>
    <row r="37" spans="1:13">
      <c r="A37" s="197" t="s">
        <v>2</v>
      </c>
      <c r="B37" s="197"/>
      <c r="C37" s="196" t="s">
        <v>75</v>
      </c>
      <c r="D37" s="196"/>
      <c r="E37" s="196"/>
      <c r="F37" s="196"/>
      <c r="G37" s="196"/>
      <c r="H37" s="196"/>
      <c r="I37" s="196"/>
    </row>
    <row r="38" spans="1:13">
      <c r="A38" s="197" t="s">
        <v>4</v>
      </c>
      <c r="B38" s="197"/>
      <c r="C38" s="196" t="s">
        <v>76</v>
      </c>
      <c r="D38" s="196"/>
      <c r="E38" s="196"/>
      <c r="F38" s="196"/>
      <c r="G38" s="196"/>
      <c r="H38" s="196"/>
      <c r="I38" s="196"/>
    </row>
    <row r="39" spans="1:13">
      <c r="A39" s="197" t="s">
        <v>6</v>
      </c>
      <c r="B39" s="197"/>
      <c r="C39" s="196" t="s">
        <v>77</v>
      </c>
      <c r="D39" s="196"/>
      <c r="E39" s="196"/>
      <c r="F39" s="196"/>
      <c r="G39" s="196"/>
      <c r="H39" s="196"/>
      <c r="I39" s="196"/>
    </row>
    <row r="40" spans="1:13">
      <c r="A40" s="250" t="s">
        <v>8</v>
      </c>
      <c r="B40" s="250"/>
      <c r="C40" s="250"/>
      <c r="D40" s="250" t="s">
        <v>9</v>
      </c>
      <c r="E40" s="262"/>
      <c r="F40" s="262"/>
      <c r="G40" s="262"/>
      <c r="H40" s="262"/>
      <c r="I40" s="83"/>
    </row>
    <row r="41" spans="1:13">
      <c r="A41" s="259"/>
      <c r="B41" s="259"/>
      <c r="C41" s="7" t="s">
        <v>58</v>
      </c>
      <c r="D41" s="7" t="s">
        <v>78</v>
      </c>
      <c r="E41" s="7" t="s">
        <v>79</v>
      </c>
      <c r="F41" s="7" t="s">
        <v>80</v>
      </c>
      <c r="G41" s="7" t="s">
        <v>81</v>
      </c>
      <c r="H41" s="7" t="s">
        <v>82</v>
      </c>
      <c r="I41" s="7" t="s">
        <v>83</v>
      </c>
    </row>
    <row r="42" spans="1:13" ht="25.5">
      <c r="A42" s="207" t="s">
        <v>84</v>
      </c>
      <c r="B42" s="207"/>
      <c r="C42" s="59" t="s">
        <v>85</v>
      </c>
      <c r="D42" s="259" t="s">
        <v>86</v>
      </c>
      <c r="E42" s="59" t="s">
        <v>87</v>
      </c>
      <c r="F42" s="59" t="s">
        <v>89</v>
      </c>
      <c r="G42" s="259" t="s">
        <v>91</v>
      </c>
      <c r="H42" s="259" t="s">
        <v>38</v>
      </c>
      <c r="I42" s="259" t="s">
        <v>92</v>
      </c>
    </row>
    <row r="43" spans="1:13" ht="14.25">
      <c r="A43" s="207"/>
      <c r="B43" s="207"/>
      <c r="C43" s="76" t="s">
        <v>37</v>
      </c>
      <c r="D43" s="251"/>
      <c r="E43" s="76" t="s">
        <v>88</v>
      </c>
      <c r="F43" s="76" t="s">
        <v>90</v>
      </c>
      <c r="G43" s="251"/>
      <c r="H43" s="251"/>
      <c r="I43" s="251"/>
    </row>
    <row r="44" spans="1:13">
      <c r="A44" s="208"/>
      <c r="B44" s="208"/>
      <c r="C44" s="76"/>
      <c r="D44" s="76" t="s">
        <v>39</v>
      </c>
      <c r="E44" s="76" t="s">
        <v>40</v>
      </c>
      <c r="F44" s="76" t="s">
        <v>41</v>
      </c>
      <c r="G44" s="76" t="s">
        <v>42</v>
      </c>
      <c r="H44" s="76"/>
      <c r="I44" s="76"/>
    </row>
    <row r="45" spans="1:13" ht="15.75">
      <c r="A45" s="208"/>
      <c r="B45" s="208"/>
      <c r="C45" s="8" t="s">
        <v>43</v>
      </c>
      <c r="D45" s="8" t="s">
        <v>44</v>
      </c>
      <c r="E45" s="8" t="s">
        <v>44</v>
      </c>
      <c r="F45" s="8" t="s">
        <v>44</v>
      </c>
      <c r="G45" s="8" t="s">
        <v>44</v>
      </c>
      <c r="H45" s="8" t="s">
        <v>45</v>
      </c>
      <c r="I45" s="8" t="s">
        <v>46</v>
      </c>
    </row>
    <row r="46" spans="1:13" ht="15" thickBot="1">
      <c r="A46" s="260"/>
      <c r="B46" s="260"/>
      <c r="C46" s="5" t="s">
        <v>93</v>
      </c>
      <c r="D46" s="5"/>
      <c r="E46" s="5"/>
      <c r="F46" s="5"/>
      <c r="G46" s="5"/>
      <c r="H46" s="5"/>
      <c r="I46" s="5" t="s">
        <v>94</v>
      </c>
    </row>
    <row r="47" spans="1:13" ht="13.5" thickTop="1">
      <c r="A47" s="261" t="s">
        <v>95</v>
      </c>
      <c r="B47" s="53" t="s">
        <v>203</v>
      </c>
      <c r="C47" s="84">
        <f>'4A_DOC'!$B$39*$L$14</f>
        <v>0.20563729720274998</v>
      </c>
      <c r="D47" s="85">
        <v>0.4</v>
      </c>
      <c r="E47" s="85">
        <v>0.38</v>
      </c>
      <c r="F47" s="34">
        <v>0</v>
      </c>
      <c r="G47" s="86">
        <v>0.57999999999999996</v>
      </c>
      <c r="H47" s="85">
        <f>44/12</f>
        <v>3.6666666666666665</v>
      </c>
      <c r="I47" s="53">
        <f>C47*D47*E47*F47*G47*H47</f>
        <v>0</v>
      </c>
    </row>
    <row r="48" spans="1:13">
      <c r="A48" s="261"/>
      <c r="B48" s="53" t="s">
        <v>204</v>
      </c>
      <c r="C48" s="84">
        <f>'4A_DOC'!$B$40*$L$14</f>
        <v>3.9801766366249991E-2</v>
      </c>
      <c r="D48" s="85">
        <v>0.9</v>
      </c>
      <c r="E48" s="85">
        <v>0.46</v>
      </c>
      <c r="F48" s="34">
        <f>1/100</f>
        <v>0.01</v>
      </c>
      <c r="G48" s="86">
        <v>0.57999999999999996</v>
      </c>
      <c r="H48" s="85">
        <f t="shared" ref="H48:H55" si="2">44/12</f>
        <v>3.6666666666666665</v>
      </c>
      <c r="I48" s="53">
        <f t="shared" ref="I48:I55" si="3">C48*D48*E48*F48*G48*H48</f>
        <v>3.5043067179501137E-4</v>
      </c>
    </row>
    <row r="49" spans="1:9">
      <c r="A49" s="261"/>
      <c r="B49" s="53" t="s">
        <v>205</v>
      </c>
      <c r="C49" s="84">
        <f>'4A_DOC'!$B$41*$L$14</f>
        <v>0</v>
      </c>
      <c r="D49" s="85">
        <v>0.85</v>
      </c>
      <c r="E49" s="85">
        <v>0.5</v>
      </c>
      <c r="F49" s="34">
        <v>0</v>
      </c>
      <c r="G49" s="86">
        <v>0.57999999999999996</v>
      </c>
      <c r="H49" s="85">
        <f t="shared" si="2"/>
        <v>3.6666666666666665</v>
      </c>
      <c r="I49" s="53">
        <f t="shared" si="3"/>
        <v>0</v>
      </c>
    </row>
    <row r="50" spans="1:9">
      <c r="A50" s="261"/>
      <c r="B50" s="53" t="s">
        <v>47</v>
      </c>
      <c r="C50" s="84">
        <f>'4A_DOC'!$B$42*$L$14</f>
        <v>2.5089051172500001E-3</v>
      </c>
      <c r="D50" s="85">
        <v>0.8</v>
      </c>
      <c r="E50" s="85">
        <v>0.5</v>
      </c>
      <c r="F50" s="34">
        <f>20/100</f>
        <v>0.2</v>
      </c>
      <c r="G50" s="86">
        <v>0.57999999999999996</v>
      </c>
      <c r="H50" s="85">
        <f t="shared" si="2"/>
        <v>3.6666666666666665</v>
      </c>
      <c r="I50" s="53">
        <f t="shared" si="3"/>
        <v>4.2684839061480002E-4</v>
      </c>
    </row>
    <row r="51" spans="1:9">
      <c r="A51" s="261"/>
      <c r="B51" s="53" t="s">
        <v>206</v>
      </c>
      <c r="C51" s="84">
        <f>'4A_DOC'!$B$43*$L$14</f>
        <v>0</v>
      </c>
      <c r="D51" s="85">
        <v>0.84</v>
      </c>
      <c r="E51" s="85">
        <v>0.67</v>
      </c>
      <c r="F51" s="34">
        <f>20/100</f>
        <v>0.2</v>
      </c>
      <c r="G51" s="86">
        <v>0.57999999999999996</v>
      </c>
      <c r="H51" s="85">
        <f t="shared" si="2"/>
        <v>3.6666666666666665</v>
      </c>
      <c r="I51" s="53">
        <f t="shared" si="3"/>
        <v>0</v>
      </c>
    </row>
    <row r="52" spans="1:9">
      <c r="A52" s="261"/>
      <c r="B52" s="53" t="s">
        <v>207</v>
      </c>
      <c r="C52" s="84">
        <f>'4A_DOC'!$B$44*$L$14</f>
        <v>3.317330099475E-2</v>
      </c>
      <c r="D52" s="85">
        <v>1</v>
      </c>
      <c r="E52" s="85">
        <v>0.75</v>
      </c>
      <c r="F52" s="34">
        <f>100/100</f>
        <v>1</v>
      </c>
      <c r="G52" s="86">
        <v>0.57999999999999996</v>
      </c>
      <c r="H52" s="85">
        <f t="shared" si="2"/>
        <v>3.6666666666666665</v>
      </c>
      <c r="I52" s="53">
        <f t="shared" si="3"/>
        <v>5.2911415086626251E-2</v>
      </c>
    </row>
    <row r="53" spans="1:9">
      <c r="A53" s="261"/>
      <c r="B53" s="53" t="s">
        <v>208</v>
      </c>
      <c r="C53" s="84">
        <f>'4A_DOC'!$B$45*$L$14</f>
        <v>5.4824222932499988E-3</v>
      </c>
      <c r="D53" s="85">
        <v>1</v>
      </c>
      <c r="E53" s="85">
        <v>0</v>
      </c>
      <c r="F53" s="34">
        <v>0</v>
      </c>
      <c r="G53" s="86">
        <v>0.57999999999999996</v>
      </c>
      <c r="H53" s="85">
        <f t="shared" si="2"/>
        <v>3.6666666666666665</v>
      </c>
      <c r="I53" s="53">
        <f t="shared" si="3"/>
        <v>0</v>
      </c>
    </row>
    <row r="54" spans="1:9">
      <c r="A54" s="261"/>
      <c r="B54" s="53" t="s">
        <v>209</v>
      </c>
      <c r="C54" s="84">
        <f>'4A_DOC'!$B$46*$L$14</f>
        <v>4.1195602542499999E-3</v>
      </c>
      <c r="D54" s="85">
        <v>1</v>
      </c>
      <c r="E54" s="85">
        <v>0</v>
      </c>
      <c r="F54" s="34">
        <v>0</v>
      </c>
      <c r="G54" s="86">
        <v>0.57999999999999996</v>
      </c>
      <c r="H54" s="85">
        <f t="shared" si="2"/>
        <v>3.6666666666666665</v>
      </c>
      <c r="I54" s="53">
        <f t="shared" si="3"/>
        <v>0</v>
      </c>
    </row>
    <row r="55" spans="1:9">
      <c r="A55" s="261"/>
      <c r="B55" s="53" t="s">
        <v>210</v>
      </c>
      <c r="C55" s="84">
        <f>'4A_DOC'!$B$47*$L$14</f>
        <v>1.9234939232249997E-2</v>
      </c>
      <c r="D55" s="85">
        <v>0.9</v>
      </c>
      <c r="E55" s="85">
        <v>0</v>
      </c>
      <c r="F55" s="34">
        <v>0</v>
      </c>
      <c r="G55" s="86">
        <v>0.57999999999999996</v>
      </c>
      <c r="H55" s="85">
        <f t="shared" si="2"/>
        <v>3.6666666666666665</v>
      </c>
      <c r="I55" s="53">
        <f t="shared" si="3"/>
        <v>0</v>
      </c>
    </row>
    <row r="56" spans="1:9">
      <c r="A56" s="261" t="s">
        <v>48</v>
      </c>
      <c r="B56" s="261"/>
      <c r="C56" s="7"/>
      <c r="D56" s="53"/>
      <c r="E56" s="53"/>
      <c r="F56" s="53"/>
      <c r="G56" s="53"/>
      <c r="H56" s="53"/>
      <c r="I56" s="53"/>
    </row>
    <row r="57" spans="1:9">
      <c r="A57" s="198" t="s">
        <v>271</v>
      </c>
      <c r="B57" s="199"/>
      <c r="C57" s="199"/>
      <c r="D57" s="199"/>
      <c r="E57" s="199"/>
      <c r="F57" s="199"/>
      <c r="G57" s="199"/>
      <c r="H57" s="200"/>
      <c r="I57" s="88">
        <f>SUM(I47:I56)</f>
        <v>5.3688694149036063E-2</v>
      </c>
    </row>
    <row r="58" spans="1:9">
      <c r="A58" s="253" t="s">
        <v>53</v>
      </c>
      <c r="B58" s="254"/>
      <c r="C58" s="254"/>
      <c r="D58" s="254"/>
      <c r="E58" s="254"/>
      <c r="F58" s="254"/>
      <c r="G58" s="254"/>
      <c r="H58" s="254"/>
      <c r="I58" s="254"/>
    </row>
    <row r="59" spans="1:9">
      <c r="A59" s="255" t="s">
        <v>54</v>
      </c>
      <c r="B59" s="256"/>
      <c r="C59" s="256"/>
      <c r="D59" s="256"/>
      <c r="E59" s="256"/>
      <c r="F59" s="256"/>
      <c r="G59" s="256"/>
      <c r="H59" s="256"/>
      <c r="I59" s="256"/>
    </row>
    <row r="60" spans="1:9">
      <c r="A60" s="255" t="s">
        <v>55</v>
      </c>
      <c r="B60" s="256"/>
      <c r="C60" s="256"/>
      <c r="D60" s="256"/>
      <c r="E60" s="256"/>
      <c r="F60" s="256"/>
      <c r="G60" s="256"/>
      <c r="H60" s="256"/>
      <c r="I60" s="256"/>
    </row>
    <row r="61" spans="1:9">
      <c r="A61" s="255" t="s">
        <v>96</v>
      </c>
      <c r="B61" s="256"/>
      <c r="C61" s="256"/>
      <c r="D61" s="256"/>
      <c r="E61" s="256"/>
      <c r="F61" s="256"/>
      <c r="G61" s="256"/>
      <c r="H61" s="256"/>
      <c r="I61" s="256"/>
    </row>
    <row r="62" spans="1:9">
      <c r="A62" s="255" t="s">
        <v>97</v>
      </c>
      <c r="B62" s="256"/>
      <c r="C62" s="256"/>
      <c r="D62" s="256"/>
      <c r="E62" s="256"/>
      <c r="F62" s="256"/>
      <c r="G62" s="256"/>
      <c r="H62" s="256"/>
      <c r="I62" s="256"/>
    </row>
    <row r="63" spans="1:9">
      <c r="A63" s="257" t="s">
        <v>200</v>
      </c>
      <c r="B63" s="258"/>
      <c r="C63" s="258"/>
      <c r="D63" s="258"/>
      <c r="E63" s="258"/>
      <c r="F63" s="258"/>
      <c r="G63" s="258"/>
      <c r="H63" s="258"/>
      <c r="I63" s="258"/>
    </row>
    <row r="66" spans="1:9">
      <c r="A66" s="197" t="s">
        <v>0</v>
      </c>
      <c r="B66" s="197"/>
      <c r="C66" s="196" t="s">
        <v>1</v>
      </c>
      <c r="D66" s="196"/>
      <c r="E66" s="196"/>
      <c r="F66" s="196"/>
      <c r="G66" s="196"/>
      <c r="H66" s="196"/>
      <c r="I66" s="196"/>
    </row>
    <row r="67" spans="1:9">
      <c r="A67" s="197" t="s">
        <v>2</v>
      </c>
      <c r="B67" s="197"/>
      <c r="C67" s="196" t="s">
        <v>75</v>
      </c>
      <c r="D67" s="196"/>
      <c r="E67" s="196"/>
      <c r="F67" s="196"/>
      <c r="G67" s="196"/>
      <c r="H67" s="196"/>
      <c r="I67" s="196"/>
    </row>
    <row r="68" spans="1:9">
      <c r="A68" s="197" t="s">
        <v>4</v>
      </c>
      <c r="B68" s="197"/>
      <c r="C68" s="196" t="s">
        <v>76</v>
      </c>
      <c r="D68" s="196"/>
      <c r="E68" s="196"/>
      <c r="F68" s="196"/>
      <c r="G68" s="196"/>
      <c r="H68" s="196"/>
      <c r="I68" s="196"/>
    </row>
    <row r="69" spans="1:9">
      <c r="A69" s="197" t="s">
        <v>6</v>
      </c>
      <c r="B69" s="197"/>
      <c r="C69" s="196" t="s">
        <v>77</v>
      </c>
      <c r="D69" s="196"/>
      <c r="E69" s="196"/>
      <c r="F69" s="196"/>
      <c r="G69" s="196"/>
      <c r="H69" s="196"/>
      <c r="I69" s="196"/>
    </row>
    <row r="70" spans="1:9">
      <c r="A70" s="250" t="s">
        <v>8</v>
      </c>
      <c r="B70" s="250"/>
      <c r="C70" s="250"/>
      <c r="D70" s="250" t="s">
        <v>9</v>
      </c>
      <c r="E70" s="262"/>
      <c r="F70" s="262"/>
      <c r="G70" s="262"/>
      <c r="H70" s="262"/>
      <c r="I70" s="83"/>
    </row>
    <row r="71" spans="1:9">
      <c r="A71" s="259"/>
      <c r="B71" s="259"/>
      <c r="C71" s="7" t="s">
        <v>58</v>
      </c>
      <c r="D71" s="7" t="s">
        <v>78</v>
      </c>
      <c r="E71" s="7" t="s">
        <v>79</v>
      </c>
      <c r="F71" s="7" t="s">
        <v>80</v>
      </c>
      <c r="G71" s="7" t="s">
        <v>81</v>
      </c>
      <c r="H71" s="7" t="s">
        <v>82</v>
      </c>
      <c r="I71" s="7" t="s">
        <v>83</v>
      </c>
    </row>
    <row r="72" spans="1:9" ht="25.5">
      <c r="A72" s="207" t="s">
        <v>84</v>
      </c>
      <c r="B72" s="207"/>
      <c r="C72" s="59" t="s">
        <v>85</v>
      </c>
      <c r="D72" s="259" t="s">
        <v>86</v>
      </c>
      <c r="E72" s="59" t="s">
        <v>87</v>
      </c>
      <c r="F72" s="59" t="s">
        <v>89</v>
      </c>
      <c r="G72" s="259" t="s">
        <v>91</v>
      </c>
      <c r="H72" s="259" t="s">
        <v>38</v>
      </c>
      <c r="I72" s="259" t="s">
        <v>92</v>
      </c>
    </row>
    <row r="73" spans="1:9" ht="14.25">
      <c r="A73" s="207"/>
      <c r="B73" s="207"/>
      <c r="C73" s="76" t="s">
        <v>37</v>
      </c>
      <c r="D73" s="251"/>
      <c r="E73" s="76" t="s">
        <v>88</v>
      </c>
      <c r="F73" s="76" t="s">
        <v>90</v>
      </c>
      <c r="G73" s="251"/>
      <c r="H73" s="251"/>
      <c r="I73" s="251"/>
    </row>
    <row r="74" spans="1:9">
      <c r="A74" s="208"/>
      <c r="B74" s="208"/>
      <c r="C74" s="76"/>
      <c r="D74" s="76" t="s">
        <v>39</v>
      </c>
      <c r="E74" s="76" t="s">
        <v>40</v>
      </c>
      <c r="F74" s="76" t="s">
        <v>41</v>
      </c>
      <c r="G74" s="76" t="s">
        <v>42</v>
      </c>
      <c r="H74" s="76"/>
      <c r="I74" s="76"/>
    </row>
    <row r="75" spans="1:9" ht="15.75">
      <c r="A75" s="208"/>
      <c r="B75" s="208"/>
      <c r="C75" s="8" t="s">
        <v>43</v>
      </c>
      <c r="D75" s="8" t="s">
        <v>44</v>
      </c>
      <c r="E75" s="8" t="s">
        <v>44</v>
      </c>
      <c r="F75" s="8" t="s">
        <v>44</v>
      </c>
      <c r="G75" s="8" t="s">
        <v>44</v>
      </c>
      <c r="H75" s="8" t="s">
        <v>45</v>
      </c>
      <c r="I75" s="8" t="s">
        <v>46</v>
      </c>
    </row>
    <row r="76" spans="1:9" ht="15" thickBot="1">
      <c r="A76" s="260"/>
      <c r="B76" s="260"/>
      <c r="C76" s="5" t="s">
        <v>93</v>
      </c>
      <c r="D76" s="5"/>
      <c r="E76" s="5"/>
      <c r="F76" s="5"/>
      <c r="G76" s="5"/>
      <c r="H76" s="5"/>
      <c r="I76" s="5" t="s">
        <v>94</v>
      </c>
    </row>
    <row r="77" spans="1:9" ht="13.5" thickTop="1">
      <c r="A77" s="261" t="s">
        <v>95</v>
      </c>
      <c r="B77" s="53" t="s">
        <v>203</v>
      </c>
      <c r="C77" s="84">
        <f>'4A_DOC'!$B$39*$L$15</f>
        <v>0.20689422919725001</v>
      </c>
      <c r="D77" s="85">
        <v>0.4</v>
      </c>
      <c r="E77" s="85">
        <v>0.38</v>
      </c>
      <c r="F77" s="34">
        <v>0</v>
      </c>
      <c r="G77" s="86">
        <v>0.57999999999999996</v>
      </c>
      <c r="H77" s="85">
        <f>44/12</f>
        <v>3.6666666666666665</v>
      </c>
      <c r="I77" s="53">
        <f>C77*D77*E77*F77*G77*H77</f>
        <v>0</v>
      </c>
    </row>
    <row r="78" spans="1:9">
      <c r="A78" s="261"/>
      <c r="B78" s="53" t="s">
        <v>204</v>
      </c>
      <c r="C78" s="84">
        <f>'4A_DOC'!$B$40*$L$15</f>
        <v>4.0045049633749996E-2</v>
      </c>
      <c r="D78" s="85">
        <v>0.9</v>
      </c>
      <c r="E78" s="85">
        <v>0.46</v>
      </c>
      <c r="F78" s="34">
        <f>1/100</f>
        <v>0.01</v>
      </c>
      <c r="G78" s="86">
        <v>0.57999999999999996</v>
      </c>
      <c r="H78" s="85">
        <f t="shared" ref="H78:H85" si="4">44/12</f>
        <v>3.6666666666666665</v>
      </c>
      <c r="I78" s="53">
        <f t="shared" ref="I78:I85" si="5">C78*D78*E78*F78*G78*H78</f>
        <v>3.5257263499538846E-4</v>
      </c>
    </row>
    <row r="79" spans="1:9">
      <c r="A79" s="261"/>
      <c r="B79" s="53" t="s">
        <v>205</v>
      </c>
      <c r="C79" s="84">
        <f>'4A_DOC'!$B$41*$L$15</f>
        <v>0</v>
      </c>
      <c r="D79" s="85">
        <v>0.85</v>
      </c>
      <c r="E79" s="85">
        <v>0.5</v>
      </c>
      <c r="F79" s="34">
        <v>0</v>
      </c>
      <c r="G79" s="86">
        <v>0.57999999999999996</v>
      </c>
      <c r="H79" s="85">
        <f t="shared" si="4"/>
        <v>3.6666666666666665</v>
      </c>
      <c r="I79" s="53">
        <f t="shared" si="5"/>
        <v>0</v>
      </c>
    </row>
    <row r="80" spans="1:9">
      <c r="A80" s="261"/>
      <c r="B80" s="53" t="s">
        <v>47</v>
      </c>
      <c r="C80" s="84">
        <f>'4A_DOC'!$B$42*$L$15</f>
        <v>2.5242404827500002E-3</v>
      </c>
      <c r="D80" s="85">
        <v>0.8</v>
      </c>
      <c r="E80" s="85">
        <v>0.5</v>
      </c>
      <c r="F80" s="34">
        <f>20/100</f>
        <v>0.2</v>
      </c>
      <c r="G80" s="86">
        <v>0.57999999999999996</v>
      </c>
      <c r="H80" s="85">
        <f t="shared" si="4"/>
        <v>3.6666666666666665</v>
      </c>
      <c r="I80" s="53">
        <f t="shared" si="5"/>
        <v>4.2945744746520004E-4</v>
      </c>
    </row>
    <row r="81" spans="1:9">
      <c r="A81" s="261"/>
      <c r="B81" s="53" t="s">
        <v>206</v>
      </c>
      <c r="C81" s="84">
        <f>'4A_DOC'!$B$43*$L$15</f>
        <v>0</v>
      </c>
      <c r="D81" s="85">
        <v>0.84</v>
      </c>
      <c r="E81" s="85">
        <v>0.67</v>
      </c>
      <c r="F81" s="34">
        <f>20/100</f>
        <v>0.2</v>
      </c>
      <c r="G81" s="86">
        <v>0.57999999999999996</v>
      </c>
      <c r="H81" s="85">
        <f t="shared" si="4"/>
        <v>3.6666666666666665</v>
      </c>
      <c r="I81" s="53">
        <f t="shared" si="5"/>
        <v>0</v>
      </c>
    </row>
    <row r="82" spans="1:9">
      <c r="A82" s="261"/>
      <c r="B82" s="53" t="s">
        <v>207</v>
      </c>
      <c r="C82" s="84">
        <f>'4A_DOC'!$B$44*$L$15</f>
        <v>3.3376068605250005E-2</v>
      </c>
      <c r="D82" s="85">
        <v>1</v>
      </c>
      <c r="E82" s="85">
        <v>0.75</v>
      </c>
      <c r="F82" s="34">
        <f>100/100</f>
        <v>1</v>
      </c>
      <c r="G82" s="86">
        <v>0.57999999999999996</v>
      </c>
      <c r="H82" s="85">
        <f t="shared" si="4"/>
        <v>3.6666666666666665</v>
      </c>
      <c r="I82" s="53">
        <f t="shared" si="5"/>
        <v>5.3234829425373754E-2</v>
      </c>
    </row>
    <row r="83" spans="1:9">
      <c r="A83" s="261"/>
      <c r="B83" s="53" t="s">
        <v>208</v>
      </c>
      <c r="C83" s="84">
        <f>'4A_DOC'!$B$45*$L$15</f>
        <v>5.51593290675E-3</v>
      </c>
      <c r="D83" s="85">
        <v>1</v>
      </c>
      <c r="E83" s="85">
        <v>0</v>
      </c>
      <c r="F83" s="34">
        <v>0</v>
      </c>
      <c r="G83" s="86">
        <v>0.57999999999999996</v>
      </c>
      <c r="H83" s="85">
        <f t="shared" si="4"/>
        <v>3.6666666666666665</v>
      </c>
      <c r="I83" s="53">
        <f t="shared" si="5"/>
        <v>0</v>
      </c>
    </row>
    <row r="84" spans="1:9">
      <c r="A84" s="261"/>
      <c r="B84" s="53" t="s">
        <v>209</v>
      </c>
      <c r="C84" s="84">
        <f>'4A_DOC'!$B$46*$L$15</f>
        <v>4.1447405457499999E-3</v>
      </c>
      <c r="D84" s="85">
        <v>1</v>
      </c>
      <c r="E84" s="85">
        <v>0</v>
      </c>
      <c r="F84" s="34">
        <v>0</v>
      </c>
      <c r="G84" s="86">
        <v>0.57999999999999996</v>
      </c>
      <c r="H84" s="85">
        <f t="shared" si="4"/>
        <v>3.6666666666666665</v>
      </c>
      <c r="I84" s="53">
        <f t="shared" si="5"/>
        <v>0</v>
      </c>
    </row>
    <row r="85" spans="1:9">
      <c r="A85" s="261"/>
      <c r="B85" s="53" t="s">
        <v>210</v>
      </c>
      <c r="C85" s="84">
        <f>'4A_DOC'!$B$47*$L$15</f>
        <v>1.935251036775E-2</v>
      </c>
      <c r="D85" s="85">
        <v>0.9</v>
      </c>
      <c r="E85" s="85">
        <v>0</v>
      </c>
      <c r="F85" s="34">
        <v>0</v>
      </c>
      <c r="G85" s="86">
        <v>0.57999999999999996</v>
      </c>
      <c r="H85" s="85">
        <f t="shared" si="4"/>
        <v>3.6666666666666665</v>
      </c>
      <c r="I85" s="53">
        <f t="shared" si="5"/>
        <v>0</v>
      </c>
    </row>
    <row r="86" spans="1:9">
      <c r="A86" s="261" t="s">
        <v>48</v>
      </c>
      <c r="B86" s="261"/>
      <c r="C86" s="7"/>
      <c r="D86" s="53"/>
      <c r="E86" s="53"/>
      <c r="F86" s="53"/>
      <c r="G86" s="53"/>
      <c r="H86" s="53"/>
      <c r="I86" s="53"/>
    </row>
    <row r="87" spans="1:9">
      <c r="A87" s="198" t="s">
        <v>272</v>
      </c>
      <c r="B87" s="199"/>
      <c r="C87" s="199"/>
      <c r="D87" s="199"/>
      <c r="E87" s="199"/>
      <c r="F87" s="199"/>
      <c r="G87" s="199"/>
      <c r="H87" s="200"/>
      <c r="I87" s="88">
        <f>SUM(I77:I86)</f>
        <v>5.4016859507834344E-2</v>
      </c>
    </row>
    <row r="88" spans="1:9">
      <c r="A88" s="253" t="s">
        <v>53</v>
      </c>
      <c r="B88" s="254"/>
      <c r="C88" s="254"/>
      <c r="D88" s="254"/>
      <c r="E88" s="254"/>
      <c r="F88" s="254"/>
      <c r="G88" s="254"/>
      <c r="H88" s="254"/>
      <c r="I88" s="254"/>
    </row>
    <row r="89" spans="1:9">
      <c r="A89" s="255" t="s">
        <v>54</v>
      </c>
      <c r="B89" s="256"/>
      <c r="C89" s="256"/>
      <c r="D89" s="256"/>
      <c r="E89" s="256"/>
      <c r="F89" s="256"/>
      <c r="G89" s="256"/>
      <c r="H89" s="256"/>
      <c r="I89" s="256"/>
    </row>
    <row r="90" spans="1:9">
      <c r="A90" s="255" t="s">
        <v>55</v>
      </c>
      <c r="B90" s="256"/>
      <c r="C90" s="256"/>
      <c r="D90" s="256"/>
      <c r="E90" s="256"/>
      <c r="F90" s="256"/>
      <c r="G90" s="256"/>
      <c r="H90" s="256"/>
      <c r="I90" s="256"/>
    </row>
    <row r="91" spans="1:9">
      <c r="A91" s="255" t="s">
        <v>96</v>
      </c>
      <c r="B91" s="256"/>
      <c r="C91" s="256"/>
      <c r="D91" s="256"/>
      <c r="E91" s="256"/>
      <c r="F91" s="256"/>
      <c r="G91" s="256"/>
      <c r="H91" s="256"/>
      <c r="I91" s="256"/>
    </row>
    <row r="92" spans="1:9">
      <c r="A92" s="255" t="s">
        <v>97</v>
      </c>
      <c r="B92" s="256"/>
      <c r="C92" s="256"/>
      <c r="D92" s="256"/>
      <c r="E92" s="256"/>
      <c r="F92" s="256"/>
      <c r="G92" s="256"/>
      <c r="H92" s="256"/>
      <c r="I92" s="256"/>
    </row>
    <row r="93" spans="1:9">
      <c r="A93" s="257" t="s">
        <v>200</v>
      </c>
      <c r="B93" s="258"/>
      <c r="C93" s="258"/>
      <c r="D93" s="258"/>
      <c r="E93" s="258"/>
      <c r="F93" s="258"/>
      <c r="G93" s="258"/>
      <c r="H93" s="258"/>
      <c r="I93" s="258"/>
    </row>
    <row r="97" spans="1:9">
      <c r="A97" s="197" t="s">
        <v>0</v>
      </c>
      <c r="B97" s="197"/>
      <c r="C97" s="196" t="s">
        <v>1</v>
      </c>
      <c r="D97" s="196"/>
      <c r="E97" s="196"/>
      <c r="F97" s="196"/>
      <c r="G97" s="196"/>
      <c r="H97" s="196"/>
      <c r="I97" s="196"/>
    </row>
    <row r="98" spans="1:9">
      <c r="A98" s="197" t="s">
        <v>2</v>
      </c>
      <c r="B98" s="197"/>
      <c r="C98" s="196" t="s">
        <v>75</v>
      </c>
      <c r="D98" s="196"/>
      <c r="E98" s="196"/>
      <c r="F98" s="196"/>
      <c r="G98" s="196"/>
      <c r="H98" s="196"/>
      <c r="I98" s="196"/>
    </row>
    <row r="99" spans="1:9">
      <c r="A99" s="197" t="s">
        <v>4</v>
      </c>
      <c r="B99" s="197"/>
      <c r="C99" s="196" t="s">
        <v>76</v>
      </c>
      <c r="D99" s="196"/>
      <c r="E99" s="196"/>
      <c r="F99" s="196"/>
      <c r="G99" s="196"/>
      <c r="H99" s="196"/>
      <c r="I99" s="196"/>
    </row>
    <row r="100" spans="1:9">
      <c r="A100" s="197" t="s">
        <v>6</v>
      </c>
      <c r="B100" s="197"/>
      <c r="C100" s="196" t="s">
        <v>77</v>
      </c>
      <c r="D100" s="196"/>
      <c r="E100" s="196"/>
      <c r="F100" s="196"/>
      <c r="G100" s="196"/>
      <c r="H100" s="196"/>
      <c r="I100" s="196"/>
    </row>
    <row r="101" spans="1:9">
      <c r="A101" s="250" t="s">
        <v>8</v>
      </c>
      <c r="B101" s="250"/>
      <c r="C101" s="250"/>
      <c r="D101" s="250" t="s">
        <v>9</v>
      </c>
      <c r="E101" s="262"/>
      <c r="F101" s="262"/>
      <c r="G101" s="262"/>
      <c r="H101" s="262"/>
      <c r="I101" s="83"/>
    </row>
    <row r="102" spans="1:9">
      <c r="A102" s="259"/>
      <c r="B102" s="259"/>
      <c r="C102" s="7" t="s">
        <v>58</v>
      </c>
      <c r="D102" s="7" t="s">
        <v>78</v>
      </c>
      <c r="E102" s="7" t="s">
        <v>79</v>
      </c>
      <c r="F102" s="7" t="s">
        <v>80</v>
      </c>
      <c r="G102" s="7" t="s">
        <v>81</v>
      </c>
      <c r="H102" s="7" t="s">
        <v>82</v>
      </c>
      <c r="I102" s="7" t="s">
        <v>83</v>
      </c>
    </row>
    <row r="103" spans="1:9" ht="25.5">
      <c r="A103" s="207" t="s">
        <v>84</v>
      </c>
      <c r="B103" s="207"/>
      <c r="C103" s="59" t="s">
        <v>85</v>
      </c>
      <c r="D103" s="259" t="s">
        <v>86</v>
      </c>
      <c r="E103" s="59" t="s">
        <v>87</v>
      </c>
      <c r="F103" s="59" t="s">
        <v>89</v>
      </c>
      <c r="G103" s="259" t="s">
        <v>91</v>
      </c>
      <c r="H103" s="259" t="s">
        <v>38</v>
      </c>
      <c r="I103" s="259" t="s">
        <v>92</v>
      </c>
    </row>
    <row r="104" spans="1:9" ht="14.25">
      <c r="A104" s="207"/>
      <c r="B104" s="207"/>
      <c r="C104" s="76" t="s">
        <v>37</v>
      </c>
      <c r="D104" s="251"/>
      <c r="E104" s="76" t="s">
        <v>88</v>
      </c>
      <c r="F104" s="76" t="s">
        <v>90</v>
      </c>
      <c r="G104" s="251"/>
      <c r="H104" s="251"/>
      <c r="I104" s="251"/>
    </row>
    <row r="105" spans="1:9">
      <c r="A105" s="208"/>
      <c r="B105" s="208"/>
      <c r="C105" s="76"/>
      <c r="D105" s="76" t="s">
        <v>39</v>
      </c>
      <c r="E105" s="76" t="s">
        <v>40</v>
      </c>
      <c r="F105" s="76" t="s">
        <v>41</v>
      </c>
      <c r="G105" s="76" t="s">
        <v>42</v>
      </c>
      <c r="H105" s="76"/>
      <c r="I105" s="76"/>
    </row>
    <row r="106" spans="1:9" ht="15.75">
      <c r="A106" s="208"/>
      <c r="B106" s="208"/>
      <c r="C106" s="8" t="s">
        <v>43</v>
      </c>
      <c r="D106" s="8" t="s">
        <v>44</v>
      </c>
      <c r="E106" s="8" t="s">
        <v>44</v>
      </c>
      <c r="F106" s="8" t="s">
        <v>44</v>
      </c>
      <c r="G106" s="8" t="s">
        <v>44</v>
      </c>
      <c r="H106" s="8" t="s">
        <v>45</v>
      </c>
      <c r="I106" s="8" t="s">
        <v>46</v>
      </c>
    </row>
    <row r="107" spans="1:9" ht="15" thickBot="1">
      <c r="A107" s="260"/>
      <c r="B107" s="260"/>
      <c r="C107" s="5" t="s">
        <v>93</v>
      </c>
      <c r="D107" s="5"/>
      <c r="E107" s="5"/>
      <c r="F107" s="5"/>
      <c r="G107" s="5"/>
      <c r="H107" s="5"/>
      <c r="I107" s="5" t="s">
        <v>94</v>
      </c>
    </row>
    <row r="108" spans="1:9" ht="13.5" thickTop="1">
      <c r="A108" s="261" t="s">
        <v>95</v>
      </c>
      <c r="B108" s="53" t="s">
        <v>203</v>
      </c>
      <c r="C108" s="84">
        <f>'4A_DOC'!$B$39*$L$16</f>
        <v>0.20863459657425001</v>
      </c>
      <c r="D108" s="85">
        <v>0.4</v>
      </c>
      <c r="E108" s="85">
        <v>0.38</v>
      </c>
      <c r="F108" s="34">
        <v>0</v>
      </c>
      <c r="G108" s="86">
        <v>0.57999999999999996</v>
      </c>
      <c r="H108" s="85">
        <f>44/12</f>
        <v>3.6666666666666665</v>
      </c>
      <c r="I108" s="53">
        <f>C108*D108*E108*F108*G108*H108</f>
        <v>0</v>
      </c>
    </row>
    <row r="109" spans="1:9">
      <c r="A109" s="261"/>
      <c r="B109" s="53" t="s">
        <v>204</v>
      </c>
      <c r="C109" s="84">
        <f>'4A_DOC'!$B$40*$L$16</f>
        <v>4.0381903388750001E-2</v>
      </c>
      <c r="D109" s="85">
        <v>0.9</v>
      </c>
      <c r="E109" s="85">
        <v>0.46</v>
      </c>
      <c r="F109" s="34">
        <f>1/100</f>
        <v>0.01</v>
      </c>
      <c r="G109" s="86">
        <v>0.57999999999999996</v>
      </c>
      <c r="H109" s="85">
        <f t="shared" ref="H109:H116" si="6">44/12</f>
        <v>3.6666666666666665</v>
      </c>
      <c r="I109" s="53">
        <f t="shared" ref="I109:I116" si="7">C109*D109*E109*F109*G109*H109</f>
        <v>3.5553843019591049E-4</v>
      </c>
    </row>
    <row r="110" spans="1:9">
      <c r="A110" s="261"/>
      <c r="B110" s="53" t="s">
        <v>205</v>
      </c>
      <c r="C110" s="84">
        <f>'4A_DOC'!$B$41*$L$16</f>
        <v>0</v>
      </c>
      <c r="D110" s="85">
        <v>0.85</v>
      </c>
      <c r="E110" s="85">
        <v>0.5</v>
      </c>
      <c r="F110" s="34">
        <v>0</v>
      </c>
      <c r="G110" s="86">
        <v>0.57999999999999996</v>
      </c>
      <c r="H110" s="85">
        <f t="shared" si="6"/>
        <v>3.6666666666666665</v>
      </c>
      <c r="I110" s="53">
        <f t="shared" si="7"/>
        <v>0</v>
      </c>
    </row>
    <row r="111" spans="1:9">
      <c r="A111" s="261"/>
      <c r="B111" s="53" t="s">
        <v>47</v>
      </c>
      <c r="C111" s="84">
        <f>'4A_DOC'!$B$42*$L$16</f>
        <v>2.5454740657500008E-3</v>
      </c>
      <c r="D111" s="85">
        <v>0.8</v>
      </c>
      <c r="E111" s="85">
        <v>0.5</v>
      </c>
      <c r="F111" s="34">
        <f>20/100</f>
        <v>0.2</v>
      </c>
      <c r="G111" s="86">
        <v>0.57999999999999996</v>
      </c>
      <c r="H111" s="85">
        <f t="shared" si="6"/>
        <v>3.6666666666666665</v>
      </c>
      <c r="I111" s="53">
        <f t="shared" si="7"/>
        <v>4.3306998771960013E-4</v>
      </c>
    </row>
    <row r="112" spans="1:9">
      <c r="A112" s="261"/>
      <c r="B112" s="53" t="s">
        <v>206</v>
      </c>
      <c r="C112" s="84">
        <f>'4A_DOC'!$B$43*$L$16</f>
        <v>0</v>
      </c>
      <c r="D112" s="85">
        <v>0.84</v>
      </c>
      <c r="E112" s="85">
        <v>0.67</v>
      </c>
      <c r="F112" s="34">
        <f>20/100</f>
        <v>0.2</v>
      </c>
      <c r="G112" s="86">
        <v>0.57999999999999996</v>
      </c>
      <c r="H112" s="85">
        <f t="shared" si="6"/>
        <v>3.6666666666666665</v>
      </c>
      <c r="I112" s="53">
        <f t="shared" si="7"/>
        <v>0</v>
      </c>
    </row>
    <row r="113" spans="1:9">
      <c r="A113" s="261"/>
      <c r="B113" s="53" t="s">
        <v>207</v>
      </c>
      <c r="C113" s="84">
        <f>'4A_DOC'!$B$44*$L$16</f>
        <v>3.3656823758250007E-2</v>
      </c>
      <c r="D113" s="85">
        <v>1</v>
      </c>
      <c r="E113" s="85">
        <v>0.75</v>
      </c>
      <c r="F113" s="34">
        <f>100/100</f>
        <v>1</v>
      </c>
      <c r="G113" s="86">
        <v>0.57999999999999996</v>
      </c>
      <c r="H113" s="85">
        <f t="shared" si="6"/>
        <v>3.6666666666666665</v>
      </c>
      <c r="I113" s="53">
        <f t="shared" si="7"/>
        <v>5.3682633894408756E-2</v>
      </c>
    </row>
    <row r="114" spans="1:9">
      <c r="A114" s="261"/>
      <c r="B114" s="53" t="s">
        <v>208</v>
      </c>
      <c r="C114" s="84">
        <f>'4A_DOC'!$B$45*$L$16</f>
        <v>5.5623322177500009E-3</v>
      </c>
      <c r="D114" s="85">
        <v>1</v>
      </c>
      <c r="E114" s="85">
        <v>0</v>
      </c>
      <c r="F114" s="34">
        <v>0</v>
      </c>
      <c r="G114" s="86">
        <v>0.57999999999999996</v>
      </c>
      <c r="H114" s="85">
        <f t="shared" si="6"/>
        <v>3.6666666666666665</v>
      </c>
      <c r="I114" s="53">
        <f t="shared" si="7"/>
        <v>0</v>
      </c>
    </row>
    <row r="115" spans="1:9">
      <c r="A115" s="261"/>
      <c r="B115" s="53" t="s">
        <v>209</v>
      </c>
      <c r="C115" s="84">
        <f>'4A_DOC'!$B$46*$L$16</f>
        <v>4.1796055647500005E-3</v>
      </c>
      <c r="D115" s="85">
        <v>1</v>
      </c>
      <c r="E115" s="85">
        <v>0</v>
      </c>
      <c r="F115" s="34">
        <v>0</v>
      </c>
      <c r="G115" s="86">
        <v>0.57999999999999996</v>
      </c>
      <c r="H115" s="85">
        <f t="shared" si="6"/>
        <v>3.6666666666666665</v>
      </c>
      <c r="I115" s="53">
        <f t="shared" si="7"/>
        <v>0</v>
      </c>
    </row>
    <row r="116" spans="1:9">
      <c r="A116" s="261"/>
      <c r="B116" s="53" t="s">
        <v>210</v>
      </c>
      <c r="C116" s="84">
        <f>'4A_DOC'!$B$47*$L$16</f>
        <v>1.9515301170750003E-2</v>
      </c>
      <c r="D116" s="85">
        <v>0.9</v>
      </c>
      <c r="E116" s="85">
        <v>0</v>
      </c>
      <c r="F116" s="34">
        <v>0</v>
      </c>
      <c r="G116" s="86">
        <v>0.57999999999999996</v>
      </c>
      <c r="H116" s="85">
        <f t="shared" si="6"/>
        <v>3.6666666666666665</v>
      </c>
      <c r="I116" s="53">
        <f t="shared" si="7"/>
        <v>0</v>
      </c>
    </row>
    <row r="117" spans="1:9">
      <c r="A117" s="261" t="s">
        <v>48</v>
      </c>
      <c r="B117" s="261"/>
      <c r="C117" s="7"/>
      <c r="D117" s="53"/>
      <c r="E117" s="53"/>
      <c r="F117" s="53"/>
      <c r="G117" s="53"/>
      <c r="H117" s="53"/>
      <c r="I117" s="53"/>
    </row>
    <row r="118" spans="1:9">
      <c r="A118" s="198" t="s">
        <v>273</v>
      </c>
      <c r="B118" s="199"/>
      <c r="C118" s="199"/>
      <c r="D118" s="199"/>
      <c r="E118" s="199"/>
      <c r="F118" s="199"/>
      <c r="G118" s="199"/>
      <c r="H118" s="200"/>
      <c r="I118" s="91">
        <f>SUM(I108:I117)</f>
        <v>5.4471242312324267E-2</v>
      </c>
    </row>
    <row r="119" spans="1:9">
      <c r="A119" s="253" t="s">
        <v>53</v>
      </c>
      <c r="B119" s="254"/>
      <c r="C119" s="254"/>
      <c r="D119" s="254"/>
      <c r="E119" s="254"/>
      <c r="F119" s="254"/>
      <c r="G119" s="254"/>
      <c r="H119" s="254"/>
      <c r="I119" s="254"/>
    </row>
    <row r="120" spans="1:9">
      <c r="A120" s="255" t="s">
        <v>54</v>
      </c>
      <c r="B120" s="256"/>
      <c r="C120" s="256"/>
      <c r="D120" s="256"/>
      <c r="E120" s="256"/>
      <c r="F120" s="256"/>
      <c r="G120" s="256"/>
      <c r="H120" s="256"/>
      <c r="I120" s="256"/>
    </row>
    <row r="121" spans="1:9">
      <c r="A121" s="255" t="s">
        <v>55</v>
      </c>
      <c r="B121" s="256"/>
      <c r="C121" s="256"/>
      <c r="D121" s="256"/>
      <c r="E121" s="256"/>
      <c r="F121" s="256"/>
      <c r="G121" s="256"/>
      <c r="H121" s="256"/>
      <c r="I121" s="256"/>
    </row>
    <row r="122" spans="1:9">
      <c r="A122" s="255" t="s">
        <v>96</v>
      </c>
      <c r="B122" s="256"/>
      <c r="C122" s="256"/>
      <c r="D122" s="256"/>
      <c r="E122" s="256"/>
      <c r="F122" s="256"/>
      <c r="G122" s="256"/>
      <c r="H122" s="256"/>
      <c r="I122" s="256"/>
    </row>
    <row r="123" spans="1:9">
      <c r="A123" s="255" t="s">
        <v>97</v>
      </c>
      <c r="B123" s="256"/>
      <c r="C123" s="256"/>
      <c r="D123" s="256"/>
      <c r="E123" s="256"/>
      <c r="F123" s="256"/>
      <c r="G123" s="256"/>
      <c r="H123" s="256"/>
      <c r="I123" s="256"/>
    </row>
    <row r="124" spans="1:9">
      <c r="A124" s="257" t="s">
        <v>200</v>
      </c>
      <c r="B124" s="258"/>
      <c r="C124" s="258"/>
      <c r="D124" s="258"/>
      <c r="E124" s="258"/>
      <c r="F124" s="258"/>
      <c r="G124" s="258"/>
      <c r="H124" s="258"/>
      <c r="I124" s="258"/>
    </row>
    <row r="128" spans="1:9">
      <c r="A128" s="197" t="s">
        <v>0</v>
      </c>
      <c r="B128" s="197"/>
      <c r="C128" s="196" t="s">
        <v>1</v>
      </c>
      <c r="D128" s="196"/>
      <c r="E128" s="196"/>
      <c r="F128" s="196"/>
      <c r="G128" s="196"/>
      <c r="H128" s="196"/>
      <c r="I128" s="196"/>
    </row>
    <row r="129" spans="1:9">
      <c r="A129" s="197" t="s">
        <v>2</v>
      </c>
      <c r="B129" s="197"/>
      <c r="C129" s="196" t="s">
        <v>75</v>
      </c>
      <c r="D129" s="196"/>
      <c r="E129" s="196"/>
      <c r="F129" s="196"/>
      <c r="G129" s="196"/>
      <c r="H129" s="196"/>
      <c r="I129" s="196"/>
    </row>
    <row r="130" spans="1:9">
      <c r="A130" s="197" t="s">
        <v>4</v>
      </c>
      <c r="B130" s="197"/>
      <c r="C130" s="196" t="s">
        <v>76</v>
      </c>
      <c r="D130" s="196"/>
      <c r="E130" s="196"/>
      <c r="F130" s="196"/>
      <c r="G130" s="196"/>
      <c r="H130" s="196"/>
      <c r="I130" s="196"/>
    </row>
    <row r="131" spans="1:9">
      <c r="A131" s="197" t="s">
        <v>6</v>
      </c>
      <c r="B131" s="197"/>
      <c r="C131" s="196" t="s">
        <v>77</v>
      </c>
      <c r="D131" s="196"/>
      <c r="E131" s="196"/>
      <c r="F131" s="196"/>
      <c r="G131" s="196"/>
      <c r="H131" s="196"/>
      <c r="I131" s="196"/>
    </row>
    <row r="132" spans="1:9">
      <c r="A132" s="250" t="s">
        <v>8</v>
      </c>
      <c r="B132" s="250"/>
      <c r="C132" s="250"/>
      <c r="D132" s="250" t="s">
        <v>9</v>
      </c>
      <c r="E132" s="262"/>
      <c r="F132" s="262"/>
      <c r="G132" s="262"/>
      <c r="H132" s="262"/>
      <c r="I132" s="83"/>
    </row>
    <row r="133" spans="1:9">
      <c r="A133" s="259"/>
      <c r="B133" s="259"/>
      <c r="C133" s="7" t="s">
        <v>58</v>
      </c>
      <c r="D133" s="7" t="s">
        <v>78</v>
      </c>
      <c r="E133" s="7" t="s">
        <v>79</v>
      </c>
      <c r="F133" s="7" t="s">
        <v>80</v>
      </c>
      <c r="G133" s="7" t="s">
        <v>81</v>
      </c>
      <c r="H133" s="7" t="s">
        <v>82</v>
      </c>
      <c r="I133" s="7" t="s">
        <v>83</v>
      </c>
    </row>
    <row r="134" spans="1:9" ht="25.5">
      <c r="A134" s="207" t="s">
        <v>84</v>
      </c>
      <c r="B134" s="207"/>
      <c r="C134" s="59" t="s">
        <v>85</v>
      </c>
      <c r="D134" s="259" t="s">
        <v>86</v>
      </c>
      <c r="E134" s="59" t="s">
        <v>87</v>
      </c>
      <c r="F134" s="59" t="s">
        <v>89</v>
      </c>
      <c r="G134" s="259" t="s">
        <v>91</v>
      </c>
      <c r="H134" s="259" t="s">
        <v>38</v>
      </c>
      <c r="I134" s="259" t="s">
        <v>92</v>
      </c>
    </row>
    <row r="135" spans="1:9" ht="14.25">
      <c r="A135" s="207"/>
      <c r="B135" s="207"/>
      <c r="C135" s="76" t="s">
        <v>37</v>
      </c>
      <c r="D135" s="251"/>
      <c r="E135" s="76" t="s">
        <v>88</v>
      </c>
      <c r="F135" s="76" t="s">
        <v>90</v>
      </c>
      <c r="G135" s="251"/>
      <c r="H135" s="251"/>
      <c r="I135" s="251"/>
    </row>
    <row r="136" spans="1:9">
      <c r="A136" s="208"/>
      <c r="B136" s="208"/>
      <c r="C136" s="76"/>
      <c r="D136" s="76" t="s">
        <v>39</v>
      </c>
      <c r="E136" s="76" t="s">
        <v>40</v>
      </c>
      <c r="F136" s="76" t="s">
        <v>41</v>
      </c>
      <c r="G136" s="76" t="s">
        <v>42</v>
      </c>
      <c r="H136" s="76"/>
      <c r="I136" s="76"/>
    </row>
    <row r="137" spans="1:9" ht="15.75">
      <c r="A137" s="208"/>
      <c r="B137" s="208"/>
      <c r="C137" s="8" t="s">
        <v>43</v>
      </c>
      <c r="D137" s="8" t="s">
        <v>44</v>
      </c>
      <c r="E137" s="8" t="s">
        <v>44</v>
      </c>
      <c r="F137" s="8" t="s">
        <v>44</v>
      </c>
      <c r="G137" s="8" t="s">
        <v>44</v>
      </c>
      <c r="H137" s="8" t="s">
        <v>45</v>
      </c>
      <c r="I137" s="8" t="s">
        <v>46</v>
      </c>
    </row>
    <row r="138" spans="1:9" ht="15" thickBot="1">
      <c r="A138" s="260"/>
      <c r="B138" s="260"/>
      <c r="C138" s="5" t="s">
        <v>93</v>
      </c>
      <c r="D138" s="5"/>
      <c r="E138" s="5"/>
      <c r="F138" s="5"/>
      <c r="G138" s="5"/>
      <c r="H138" s="5"/>
      <c r="I138" s="5" t="s">
        <v>94</v>
      </c>
    </row>
    <row r="139" spans="1:9" ht="13.5" thickTop="1">
      <c r="A139" s="261" t="s">
        <v>95</v>
      </c>
      <c r="B139" s="53" t="s">
        <v>203</v>
      </c>
      <c r="C139" s="84">
        <f>'4A_DOC'!$B$39*$L$17</f>
        <v>0.20924694805875005</v>
      </c>
      <c r="D139" s="85">
        <v>0.4</v>
      </c>
      <c r="E139" s="85">
        <v>0.38</v>
      </c>
      <c r="F139" s="34">
        <v>0</v>
      </c>
      <c r="G139" s="86">
        <v>0.57999999999999996</v>
      </c>
      <c r="H139" s="85">
        <f>44/12</f>
        <v>3.6666666666666665</v>
      </c>
      <c r="I139" s="53">
        <f>C139*D139*E139*F139*G139*H139</f>
        <v>0</v>
      </c>
    </row>
    <row r="140" spans="1:9">
      <c r="A140" s="261"/>
      <c r="B140" s="53" t="s">
        <v>204</v>
      </c>
      <c r="C140" s="84">
        <f>'4A_DOC'!$B$40*$L$17</f>
        <v>4.0500426006250007E-2</v>
      </c>
      <c r="D140" s="85">
        <v>0.9</v>
      </c>
      <c r="E140" s="85">
        <v>0.46</v>
      </c>
      <c r="F140" s="34">
        <f>1/100</f>
        <v>0.01</v>
      </c>
      <c r="G140" s="86">
        <v>0.57999999999999996</v>
      </c>
      <c r="H140" s="85">
        <f t="shared" ref="H140:H147" si="8">44/12</f>
        <v>3.6666666666666665</v>
      </c>
      <c r="I140" s="53">
        <f t="shared" ref="I140:I147" si="9">C140*D140*E140*F140*G140*H140</f>
        <v>3.5658195072942755E-4</v>
      </c>
    </row>
    <row r="141" spans="1:9">
      <c r="A141" s="261"/>
      <c r="B141" s="53" t="s">
        <v>205</v>
      </c>
      <c r="C141" s="84">
        <f>'4A_DOC'!$B$41*$L$17</f>
        <v>0</v>
      </c>
      <c r="D141" s="85">
        <v>0.85</v>
      </c>
      <c r="E141" s="85">
        <v>0.5</v>
      </c>
      <c r="F141" s="34">
        <v>0</v>
      </c>
      <c r="G141" s="86">
        <v>0.57999999999999996</v>
      </c>
      <c r="H141" s="85">
        <f t="shared" si="8"/>
        <v>3.6666666666666665</v>
      </c>
      <c r="I141" s="53">
        <f t="shared" si="9"/>
        <v>0</v>
      </c>
    </row>
    <row r="142" spans="1:9">
      <c r="A142" s="261"/>
      <c r="B142" s="53" t="s">
        <v>47</v>
      </c>
      <c r="C142" s="84">
        <f>'4A_DOC'!$B$42*$L$17</f>
        <v>2.5529451412500009E-3</v>
      </c>
      <c r="D142" s="85">
        <v>0.8</v>
      </c>
      <c r="E142" s="85">
        <v>0.5</v>
      </c>
      <c r="F142" s="34">
        <f>20/100</f>
        <v>0.2</v>
      </c>
      <c r="G142" s="86">
        <v>0.57999999999999996</v>
      </c>
      <c r="H142" s="85">
        <f t="shared" si="8"/>
        <v>3.6666666666666665</v>
      </c>
      <c r="I142" s="53">
        <f t="shared" si="9"/>
        <v>4.3434106669800013E-4</v>
      </c>
    </row>
    <row r="143" spans="1:9">
      <c r="A143" s="261"/>
      <c r="B143" s="53" t="s">
        <v>206</v>
      </c>
      <c r="C143" s="84">
        <f>'4A_DOC'!$B$43*$L$17</f>
        <v>0</v>
      </c>
      <c r="D143" s="85">
        <v>0.84</v>
      </c>
      <c r="E143" s="85">
        <v>0.67</v>
      </c>
      <c r="F143" s="34">
        <f>20/100</f>
        <v>0.2</v>
      </c>
      <c r="G143" s="86">
        <v>0.57999999999999996</v>
      </c>
      <c r="H143" s="85">
        <f t="shared" si="8"/>
        <v>3.6666666666666665</v>
      </c>
      <c r="I143" s="53">
        <f t="shared" si="9"/>
        <v>0</v>
      </c>
    </row>
    <row r="144" spans="1:9">
      <c r="A144" s="261"/>
      <c r="B144" s="53" t="s">
        <v>207</v>
      </c>
      <c r="C144" s="84">
        <f>'4A_DOC'!$B$44*$L$17</f>
        <v>3.3755607978750012E-2</v>
      </c>
      <c r="D144" s="85">
        <v>1</v>
      </c>
      <c r="E144" s="85">
        <v>0.75</v>
      </c>
      <c r="F144" s="34">
        <f>100/100</f>
        <v>1</v>
      </c>
      <c r="G144" s="86">
        <v>0.57999999999999996</v>
      </c>
      <c r="H144" s="85">
        <f t="shared" si="8"/>
        <v>3.6666666666666665</v>
      </c>
      <c r="I144" s="53">
        <f t="shared" si="9"/>
        <v>5.3840194726106259E-2</v>
      </c>
    </row>
    <row r="145" spans="1:9">
      <c r="A145" s="261"/>
      <c r="B145" s="53" t="s">
        <v>208</v>
      </c>
      <c r="C145" s="84">
        <f>'4A_DOC'!$B$45*$L$17</f>
        <v>5.5786579012500016E-3</v>
      </c>
      <c r="D145" s="85">
        <v>1</v>
      </c>
      <c r="E145" s="85">
        <v>0</v>
      </c>
      <c r="F145" s="34">
        <v>0</v>
      </c>
      <c r="G145" s="86">
        <v>0.57999999999999996</v>
      </c>
      <c r="H145" s="85">
        <f t="shared" si="8"/>
        <v>3.6666666666666665</v>
      </c>
      <c r="I145" s="53">
        <f t="shared" si="9"/>
        <v>0</v>
      </c>
    </row>
    <row r="146" spans="1:9">
      <c r="A146" s="261"/>
      <c r="B146" s="53" t="s">
        <v>209</v>
      </c>
      <c r="C146" s="84">
        <f>'4A_DOC'!$B$46*$L$17</f>
        <v>4.1918728862500015E-3</v>
      </c>
      <c r="D146" s="85">
        <v>1</v>
      </c>
      <c r="E146" s="85">
        <v>0</v>
      </c>
      <c r="F146" s="34">
        <v>0</v>
      </c>
      <c r="G146" s="86">
        <v>0.57999999999999996</v>
      </c>
      <c r="H146" s="85">
        <f t="shared" si="8"/>
        <v>3.6666666666666665</v>
      </c>
      <c r="I146" s="53">
        <f t="shared" si="9"/>
        <v>0</v>
      </c>
    </row>
    <row r="147" spans="1:9">
      <c r="A147" s="261"/>
      <c r="B147" s="53" t="s">
        <v>210</v>
      </c>
      <c r="C147" s="84">
        <f>'4A_DOC'!$B$47*$L$17</f>
        <v>1.9572579416250003E-2</v>
      </c>
      <c r="D147" s="85">
        <v>0.9</v>
      </c>
      <c r="E147" s="85">
        <v>0</v>
      </c>
      <c r="F147" s="34">
        <v>0</v>
      </c>
      <c r="G147" s="86">
        <v>0.57999999999999996</v>
      </c>
      <c r="H147" s="85">
        <f t="shared" si="8"/>
        <v>3.6666666666666665</v>
      </c>
      <c r="I147" s="53">
        <f t="shared" si="9"/>
        <v>0</v>
      </c>
    </row>
    <row r="148" spans="1:9">
      <c r="A148" s="261" t="s">
        <v>48</v>
      </c>
      <c r="B148" s="261"/>
      <c r="C148" s="7"/>
      <c r="D148" s="53"/>
      <c r="E148" s="53"/>
      <c r="F148" s="53"/>
      <c r="G148" s="53"/>
      <c r="H148" s="53"/>
      <c r="I148" s="53"/>
    </row>
    <row r="149" spans="1:9">
      <c r="A149" s="198" t="s">
        <v>274</v>
      </c>
      <c r="B149" s="199"/>
      <c r="C149" s="199"/>
      <c r="D149" s="199"/>
      <c r="E149" s="199"/>
      <c r="F149" s="199"/>
      <c r="G149" s="199"/>
      <c r="H149" s="200"/>
      <c r="I149" s="91">
        <f>SUM(I139:I148)</f>
        <v>5.4631117743533686E-2</v>
      </c>
    </row>
    <row r="150" spans="1:9">
      <c r="A150" s="253" t="s">
        <v>53</v>
      </c>
      <c r="B150" s="254"/>
      <c r="C150" s="254"/>
      <c r="D150" s="254"/>
      <c r="E150" s="254"/>
      <c r="F150" s="254"/>
      <c r="G150" s="254"/>
      <c r="H150" s="254"/>
      <c r="I150" s="254"/>
    </row>
    <row r="151" spans="1:9">
      <c r="A151" s="255" t="s">
        <v>54</v>
      </c>
      <c r="B151" s="256"/>
      <c r="C151" s="256"/>
      <c r="D151" s="256"/>
      <c r="E151" s="256"/>
      <c r="F151" s="256"/>
      <c r="G151" s="256"/>
      <c r="H151" s="256"/>
      <c r="I151" s="256"/>
    </row>
    <row r="152" spans="1:9">
      <c r="A152" s="255" t="s">
        <v>55</v>
      </c>
      <c r="B152" s="256"/>
      <c r="C152" s="256"/>
      <c r="D152" s="256"/>
      <c r="E152" s="256"/>
      <c r="F152" s="256"/>
      <c r="G152" s="256"/>
      <c r="H152" s="256"/>
      <c r="I152" s="256"/>
    </row>
    <row r="153" spans="1:9">
      <c r="A153" s="255" t="s">
        <v>96</v>
      </c>
      <c r="B153" s="256"/>
      <c r="C153" s="256"/>
      <c r="D153" s="256"/>
      <c r="E153" s="256"/>
      <c r="F153" s="256"/>
      <c r="G153" s="256"/>
      <c r="H153" s="256"/>
      <c r="I153" s="256"/>
    </row>
    <row r="154" spans="1:9">
      <c r="A154" s="255" t="s">
        <v>97</v>
      </c>
      <c r="B154" s="256"/>
      <c r="C154" s="256"/>
      <c r="D154" s="256"/>
      <c r="E154" s="256"/>
      <c r="F154" s="256"/>
      <c r="G154" s="256"/>
      <c r="H154" s="256"/>
      <c r="I154" s="256"/>
    </row>
    <row r="155" spans="1:9">
      <c r="A155" s="257" t="s">
        <v>200</v>
      </c>
      <c r="B155" s="258"/>
      <c r="C155" s="258"/>
      <c r="D155" s="258"/>
      <c r="E155" s="258"/>
      <c r="F155" s="258"/>
      <c r="G155" s="258"/>
      <c r="H155" s="258"/>
      <c r="I155" s="258"/>
    </row>
    <row r="158" spans="1:9">
      <c r="A158" s="197" t="s">
        <v>0</v>
      </c>
      <c r="B158" s="197"/>
      <c r="C158" s="196" t="s">
        <v>1</v>
      </c>
      <c r="D158" s="196"/>
      <c r="E158" s="196"/>
      <c r="F158" s="196"/>
      <c r="G158" s="196"/>
      <c r="H158" s="196"/>
      <c r="I158" s="196"/>
    </row>
    <row r="159" spans="1:9">
      <c r="A159" s="197" t="s">
        <v>2</v>
      </c>
      <c r="B159" s="197"/>
      <c r="C159" s="196" t="s">
        <v>75</v>
      </c>
      <c r="D159" s="196"/>
      <c r="E159" s="196"/>
      <c r="F159" s="196"/>
      <c r="G159" s="196"/>
      <c r="H159" s="196"/>
      <c r="I159" s="196"/>
    </row>
    <row r="160" spans="1:9">
      <c r="A160" s="197" t="s">
        <v>4</v>
      </c>
      <c r="B160" s="197"/>
      <c r="C160" s="196" t="s">
        <v>76</v>
      </c>
      <c r="D160" s="196"/>
      <c r="E160" s="196"/>
      <c r="F160" s="196"/>
      <c r="G160" s="196"/>
      <c r="H160" s="196"/>
      <c r="I160" s="196"/>
    </row>
    <row r="161" spans="1:9">
      <c r="A161" s="197" t="s">
        <v>6</v>
      </c>
      <c r="B161" s="197"/>
      <c r="C161" s="196" t="s">
        <v>77</v>
      </c>
      <c r="D161" s="196"/>
      <c r="E161" s="196"/>
      <c r="F161" s="196"/>
      <c r="G161" s="196"/>
      <c r="H161" s="196"/>
      <c r="I161" s="196"/>
    </row>
    <row r="162" spans="1:9">
      <c r="A162" s="250" t="s">
        <v>8</v>
      </c>
      <c r="B162" s="250"/>
      <c r="C162" s="250"/>
      <c r="D162" s="250" t="s">
        <v>9</v>
      </c>
      <c r="E162" s="262"/>
      <c r="F162" s="262"/>
      <c r="G162" s="262"/>
      <c r="H162" s="262"/>
      <c r="I162" s="83"/>
    </row>
    <row r="163" spans="1:9">
      <c r="A163" s="259"/>
      <c r="B163" s="259"/>
      <c r="C163" s="7" t="s">
        <v>58</v>
      </c>
      <c r="D163" s="7" t="s">
        <v>78</v>
      </c>
      <c r="E163" s="7" t="s">
        <v>79</v>
      </c>
      <c r="F163" s="7" t="s">
        <v>80</v>
      </c>
      <c r="G163" s="7" t="s">
        <v>81</v>
      </c>
      <c r="H163" s="7" t="s">
        <v>82</v>
      </c>
      <c r="I163" s="7" t="s">
        <v>83</v>
      </c>
    </row>
    <row r="164" spans="1:9" ht="25.5">
      <c r="A164" s="207" t="s">
        <v>84</v>
      </c>
      <c r="B164" s="207"/>
      <c r="C164" s="59" t="s">
        <v>85</v>
      </c>
      <c r="D164" s="259" t="s">
        <v>86</v>
      </c>
      <c r="E164" s="59" t="s">
        <v>87</v>
      </c>
      <c r="F164" s="59" t="s">
        <v>89</v>
      </c>
      <c r="G164" s="259" t="s">
        <v>91</v>
      </c>
      <c r="H164" s="259" t="s">
        <v>38</v>
      </c>
      <c r="I164" s="259" t="s">
        <v>92</v>
      </c>
    </row>
    <row r="165" spans="1:9" ht="14.25">
      <c r="A165" s="207"/>
      <c r="B165" s="207"/>
      <c r="C165" s="76" t="s">
        <v>37</v>
      </c>
      <c r="D165" s="251"/>
      <c r="E165" s="76" t="s">
        <v>88</v>
      </c>
      <c r="F165" s="76" t="s">
        <v>90</v>
      </c>
      <c r="G165" s="251"/>
      <c r="H165" s="251"/>
      <c r="I165" s="251"/>
    </row>
    <row r="166" spans="1:9">
      <c r="A166" s="208"/>
      <c r="B166" s="208"/>
      <c r="C166" s="76"/>
      <c r="D166" s="76" t="s">
        <v>39</v>
      </c>
      <c r="E166" s="76" t="s">
        <v>40</v>
      </c>
      <c r="F166" s="76" t="s">
        <v>41</v>
      </c>
      <c r="G166" s="76" t="s">
        <v>42</v>
      </c>
      <c r="H166" s="76"/>
      <c r="I166" s="76"/>
    </row>
    <row r="167" spans="1:9" ht="15.75">
      <c r="A167" s="208"/>
      <c r="B167" s="208"/>
      <c r="C167" s="8" t="s">
        <v>43</v>
      </c>
      <c r="D167" s="8" t="s">
        <v>44</v>
      </c>
      <c r="E167" s="8" t="s">
        <v>44</v>
      </c>
      <c r="F167" s="8" t="s">
        <v>44</v>
      </c>
      <c r="G167" s="8" t="s">
        <v>44</v>
      </c>
      <c r="H167" s="8" t="s">
        <v>45</v>
      </c>
      <c r="I167" s="8" t="s">
        <v>46</v>
      </c>
    </row>
    <row r="168" spans="1:9" ht="15" thickBot="1">
      <c r="A168" s="260"/>
      <c r="B168" s="260"/>
      <c r="C168" s="5" t="s">
        <v>93</v>
      </c>
      <c r="D168" s="5"/>
      <c r="E168" s="5"/>
      <c r="F168" s="5"/>
      <c r="G168" s="5"/>
      <c r="H168" s="5"/>
      <c r="I168" s="5" t="s">
        <v>94</v>
      </c>
    </row>
    <row r="169" spans="1:9" ht="13.5" thickTop="1">
      <c r="A169" s="261" t="s">
        <v>95</v>
      </c>
      <c r="B169" s="53" t="s">
        <v>203</v>
      </c>
      <c r="C169" s="84">
        <f>'4A_DOC'!$B$39*$L$18</f>
        <v>0.210205761567375</v>
      </c>
      <c r="D169" s="85">
        <v>0.4</v>
      </c>
      <c r="E169" s="85">
        <v>0.38</v>
      </c>
      <c r="F169" s="34">
        <v>0</v>
      </c>
      <c r="G169" s="86">
        <v>0.57999999999999996</v>
      </c>
      <c r="H169" s="85">
        <f>44/12</f>
        <v>3.6666666666666665</v>
      </c>
      <c r="I169" s="53">
        <f>C169*D169*E169*F169*G169*H169</f>
        <v>0</v>
      </c>
    </row>
    <row r="170" spans="1:9">
      <c r="A170" s="261"/>
      <c r="B170" s="53" t="s">
        <v>204</v>
      </c>
      <c r="C170" s="84">
        <f>'4A_DOC'!$B$40*$L$18</f>
        <v>4.0686007473125001E-2</v>
      </c>
      <c r="D170" s="85">
        <v>0.9</v>
      </c>
      <c r="E170" s="85">
        <v>0.46</v>
      </c>
      <c r="F170" s="34">
        <f>1/100</f>
        <v>0.01</v>
      </c>
      <c r="G170" s="86">
        <v>0.57999999999999996</v>
      </c>
      <c r="H170" s="85">
        <f t="shared" ref="H170:H177" si="10">44/12</f>
        <v>3.6666666666666665</v>
      </c>
      <c r="I170" s="53">
        <f t="shared" ref="I170:I177" si="11">C170*D170*E170*F170*G170*H170</f>
        <v>3.5821588419638175E-4</v>
      </c>
    </row>
    <row r="171" spans="1:9">
      <c r="A171" s="261"/>
      <c r="B171" s="53" t="s">
        <v>205</v>
      </c>
      <c r="C171" s="84">
        <f>'4A_DOC'!$B$41*$L$18</f>
        <v>0</v>
      </c>
      <c r="D171" s="85">
        <v>0.85</v>
      </c>
      <c r="E171" s="85">
        <v>0.5</v>
      </c>
      <c r="F171" s="34">
        <v>0</v>
      </c>
      <c r="G171" s="86">
        <v>0.57999999999999996</v>
      </c>
      <c r="H171" s="85">
        <f t="shared" si="10"/>
        <v>3.6666666666666665</v>
      </c>
      <c r="I171" s="53">
        <f t="shared" si="11"/>
        <v>0</v>
      </c>
    </row>
    <row r="172" spans="1:9">
      <c r="A172" s="261"/>
      <c r="B172" s="53" t="s">
        <v>47</v>
      </c>
      <c r="C172" s="84">
        <f>'4A_DOC'!$B$42*$L$18</f>
        <v>2.5646432726250004E-3</v>
      </c>
      <c r="D172" s="85">
        <v>0.8</v>
      </c>
      <c r="E172" s="85">
        <v>0.5</v>
      </c>
      <c r="F172" s="34">
        <f>20/100</f>
        <v>0.2</v>
      </c>
      <c r="G172" s="86">
        <v>0.57999999999999996</v>
      </c>
      <c r="H172" s="85">
        <f t="shared" si="10"/>
        <v>3.6666666666666665</v>
      </c>
      <c r="I172" s="53">
        <f t="shared" si="11"/>
        <v>4.3633130878260006E-4</v>
      </c>
    </row>
    <row r="173" spans="1:9">
      <c r="A173" s="261"/>
      <c r="B173" s="53" t="s">
        <v>206</v>
      </c>
      <c r="C173" s="84">
        <f>'4A_DOC'!$B$43*$L$18</f>
        <v>0</v>
      </c>
      <c r="D173" s="85">
        <v>0.84</v>
      </c>
      <c r="E173" s="85">
        <v>0.67</v>
      </c>
      <c r="F173" s="34">
        <f>20/100</f>
        <v>0.2</v>
      </c>
      <c r="G173" s="86">
        <v>0.57999999999999996</v>
      </c>
      <c r="H173" s="85">
        <f t="shared" si="10"/>
        <v>3.6666666666666665</v>
      </c>
      <c r="I173" s="53">
        <f t="shared" si="11"/>
        <v>0</v>
      </c>
    </row>
    <row r="174" spans="1:9">
      <c r="A174" s="261"/>
      <c r="B174" s="53" t="s">
        <v>207</v>
      </c>
      <c r="C174" s="84">
        <f>'4A_DOC'!$B$44*$L$18</f>
        <v>3.3910283271375005E-2</v>
      </c>
      <c r="D174" s="85">
        <v>1</v>
      </c>
      <c r="E174" s="85">
        <v>0.75</v>
      </c>
      <c r="F174" s="34">
        <f>100/100</f>
        <v>1</v>
      </c>
      <c r="G174" s="86">
        <v>0.57999999999999996</v>
      </c>
      <c r="H174" s="85">
        <f t="shared" si="10"/>
        <v>3.6666666666666665</v>
      </c>
      <c r="I174" s="53">
        <f t="shared" si="11"/>
        <v>5.4086901817843126E-2</v>
      </c>
    </row>
    <row r="175" spans="1:9">
      <c r="A175" s="261"/>
      <c r="B175" s="53" t="s">
        <v>208</v>
      </c>
      <c r="C175" s="84">
        <f>'4A_DOC'!$B$45*$L$18</f>
        <v>5.6042204846249999E-3</v>
      </c>
      <c r="D175" s="85">
        <v>1</v>
      </c>
      <c r="E175" s="85">
        <v>0</v>
      </c>
      <c r="F175" s="34">
        <v>0</v>
      </c>
      <c r="G175" s="86">
        <v>0.57999999999999996</v>
      </c>
      <c r="H175" s="85">
        <f t="shared" si="10"/>
        <v>3.6666666666666665</v>
      </c>
      <c r="I175" s="53">
        <f t="shared" si="11"/>
        <v>0</v>
      </c>
    </row>
    <row r="176" spans="1:9">
      <c r="A176" s="261"/>
      <c r="B176" s="53" t="s">
        <v>209</v>
      </c>
      <c r="C176" s="84">
        <f>'4A_DOC'!$B$46*$L$18</f>
        <v>4.2110809291249999E-3</v>
      </c>
      <c r="D176" s="85">
        <v>1</v>
      </c>
      <c r="E176" s="85">
        <v>0</v>
      </c>
      <c r="F176" s="34">
        <v>0</v>
      </c>
      <c r="G176" s="86">
        <v>0.57999999999999996</v>
      </c>
      <c r="H176" s="85">
        <f t="shared" si="10"/>
        <v>3.6666666666666665</v>
      </c>
      <c r="I176" s="53">
        <f t="shared" si="11"/>
        <v>0</v>
      </c>
    </row>
    <row r="177" spans="1:9">
      <c r="A177" s="261"/>
      <c r="B177" s="53" t="s">
        <v>210</v>
      </c>
      <c r="C177" s="84">
        <f>'4A_DOC'!$B$47*$L$18</f>
        <v>1.9662265090124999E-2</v>
      </c>
      <c r="D177" s="85">
        <v>0.9</v>
      </c>
      <c r="E177" s="85">
        <v>0</v>
      </c>
      <c r="F177" s="34">
        <v>0</v>
      </c>
      <c r="G177" s="86">
        <v>0.57999999999999996</v>
      </c>
      <c r="H177" s="85">
        <f t="shared" si="10"/>
        <v>3.6666666666666665</v>
      </c>
      <c r="I177" s="53">
        <f t="shared" si="11"/>
        <v>0</v>
      </c>
    </row>
    <row r="178" spans="1:9">
      <c r="A178" s="261" t="s">
        <v>48</v>
      </c>
      <c r="B178" s="261"/>
      <c r="C178" s="7"/>
      <c r="D178" s="53"/>
      <c r="E178" s="53"/>
      <c r="F178" s="53"/>
      <c r="G178" s="53"/>
      <c r="H178" s="53"/>
      <c r="I178" s="53"/>
    </row>
    <row r="179" spans="1:9">
      <c r="A179" s="198" t="s">
        <v>275</v>
      </c>
      <c r="B179" s="199"/>
      <c r="C179" s="199"/>
      <c r="D179" s="199"/>
      <c r="E179" s="199"/>
      <c r="F179" s="199"/>
      <c r="G179" s="199"/>
      <c r="H179" s="200"/>
      <c r="I179" s="91">
        <f>SUM(I169:I178)</f>
        <v>5.4881449010822106E-2</v>
      </c>
    </row>
    <row r="180" spans="1:9">
      <c r="A180" s="253" t="s">
        <v>53</v>
      </c>
      <c r="B180" s="254"/>
      <c r="C180" s="254"/>
      <c r="D180" s="254"/>
      <c r="E180" s="254"/>
      <c r="F180" s="254"/>
      <c r="G180" s="254"/>
      <c r="H180" s="254"/>
      <c r="I180" s="254"/>
    </row>
    <row r="181" spans="1:9">
      <c r="A181" s="255" t="s">
        <v>54</v>
      </c>
      <c r="B181" s="256"/>
      <c r="C181" s="256"/>
      <c r="D181" s="256"/>
      <c r="E181" s="256"/>
      <c r="F181" s="256"/>
      <c r="G181" s="256"/>
      <c r="H181" s="256"/>
      <c r="I181" s="256"/>
    </row>
    <row r="182" spans="1:9">
      <c r="A182" s="255" t="s">
        <v>55</v>
      </c>
      <c r="B182" s="256"/>
      <c r="C182" s="256"/>
      <c r="D182" s="256"/>
      <c r="E182" s="256"/>
      <c r="F182" s="256"/>
      <c r="G182" s="256"/>
      <c r="H182" s="256"/>
      <c r="I182" s="256"/>
    </row>
    <row r="183" spans="1:9">
      <c r="A183" s="255" t="s">
        <v>96</v>
      </c>
      <c r="B183" s="256"/>
      <c r="C183" s="256"/>
      <c r="D183" s="256"/>
      <c r="E183" s="256"/>
      <c r="F183" s="256"/>
      <c r="G183" s="256"/>
      <c r="H183" s="256"/>
      <c r="I183" s="256"/>
    </row>
    <row r="184" spans="1:9">
      <c r="A184" s="255" t="s">
        <v>97</v>
      </c>
      <c r="B184" s="256"/>
      <c r="C184" s="256"/>
      <c r="D184" s="256"/>
      <c r="E184" s="256"/>
      <c r="F184" s="256"/>
      <c r="G184" s="256"/>
      <c r="H184" s="256"/>
      <c r="I184" s="256"/>
    </row>
    <row r="185" spans="1:9">
      <c r="A185" s="257" t="s">
        <v>200</v>
      </c>
      <c r="B185" s="258"/>
      <c r="C185" s="258"/>
      <c r="D185" s="258"/>
      <c r="E185" s="258"/>
      <c r="F185" s="258"/>
      <c r="G185" s="258"/>
      <c r="H185" s="258"/>
      <c r="I185" s="258"/>
    </row>
    <row r="188" spans="1:9">
      <c r="A188" s="197" t="s">
        <v>0</v>
      </c>
      <c r="B188" s="197"/>
      <c r="C188" s="196" t="s">
        <v>1</v>
      </c>
      <c r="D188" s="196"/>
      <c r="E188" s="196"/>
      <c r="F188" s="196"/>
      <c r="G188" s="196"/>
      <c r="H188" s="196"/>
      <c r="I188" s="196"/>
    </row>
    <row r="189" spans="1:9">
      <c r="A189" s="197" t="s">
        <v>2</v>
      </c>
      <c r="B189" s="197"/>
      <c r="C189" s="196" t="s">
        <v>75</v>
      </c>
      <c r="D189" s="196"/>
      <c r="E189" s="196"/>
      <c r="F189" s="196"/>
      <c r="G189" s="196"/>
      <c r="H189" s="196"/>
      <c r="I189" s="196"/>
    </row>
    <row r="190" spans="1:9">
      <c r="A190" s="197" t="s">
        <v>4</v>
      </c>
      <c r="B190" s="197"/>
      <c r="C190" s="196" t="s">
        <v>76</v>
      </c>
      <c r="D190" s="196"/>
      <c r="E190" s="196"/>
      <c r="F190" s="196"/>
      <c r="G190" s="196"/>
      <c r="H190" s="196"/>
      <c r="I190" s="196"/>
    </row>
    <row r="191" spans="1:9">
      <c r="A191" s="197" t="s">
        <v>6</v>
      </c>
      <c r="B191" s="197"/>
      <c r="C191" s="196" t="s">
        <v>77</v>
      </c>
      <c r="D191" s="196"/>
      <c r="E191" s="196"/>
      <c r="F191" s="196"/>
      <c r="G191" s="196"/>
      <c r="H191" s="196"/>
      <c r="I191" s="196"/>
    </row>
    <row r="192" spans="1:9">
      <c r="A192" s="250" t="s">
        <v>8</v>
      </c>
      <c r="B192" s="250"/>
      <c r="C192" s="250"/>
      <c r="D192" s="250" t="s">
        <v>9</v>
      </c>
      <c r="E192" s="262"/>
      <c r="F192" s="262"/>
      <c r="G192" s="262"/>
      <c r="H192" s="262"/>
      <c r="I192" s="83"/>
    </row>
    <row r="193" spans="1:9">
      <c r="A193" s="259"/>
      <c r="B193" s="259"/>
      <c r="C193" s="7" t="s">
        <v>58</v>
      </c>
      <c r="D193" s="7" t="s">
        <v>78</v>
      </c>
      <c r="E193" s="7" t="s">
        <v>79</v>
      </c>
      <c r="F193" s="7" t="s">
        <v>80</v>
      </c>
      <c r="G193" s="7" t="s">
        <v>81</v>
      </c>
      <c r="H193" s="7" t="s">
        <v>82</v>
      </c>
      <c r="I193" s="7" t="s">
        <v>83</v>
      </c>
    </row>
    <row r="194" spans="1:9" ht="25.5">
      <c r="A194" s="207" t="s">
        <v>84</v>
      </c>
      <c r="B194" s="207"/>
      <c r="C194" s="59" t="s">
        <v>85</v>
      </c>
      <c r="D194" s="259" t="s">
        <v>86</v>
      </c>
      <c r="E194" s="59" t="s">
        <v>87</v>
      </c>
      <c r="F194" s="59" t="s">
        <v>89</v>
      </c>
      <c r="G194" s="259" t="s">
        <v>91</v>
      </c>
      <c r="H194" s="259" t="s">
        <v>38</v>
      </c>
      <c r="I194" s="259" t="s">
        <v>92</v>
      </c>
    </row>
    <row r="195" spans="1:9" ht="14.25">
      <c r="A195" s="207"/>
      <c r="B195" s="207"/>
      <c r="C195" s="76" t="s">
        <v>37</v>
      </c>
      <c r="D195" s="251"/>
      <c r="E195" s="76" t="s">
        <v>88</v>
      </c>
      <c r="F195" s="76" t="s">
        <v>90</v>
      </c>
      <c r="G195" s="251"/>
      <c r="H195" s="251"/>
      <c r="I195" s="251"/>
    </row>
    <row r="196" spans="1:9">
      <c r="A196" s="208"/>
      <c r="B196" s="208"/>
      <c r="C196" s="76"/>
      <c r="D196" s="76" t="s">
        <v>39</v>
      </c>
      <c r="E196" s="76" t="s">
        <v>40</v>
      </c>
      <c r="F196" s="76" t="s">
        <v>41</v>
      </c>
      <c r="G196" s="76" t="s">
        <v>42</v>
      </c>
      <c r="H196" s="76"/>
      <c r="I196" s="76"/>
    </row>
    <row r="197" spans="1:9" ht="15.75">
      <c r="A197" s="208"/>
      <c r="B197" s="208"/>
      <c r="C197" s="8" t="s">
        <v>43</v>
      </c>
      <c r="D197" s="8" t="s">
        <v>44</v>
      </c>
      <c r="E197" s="8" t="s">
        <v>44</v>
      </c>
      <c r="F197" s="8" t="s">
        <v>44</v>
      </c>
      <c r="G197" s="8" t="s">
        <v>44</v>
      </c>
      <c r="H197" s="8" t="s">
        <v>45</v>
      </c>
      <c r="I197" s="8" t="s">
        <v>46</v>
      </c>
    </row>
    <row r="198" spans="1:9" ht="15" thickBot="1">
      <c r="A198" s="260"/>
      <c r="B198" s="260"/>
      <c r="C198" s="5" t="s">
        <v>93</v>
      </c>
      <c r="D198" s="5"/>
      <c r="E198" s="5"/>
      <c r="F198" s="5"/>
      <c r="G198" s="5"/>
      <c r="H198" s="5"/>
      <c r="I198" s="5" t="s">
        <v>94</v>
      </c>
    </row>
    <row r="199" spans="1:9" ht="13.5" thickTop="1">
      <c r="A199" s="261" t="s">
        <v>95</v>
      </c>
      <c r="B199" s="53" t="s">
        <v>203</v>
      </c>
      <c r="C199" s="84">
        <f>'4A_DOC'!$B$39*$L$19</f>
        <v>0.2117929605006863</v>
      </c>
      <c r="D199" s="85">
        <v>0.4</v>
      </c>
      <c r="E199" s="85">
        <v>0.38</v>
      </c>
      <c r="F199" s="34">
        <v>0</v>
      </c>
      <c r="G199" s="86">
        <v>0.57999999999999996</v>
      </c>
      <c r="H199" s="85">
        <f>44/12</f>
        <v>3.6666666666666665</v>
      </c>
      <c r="I199" s="53">
        <f>C199*D199*E199*F199*G199*H199</f>
        <v>0</v>
      </c>
    </row>
    <row r="200" spans="1:9">
      <c r="A200" s="261"/>
      <c r="B200" s="53" t="s">
        <v>204</v>
      </c>
      <c r="C200" s="84">
        <f>'4A_DOC'!$B$40*$L$19</f>
        <v>4.0993214978668757E-2</v>
      </c>
      <c r="D200" s="85">
        <v>0.9</v>
      </c>
      <c r="E200" s="85">
        <v>0.46</v>
      </c>
      <c r="F200" s="34">
        <f>1/100</f>
        <v>0.01</v>
      </c>
      <c r="G200" s="86">
        <v>0.57999999999999996</v>
      </c>
      <c r="H200" s="85">
        <f t="shared" ref="H200:H207" si="12">44/12</f>
        <v>3.6666666666666665</v>
      </c>
      <c r="I200" s="53">
        <f t="shared" ref="I200:I207" si="13">C200*D200*E200*F200*G200*H200</f>
        <v>3.6092066195819126E-4</v>
      </c>
    </row>
    <row r="201" spans="1:9">
      <c r="A201" s="261"/>
      <c r="B201" s="53" t="s">
        <v>205</v>
      </c>
      <c r="C201" s="84">
        <f>'4A_DOC'!$B$41*$L$19</f>
        <v>0</v>
      </c>
      <c r="D201" s="85">
        <v>0.85</v>
      </c>
      <c r="E201" s="85">
        <v>0.5</v>
      </c>
      <c r="F201" s="34">
        <v>0</v>
      </c>
      <c r="G201" s="86">
        <v>0.57999999999999996</v>
      </c>
      <c r="H201" s="85">
        <f t="shared" si="12"/>
        <v>3.6666666666666665</v>
      </c>
      <c r="I201" s="53">
        <f t="shared" si="13"/>
        <v>0</v>
      </c>
    </row>
    <row r="202" spans="1:9">
      <c r="A202" s="261"/>
      <c r="B202" s="53" t="s">
        <v>47</v>
      </c>
      <c r="C202" s="84">
        <f>'4A_DOC'!$B$42*$L$19</f>
        <v>2.5840081037137507E-3</v>
      </c>
      <c r="D202" s="85">
        <v>0.8</v>
      </c>
      <c r="E202" s="85">
        <v>0.5</v>
      </c>
      <c r="F202" s="34">
        <f>20/100</f>
        <v>0.2</v>
      </c>
      <c r="G202" s="86">
        <v>0.57999999999999996</v>
      </c>
      <c r="H202" s="85">
        <f t="shared" si="12"/>
        <v>3.6666666666666665</v>
      </c>
      <c r="I202" s="53">
        <f t="shared" si="13"/>
        <v>4.3962591204516614E-4</v>
      </c>
    </row>
    <row r="203" spans="1:9">
      <c r="A203" s="261"/>
      <c r="B203" s="53" t="s">
        <v>206</v>
      </c>
      <c r="C203" s="84">
        <f>'4A_DOC'!$B$43*$L$19</f>
        <v>0</v>
      </c>
      <c r="D203" s="85">
        <v>0.84</v>
      </c>
      <c r="E203" s="85">
        <v>0.67</v>
      </c>
      <c r="F203" s="34">
        <f>20/100</f>
        <v>0.2</v>
      </c>
      <c r="G203" s="86">
        <v>0.57999999999999996</v>
      </c>
      <c r="H203" s="85">
        <f t="shared" si="12"/>
        <v>3.6666666666666665</v>
      </c>
      <c r="I203" s="53">
        <f t="shared" si="13"/>
        <v>0</v>
      </c>
    </row>
    <row r="204" spans="1:9">
      <c r="A204" s="261"/>
      <c r="B204" s="53" t="s">
        <v>207</v>
      </c>
      <c r="C204" s="84">
        <f>'4A_DOC'!$B$44*$L$19</f>
        <v>3.4166329371326257E-2</v>
      </c>
      <c r="D204" s="85">
        <v>1</v>
      </c>
      <c r="E204" s="85">
        <v>0.75</v>
      </c>
      <c r="F204" s="34">
        <f>100/100</f>
        <v>1</v>
      </c>
      <c r="G204" s="86">
        <v>0.57999999999999996</v>
      </c>
      <c r="H204" s="85">
        <f t="shared" si="12"/>
        <v>3.6666666666666665</v>
      </c>
      <c r="I204" s="53">
        <f t="shared" si="13"/>
        <v>5.4495295347265375E-2</v>
      </c>
    </row>
    <row r="205" spans="1:9">
      <c r="A205" s="261"/>
      <c r="B205" s="53" t="s">
        <v>208</v>
      </c>
      <c r="C205" s="84">
        <f>'4A_DOC'!$B$45*$L$19</f>
        <v>5.6465362266337506E-3</v>
      </c>
      <c r="D205" s="85">
        <v>1</v>
      </c>
      <c r="E205" s="85">
        <v>0</v>
      </c>
      <c r="F205" s="34">
        <v>0</v>
      </c>
      <c r="G205" s="86">
        <v>0.57999999999999996</v>
      </c>
      <c r="H205" s="85">
        <f t="shared" si="12"/>
        <v>3.6666666666666665</v>
      </c>
      <c r="I205" s="53">
        <f t="shared" si="13"/>
        <v>0</v>
      </c>
    </row>
    <row r="206" spans="1:9">
      <c r="A206" s="261"/>
      <c r="B206" s="53" t="s">
        <v>209</v>
      </c>
      <c r="C206" s="84">
        <f>'4A_DOC'!$B$46*$L$19</f>
        <v>4.2428775036287506E-3</v>
      </c>
      <c r="D206" s="85">
        <v>1</v>
      </c>
      <c r="E206" s="85">
        <v>0</v>
      </c>
      <c r="F206" s="34">
        <v>0</v>
      </c>
      <c r="G206" s="86">
        <v>0.57999999999999996</v>
      </c>
      <c r="H206" s="85">
        <f t="shared" si="12"/>
        <v>3.6666666666666665</v>
      </c>
      <c r="I206" s="53">
        <f t="shared" si="13"/>
        <v>0</v>
      </c>
    </row>
    <row r="207" spans="1:9">
      <c r="A207" s="261"/>
      <c r="B207" s="53" t="s">
        <v>210</v>
      </c>
      <c r="C207" s="84">
        <f>'4A_DOC'!$B$47*$L$19</f>
        <v>1.9810728795138753E-2</v>
      </c>
      <c r="D207" s="85">
        <v>0.9</v>
      </c>
      <c r="E207" s="85">
        <v>0</v>
      </c>
      <c r="F207" s="34">
        <v>0</v>
      </c>
      <c r="G207" s="86">
        <v>0.57999999999999996</v>
      </c>
      <c r="H207" s="85">
        <f t="shared" si="12"/>
        <v>3.6666666666666665</v>
      </c>
      <c r="I207" s="53">
        <f t="shared" si="13"/>
        <v>0</v>
      </c>
    </row>
    <row r="208" spans="1:9">
      <c r="A208" s="261" t="s">
        <v>48</v>
      </c>
      <c r="B208" s="261"/>
      <c r="C208" s="7"/>
      <c r="D208" s="53"/>
      <c r="E208" s="53"/>
      <c r="F208" s="53"/>
      <c r="G208" s="53"/>
      <c r="H208" s="53"/>
      <c r="I208" s="53"/>
    </row>
    <row r="209" spans="1:9">
      <c r="A209" s="198" t="s">
        <v>276</v>
      </c>
      <c r="B209" s="199"/>
      <c r="C209" s="199"/>
      <c r="D209" s="199"/>
      <c r="E209" s="199"/>
      <c r="F209" s="199"/>
      <c r="G209" s="199"/>
      <c r="H209" s="200"/>
      <c r="I209" s="91">
        <f>SUM(I199:I208)</f>
        <v>5.5295841921268733E-2</v>
      </c>
    </row>
    <row r="210" spans="1:9">
      <c r="A210" s="253" t="s">
        <v>53</v>
      </c>
      <c r="B210" s="254"/>
      <c r="C210" s="254"/>
      <c r="D210" s="254"/>
      <c r="E210" s="254"/>
      <c r="F210" s="254"/>
      <c r="G210" s="254"/>
      <c r="H210" s="254"/>
      <c r="I210" s="254"/>
    </row>
    <row r="211" spans="1:9">
      <c r="A211" s="255" t="s">
        <v>54</v>
      </c>
      <c r="B211" s="256"/>
      <c r="C211" s="256"/>
      <c r="D211" s="256"/>
      <c r="E211" s="256"/>
      <c r="F211" s="256"/>
      <c r="G211" s="256"/>
      <c r="H211" s="256"/>
      <c r="I211" s="256"/>
    </row>
    <row r="212" spans="1:9">
      <c r="A212" s="255" t="s">
        <v>55</v>
      </c>
      <c r="B212" s="256"/>
      <c r="C212" s="256"/>
      <c r="D212" s="256"/>
      <c r="E212" s="256"/>
      <c r="F212" s="256"/>
      <c r="G212" s="256"/>
      <c r="H212" s="256"/>
      <c r="I212" s="256"/>
    </row>
    <row r="213" spans="1:9">
      <c r="A213" s="255" t="s">
        <v>96</v>
      </c>
      <c r="B213" s="256"/>
      <c r="C213" s="256"/>
      <c r="D213" s="256"/>
      <c r="E213" s="256"/>
      <c r="F213" s="256"/>
      <c r="G213" s="256"/>
      <c r="H213" s="256"/>
      <c r="I213" s="256"/>
    </row>
    <row r="214" spans="1:9">
      <c r="A214" s="255" t="s">
        <v>97</v>
      </c>
      <c r="B214" s="256"/>
      <c r="C214" s="256"/>
      <c r="D214" s="256"/>
      <c r="E214" s="256"/>
      <c r="F214" s="256"/>
      <c r="G214" s="256"/>
      <c r="H214" s="256"/>
      <c r="I214" s="256"/>
    </row>
    <row r="215" spans="1:9">
      <c r="A215" s="257" t="s">
        <v>200</v>
      </c>
      <c r="B215" s="258"/>
      <c r="C215" s="258"/>
      <c r="D215" s="258"/>
      <c r="E215" s="258"/>
      <c r="F215" s="258"/>
      <c r="G215" s="258"/>
      <c r="H215" s="258"/>
      <c r="I215" s="258"/>
    </row>
    <row r="218" spans="1:9">
      <c r="A218" s="197" t="s">
        <v>0</v>
      </c>
      <c r="B218" s="197"/>
      <c r="C218" s="196" t="s">
        <v>1</v>
      </c>
      <c r="D218" s="196"/>
      <c r="E218" s="196"/>
      <c r="F218" s="196"/>
      <c r="G218" s="196"/>
      <c r="H218" s="196"/>
      <c r="I218" s="196"/>
    </row>
    <row r="219" spans="1:9">
      <c r="A219" s="197" t="s">
        <v>2</v>
      </c>
      <c r="B219" s="197"/>
      <c r="C219" s="196" t="s">
        <v>75</v>
      </c>
      <c r="D219" s="196"/>
      <c r="E219" s="196"/>
      <c r="F219" s="196"/>
      <c r="G219" s="196"/>
      <c r="H219" s="196"/>
      <c r="I219" s="196"/>
    </row>
    <row r="220" spans="1:9">
      <c r="A220" s="197" t="s">
        <v>4</v>
      </c>
      <c r="B220" s="197"/>
      <c r="C220" s="196" t="s">
        <v>76</v>
      </c>
      <c r="D220" s="196"/>
      <c r="E220" s="196"/>
      <c r="F220" s="196"/>
      <c r="G220" s="196"/>
      <c r="H220" s="196"/>
      <c r="I220" s="196"/>
    </row>
    <row r="221" spans="1:9">
      <c r="A221" s="197" t="s">
        <v>6</v>
      </c>
      <c r="B221" s="197"/>
      <c r="C221" s="196" t="s">
        <v>77</v>
      </c>
      <c r="D221" s="196"/>
      <c r="E221" s="196"/>
      <c r="F221" s="196"/>
      <c r="G221" s="196"/>
      <c r="H221" s="196"/>
      <c r="I221" s="196"/>
    </row>
    <row r="222" spans="1:9">
      <c r="A222" s="250" t="s">
        <v>8</v>
      </c>
      <c r="B222" s="250"/>
      <c r="C222" s="250"/>
      <c r="D222" s="250" t="s">
        <v>9</v>
      </c>
      <c r="E222" s="262"/>
      <c r="F222" s="262"/>
      <c r="G222" s="262"/>
      <c r="H222" s="262"/>
      <c r="I222" s="83"/>
    </row>
    <row r="223" spans="1:9">
      <c r="A223" s="259"/>
      <c r="B223" s="259"/>
      <c r="C223" s="7" t="s">
        <v>58</v>
      </c>
      <c r="D223" s="7" t="s">
        <v>78</v>
      </c>
      <c r="E223" s="7" t="s">
        <v>79</v>
      </c>
      <c r="F223" s="7" t="s">
        <v>80</v>
      </c>
      <c r="G223" s="7" t="s">
        <v>81</v>
      </c>
      <c r="H223" s="7" t="s">
        <v>82</v>
      </c>
      <c r="I223" s="7" t="s">
        <v>83</v>
      </c>
    </row>
    <row r="224" spans="1:9" ht="25.5">
      <c r="A224" s="207" t="s">
        <v>84</v>
      </c>
      <c r="B224" s="207"/>
      <c r="C224" s="59" t="s">
        <v>85</v>
      </c>
      <c r="D224" s="259" t="s">
        <v>86</v>
      </c>
      <c r="E224" s="59" t="s">
        <v>87</v>
      </c>
      <c r="F224" s="59" t="s">
        <v>89</v>
      </c>
      <c r="G224" s="259" t="s">
        <v>91</v>
      </c>
      <c r="H224" s="259" t="s">
        <v>38</v>
      </c>
      <c r="I224" s="259" t="s">
        <v>92</v>
      </c>
    </row>
    <row r="225" spans="1:9" ht="14.25">
      <c r="A225" s="207"/>
      <c r="B225" s="207"/>
      <c r="C225" s="76" t="s">
        <v>37</v>
      </c>
      <c r="D225" s="251"/>
      <c r="E225" s="76" t="s">
        <v>88</v>
      </c>
      <c r="F225" s="76" t="s">
        <v>90</v>
      </c>
      <c r="G225" s="251"/>
      <c r="H225" s="251"/>
      <c r="I225" s="251"/>
    </row>
    <row r="226" spans="1:9">
      <c r="A226" s="208"/>
      <c r="B226" s="208"/>
      <c r="C226" s="76"/>
      <c r="D226" s="76" t="s">
        <v>39</v>
      </c>
      <c r="E226" s="76" t="s">
        <v>40</v>
      </c>
      <c r="F226" s="76" t="s">
        <v>41</v>
      </c>
      <c r="G226" s="76" t="s">
        <v>42</v>
      </c>
      <c r="H226" s="76"/>
      <c r="I226" s="76"/>
    </row>
    <row r="227" spans="1:9" ht="15.75">
      <c r="A227" s="208"/>
      <c r="B227" s="208"/>
      <c r="C227" s="8" t="s">
        <v>43</v>
      </c>
      <c r="D227" s="8" t="s">
        <v>44</v>
      </c>
      <c r="E227" s="8" t="s">
        <v>44</v>
      </c>
      <c r="F227" s="8" t="s">
        <v>44</v>
      </c>
      <c r="G227" s="8" t="s">
        <v>44</v>
      </c>
      <c r="H227" s="8" t="s">
        <v>45</v>
      </c>
      <c r="I227" s="8" t="s">
        <v>46</v>
      </c>
    </row>
    <row r="228" spans="1:9" ht="15" thickBot="1">
      <c r="A228" s="260"/>
      <c r="B228" s="260"/>
      <c r="C228" s="5" t="s">
        <v>93</v>
      </c>
      <c r="D228" s="5"/>
      <c r="E228" s="5"/>
      <c r="F228" s="5"/>
      <c r="G228" s="5"/>
      <c r="H228" s="5"/>
      <c r="I228" s="5" t="s">
        <v>94</v>
      </c>
    </row>
    <row r="229" spans="1:9" ht="13.5" thickTop="1">
      <c r="A229" s="261" t="s">
        <v>95</v>
      </c>
      <c r="B229" s="53" t="s">
        <v>203</v>
      </c>
      <c r="C229" s="84">
        <f>'4A_DOC'!$B$39*$L$20</f>
        <v>0.21303837061857001</v>
      </c>
      <c r="D229" s="85">
        <v>0.4</v>
      </c>
      <c r="E229" s="85">
        <v>0.38</v>
      </c>
      <c r="F229" s="34">
        <v>0</v>
      </c>
      <c r="G229" s="86">
        <v>0.57999999999999996</v>
      </c>
      <c r="H229" s="85">
        <f>44/12</f>
        <v>3.6666666666666665</v>
      </c>
      <c r="I229" s="53">
        <f>C229*D229*E229*F229*G229*H229</f>
        <v>0</v>
      </c>
    </row>
    <row r="230" spans="1:9">
      <c r="A230" s="261"/>
      <c r="B230" s="53" t="s">
        <v>204</v>
      </c>
      <c r="C230" s="84">
        <f>'4A_DOC'!$B$40*$L$20</f>
        <v>4.1234268149550002E-2</v>
      </c>
      <c r="D230" s="85">
        <v>0.9</v>
      </c>
      <c r="E230" s="85">
        <v>0.46</v>
      </c>
      <c r="F230" s="34">
        <f>1/100</f>
        <v>0.01</v>
      </c>
      <c r="G230" s="86">
        <v>0.57999999999999996</v>
      </c>
      <c r="H230" s="85">
        <f t="shared" ref="H230:H237" si="14">44/12</f>
        <v>3.6666666666666665</v>
      </c>
      <c r="I230" s="53">
        <f t="shared" ref="I230:I237" si="15">C230*D230*E230*F230*G230*H230</f>
        <v>3.6304299049589803E-4</v>
      </c>
    </row>
    <row r="231" spans="1:9">
      <c r="A231" s="261"/>
      <c r="B231" s="53" t="s">
        <v>205</v>
      </c>
      <c r="C231" s="84">
        <f>'4A_DOC'!$B$41*$L$20</f>
        <v>0</v>
      </c>
      <c r="D231" s="85">
        <v>0.85</v>
      </c>
      <c r="E231" s="85">
        <v>0.5</v>
      </c>
      <c r="F231" s="34">
        <v>0</v>
      </c>
      <c r="G231" s="86">
        <v>0.57999999999999996</v>
      </c>
      <c r="H231" s="85">
        <f t="shared" si="14"/>
        <v>3.6666666666666665</v>
      </c>
      <c r="I231" s="53">
        <f t="shared" si="15"/>
        <v>0</v>
      </c>
    </row>
    <row r="232" spans="1:9">
      <c r="A232" s="261"/>
      <c r="B232" s="53" t="s">
        <v>47</v>
      </c>
      <c r="C232" s="84">
        <f>'4A_DOC'!$B$42*$L$20</f>
        <v>2.5992028950300003E-3</v>
      </c>
      <c r="D232" s="85">
        <v>0.8</v>
      </c>
      <c r="E232" s="85">
        <v>0.5</v>
      </c>
      <c r="F232" s="34">
        <f>20/100</f>
        <v>0.2</v>
      </c>
      <c r="G232" s="86">
        <v>0.57999999999999996</v>
      </c>
      <c r="H232" s="85">
        <f t="shared" si="14"/>
        <v>3.6666666666666665</v>
      </c>
      <c r="I232" s="53">
        <f t="shared" si="15"/>
        <v>4.4221105254110409E-4</v>
      </c>
    </row>
    <row r="233" spans="1:9">
      <c r="A233" s="261"/>
      <c r="B233" s="53" t="s">
        <v>206</v>
      </c>
      <c r="C233" s="84">
        <f>'4A_DOC'!$B$43*$L$20</f>
        <v>0</v>
      </c>
      <c r="D233" s="85">
        <v>0.84</v>
      </c>
      <c r="E233" s="85">
        <v>0.67</v>
      </c>
      <c r="F233" s="34">
        <f>20/100</f>
        <v>0.2</v>
      </c>
      <c r="G233" s="86">
        <v>0.57999999999999996</v>
      </c>
      <c r="H233" s="85">
        <f t="shared" si="14"/>
        <v>3.6666666666666665</v>
      </c>
      <c r="I233" s="53">
        <f t="shared" si="15"/>
        <v>0</v>
      </c>
    </row>
    <row r="234" spans="1:9">
      <c r="A234" s="261"/>
      <c r="B234" s="53" t="s">
        <v>207</v>
      </c>
      <c r="C234" s="84">
        <f>'4A_DOC'!$B$44*$L$20</f>
        <v>3.4367238278730006E-2</v>
      </c>
      <c r="D234" s="85">
        <v>1</v>
      </c>
      <c r="E234" s="85">
        <v>0.75</v>
      </c>
      <c r="F234" s="34">
        <f>100/100</f>
        <v>1</v>
      </c>
      <c r="G234" s="86">
        <v>0.57999999999999996</v>
      </c>
      <c r="H234" s="85">
        <f t="shared" si="14"/>
        <v>3.6666666666666665</v>
      </c>
      <c r="I234" s="53">
        <f t="shared" si="15"/>
        <v>5.4815745054574351E-2</v>
      </c>
    </row>
    <row r="235" spans="1:9">
      <c r="A235" s="261"/>
      <c r="B235" s="53" t="s">
        <v>208</v>
      </c>
      <c r="C235" s="84">
        <f>'4A_DOC'!$B$45*$L$20</f>
        <v>5.6797396595100001E-3</v>
      </c>
      <c r="D235" s="85">
        <v>1</v>
      </c>
      <c r="E235" s="85">
        <v>0</v>
      </c>
      <c r="F235" s="34">
        <v>0</v>
      </c>
      <c r="G235" s="86">
        <v>0.57999999999999996</v>
      </c>
      <c r="H235" s="85">
        <f t="shared" si="14"/>
        <v>3.6666666666666665</v>
      </c>
      <c r="I235" s="53">
        <f t="shared" si="15"/>
        <v>0</v>
      </c>
    </row>
    <row r="236" spans="1:9">
      <c r="A236" s="261"/>
      <c r="B236" s="53" t="s">
        <v>209</v>
      </c>
      <c r="C236" s="84">
        <f>'4A_DOC'!$B$46*$L$20</f>
        <v>4.2678269757899998E-3</v>
      </c>
      <c r="D236" s="85">
        <v>1</v>
      </c>
      <c r="E236" s="85">
        <v>0</v>
      </c>
      <c r="F236" s="34">
        <v>0</v>
      </c>
      <c r="G236" s="86">
        <v>0.57999999999999996</v>
      </c>
      <c r="H236" s="85">
        <f t="shared" si="14"/>
        <v>3.6666666666666665</v>
      </c>
      <c r="I236" s="53">
        <f t="shared" si="15"/>
        <v>0</v>
      </c>
    </row>
    <row r="237" spans="1:9">
      <c r="A237" s="261"/>
      <c r="B237" s="53" t="s">
        <v>210</v>
      </c>
      <c r="C237" s="84">
        <f>'4A_DOC'!$B$47*$L$20</f>
        <v>1.992722219523E-2</v>
      </c>
      <c r="D237" s="85">
        <v>0.9</v>
      </c>
      <c r="E237" s="85">
        <v>0</v>
      </c>
      <c r="F237" s="34">
        <v>0</v>
      </c>
      <c r="G237" s="86">
        <v>0.57999999999999996</v>
      </c>
      <c r="H237" s="85">
        <f t="shared" si="14"/>
        <v>3.6666666666666665</v>
      </c>
      <c r="I237" s="53">
        <f t="shared" si="15"/>
        <v>0</v>
      </c>
    </row>
    <row r="238" spans="1:9">
      <c r="A238" s="261" t="s">
        <v>48</v>
      </c>
      <c r="B238" s="261"/>
      <c r="C238" s="7"/>
      <c r="D238" s="53"/>
      <c r="E238" s="53"/>
      <c r="F238" s="53"/>
      <c r="G238" s="53"/>
      <c r="H238" s="53"/>
      <c r="I238" s="53"/>
    </row>
    <row r="239" spans="1:9">
      <c r="A239" s="198" t="s">
        <v>277</v>
      </c>
      <c r="B239" s="199"/>
      <c r="C239" s="199"/>
      <c r="D239" s="199"/>
      <c r="E239" s="199"/>
      <c r="F239" s="199"/>
      <c r="G239" s="199"/>
      <c r="H239" s="200"/>
      <c r="I239" s="91">
        <f>SUM(I229:I238)</f>
        <v>5.5620999097611354E-2</v>
      </c>
    </row>
    <row r="240" spans="1:9">
      <c r="A240" s="253" t="s">
        <v>53</v>
      </c>
      <c r="B240" s="254"/>
      <c r="C240" s="254"/>
      <c r="D240" s="254"/>
      <c r="E240" s="254"/>
      <c r="F240" s="254"/>
      <c r="G240" s="254"/>
      <c r="H240" s="254"/>
      <c r="I240" s="254"/>
    </row>
    <row r="241" spans="1:9">
      <c r="A241" s="255" t="s">
        <v>54</v>
      </c>
      <c r="B241" s="256"/>
      <c r="C241" s="256"/>
      <c r="D241" s="256"/>
      <c r="E241" s="256"/>
      <c r="F241" s="256"/>
      <c r="G241" s="256"/>
      <c r="H241" s="256"/>
      <c r="I241" s="256"/>
    </row>
    <row r="242" spans="1:9">
      <c r="A242" s="255" t="s">
        <v>55</v>
      </c>
      <c r="B242" s="256"/>
      <c r="C242" s="256"/>
      <c r="D242" s="256"/>
      <c r="E242" s="256"/>
      <c r="F242" s="256"/>
      <c r="G242" s="256"/>
      <c r="H242" s="256"/>
      <c r="I242" s="256"/>
    </row>
    <row r="243" spans="1:9">
      <c r="A243" s="255" t="s">
        <v>96</v>
      </c>
      <c r="B243" s="256"/>
      <c r="C243" s="256"/>
      <c r="D243" s="256"/>
      <c r="E243" s="256"/>
      <c r="F243" s="256"/>
      <c r="G243" s="256"/>
      <c r="H243" s="256"/>
      <c r="I243" s="256"/>
    </row>
    <row r="244" spans="1:9">
      <c r="A244" s="255" t="s">
        <v>97</v>
      </c>
      <c r="B244" s="256"/>
      <c r="C244" s="256"/>
      <c r="D244" s="256"/>
      <c r="E244" s="256"/>
      <c r="F244" s="256"/>
      <c r="G244" s="256"/>
      <c r="H244" s="256"/>
      <c r="I244" s="256"/>
    </row>
    <row r="245" spans="1:9">
      <c r="A245" s="257" t="s">
        <v>200</v>
      </c>
      <c r="B245" s="258"/>
      <c r="C245" s="258"/>
      <c r="D245" s="258"/>
      <c r="E245" s="258"/>
      <c r="F245" s="258"/>
      <c r="G245" s="258"/>
      <c r="H245" s="258"/>
      <c r="I245" s="258"/>
    </row>
    <row r="248" spans="1:9">
      <c r="A248" s="197" t="s">
        <v>0</v>
      </c>
      <c r="B248" s="197"/>
      <c r="C248" s="196" t="s">
        <v>1</v>
      </c>
      <c r="D248" s="196"/>
      <c r="E248" s="196"/>
      <c r="F248" s="196"/>
      <c r="G248" s="196"/>
      <c r="H248" s="196"/>
      <c r="I248" s="196"/>
    </row>
    <row r="249" spans="1:9">
      <c r="A249" s="197" t="s">
        <v>2</v>
      </c>
      <c r="B249" s="197"/>
      <c r="C249" s="196" t="s">
        <v>75</v>
      </c>
      <c r="D249" s="196"/>
      <c r="E249" s="196"/>
      <c r="F249" s="196"/>
      <c r="G249" s="196"/>
      <c r="H249" s="196"/>
      <c r="I249" s="196"/>
    </row>
    <row r="250" spans="1:9">
      <c r="A250" s="197" t="s">
        <v>4</v>
      </c>
      <c r="B250" s="197"/>
      <c r="C250" s="196" t="s">
        <v>76</v>
      </c>
      <c r="D250" s="196"/>
      <c r="E250" s="196"/>
      <c r="F250" s="196"/>
      <c r="G250" s="196"/>
      <c r="H250" s="196"/>
      <c r="I250" s="196"/>
    </row>
    <row r="251" spans="1:9">
      <c r="A251" s="197" t="s">
        <v>6</v>
      </c>
      <c r="B251" s="197"/>
      <c r="C251" s="196" t="s">
        <v>77</v>
      </c>
      <c r="D251" s="196"/>
      <c r="E251" s="196"/>
      <c r="F251" s="196"/>
      <c r="G251" s="196"/>
      <c r="H251" s="196"/>
      <c r="I251" s="196"/>
    </row>
    <row r="252" spans="1:9">
      <c r="A252" s="250" t="s">
        <v>8</v>
      </c>
      <c r="B252" s="250"/>
      <c r="C252" s="250"/>
      <c r="D252" s="250" t="s">
        <v>9</v>
      </c>
      <c r="E252" s="262"/>
      <c r="F252" s="262"/>
      <c r="G252" s="262"/>
      <c r="H252" s="262"/>
      <c r="I252" s="83"/>
    </row>
    <row r="253" spans="1:9">
      <c r="A253" s="259"/>
      <c r="B253" s="259"/>
      <c r="C253" s="7" t="s">
        <v>58</v>
      </c>
      <c r="D253" s="7" t="s">
        <v>78</v>
      </c>
      <c r="E253" s="7" t="s">
        <v>79</v>
      </c>
      <c r="F253" s="7" t="s">
        <v>80</v>
      </c>
      <c r="G253" s="7" t="s">
        <v>81</v>
      </c>
      <c r="H253" s="7" t="s">
        <v>82</v>
      </c>
      <c r="I253" s="7" t="s">
        <v>83</v>
      </c>
    </row>
    <row r="254" spans="1:9" ht="25.5">
      <c r="A254" s="207" t="s">
        <v>84</v>
      </c>
      <c r="B254" s="207"/>
      <c r="C254" s="59" t="s">
        <v>85</v>
      </c>
      <c r="D254" s="259" t="s">
        <v>86</v>
      </c>
      <c r="E254" s="59" t="s">
        <v>87</v>
      </c>
      <c r="F254" s="59" t="s">
        <v>89</v>
      </c>
      <c r="G254" s="259" t="s">
        <v>91</v>
      </c>
      <c r="H254" s="259" t="s">
        <v>38</v>
      </c>
      <c r="I254" s="259" t="s">
        <v>92</v>
      </c>
    </row>
    <row r="255" spans="1:9" ht="14.25">
      <c r="A255" s="207"/>
      <c r="B255" s="207"/>
      <c r="C255" s="76" t="s">
        <v>37</v>
      </c>
      <c r="D255" s="251"/>
      <c r="E255" s="76" t="s">
        <v>88</v>
      </c>
      <c r="F255" s="76" t="s">
        <v>90</v>
      </c>
      <c r="G255" s="251"/>
      <c r="H255" s="251"/>
      <c r="I255" s="251"/>
    </row>
    <row r="256" spans="1:9">
      <c r="A256" s="208"/>
      <c r="B256" s="208"/>
      <c r="C256" s="76"/>
      <c r="D256" s="76" t="s">
        <v>39</v>
      </c>
      <c r="E256" s="76" t="s">
        <v>40</v>
      </c>
      <c r="F256" s="76" t="s">
        <v>41</v>
      </c>
      <c r="G256" s="76" t="s">
        <v>42</v>
      </c>
      <c r="H256" s="76"/>
      <c r="I256" s="76"/>
    </row>
    <row r="257" spans="1:9" ht="15.75">
      <c r="A257" s="208"/>
      <c r="B257" s="208"/>
      <c r="C257" s="8" t="s">
        <v>43</v>
      </c>
      <c r="D257" s="8" t="s">
        <v>44</v>
      </c>
      <c r="E257" s="8" t="s">
        <v>44</v>
      </c>
      <c r="F257" s="8" t="s">
        <v>44</v>
      </c>
      <c r="G257" s="8" t="s">
        <v>44</v>
      </c>
      <c r="H257" s="8" t="s">
        <v>45</v>
      </c>
      <c r="I257" s="8" t="s">
        <v>46</v>
      </c>
    </row>
    <row r="258" spans="1:9" ht="15" thickBot="1">
      <c r="A258" s="260"/>
      <c r="B258" s="260"/>
      <c r="C258" s="5" t="s">
        <v>93</v>
      </c>
      <c r="D258" s="5"/>
      <c r="E258" s="5"/>
      <c r="F258" s="5"/>
      <c r="G258" s="5"/>
      <c r="H258" s="5"/>
      <c r="I258" s="5" t="s">
        <v>94</v>
      </c>
    </row>
    <row r="259" spans="1:9" ht="13.5" thickTop="1">
      <c r="A259" s="261" t="s">
        <v>95</v>
      </c>
      <c r="B259" s="53" t="s">
        <v>203</v>
      </c>
      <c r="C259" s="84">
        <f>'4A_DOC'!$B$39*$L$21</f>
        <v>0.21428378073645377</v>
      </c>
      <c r="D259" s="85">
        <v>0.4</v>
      </c>
      <c r="E259" s="85">
        <v>0.38</v>
      </c>
      <c r="F259" s="34">
        <v>0</v>
      </c>
      <c r="G259" s="86">
        <v>0.57999999999999996</v>
      </c>
      <c r="H259" s="85">
        <f>44/12</f>
        <v>3.6666666666666665</v>
      </c>
      <c r="I259" s="53">
        <f>C259*D259*E259*F259*G259*H259</f>
        <v>0</v>
      </c>
    </row>
    <row r="260" spans="1:9">
      <c r="A260" s="261"/>
      <c r="B260" s="53" t="s">
        <v>204</v>
      </c>
      <c r="C260" s="84">
        <f>'4A_DOC'!$B$40*$L$21</f>
        <v>4.1475321320431247E-2</v>
      </c>
      <c r="D260" s="85">
        <v>0.9</v>
      </c>
      <c r="E260" s="85">
        <v>0.46</v>
      </c>
      <c r="F260" s="34">
        <f>1/100</f>
        <v>0.01</v>
      </c>
      <c r="G260" s="86">
        <v>0.57999999999999996</v>
      </c>
      <c r="H260" s="85">
        <f t="shared" ref="H260:H267" si="16">44/12</f>
        <v>3.6666666666666665</v>
      </c>
      <c r="I260" s="53">
        <f t="shared" ref="I260:I267" si="17">C260*D260*E260*F260*G260*H260</f>
        <v>3.651653190336049E-4</v>
      </c>
    </row>
    <row r="261" spans="1:9">
      <c r="A261" s="261"/>
      <c r="B261" s="53" t="s">
        <v>205</v>
      </c>
      <c r="C261" s="84">
        <f>'4A_DOC'!$B$41*$L$21</f>
        <v>0</v>
      </c>
      <c r="D261" s="85">
        <v>0.85</v>
      </c>
      <c r="E261" s="85">
        <v>0.5</v>
      </c>
      <c r="F261" s="34">
        <v>0</v>
      </c>
      <c r="G261" s="86">
        <v>0.57999999999999996</v>
      </c>
      <c r="H261" s="85">
        <f t="shared" si="16"/>
        <v>3.6666666666666665</v>
      </c>
      <c r="I261" s="53">
        <f t="shared" si="17"/>
        <v>0</v>
      </c>
    </row>
    <row r="262" spans="1:9">
      <c r="A262" s="261"/>
      <c r="B262" s="53" t="s">
        <v>47</v>
      </c>
      <c r="C262" s="84">
        <f>'4A_DOC'!$B$42*$L$21</f>
        <v>2.6143976863462503E-3</v>
      </c>
      <c r="D262" s="85">
        <v>0.8</v>
      </c>
      <c r="E262" s="85">
        <v>0.5</v>
      </c>
      <c r="F262" s="34">
        <f>20/100</f>
        <v>0.2</v>
      </c>
      <c r="G262" s="86">
        <v>0.57999999999999996</v>
      </c>
      <c r="H262" s="85">
        <f t="shared" si="16"/>
        <v>3.6666666666666665</v>
      </c>
      <c r="I262" s="53">
        <f t="shared" si="17"/>
        <v>4.447961930370421E-4</v>
      </c>
    </row>
    <row r="263" spans="1:9">
      <c r="A263" s="261"/>
      <c r="B263" s="53" t="s">
        <v>206</v>
      </c>
      <c r="C263" s="84">
        <f>'4A_DOC'!$B$43*$L$21</f>
        <v>0</v>
      </c>
      <c r="D263" s="85">
        <v>0.84</v>
      </c>
      <c r="E263" s="85">
        <v>0.67</v>
      </c>
      <c r="F263" s="34">
        <f>20/100</f>
        <v>0.2</v>
      </c>
      <c r="G263" s="86">
        <v>0.57999999999999996</v>
      </c>
      <c r="H263" s="85">
        <f t="shared" si="16"/>
        <v>3.6666666666666665</v>
      </c>
      <c r="I263" s="53">
        <f t="shared" si="17"/>
        <v>0</v>
      </c>
    </row>
    <row r="264" spans="1:9">
      <c r="A264" s="261"/>
      <c r="B264" s="53" t="s">
        <v>207</v>
      </c>
      <c r="C264" s="84">
        <f>'4A_DOC'!$B$44*$L$21</f>
        <v>3.4568147186133755E-2</v>
      </c>
      <c r="D264" s="85">
        <v>1</v>
      </c>
      <c r="E264" s="85">
        <v>0.75</v>
      </c>
      <c r="F264" s="34">
        <f>100/100</f>
        <v>1</v>
      </c>
      <c r="G264" s="86">
        <v>0.57999999999999996</v>
      </c>
      <c r="H264" s="85">
        <f t="shared" si="16"/>
        <v>3.6666666666666665</v>
      </c>
      <c r="I264" s="53">
        <f t="shared" si="17"/>
        <v>5.5136194761883334E-2</v>
      </c>
    </row>
    <row r="265" spans="1:9">
      <c r="A265" s="261"/>
      <c r="B265" s="53" t="s">
        <v>208</v>
      </c>
      <c r="C265" s="84">
        <f>'4A_DOC'!$B$45*$L$21</f>
        <v>5.7129430923862495E-3</v>
      </c>
      <c r="D265" s="85">
        <v>1</v>
      </c>
      <c r="E265" s="85">
        <v>0</v>
      </c>
      <c r="F265" s="34">
        <v>0</v>
      </c>
      <c r="G265" s="86">
        <v>0.57999999999999996</v>
      </c>
      <c r="H265" s="85">
        <f t="shared" si="16"/>
        <v>3.6666666666666665</v>
      </c>
      <c r="I265" s="53">
        <f t="shared" si="17"/>
        <v>0</v>
      </c>
    </row>
    <row r="266" spans="1:9">
      <c r="A266" s="261"/>
      <c r="B266" s="53" t="s">
        <v>209</v>
      </c>
      <c r="C266" s="84">
        <f>'4A_DOC'!$B$46*$L$21</f>
        <v>4.2927764479512498E-3</v>
      </c>
      <c r="D266" s="85">
        <v>1</v>
      </c>
      <c r="E266" s="85">
        <v>0</v>
      </c>
      <c r="F266" s="34">
        <v>0</v>
      </c>
      <c r="G266" s="86">
        <v>0.57999999999999996</v>
      </c>
      <c r="H266" s="85">
        <f t="shared" si="16"/>
        <v>3.6666666666666665</v>
      </c>
      <c r="I266" s="53">
        <f t="shared" si="17"/>
        <v>0</v>
      </c>
    </row>
    <row r="267" spans="1:9">
      <c r="A267" s="261"/>
      <c r="B267" s="53" t="s">
        <v>210</v>
      </c>
      <c r="C267" s="84">
        <f>'4A_DOC'!$B$47*$L$21</f>
        <v>2.0043715595321251E-2</v>
      </c>
      <c r="D267" s="85">
        <v>0.9</v>
      </c>
      <c r="E267" s="85">
        <v>0</v>
      </c>
      <c r="F267" s="34">
        <v>0</v>
      </c>
      <c r="G267" s="86">
        <v>0.57999999999999996</v>
      </c>
      <c r="H267" s="85">
        <f t="shared" si="16"/>
        <v>3.6666666666666665</v>
      </c>
      <c r="I267" s="53">
        <f t="shared" si="17"/>
        <v>0</v>
      </c>
    </row>
    <row r="268" spans="1:9">
      <c r="A268" s="261" t="s">
        <v>48</v>
      </c>
      <c r="B268" s="261"/>
      <c r="C268" s="7"/>
      <c r="D268" s="53"/>
      <c r="E268" s="53"/>
      <c r="F268" s="53"/>
      <c r="G268" s="53"/>
      <c r="H268" s="53"/>
      <c r="I268" s="53"/>
    </row>
    <row r="269" spans="1:9">
      <c r="A269" s="198" t="s">
        <v>278</v>
      </c>
      <c r="B269" s="199"/>
      <c r="C269" s="199"/>
      <c r="D269" s="199"/>
      <c r="E269" s="199"/>
      <c r="F269" s="199"/>
      <c r="G269" s="199"/>
      <c r="H269" s="200"/>
      <c r="I269" s="91">
        <f>SUM(I259:I268)</f>
        <v>5.5946156273953981E-2</v>
      </c>
    </row>
    <row r="270" spans="1:9">
      <c r="A270" s="253" t="s">
        <v>53</v>
      </c>
      <c r="B270" s="254"/>
      <c r="C270" s="254"/>
      <c r="D270" s="254"/>
      <c r="E270" s="254"/>
      <c r="F270" s="254"/>
      <c r="G270" s="254"/>
      <c r="H270" s="254"/>
      <c r="I270" s="254"/>
    </row>
    <row r="271" spans="1:9">
      <c r="A271" s="255" t="s">
        <v>54</v>
      </c>
      <c r="B271" s="256"/>
      <c r="C271" s="256"/>
      <c r="D271" s="256"/>
      <c r="E271" s="256"/>
      <c r="F271" s="256"/>
      <c r="G271" s="256"/>
      <c r="H271" s="256"/>
      <c r="I271" s="256"/>
    </row>
    <row r="272" spans="1:9">
      <c r="A272" s="255" t="s">
        <v>55</v>
      </c>
      <c r="B272" s="256"/>
      <c r="C272" s="256"/>
      <c r="D272" s="256"/>
      <c r="E272" s="256"/>
      <c r="F272" s="256"/>
      <c r="G272" s="256"/>
      <c r="H272" s="256"/>
      <c r="I272" s="256"/>
    </row>
    <row r="273" spans="1:9">
      <c r="A273" s="255" t="s">
        <v>96</v>
      </c>
      <c r="B273" s="256"/>
      <c r="C273" s="256"/>
      <c r="D273" s="256"/>
      <c r="E273" s="256"/>
      <c r="F273" s="256"/>
      <c r="G273" s="256"/>
      <c r="H273" s="256"/>
      <c r="I273" s="256"/>
    </row>
    <row r="274" spans="1:9">
      <c r="A274" s="255" t="s">
        <v>97</v>
      </c>
      <c r="B274" s="256"/>
      <c r="C274" s="256"/>
      <c r="D274" s="256"/>
      <c r="E274" s="256"/>
      <c r="F274" s="256"/>
      <c r="G274" s="256"/>
      <c r="H274" s="256"/>
      <c r="I274" s="256"/>
    </row>
    <row r="275" spans="1:9">
      <c r="A275" s="257" t="s">
        <v>200</v>
      </c>
      <c r="B275" s="258"/>
      <c r="C275" s="258"/>
      <c r="D275" s="258"/>
      <c r="E275" s="258"/>
      <c r="F275" s="258"/>
      <c r="G275" s="258"/>
      <c r="H275" s="258"/>
      <c r="I275" s="258"/>
    </row>
    <row r="278" spans="1:9">
      <c r="A278" s="197" t="s">
        <v>0</v>
      </c>
      <c r="B278" s="197"/>
      <c r="C278" s="196" t="s">
        <v>1</v>
      </c>
      <c r="D278" s="196"/>
      <c r="E278" s="196"/>
      <c r="F278" s="196"/>
      <c r="G278" s="196"/>
      <c r="H278" s="196"/>
      <c r="I278" s="196"/>
    </row>
    <row r="279" spans="1:9">
      <c r="A279" s="197" t="s">
        <v>2</v>
      </c>
      <c r="B279" s="197"/>
      <c r="C279" s="196" t="s">
        <v>75</v>
      </c>
      <c r="D279" s="196"/>
      <c r="E279" s="196"/>
      <c r="F279" s="196"/>
      <c r="G279" s="196"/>
      <c r="H279" s="196"/>
      <c r="I279" s="196"/>
    </row>
    <row r="280" spans="1:9">
      <c r="A280" s="197" t="s">
        <v>4</v>
      </c>
      <c r="B280" s="197"/>
      <c r="C280" s="196" t="s">
        <v>76</v>
      </c>
      <c r="D280" s="196"/>
      <c r="E280" s="196"/>
      <c r="F280" s="196"/>
      <c r="G280" s="196"/>
      <c r="H280" s="196"/>
      <c r="I280" s="196"/>
    </row>
    <row r="281" spans="1:9">
      <c r="A281" s="197" t="s">
        <v>6</v>
      </c>
      <c r="B281" s="197"/>
      <c r="C281" s="196" t="s">
        <v>77</v>
      </c>
      <c r="D281" s="196"/>
      <c r="E281" s="196"/>
      <c r="F281" s="196"/>
      <c r="G281" s="196"/>
      <c r="H281" s="196"/>
      <c r="I281" s="196"/>
    </row>
    <row r="282" spans="1:9">
      <c r="A282" s="250" t="s">
        <v>8</v>
      </c>
      <c r="B282" s="250"/>
      <c r="C282" s="250"/>
      <c r="D282" s="250" t="s">
        <v>9</v>
      </c>
      <c r="E282" s="262"/>
      <c r="F282" s="262"/>
      <c r="G282" s="262"/>
      <c r="H282" s="262"/>
      <c r="I282" s="83"/>
    </row>
    <row r="283" spans="1:9">
      <c r="A283" s="259"/>
      <c r="B283" s="259"/>
      <c r="C283" s="7" t="s">
        <v>58</v>
      </c>
      <c r="D283" s="7" t="s">
        <v>78</v>
      </c>
      <c r="E283" s="7" t="s">
        <v>79</v>
      </c>
      <c r="F283" s="7" t="s">
        <v>80</v>
      </c>
      <c r="G283" s="7" t="s">
        <v>81</v>
      </c>
      <c r="H283" s="7" t="s">
        <v>82</v>
      </c>
      <c r="I283" s="7" t="s">
        <v>83</v>
      </c>
    </row>
    <row r="284" spans="1:9" ht="25.5">
      <c r="A284" s="207" t="s">
        <v>84</v>
      </c>
      <c r="B284" s="207"/>
      <c r="C284" s="59" t="s">
        <v>85</v>
      </c>
      <c r="D284" s="259" t="s">
        <v>86</v>
      </c>
      <c r="E284" s="59" t="s">
        <v>87</v>
      </c>
      <c r="F284" s="59" t="s">
        <v>89</v>
      </c>
      <c r="G284" s="259" t="s">
        <v>91</v>
      </c>
      <c r="H284" s="259" t="s">
        <v>38</v>
      </c>
      <c r="I284" s="259" t="s">
        <v>92</v>
      </c>
    </row>
    <row r="285" spans="1:9" ht="14.25">
      <c r="A285" s="207"/>
      <c r="B285" s="207"/>
      <c r="C285" s="76" t="s">
        <v>37</v>
      </c>
      <c r="D285" s="251"/>
      <c r="E285" s="76" t="s">
        <v>88</v>
      </c>
      <c r="F285" s="76" t="s">
        <v>90</v>
      </c>
      <c r="G285" s="251"/>
      <c r="H285" s="251"/>
      <c r="I285" s="251"/>
    </row>
    <row r="286" spans="1:9">
      <c r="A286" s="208"/>
      <c r="B286" s="208"/>
      <c r="C286" s="76"/>
      <c r="D286" s="76" t="s">
        <v>39</v>
      </c>
      <c r="E286" s="76" t="s">
        <v>40</v>
      </c>
      <c r="F286" s="76" t="s">
        <v>41</v>
      </c>
      <c r="G286" s="76" t="s">
        <v>42</v>
      </c>
      <c r="H286" s="76"/>
      <c r="I286" s="76"/>
    </row>
    <row r="287" spans="1:9" ht="15.75">
      <c r="A287" s="208"/>
      <c r="B287" s="208"/>
      <c r="C287" s="8" t="s">
        <v>43</v>
      </c>
      <c r="D287" s="8" t="s">
        <v>44</v>
      </c>
      <c r="E287" s="8" t="s">
        <v>44</v>
      </c>
      <c r="F287" s="8" t="s">
        <v>44</v>
      </c>
      <c r="G287" s="8" t="s">
        <v>44</v>
      </c>
      <c r="H287" s="8" t="s">
        <v>45</v>
      </c>
      <c r="I287" s="8" t="s">
        <v>46</v>
      </c>
    </row>
    <row r="288" spans="1:9" ht="15" thickBot="1">
      <c r="A288" s="260"/>
      <c r="B288" s="260"/>
      <c r="C288" s="5" t="s">
        <v>93</v>
      </c>
      <c r="D288" s="5"/>
      <c r="E288" s="5"/>
      <c r="F288" s="5"/>
      <c r="G288" s="5"/>
      <c r="H288" s="5"/>
      <c r="I288" s="5" t="s">
        <v>94</v>
      </c>
    </row>
    <row r="289" spans="1:9" ht="13.5" thickTop="1">
      <c r="A289" s="261" t="s">
        <v>95</v>
      </c>
      <c r="B289" s="53" t="s">
        <v>203</v>
      </c>
      <c r="C289" s="84">
        <f>'4A_DOC'!$B$39*$L$22</f>
        <v>0.2155291908543375</v>
      </c>
      <c r="D289" s="85">
        <v>0.4</v>
      </c>
      <c r="E289" s="85">
        <v>0.38</v>
      </c>
      <c r="F289" s="34">
        <v>0</v>
      </c>
      <c r="G289" s="86">
        <v>0.57999999999999996</v>
      </c>
      <c r="H289" s="85">
        <f>44/12</f>
        <v>3.6666666666666665</v>
      </c>
      <c r="I289" s="53">
        <f>C289*D289*E289*F289*G289*H289</f>
        <v>0</v>
      </c>
    </row>
    <row r="290" spans="1:9">
      <c r="A290" s="261"/>
      <c r="B290" s="53" t="s">
        <v>204</v>
      </c>
      <c r="C290" s="84">
        <f>'4A_DOC'!$B$40*$L$22</f>
        <v>4.1716374491312498E-2</v>
      </c>
      <c r="D290" s="85">
        <v>0.9</v>
      </c>
      <c r="E290" s="85">
        <v>0.46</v>
      </c>
      <c r="F290" s="34">
        <f>1/100</f>
        <v>0.01</v>
      </c>
      <c r="G290" s="86">
        <v>0.57999999999999996</v>
      </c>
      <c r="H290" s="85">
        <f t="shared" ref="H290:H297" si="18">44/12</f>
        <v>3.6666666666666665</v>
      </c>
      <c r="I290" s="53">
        <f t="shared" ref="I290:I297" si="19">C290*D290*E290*F290*G290*H290</f>
        <v>3.6728764757131173E-4</v>
      </c>
    </row>
    <row r="291" spans="1:9">
      <c r="A291" s="261"/>
      <c r="B291" s="53" t="s">
        <v>205</v>
      </c>
      <c r="C291" s="84">
        <f>'4A_DOC'!$B$41*$L$22</f>
        <v>0</v>
      </c>
      <c r="D291" s="85">
        <v>0.85</v>
      </c>
      <c r="E291" s="85">
        <v>0.5</v>
      </c>
      <c r="F291" s="34">
        <v>0</v>
      </c>
      <c r="G291" s="86">
        <v>0.57999999999999996</v>
      </c>
      <c r="H291" s="85">
        <f t="shared" si="18"/>
        <v>3.6666666666666665</v>
      </c>
      <c r="I291" s="53">
        <f t="shared" si="19"/>
        <v>0</v>
      </c>
    </row>
    <row r="292" spans="1:9">
      <c r="A292" s="261"/>
      <c r="B292" s="53" t="s">
        <v>47</v>
      </c>
      <c r="C292" s="84">
        <f>'4A_DOC'!$B$42*$L$22</f>
        <v>2.6295924776625003E-3</v>
      </c>
      <c r="D292" s="85">
        <v>0.8</v>
      </c>
      <c r="E292" s="85">
        <v>0.5</v>
      </c>
      <c r="F292" s="34">
        <f>20/100</f>
        <v>0.2</v>
      </c>
      <c r="G292" s="86">
        <v>0.57999999999999996</v>
      </c>
      <c r="H292" s="85">
        <f t="shared" si="18"/>
        <v>3.6666666666666665</v>
      </c>
      <c r="I292" s="53">
        <f t="shared" si="19"/>
        <v>4.4738133353298005E-4</v>
      </c>
    </row>
    <row r="293" spans="1:9">
      <c r="A293" s="261"/>
      <c r="B293" s="53" t="s">
        <v>206</v>
      </c>
      <c r="C293" s="84">
        <f>'4A_DOC'!$B$43*$L$22</f>
        <v>0</v>
      </c>
      <c r="D293" s="85">
        <v>0.84</v>
      </c>
      <c r="E293" s="85">
        <v>0.67</v>
      </c>
      <c r="F293" s="34">
        <f>20/100</f>
        <v>0.2</v>
      </c>
      <c r="G293" s="86">
        <v>0.57999999999999996</v>
      </c>
      <c r="H293" s="85">
        <f t="shared" si="18"/>
        <v>3.6666666666666665</v>
      </c>
      <c r="I293" s="53">
        <f t="shared" si="19"/>
        <v>0</v>
      </c>
    </row>
    <row r="294" spans="1:9">
      <c r="A294" s="261"/>
      <c r="B294" s="53" t="s">
        <v>207</v>
      </c>
      <c r="C294" s="84">
        <f>'4A_DOC'!$B$44*$L$22</f>
        <v>3.4769056093537504E-2</v>
      </c>
      <c r="D294" s="85">
        <v>1</v>
      </c>
      <c r="E294" s="85">
        <v>0.75</v>
      </c>
      <c r="F294" s="34">
        <f>100/100</f>
        <v>1</v>
      </c>
      <c r="G294" s="86">
        <v>0.57999999999999996</v>
      </c>
      <c r="H294" s="85">
        <f t="shared" si="18"/>
        <v>3.6666666666666665</v>
      </c>
      <c r="I294" s="53">
        <f t="shared" si="19"/>
        <v>5.5456644469192309E-2</v>
      </c>
    </row>
    <row r="295" spans="1:9">
      <c r="A295" s="261"/>
      <c r="B295" s="53" t="s">
        <v>208</v>
      </c>
      <c r="C295" s="84">
        <f>'4A_DOC'!$B$45*$L$22</f>
        <v>5.7461465252624999E-3</v>
      </c>
      <c r="D295" s="85">
        <v>1</v>
      </c>
      <c r="E295" s="85">
        <v>0</v>
      </c>
      <c r="F295" s="34">
        <v>0</v>
      </c>
      <c r="G295" s="86">
        <v>0.57999999999999996</v>
      </c>
      <c r="H295" s="85">
        <f t="shared" si="18"/>
        <v>3.6666666666666665</v>
      </c>
      <c r="I295" s="53">
        <f t="shared" si="19"/>
        <v>0</v>
      </c>
    </row>
    <row r="296" spans="1:9">
      <c r="A296" s="261"/>
      <c r="B296" s="53" t="s">
        <v>209</v>
      </c>
      <c r="C296" s="84">
        <f>'4A_DOC'!$B$46*$L$22</f>
        <v>4.3177259201124998E-3</v>
      </c>
      <c r="D296" s="85">
        <v>1</v>
      </c>
      <c r="E296" s="85">
        <v>0</v>
      </c>
      <c r="F296" s="34">
        <v>0</v>
      </c>
      <c r="G296" s="86">
        <v>0.57999999999999996</v>
      </c>
      <c r="H296" s="85">
        <f t="shared" si="18"/>
        <v>3.6666666666666665</v>
      </c>
      <c r="I296" s="53">
        <f t="shared" si="19"/>
        <v>0</v>
      </c>
    </row>
    <row r="297" spans="1:9">
      <c r="A297" s="261"/>
      <c r="B297" s="53" t="s">
        <v>210</v>
      </c>
      <c r="C297" s="84">
        <f>'4A_DOC'!$B$47*$L$22</f>
        <v>2.0160208995412501E-2</v>
      </c>
      <c r="D297" s="85">
        <v>0.9</v>
      </c>
      <c r="E297" s="85">
        <v>0</v>
      </c>
      <c r="F297" s="34">
        <v>0</v>
      </c>
      <c r="G297" s="86">
        <v>0.57999999999999996</v>
      </c>
      <c r="H297" s="85">
        <f t="shared" si="18"/>
        <v>3.6666666666666665</v>
      </c>
      <c r="I297" s="53">
        <f t="shared" si="19"/>
        <v>0</v>
      </c>
    </row>
    <row r="298" spans="1:9">
      <c r="A298" s="261" t="s">
        <v>48</v>
      </c>
      <c r="B298" s="261"/>
      <c r="C298" s="7"/>
      <c r="D298" s="53"/>
      <c r="E298" s="53"/>
      <c r="F298" s="53"/>
      <c r="G298" s="53"/>
      <c r="H298" s="53"/>
      <c r="I298" s="53"/>
    </row>
    <row r="299" spans="1:9">
      <c r="A299" s="198" t="s">
        <v>279</v>
      </c>
      <c r="B299" s="199"/>
      <c r="C299" s="199"/>
      <c r="D299" s="199"/>
      <c r="E299" s="199"/>
      <c r="F299" s="199"/>
      <c r="G299" s="199"/>
      <c r="H299" s="200"/>
      <c r="I299" s="91">
        <f>SUM(I289:I298)</f>
        <v>5.6271313450296602E-2</v>
      </c>
    </row>
    <row r="300" spans="1:9">
      <c r="A300" s="253" t="s">
        <v>53</v>
      </c>
      <c r="B300" s="254"/>
      <c r="C300" s="254"/>
      <c r="D300" s="254"/>
      <c r="E300" s="254"/>
      <c r="F300" s="254"/>
      <c r="G300" s="254"/>
      <c r="H300" s="254"/>
      <c r="I300" s="254"/>
    </row>
    <row r="301" spans="1:9">
      <c r="A301" s="255" t="s">
        <v>54</v>
      </c>
      <c r="B301" s="256"/>
      <c r="C301" s="256"/>
      <c r="D301" s="256"/>
      <c r="E301" s="256"/>
      <c r="F301" s="256"/>
      <c r="G301" s="256"/>
      <c r="H301" s="256"/>
      <c r="I301" s="256"/>
    </row>
    <row r="302" spans="1:9">
      <c r="A302" s="255" t="s">
        <v>55</v>
      </c>
      <c r="B302" s="256"/>
      <c r="C302" s="256"/>
      <c r="D302" s="256"/>
      <c r="E302" s="256"/>
      <c r="F302" s="256"/>
      <c r="G302" s="256"/>
      <c r="H302" s="256"/>
      <c r="I302" s="256"/>
    </row>
    <row r="303" spans="1:9">
      <c r="A303" s="255" t="s">
        <v>96</v>
      </c>
      <c r="B303" s="256"/>
      <c r="C303" s="256"/>
      <c r="D303" s="256"/>
      <c r="E303" s="256"/>
      <c r="F303" s="256"/>
      <c r="G303" s="256"/>
      <c r="H303" s="256"/>
      <c r="I303" s="256"/>
    </row>
    <row r="304" spans="1:9">
      <c r="A304" s="255" t="s">
        <v>97</v>
      </c>
      <c r="B304" s="256"/>
      <c r="C304" s="256"/>
      <c r="D304" s="256"/>
      <c r="E304" s="256"/>
      <c r="F304" s="256"/>
      <c r="G304" s="256"/>
      <c r="H304" s="256"/>
      <c r="I304" s="256"/>
    </row>
    <row r="305" spans="1:9">
      <c r="A305" s="257" t="s">
        <v>200</v>
      </c>
      <c r="B305" s="258"/>
      <c r="C305" s="258"/>
      <c r="D305" s="258"/>
      <c r="E305" s="258"/>
      <c r="F305" s="258"/>
      <c r="G305" s="258"/>
      <c r="H305" s="258"/>
      <c r="I305" s="258"/>
    </row>
    <row r="308" spans="1:9">
      <c r="A308" s="197" t="s">
        <v>0</v>
      </c>
      <c r="B308" s="197"/>
      <c r="C308" s="196" t="s">
        <v>1</v>
      </c>
      <c r="D308" s="196"/>
      <c r="E308" s="196"/>
      <c r="F308" s="196"/>
      <c r="G308" s="196"/>
      <c r="H308" s="196"/>
      <c r="I308" s="196"/>
    </row>
    <row r="309" spans="1:9">
      <c r="A309" s="197" t="s">
        <v>2</v>
      </c>
      <c r="B309" s="197"/>
      <c r="C309" s="196" t="s">
        <v>75</v>
      </c>
      <c r="D309" s="196"/>
      <c r="E309" s="196"/>
      <c r="F309" s="196"/>
      <c r="G309" s="196"/>
      <c r="H309" s="196"/>
      <c r="I309" s="196"/>
    </row>
    <row r="310" spans="1:9">
      <c r="A310" s="197" t="s">
        <v>4</v>
      </c>
      <c r="B310" s="197"/>
      <c r="C310" s="196" t="s">
        <v>76</v>
      </c>
      <c r="D310" s="196"/>
      <c r="E310" s="196"/>
      <c r="F310" s="196"/>
      <c r="G310" s="196"/>
      <c r="H310" s="196"/>
      <c r="I310" s="196"/>
    </row>
    <row r="311" spans="1:9">
      <c r="A311" s="197" t="s">
        <v>6</v>
      </c>
      <c r="B311" s="197"/>
      <c r="C311" s="196" t="s">
        <v>77</v>
      </c>
      <c r="D311" s="196"/>
      <c r="E311" s="196"/>
      <c r="F311" s="196"/>
      <c r="G311" s="196"/>
      <c r="H311" s="196"/>
      <c r="I311" s="196"/>
    </row>
    <row r="312" spans="1:9">
      <c r="A312" s="250" t="s">
        <v>8</v>
      </c>
      <c r="B312" s="250"/>
      <c r="C312" s="250"/>
      <c r="D312" s="250" t="s">
        <v>9</v>
      </c>
      <c r="E312" s="262"/>
      <c r="F312" s="262"/>
      <c r="G312" s="262"/>
      <c r="H312" s="262"/>
      <c r="I312" s="83"/>
    </row>
    <row r="313" spans="1:9">
      <c r="A313" s="259"/>
      <c r="B313" s="259"/>
      <c r="C313" s="7" t="s">
        <v>58</v>
      </c>
      <c r="D313" s="7" t="s">
        <v>78</v>
      </c>
      <c r="E313" s="7" t="s">
        <v>79</v>
      </c>
      <c r="F313" s="7" t="s">
        <v>80</v>
      </c>
      <c r="G313" s="7" t="s">
        <v>81</v>
      </c>
      <c r="H313" s="7" t="s">
        <v>82</v>
      </c>
      <c r="I313" s="7" t="s">
        <v>83</v>
      </c>
    </row>
    <row r="314" spans="1:9" ht="25.5">
      <c r="A314" s="207" t="s">
        <v>84</v>
      </c>
      <c r="B314" s="207"/>
      <c r="C314" s="59" t="s">
        <v>85</v>
      </c>
      <c r="D314" s="259" t="s">
        <v>86</v>
      </c>
      <c r="E314" s="59" t="s">
        <v>87</v>
      </c>
      <c r="F314" s="59" t="s">
        <v>89</v>
      </c>
      <c r="G314" s="259" t="s">
        <v>91</v>
      </c>
      <c r="H314" s="259" t="s">
        <v>38</v>
      </c>
      <c r="I314" s="259" t="s">
        <v>92</v>
      </c>
    </row>
    <row r="315" spans="1:9" ht="14.25">
      <c r="A315" s="207"/>
      <c r="B315" s="207"/>
      <c r="C315" s="76" t="s">
        <v>37</v>
      </c>
      <c r="D315" s="251"/>
      <c r="E315" s="76" t="s">
        <v>88</v>
      </c>
      <c r="F315" s="76" t="s">
        <v>90</v>
      </c>
      <c r="G315" s="251"/>
      <c r="H315" s="251"/>
      <c r="I315" s="251"/>
    </row>
    <row r="316" spans="1:9">
      <c r="A316" s="208"/>
      <c r="B316" s="208"/>
      <c r="C316" s="76"/>
      <c r="D316" s="76" t="s">
        <v>39</v>
      </c>
      <c r="E316" s="76" t="s">
        <v>40</v>
      </c>
      <c r="F316" s="76" t="s">
        <v>41</v>
      </c>
      <c r="G316" s="76" t="s">
        <v>42</v>
      </c>
      <c r="H316" s="76"/>
      <c r="I316" s="76"/>
    </row>
    <row r="317" spans="1:9" ht="15.75">
      <c r="A317" s="208"/>
      <c r="B317" s="208"/>
      <c r="C317" s="8" t="s">
        <v>43</v>
      </c>
      <c r="D317" s="8" t="s">
        <v>44</v>
      </c>
      <c r="E317" s="8" t="s">
        <v>44</v>
      </c>
      <c r="F317" s="8" t="s">
        <v>44</v>
      </c>
      <c r="G317" s="8" t="s">
        <v>44</v>
      </c>
      <c r="H317" s="8" t="s">
        <v>45</v>
      </c>
      <c r="I317" s="8" t="s">
        <v>46</v>
      </c>
    </row>
    <row r="318" spans="1:9" ht="15" thickBot="1">
      <c r="A318" s="260"/>
      <c r="B318" s="260"/>
      <c r="C318" s="5" t="s">
        <v>93</v>
      </c>
      <c r="D318" s="5"/>
      <c r="E318" s="5"/>
      <c r="F318" s="5"/>
      <c r="G318" s="5"/>
      <c r="H318" s="5"/>
      <c r="I318" s="5" t="s">
        <v>94</v>
      </c>
    </row>
    <row r="319" spans="1:9" ht="13.5" thickTop="1">
      <c r="A319" s="261" t="s">
        <v>95</v>
      </c>
      <c r="B319" s="53" t="s">
        <v>203</v>
      </c>
      <c r="C319" s="84">
        <f>'4A_DOC'!$B$39*$L$23</f>
        <v>0.21677460097222126</v>
      </c>
      <c r="D319" s="85">
        <v>0.4</v>
      </c>
      <c r="E319" s="85">
        <v>0.38</v>
      </c>
      <c r="F319" s="34">
        <v>0</v>
      </c>
      <c r="G319" s="86">
        <v>0.57999999999999996</v>
      </c>
      <c r="H319" s="85">
        <f>44/12</f>
        <v>3.6666666666666665</v>
      </c>
      <c r="I319" s="53">
        <f>C319*D319*E319*F319*G319*H319</f>
        <v>0</v>
      </c>
    </row>
    <row r="320" spans="1:9">
      <c r="A320" s="261"/>
      <c r="B320" s="53" t="s">
        <v>204</v>
      </c>
      <c r="C320" s="84">
        <f>'4A_DOC'!$B$40*$L$23</f>
        <v>4.195742766219375E-2</v>
      </c>
      <c r="D320" s="85">
        <v>0.9</v>
      </c>
      <c r="E320" s="85">
        <v>0.46</v>
      </c>
      <c r="F320" s="34">
        <f>1/100</f>
        <v>0.01</v>
      </c>
      <c r="G320" s="86">
        <v>0.57999999999999996</v>
      </c>
      <c r="H320" s="85">
        <f t="shared" ref="H320:H327" si="20">44/12</f>
        <v>3.6666666666666665</v>
      </c>
      <c r="I320" s="53">
        <f t="shared" ref="I320:I327" si="21">C320*D320*E320*F320*G320*H320</f>
        <v>3.6940997610901866E-4</v>
      </c>
    </row>
    <row r="321" spans="1:9">
      <c r="A321" s="261"/>
      <c r="B321" s="53" t="s">
        <v>205</v>
      </c>
      <c r="C321" s="84">
        <f>'4A_DOC'!$B$41*$L$23</f>
        <v>0</v>
      </c>
      <c r="D321" s="85">
        <v>0.85</v>
      </c>
      <c r="E321" s="85">
        <v>0.5</v>
      </c>
      <c r="F321" s="34">
        <v>0</v>
      </c>
      <c r="G321" s="86">
        <v>0.57999999999999996</v>
      </c>
      <c r="H321" s="85">
        <f t="shared" si="20"/>
        <v>3.6666666666666665</v>
      </c>
      <c r="I321" s="53">
        <f t="shared" si="21"/>
        <v>0</v>
      </c>
    </row>
    <row r="322" spans="1:9">
      <c r="A322" s="261"/>
      <c r="B322" s="53" t="s">
        <v>47</v>
      </c>
      <c r="C322" s="84">
        <f>'4A_DOC'!$B$42*$L$23</f>
        <v>2.6447872689787503E-3</v>
      </c>
      <c r="D322" s="85">
        <v>0.8</v>
      </c>
      <c r="E322" s="85">
        <v>0.5</v>
      </c>
      <c r="F322" s="34">
        <f>20/100</f>
        <v>0.2</v>
      </c>
      <c r="G322" s="86">
        <v>0.57999999999999996</v>
      </c>
      <c r="H322" s="85">
        <f t="shared" si="20"/>
        <v>3.6666666666666665</v>
      </c>
      <c r="I322" s="53">
        <f t="shared" si="21"/>
        <v>4.49966474028918E-4</v>
      </c>
    </row>
    <row r="323" spans="1:9">
      <c r="A323" s="261"/>
      <c r="B323" s="53" t="s">
        <v>206</v>
      </c>
      <c r="C323" s="84">
        <f>'4A_DOC'!$B$43*$L$23</f>
        <v>0</v>
      </c>
      <c r="D323" s="85">
        <v>0.84</v>
      </c>
      <c r="E323" s="85">
        <v>0.67</v>
      </c>
      <c r="F323" s="34">
        <f>20/100</f>
        <v>0.2</v>
      </c>
      <c r="G323" s="86">
        <v>0.57999999999999996</v>
      </c>
      <c r="H323" s="85">
        <f t="shared" si="20"/>
        <v>3.6666666666666665</v>
      </c>
      <c r="I323" s="53">
        <f t="shared" si="21"/>
        <v>0</v>
      </c>
    </row>
    <row r="324" spans="1:9">
      <c r="A324" s="261"/>
      <c r="B324" s="53" t="s">
        <v>207</v>
      </c>
      <c r="C324" s="84">
        <f>'4A_DOC'!$B$44*$L$23</f>
        <v>3.4969965000941253E-2</v>
      </c>
      <c r="D324" s="85">
        <v>1</v>
      </c>
      <c r="E324" s="85">
        <v>0.75</v>
      </c>
      <c r="F324" s="34">
        <f>100/100</f>
        <v>1</v>
      </c>
      <c r="G324" s="86">
        <v>0.57999999999999996</v>
      </c>
      <c r="H324" s="85">
        <f t="shared" si="20"/>
        <v>3.6666666666666665</v>
      </c>
      <c r="I324" s="53">
        <f t="shared" si="21"/>
        <v>5.5777094176501292E-2</v>
      </c>
    </row>
    <row r="325" spans="1:9">
      <c r="A325" s="261"/>
      <c r="B325" s="53" t="s">
        <v>208</v>
      </c>
      <c r="C325" s="84">
        <f>'4A_DOC'!$B$45*$L$23</f>
        <v>5.7793499581387502E-3</v>
      </c>
      <c r="D325" s="85">
        <v>1</v>
      </c>
      <c r="E325" s="85">
        <v>0</v>
      </c>
      <c r="F325" s="34">
        <v>0</v>
      </c>
      <c r="G325" s="86">
        <v>0.57999999999999996</v>
      </c>
      <c r="H325" s="85">
        <f t="shared" si="20"/>
        <v>3.6666666666666665</v>
      </c>
      <c r="I325" s="53">
        <f t="shared" si="21"/>
        <v>0</v>
      </c>
    </row>
    <row r="326" spans="1:9">
      <c r="A326" s="261"/>
      <c r="B326" s="53" t="s">
        <v>209</v>
      </c>
      <c r="C326" s="84">
        <f>'4A_DOC'!$B$46*$L$23</f>
        <v>4.3426753922737498E-3</v>
      </c>
      <c r="D326" s="85">
        <v>1</v>
      </c>
      <c r="E326" s="85">
        <v>0</v>
      </c>
      <c r="F326" s="34">
        <v>0</v>
      </c>
      <c r="G326" s="86">
        <v>0.57999999999999996</v>
      </c>
      <c r="H326" s="85">
        <f t="shared" si="20"/>
        <v>3.6666666666666665</v>
      </c>
      <c r="I326" s="53">
        <f t="shared" si="21"/>
        <v>0</v>
      </c>
    </row>
    <row r="327" spans="1:9">
      <c r="A327" s="261"/>
      <c r="B327" s="53" t="s">
        <v>210</v>
      </c>
      <c r="C327" s="84">
        <f>'4A_DOC'!$B$47*$L$23</f>
        <v>2.0276702395503748E-2</v>
      </c>
      <c r="D327" s="85">
        <v>0.9</v>
      </c>
      <c r="E327" s="85">
        <v>0</v>
      </c>
      <c r="F327" s="34">
        <v>0</v>
      </c>
      <c r="G327" s="86">
        <v>0.57999999999999996</v>
      </c>
      <c r="H327" s="85">
        <f t="shared" si="20"/>
        <v>3.6666666666666665</v>
      </c>
      <c r="I327" s="53">
        <f t="shared" si="21"/>
        <v>0</v>
      </c>
    </row>
    <row r="328" spans="1:9">
      <c r="A328" s="261" t="s">
        <v>48</v>
      </c>
      <c r="B328" s="261"/>
      <c r="C328" s="7"/>
      <c r="D328" s="53"/>
      <c r="E328" s="53"/>
      <c r="F328" s="53"/>
      <c r="G328" s="53"/>
      <c r="H328" s="53"/>
      <c r="I328" s="53"/>
    </row>
    <row r="329" spans="1:9">
      <c r="A329" s="198" t="s">
        <v>280</v>
      </c>
      <c r="B329" s="199"/>
      <c r="C329" s="199"/>
      <c r="D329" s="199"/>
      <c r="E329" s="199"/>
      <c r="F329" s="199"/>
      <c r="G329" s="199"/>
      <c r="H329" s="200"/>
      <c r="I329" s="91">
        <f>SUM(I319:I328)</f>
        <v>5.659647062663923E-2</v>
      </c>
    </row>
    <row r="330" spans="1:9">
      <c r="A330" s="253" t="s">
        <v>53</v>
      </c>
      <c r="B330" s="254"/>
      <c r="C330" s="254"/>
      <c r="D330" s="254"/>
      <c r="E330" s="254"/>
      <c r="F330" s="254"/>
      <c r="G330" s="254"/>
      <c r="H330" s="254"/>
      <c r="I330" s="254"/>
    </row>
    <row r="331" spans="1:9">
      <c r="A331" s="255" t="s">
        <v>54</v>
      </c>
      <c r="B331" s="256"/>
      <c r="C331" s="256"/>
      <c r="D331" s="256"/>
      <c r="E331" s="256"/>
      <c r="F331" s="256"/>
      <c r="G331" s="256"/>
      <c r="H331" s="256"/>
      <c r="I331" s="256"/>
    </row>
    <row r="332" spans="1:9">
      <c r="A332" s="255" t="s">
        <v>55</v>
      </c>
      <c r="B332" s="256"/>
      <c r="C332" s="256"/>
      <c r="D332" s="256"/>
      <c r="E332" s="256"/>
      <c r="F332" s="256"/>
      <c r="G332" s="256"/>
      <c r="H332" s="256"/>
      <c r="I332" s="256"/>
    </row>
    <row r="333" spans="1:9">
      <c r="A333" s="255" t="s">
        <v>96</v>
      </c>
      <c r="B333" s="256"/>
      <c r="C333" s="256"/>
      <c r="D333" s="256"/>
      <c r="E333" s="256"/>
      <c r="F333" s="256"/>
      <c r="G333" s="256"/>
      <c r="H333" s="256"/>
      <c r="I333" s="256"/>
    </row>
    <row r="334" spans="1:9">
      <c r="A334" s="255" t="s">
        <v>97</v>
      </c>
      <c r="B334" s="256"/>
      <c r="C334" s="256"/>
      <c r="D334" s="256"/>
      <c r="E334" s="256"/>
      <c r="F334" s="256"/>
      <c r="G334" s="256"/>
      <c r="H334" s="256"/>
      <c r="I334" s="256"/>
    </row>
    <row r="335" spans="1:9">
      <c r="A335" s="257" t="s">
        <v>200</v>
      </c>
      <c r="B335" s="258"/>
      <c r="C335" s="258"/>
      <c r="D335" s="258"/>
      <c r="E335" s="258"/>
      <c r="F335" s="258"/>
      <c r="G335" s="258"/>
      <c r="H335" s="258"/>
      <c r="I335" s="258"/>
    </row>
    <row r="338" spans="1:9">
      <c r="A338" s="197" t="s">
        <v>0</v>
      </c>
      <c r="B338" s="197"/>
      <c r="C338" s="196" t="s">
        <v>1</v>
      </c>
      <c r="D338" s="196"/>
      <c r="E338" s="196"/>
      <c r="F338" s="196"/>
      <c r="G338" s="196"/>
      <c r="H338" s="196"/>
      <c r="I338" s="196"/>
    </row>
    <row r="339" spans="1:9">
      <c r="A339" s="197" t="s">
        <v>2</v>
      </c>
      <c r="B339" s="197"/>
      <c r="C339" s="196" t="s">
        <v>75</v>
      </c>
      <c r="D339" s="196"/>
      <c r="E339" s="196"/>
      <c r="F339" s="196"/>
      <c r="G339" s="196"/>
      <c r="H339" s="196"/>
      <c r="I339" s="196"/>
    </row>
    <row r="340" spans="1:9">
      <c r="A340" s="197" t="s">
        <v>4</v>
      </c>
      <c r="B340" s="197"/>
      <c r="C340" s="196" t="s">
        <v>76</v>
      </c>
      <c r="D340" s="196"/>
      <c r="E340" s="196"/>
      <c r="F340" s="196"/>
      <c r="G340" s="196"/>
      <c r="H340" s="196"/>
      <c r="I340" s="196"/>
    </row>
    <row r="341" spans="1:9">
      <c r="A341" s="197" t="s">
        <v>6</v>
      </c>
      <c r="B341" s="197"/>
      <c r="C341" s="196" t="s">
        <v>77</v>
      </c>
      <c r="D341" s="196"/>
      <c r="E341" s="196"/>
      <c r="F341" s="196"/>
      <c r="G341" s="196"/>
      <c r="H341" s="196"/>
      <c r="I341" s="196"/>
    </row>
    <row r="342" spans="1:9">
      <c r="A342" s="250" t="s">
        <v>8</v>
      </c>
      <c r="B342" s="250"/>
      <c r="C342" s="250"/>
      <c r="D342" s="250" t="s">
        <v>9</v>
      </c>
      <c r="E342" s="262"/>
      <c r="F342" s="262"/>
      <c r="G342" s="262"/>
      <c r="H342" s="262"/>
      <c r="I342" s="134"/>
    </row>
    <row r="343" spans="1:9">
      <c r="A343" s="259"/>
      <c r="B343" s="259"/>
      <c r="C343" s="7" t="s">
        <v>58</v>
      </c>
      <c r="D343" s="7" t="s">
        <v>78</v>
      </c>
      <c r="E343" s="7" t="s">
        <v>79</v>
      </c>
      <c r="F343" s="7" t="s">
        <v>80</v>
      </c>
      <c r="G343" s="7" t="s">
        <v>81</v>
      </c>
      <c r="H343" s="7" t="s">
        <v>82</v>
      </c>
      <c r="I343" s="7" t="s">
        <v>83</v>
      </c>
    </row>
    <row r="344" spans="1:9" ht="25.5">
      <c r="A344" s="207" t="s">
        <v>84</v>
      </c>
      <c r="B344" s="207"/>
      <c r="C344" s="138" t="s">
        <v>85</v>
      </c>
      <c r="D344" s="259" t="s">
        <v>86</v>
      </c>
      <c r="E344" s="138" t="s">
        <v>87</v>
      </c>
      <c r="F344" s="138" t="s">
        <v>89</v>
      </c>
      <c r="G344" s="259" t="s">
        <v>91</v>
      </c>
      <c r="H344" s="259" t="s">
        <v>38</v>
      </c>
      <c r="I344" s="259" t="s">
        <v>92</v>
      </c>
    </row>
    <row r="345" spans="1:9" ht="14.25">
      <c r="A345" s="207"/>
      <c r="B345" s="207"/>
      <c r="C345" s="135" t="s">
        <v>37</v>
      </c>
      <c r="D345" s="251"/>
      <c r="E345" s="135" t="s">
        <v>88</v>
      </c>
      <c r="F345" s="135" t="s">
        <v>90</v>
      </c>
      <c r="G345" s="251"/>
      <c r="H345" s="251"/>
      <c r="I345" s="251"/>
    </row>
    <row r="346" spans="1:9">
      <c r="A346" s="208"/>
      <c r="B346" s="208"/>
      <c r="C346" s="135"/>
      <c r="D346" s="135" t="s">
        <v>39</v>
      </c>
      <c r="E346" s="135" t="s">
        <v>40</v>
      </c>
      <c r="F346" s="135" t="s">
        <v>41</v>
      </c>
      <c r="G346" s="135" t="s">
        <v>42</v>
      </c>
      <c r="H346" s="135"/>
      <c r="I346" s="135"/>
    </row>
    <row r="347" spans="1:9" ht="15.75">
      <c r="A347" s="208"/>
      <c r="B347" s="208"/>
      <c r="C347" s="8" t="s">
        <v>43</v>
      </c>
      <c r="D347" s="8" t="s">
        <v>44</v>
      </c>
      <c r="E347" s="8" t="s">
        <v>44</v>
      </c>
      <c r="F347" s="8" t="s">
        <v>44</v>
      </c>
      <c r="G347" s="8" t="s">
        <v>44</v>
      </c>
      <c r="H347" s="8" t="s">
        <v>45</v>
      </c>
      <c r="I347" s="8" t="s">
        <v>46</v>
      </c>
    </row>
    <row r="348" spans="1:9" ht="15" thickBot="1">
      <c r="A348" s="260"/>
      <c r="B348" s="260"/>
      <c r="C348" s="5" t="s">
        <v>93</v>
      </c>
      <c r="D348" s="5"/>
      <c r="E348" s="5"/>
      <c r="F348" s="5"/>
      <c r="G348" s="5"/>
      <c r="H348" s="5"/>
      <c r="I348" s="5" t="s">
        <v>94</v>
      </c>
    </row>
    <row r="349" spans="1:9" ht="13.5" thickTop="1">
      <c r="A349" s="261" t="s">
        <v>95</v>
      </c>
      <c r="B349" s="137" t="s">
        <v>203</v>
      </c>
      <c r="C349" s="84">
        <f>'4A_DOC'!$B$39*$L$24</f>
        <v>0.21802001109010499</v>
      </c>
      <c r="D349" s="85">
        <v>0.4</v>
      </c>
      <c r="E349" s="85">
        <v>0.38</v>
      </c>
      <c r="F349" s="34">
        <v>0</v>
      </c>
      <c r="G349" s="86">
        <v>0.57999999999999996</v>
      </c>
      <c r="H349" s="85">
        <f>44/12</f>
        <v>3.6666666666666665</v>
      </c>
      <c r="I349" s="137">
        <f>C349*D349*E349*F349*G349*H349</f>
        <v>0</v>
      </c>
    </row>
    <row r="350" spans="1:9">
      <c r="A350" s="261"/>
      <c r="B350" s="137" t="s">
        <v>204</v>
      </c>
      <c r="C350" s="84">
        <f>'4A_DOC'!$B$40*$L$24</f>
        <v>4.2198480833075001E-2</v>
      </c>
      <c r="D350" s="85">
        <v>0.9</v>
      </c>
      <c r="E350" s="85">
        <v>0.46</v>
      </c>
      <c r="F350" s="34">
        <f>1/100</f>
        <v>0.01</v>
      </c>
      <c r="G350" s="86">
        <v>0.57999999999999996</v>
      </c>
      <c r="H350" s="85">
        <f t="shared" ref="H350:H357" si="22">44/12</f>
        <v>3.6666666666666665</v>
      </c>
      <c r="I350" s="137">
        <f t="shared" ref="I350:I357" si="23">C350*D350*E350*F350*G350*H350</f>
        <v>3.7153230464672554E-4</v>
      </c>
    </row>
    <row r="351" spans="1:9">
      <c r="A351" s="261"/>
      <c r="B351" s="137" t="s">
        <v>205</v>
      </c>
      <c r="C351" s="84">
        <f>'4A_DOC'!$B$41*$L$24</f>
        <v>0</v>
      </c>
      <c r="D351" s="85">
        <v>0.85</v>
      </c>
      <c r="E351" s="85">
        <v>0.5</v>
      </c>
      <c r="F351" s="34">
        <v>0</v>
      </c>
      <c r="G351" s="86">
        <v>0.57999999999999996</v>
      </c>
      <c r="H351" s="85">
        <f t="shared" si="22"/>
        <v>3.6666666666666665</v>
      </c>
      <c r="I351" s="137">
        <f t="shared" si="23"/>
        <v>0</v>
      </c>
    </row>
    <row r="352" spans="1:9">
      <c r="A352" s="261"/>
      <c r="B352" s="137" t="s">
        <v>47</v>
      </c>
      <c r="C352" s="84">
        <f>'4A_DOC'!$B$42*$L$24</f>
        <v>2.6599820602950003E-3</v>
      </c>
      <c r="D352" s="85">
        <v>0.8</v>
      </c>
      <c r="E352" s="85">
        <v>0.5</v>
      </c>
      <c r="F352" s="34">
        <f>20/100</f>
        <v>0.2</v>
      </c>
      <c r="G352" s="86">
        <v>0.57999999999999996</v>
      </c>
      <c r="H352" s="85">
        <f t="shared" si="22"/>
        <v>3.6666666666666665</v>
      </c>
      <c r="I352" s="137">
        <f t="shared" si="23"/>
        <v>4.5255161452485601E-4</v>
      </c>
    </row>
    <row r="353" spans="1:9">
      <c r="A353" s="261"/>
      <c r="B353" s="137" t="s">
        <v>206</v>
      </c>
      <c r="C353" s="84">
        <f>'4A_DOC'!$B$43*$L$24</f>
        <v>0</v>
      </c>
      <c r="D353" s="85">
        <v>0.84</v>
      </c>
      <c r="E353" s="85">
        <v>0.67</v>
      </c>
      <c r="F353" s="34">
        <f>20/100</f>
        <v>0.2</v>
      </c>
      <c r="G353" s="86">
        <v>0.57999999999999996</v>
      </c>
      <c r="H353" s="85">
        <f t="shared" si="22"/>
        <v>3.6666666666666665</v>
      </c>
      <c r="I353" s="137">
        <f t="shared" si="23"/>
        <v>0</v>
      </c>
    </row>
    <row r="354" spans="1:9">
      <c r="A354" s="261"/>
      <c r="B354" s="137" t="s">
        <v>207</v>
      </c>
      <c r="C354" s="84">
        <f>'4A_DOC'!$B$44*$L$24</f>
        <v>3.5170873908345002E-2</v>
      </c>
      <c r="D354" s="85">
        <v>1</v>
      </c>
      <c r="E354" s="85">
        <v>0.75</v>
      </c>
      <c r="F354" s="34">
        <f>100/100</f>
        <v>1</v>
      </c>
      <c r="G354" s="86">
        <v>0.57999999999999996</v>
      </c>
      <c r="H354" s="85">
        <f t="shared" si="22"/>
        <v>3.6666666666666665</v>
      </c>
      <c r="I354" s="137">
        <f t="shared" si="23"/>
        <v>5.6097543883810275E-2</v>
      </c>
    </row>
    <row r="355" spans="1:9">
      <c r="A355" s="261"/>
      <c r="B355" s="137" t="s">
        <v>208</v>
      </c>
      <c r="C355" s="84">
        <f>'4A_DOC'!$B$45*$L$24</f>
        <v>5.8125533910149997E-3</v>
      </c>
      <c r="D355" s="85">
        <v>1</v>
      </c>
      <c r="E355" s="85">
        <v>0</v>
      </c>
      <c r="F355" s="34">
        <v>0</v>
      </c>
      <c r="G355" s="86">
        <v>0.57999999999999996</v>
      </c>
      <c r="H355" s="85">
        <f t="shared" si="22"/>
        <v>3.6666666666666665</v>
      </c>
      <c r="I355" s="137">
        <f t="shared" si="23"/>
        <v>0</v>
      </c>
    </row>
    <row r="356" spans="1:9">
      <c r="A356" s="261"/>
      <c r="B356" s="137" t="s">
        <v>209</v>
      </c>
      <c r="C356" s="84">
        <f>'4A_DOC'!$B$46*$L$24</f>
        <v>4.3676248644349998E-3</v>
      </c>
      <c r="D356" s="85">
        <v>1</v>
      </c>
      <c r="E356" s="85">
        <v>0</v>
      </c>
      <c r="F356" s="34">
        <v>0</v>
      </c>
      <c r="G356" s="86">
        <v>0.57999999999999996</v>
      </c>
      <c r="H356" s="85">
        <f t="shared" si="22"/>
        <v>3.6666666666666665</v>
      </c>
      <c r="I356" s="137">
        <f t="shared" si="23"/>
        <v>0</v>
      </c>
    </row>
    <row r="357" spans="1:9">
      <c r="A357" s="261"/>
      <c r="B357" s="137" t="s">
        <v>210</v>
      </c>
      <c r="C357" s="84">
        <f>'4A_DOC'!$B$47*$L$24</f>
        <v>2.0393195795594999E-2</v>
      </c>
      <c r="D357" s="85">
        <v>0.9</v>
      </c>
      <c r="E357" s="85">
        <v>0</v>
      </c>
      <c r="F357" s="34">
        <v>0</v>
      </c>
      <c r="G357" s="86">
        <v>0.57999999999999996</v>
      </c>
      <c r="H357" s="85">
        <f t="shared" si="22"/>
        <v>3.6666666666666665</v>
      </c>
      <c r="I357" s="137">
        <f t="shared" si="23"/>
        <v>0</v>
      </c>
    </row>
    <row r="358" spans="1:9">
      <c r="A358" s="261" t="s">
        <v>48</v>
      </c>
      <c r="B358" s="261"/>
      <c r="C358" s="7"/>
      <c r="D358" s="137"/>
      <c r="E358" s="137"/>
      <c r="F358" s="137"/>
      <c r="G358" s="137"/>
      <c r="H358" s="137"/>
      <c r="I358" s="137"/>
    </row>
    <row r="359" spans="1:9">
      <c r="A359" s="198" t="s">
        <v>281</v>
      </c>
      <c r="B359" s="199"/>
      <c r="C359" s="199"/>
      <c r="D359" s="199"/>
      <c r="E359" s="199"/>
      <c r="F359" s="199"/>
      <c r="G359" s="199"/>
      <c r="H359" s="200"/>
      <c r="I359" s="91">
        <f>SUM(I349:I358)</f>
        <v>5.6921627802981857E-2</v>
      </c>
    </row>
    <row r="360" spans="1:9">
      <c r="A360" s="253" t="s">
        <v>53</v>
      </c>
      <c r="B360" s="254"/>
      <c r="C360" s="254"/>
      <c r="D360" s="254"/>
      <c r="E360" s="254"/>
      <c r="F360" s="254"/>
      <c r="G360" s="254"/>
      <c r="H360" s="254"/>
      <c r="I360" s="254"/>
    </row>
    <row r="361" spans="1:9">
      <c r="A361" s="255" t="s">
        <v>54</v>
      </c>
      <c r="B361" s="256"/>
      <c r="C361" s="256"/>
      <c r="D361" s="256"/>
      <c r="E361" s="256"/>
      <c r="F361" s="256"/>
      <c r="G361" s="256"/>
      <c r="H361" s="256"/>
      <c r="I361" s="256"/>
    </row>
    <row r="362" spans="1:9">
      <c r="A362" s="255" t="s">
        <v>55</v>
      </c>
      <c r="B362" s="256"/>
      <c r="C362" s="256"/>
      <c r="D362" s="256"/>
      <c r="E362" s="256"/>
      <c r="F362" s="256"/>
      <c r="G362" s="256"/>
      <c r="H362" s="256"/>
      <c r="I362" s="256"/>
    </row>
    <row r="363" spans="1:9">
      <c r="A363" s="255" t="s">
        <v>96</v>
      </c>
      <c r="B363" s="256"/>
      <c r="C363" s="256"/>
      <c r="D363" s="256"/>
      <c r="E363" s="256"/>
      <c r="F363" s="256"/>
      <c r="G363" s="256"/>
      <c r="H363" s="256"/>
      <c r="I363" s="256"/>
    </row>
    <row r="364" spans="1:9">
      <c r="A364" s="255" t="s">
        <v>97</v>
      </c>
      <c r="B364" s="256"/>
      <c r="C364" s="256"/>
      <c r="D364" s="256"/>
      <c r="E364" s="256"/>
      <c r="F364" s="256"/>
      <c r="G364" s="256"/>
      <c r="H364" s="256"/>
      <c r="I364" s="256"/>
    </row>
    <row r="365" spans="1:9">
      <c r="A365" s="257" t="s">
        <v>200</v>
      </c>
      <c r="B365" s="258"/>
      <c r="C365" s="258"/>
      <c r="D365" s="258"/>
      <c r="E365" s="258"/>
      <c r="F365" s="258"/>
      <c r="G365" s="258"/>
      <c r="H365" s="258"/>
      <c r="I365" s="258"/>
    </row>
    <row r="368" spans="1:9">
      <c r="A368" s="197" t="s">
        <v>0</v>
      </c>
      <c r="B368" s="197"/>
      <c r="C368" s="196" t="s">
        <v>1</v>
      </c>
      <c r="D368" s="196"/>
      <c r="E368" s="196"/>
      <c r="F368" s="196"/>
      <c r="G368" s="196"/>
      <c r="H368" s="196"/>
      <c r="I368" s="196"/>
    </row>
    <row r="369" spans="1:9">
      <c r="A369" s="197" t="s">
        <v>2</v>
      </c>
      <c r="B369" s="197"/>
      <c r="C369" s="196" t="s">
        <v>75</v>
      </c>
      <c r="D369" s="196"/>
      <c r="E369" s="196"/>
      <c r="F369" s="196"/>
      <c r="G369" s="196"/>
      <c r="H369" s="196"/>
      <c r="I369" s="196"/>
    </row>
    <row r="370" spans="1:9">
      <c r="A370" s="197" t="s">
        <v>4</v>
      </c>
      <c r="B370" s="197"/>
      <c r="C370" s="196" t="s">
        <v>76</v>
      </c>
      <c r="D370" s="196"/>
      <c r="E370" s="196"/>
      <c r="F370" s="196"/>
      <c r="G370" s="196"/>
      <c r="H370" s="196"/>
      <c r="I370" s="196"/>
    </row>
    <row r="371" spans="1:9">
      <c r="A371" s="197" t="s">
        <v>6</v>
      </c>
      <c r="B371" s="197"/>
      <c r="C371" s="196" t="s">
        <v>77</v>
      </c>
      <c r="D371" s="196"/>
      <c r="E371" s="196"/>
      <c r="F371" s="196"/>
      <c r="G371" s="196"/>
      <c r="H371" s="196"/>
      <c r="I371" s="196"/>
    </row>
    <row r="372" spans="1:9">
      <c r="A372" s="250" t="s">
        <v>8</v>
      </c>
      <c r="B372" s="250"/>
      <c r="C372" s="250"/>
      <c r="D372" s="250" t="s">
        <v>9</v>
      </c>
      <c r="E372" s="262"/>
      <c r="F372" s="262"/>
      <c r="G372" s="262"/>
      <c r="H372" s="262"/>
      <c r="I372" s="134"/>
    </row>
    <row r="373" spans="1:9">
      <c r="A373" s="259"/>
      <c r="B373" s="259"/>
      <c r="C373" s="7" t="s">
        <v>58</v>
      </c>
      <c r="D373" s="7" t="s">
        <v>78</v>
      </c>
      <c r="E373" s="7" t="s">
        <v>79</v>
      </c>
      <c r="F373" s="7" t="s">
        <v>80</v>
      </c>
      <c r="G373" s="7" t="s">
        <v>81</v>
      </c>
      <c r="H373" s="7" t="s">
        <v>82</v>
      </c>
      <c r="I373" s="7" t="s">
        <v>83</v>
      </c>
    </row>
    <row r="374" spans="1:9" ht="25.5">
      <c r="A374" s="207" t="s">
        <v>84</v>
      </c>
      <c r="B374" s="207"/>
      <c r="C374" s="138" t="s">
        <v>85</v>
      </c>
      <c r="D374" s="259" t="s">
        <v>86</v>
      </c>
      <c r="E374" s="138" t="s">
        <v>87</v>
      </c>
      <c r="F374" s="138" t="s">
        <v>89</v>
      </c>
      <c r="G374" s="259" t="s">
        <v>91</v>
      </c>
      <c r="H374" s="259" t="s">
        <v>38</v>
      </c>
      <c r="I374" s="259" t="s">
        <v>92</v>
      </c>
    </row>
    <row r="375" spans="1:9" ht="14.25">
      <c r="A375" s="207"/>
      <c r="B375" s="207"/>
      <c r="C375" s="135" t="s">
        <v>37</v>
      </c>
      <c r="D375" s="251"/>
      <c r="E375" s="135" t="s">
        <v>88</v>
      </c>
      <c r="F375" s="135" t="s">
        <v>90</v>
      </c>
      <c r="G375" s="251"/>
      <c r="H375" s="251"/>
      <c r="I375" s="251"/>
    </row>
    <row r="376" spans="1:9">
      <c r="A376" s="208"/>
      <c r="B376" s="208"/>
      <c r="C376" s="135"/>
      <c r="D376" s="135" t="s">
        <v>39</v>
      </c>
      <c r="E376" s="135" t="s">
        <v>40</v>
      </c>
      <c r="F376" s="135" t="s">
        <v>41</v>
      </c>
      <c r="G376" s="135" t="s">
        <v>42</v>
      </c>
      <c r="H376" s="135"/>
      <c r="I376" s="135"/>
    </row>
    <row r="377" spans="1:9" ht="15.75">
      <c r="A377" s="208"/>
      <c r="B377" s="208"/>
      <c r="C377" s="8" t="s">
        <v>43</v>
      </c>
      <c r="D377" s="8" t="s">
        <v>44</v>
      </c>
      <c r="E377" s="8" t="s">
        <v>44</v>
      </c>
      <c r="F377" s="8" t="s">
        <v>44</v>
      </c>
      <c r="G377" s="8" t="s">
        <v>44</v>
      </c>
      <c r="H377" s="8" t="s">
        <v>45</v>
      </c>
      <c r="I377" s="8" t="s">
        <v>46</v>
      </c>
    </row>
    <row r="378" spans="1:9" ht="15" thickBot="1">
      <c r="A378" s="260"/>
      <c r="B378" s="260"/>
      <c r="C378" s="5" t="s">
        <v>93</v>
      </c>
      <c r="D378" s="5"/>
      <c r="E378" s="5"/>
      <c r="F378" s="5"/>
      <c r="G378" s="5"/>
      <c r="H378" s="5"/>
      <c r="I378" s="5" t="s">
        <v>94</v>
      </c>
    </row>
    <row r="379" spans="1:9" ht="13.5" thickTop="1">
      <c r="A379" s="261" t="s">
        <v>95</v>
      </c>
      <c r="B379" s="137" t="s">
        <v>203</v>
      </c>
      <c r="C379" s="84">
        <f>'4A_DOC'!$B$39*$L$25</f>
        <v>0.21926542120798873</v>
      </c>
      <c r="D379" s="85">
        <v>0.4</v>
      </c>
      <c r="E379" s="85">
        <v>0.38</v>
      </c>
      <c r="F379" s="34">
        <v>0</v>
      </c>
      <c r="G379" s="86">
        <v>0.57999999999999996</v>
      </c>
      <c r="H379" s="85">
        <f>44/12</f>
        <v>3.6666666666666665</v>
      </c>
      <c r="I379" s="137">
        <f>C379*D379*E379*F379*G379*H379</f>
        <v>0</v>
      </c>
    </row>
    <row r="380" spans="1:9">
      <c r="A380" s="261"/>
      <c r="B380" s="137" t="s">
        <v>204</v>
      </c>
      <c r="C380" s="84">
        <f>'4A_DOC'!$B$40*$L$25</f>
        <v>4.2439534003956239E-2</v>
      </c>
      <c r="D380" s="85">
        <v>0.9</v>
      </c>
      <c r="E380" s="85">
        <v>0.46</v>
      </c>
      <c r="F380" s="34">
        <f>1/100</f>
        <v>0.01</v>
      </c>
      <c r="G380" s="86">
        <v>0.57999999999999996</v>
      </c>
      <c r="H380" s="85">
        <f t="shared" ref="H380:H387" si="24">44/12</f>
        <v>3.6666666666666665</v>
      </c>
      <c r="I380" s="137">
        <f t="shared" ref="I380:I387" si="25">C380*D380*E380*F380*G380*H380</f>
        <v>3.7365463318443231E-4</v>
      </c>
    </row>
    <row r="381" spans="1:9">
      <c r="A381" s="261"/>
      <c r="B381" s="137" t="s">
        <v>205</v>
      </c>
      <c r="C381" s="84">
        <f>'4A_DOC'!$B$41*$L$25</f>
        <v>0</v>
      </c>
      <c r="D381" s="85">
        <v>0.85</v>
      </c>
      <c r="E381" s="85">
        <v>0.5</v>
      </c>
      <c r="F381" s="34">
        <v>0</v>
      </c>
      <c r="G381" s="86">
        <v>0.57999999999999996</v>
      </c>
      <c r="H381" s="85">
        <f t="shared" si="24"/>
        <v>3.6666666666666665</v>
      </c>
      <c r="I381" s="137">
        <f t="shared" si="25"/>
        <v>0</v>
      </c>
    </row>
    <row r="382" spans="1:9">
      <c r="A382" s="261"/>
      <c r="B382" s="137" t="s">
        <v>47</v>
      </c>
      <c r="C382" s="84">
        <f>'4A_DOC'!$B$42*$L$25</f>
        <v>2.6751768516112499E-3</v>
      </c>
      <c r="D382" s="85">
        <v>0.8</v>
      </c>
      <c r="E382" s="85">
        <v>0.5</v>
      </c>
      <c r="F382" s="34">
        <f>20/100</f>
        <v>0.2</v>
      </c>
      <c r="G382" s="86">
        <v>0.57999999999999996</v>
      </c>
      <c r="H382" s="85">
        <f t="shared" si="24"/>
        <v>3.6666666666666665</v>
      </c>
      <c r="I382" s="137">
        <f t="shared" si="25"/>
        <v>4.5513675502079391E-4</v>
      </c>
    </row>
    <row r="383" spans="1:9">
      <c r="A383" s="261"/>
      <c r="B383" s="137" t="s">
        <v>206</v>
      </c>
      <c r="C383" s="84">
        <f>'4A_DOC'!$B$43*$L$25</f>
        <v>0</v>
      </c>
      <c r="D383" s="85">
        <v>0.84</v>
      </c>
      <c r="E383" s="85">
        <v>0.67</v>
      </c>
      <c r="F383" s="34">
        <f>20/100</f>
        <v>0.2</v>
      </c>
      <c r="G383" s="86">
        <v>0.57999999999999996</v>
      </c>
      <c r="H383" s="85">
        <f t="shared" si="24"/>
        <v>3.6666666666666665</v>
      </c>
      <c r="I383" s="137">
        <f t="shared" si="25"/>
        <v>0</v>
      </c>
    </row>
    <row r="384" spans="1:9">
      <c r="A384" s="261"/>
      <c r="B384" s="137" t="s">
        <v>207</v>
      </c>
      <c r="C384" s="84">
        <f>'4A_DOC'!$B$44*$L$25</f>
        <v>3.5371782815748744E-2</v>
      </c>
      <c r="D384" s="85">
        <v>1</v>
      </c>
      <c r="E384" s="85">
        <v>0.75</v>
      </c>
      <c r="F384" s="34">
        <f>100/100</f>
        <v>1</v>
      </c>
      <c r="G384" s="86">
        <v>0.57999999999999996</v>
      </c>
      <c r="H384" s="85">
        <f t="shared" si="24"/>
        <v>3.6666666666666665</v>
      </c>
      <c r="I384" s="137">
        <f t="shared" si="25"/>
        <v>5.6417993591119243E-2</v>
      </c>
    </row>
    <row r="385" spans="1:9">
      <c r="A385" s="261"/>
      <c r="B385" s="137" t="s">
        <v>208</v>
      </c>
      <c r="C385" s="84">
        <f>'4A_DOC'!$B$45*$L$25</f>
        <v>5.8457568238912492E-3</v>
      </c>
      <c r="D385" s="85">
        <v>1</v>
      </c>
      <c r="E385" s="85">
        <v>0</v>
      </c>
      <c r="F385" s="34">
        <v>0</v>
      </c>
      <c r="G385" s="86">
        <v>0.57999999999999996</v>
      </c>
      <c r="H385" s="85">
        <f t="shared" si="24"/>
        <v>3.6666666666666665</v>
      </c>
      <c r="I385" s="137">
        <f t="shared" si="25"/>
        <v>0</v>
      </c>
    </row>
    <row r="386" spans="1:9">
      <c r="A386" s="261"/>
      <c r="B386" s="137" t="s">
        <v>209</v>
      </c>
      <c r="C386" s="84">
        <f>'4A_DOC'!$B$46*$L$25</f>
        <v>4.3925743365962498E-3</v>
      </c>
      <c r="D386" s="85">
        <v>1</v>
      </c>
      <c r="E386" s="85">
        <v>0</v>
      </c>
      <c r="F386" s="34">
        <v>0</v>
      </c>
      <c r="G386" s="86">
        <v>0.57999999999999996</v>
      </c>
      <c r="H386" s="85">
        <f t="shared" si="24"/>
        <v>3.6666666666666665</v>
      </c>
      <c r="I386" s="137">
        <f t="shared" si="25"/>
        <v>0</v>
      </c>
    </row>
    <row r="387" spans="1:9">
      <c r="A387" s="261"/>
      <c r="B387" s="137" t="s">
        <v>210</v>
      </c>
      <c r="C387" s="84">
        <f>'4A_DOC'!$B$47*$L$25</f>
        <v>2.0509689195686246E-2</v>
      </c>
      <c r="D387" s="85">
        <v>0.9</v>
      </c>
      <c r="E387" s="85">
        <v>0</v>
      </c>
      <c r="F387" s="34">
        <v>0</v>
      </c>
      <c r="G387" s="86">
        <v>0.57999999999999996</v>
      </c>
      <c r="H387" s="85">
        <f t="shared" si="24"/>
        <v>3.6666666666666665</v>
      </c>
      <c r="I387" s="137">
        <f t="shared" si="25"/>
        <v>0</v>
      </c>
    </row>
    <row r="388" spans="1:9">
      <c r="A388" s="261" t="s">
        <v>48</v>
      </c>
      <c r="B388" s="261"/>
      <c r="C388" s="7"/>
      <c r="D388" s="137"/>
      <c r="E388" s="137"/>
      <c r="F388" s="137"/>
      <c r="G388" s="137"/>
      <c r="H388" s="137"/>
      <c r="I388" s="137"/>
    </row>
    <row r="389" spans="1:9">
      <c r="A389" s="198" t="s">
        <v>282</v>
      </c>
      <c r="B389" s="199"/>
      <c r="C389" s="199"/>
      <c r="D389" s="199"/>
      <c r="E389" s="199"/>
      <c r="F389" s="199"/>
      <c r="G389" s="199"/>
      <c r="H389" s="200"/>
      <c r="I389" s="91">
        <f>SUM(I379:I388)</f>
        <v>5.7246784979324471E-2</v>
      </c>
    </row>
    <row r="390" spans="1:9">
      <c r="A390" s="253" t="s">
        <v>53</v>
      </c>
      <c r="B390" s="254"/>
      <c r="C390" s="254"/>
      <c r="D390" s="254"/>
      <c r="E390" s="254"/>
      <c r="F390" s="254"/>
      <c r="G390" s="254"/>
      <c r="H390" s="254"/>
      <c r="I390" s="254"/>
    </row>
    <row r="391" spans="1:9">
      <c r="A391" s="255" t="s">
        <v>54</v>
      </c>
      <c r="B391" s="256"/>
      <c r="C391" s="256"/>
      <c r="D391" s="256"/>
      <c r="E391" s="256"/>
      <c r="F391" s="256"/>
      <c r="G391" s="256"/>
      <c r="H391" s="256"/>
      <c r="I391" s="256"/>
    </row>
    <row r="392" spans="1:9">
      <c r="A392" s="255" t="s">
        <v>55</v>
      </c>
      <c r="B392" s="256"/>
      <c r="C392" s="256"/>
      <c r="D392" s="256"/>
      <c r="E392" s="256"/>
      <c r="F392" s="256"/>
      <c r="G392" s="256"/>
      <c r="H392" s="256"/>
      <c r="I392" s="256"/>
    </row>
    <row r="393" spans="1:9">
      <c r="A393" s="255" t="s">
        <v>96</v>
      </c>
      <c r="B393" s="256"/>
      <c r="C393" s="256"/>
      <c r="D393" s="256"/>
      <c r="E393" s="256"/>
      <c r="F393" s="256"/>
      <c r="G393" s="256"/>
      <c r="H393" s="256"/>
      <c r="I393" s="256"/>
    </row>
    <row r="394" spans="1:9">
      <c r="A394" s="255" t="s">
        <v>97</v>
      </c>
      <c r="B394" s="256"/>
      <c r="C394" s="256"/>
      <c r="D394" s="256"/>
      <c r="E394" s="256"/>
      <c r="F394" s="256"/>
      <c r="G394" s="256"/>
      <c r="H394" s="256"/>
      <c r="I394" s="256"/>
    </row>
    <row r="395" spans="1:9">
      <c r="A395" s="257" t="s">
        <v>200</v>
      </c>
      <c r="B395" s="258"/>
      <c r="C395" s="258"/>
      <c r="D395" s="258"/>
      <c r="E395" s="258"/>
      <c r="F395" s="258"/>
      <c r="G395" s="258"/>
      <c r="H395" s="258"/>
      <c r="I395" s="258"/>
    </row>
    <row r="398" spans="1:9">
      <c r="A398" s="197" t="s">
        <v>0</v>
      </c>
      <c r="B398" s="197"/>
      <c r="C398" s="196" t="s">
        <v>1</v>
      </c>
      <c r="D398" s="196"/>
      <c r="E398" s="196"/>
      <c r="F398" s="196"/>
      <c r="G398" s="196"/>
      <c r="H398" s="196"/>
      <c r="I398" s="196"/>
    </row>
    <row r="399" spans="1:9">
      <c r="A399" s="197" t="s">
        <v>2</v>
      </c>
      <c r="B399" s="197"/>
      <c r="C399" s="196" t="s">
        <v>75</v>
      </c>
      <c r="D399" s="196"/>
      <c r="E399" s="196"/>
      <c r="F399" s="196"/>
      <c r="G399" s="196"/>
      <c r="H399" s="196"/>
      <c r="I399" s="196"/>
    </row>
    <row r="400" spans="1:9">
      <c r="A400" s="197" t="s">
        <v>4</v>
      </c>
      <c r="B400" s="197"/>
      <c r="C400" s="196" t="s">
        <v>76</v>
      </c>
      <c r="D400" s="196"/>
      <c r="E400" s="196"/>
      <c r="F400" s="196"/>
      <c r="G400" s="196"/>
      <c r="H400" s="196"/>
      <c r="I400" s="196"/>
    </row>
    <row r="401" spans="1:9">
      <c r="A401" s="197" t="s">
        <v>6</v>
      </c>
      <c r="B401" s="197"/>
      <c r="C401" s="196" t="s">
        <v>77</v>
      </c>
      <c r="D401" s="196"/>
      <c r="E401" s="196"/>
      <c r="F401" s="196"/>
      <c r="G401" s="196"/>
      <c r="H401" s="196"/>
      <c r="I401" s="196"/>
    </row>
    <row r="402" spans="1:9">
      <c r="A402" s="250" t="s">
        <v>8</v>
      </c>
      <c r="B402" s="250"/>
      <c r="C402" s="250"/>
      <c r="D402" s="250" t="s">
        <v>9</v>
      </c>
      <c r="E402" s="262"/>
      <c r="F402" s="262"/>
      <c r="G402" s="262"/>
      <c r="H402" s="262"/>
      <c r="I402" s="134"/>
    </row>
    <row r="403" spans="1:9">
      <c r="A403" s="259"/>
      <c r="B403" s="259"/>
      <c r="C403" s="7" t="s">
        <v>58</v>
      </c>
      <c r="D403" s="7" t="s">
        <v>78</v>
      </c>
      <c r="E403" s="7" t="s">
        <v>79</v>
      </c>
      <c r="F403" s="7" t="s">
        <v>80</v>
      </c>
      <c r="G403" s="7" t="s">
        <v>81</v>
      </c>
      <c r="H403" s="7" t="s">
        <v>82</v>
      </c>
      <c r="I403" s="7" t="s">
        <v>83</v>
      </c>
    </row>
    <row r="404" spans="1:9" ht="25.5">
      <c r="A404" s="207" t="s">
        <v>84</v>
      </c>
      <c r="B404" s="207"/>
      <c r="C404" s="138" t="s">
        <v>85</v>
      </c>
      <c r="D404" s="259" t="s">
        <v>86</v>
      </c>
      <c r="E404" s="138" t="s">
        <v>87</v>
      </c>
      <c r="F404" s="138" t="s">
        <v>89</v>
      </c>
      <c r="G404" s="259" t="s">
        <v>91</v>
      </c>
      <c r="H404" s="259" t="s">
        <v>38</v>
      </c>
      <c r="I404" s="259" t="s">
        <v>92</v>
      </c>
    </row>
    <row r="405" spans="1:9" ht="14.25">
      <c r="A405" s="207"/>
      <c r="B405" s="207"/>
      <c r="C405" s="135" t="s">
        <v>37</v>
      </c>
      <c r="D405" s="251"/>
      <c r="E405" s="135" t="s">
        <v>88</v>
      </c>
      <c r="F405" s="135" t="s">
        <v>90</v>
      </c>
      <c r="G405" s="251"/>
      <c r="H405" s="251"/>
      <c r="I405" s="251"/>
    </row>
    <row r="406" spans="1:9">
      <c r="A406" s="208"/>
      <c r="B406" s="208"/>
      <c r="C406" s="135"/>
      <c r="D406" s="135" t="s">
        <v>39</v>
      </c>
      <c r="E406" s="135" t="s">
        <v>40</v>
      </c>
      <c r="F406" s="135" t="s">
        <v>41</v>
      </c>
      <c r="G406" s="135" t="s">
        <v>42</v>
      </c>
      <c r="H406" s="135"/>
      <c r="I406" s="135"/>
    </row>
    <row r="407" spans="1:9" ht="15.75">
      <c r="A407" s="208"/>
      <c r="B407" s="208"/>
      <c r="C407" s="8" t="s">
        <v>43</v>
      </c>
      <c r="D407" s="8" t="s">
        <v>44</v>
      </c>
      <c r="E407" s="8" t="s">
        <v>44</v>
      </c>
      <c r="F407" s="8" t="s">
        <v>44</v>
      </c>
      <c r="G407" s="8" t="s">
        <v>44</v>
      </c>
      <c r="H407" s="8" t="s">
        <v>45</v>
      </c>
      <c r="I407" s="8" t="s">
        <v>46</v>
      </c>
    </row>
    <row r="408" spans="1:9" ht="15" thickBot="1">
      <c r="A408" s="260"/>
      <c r="B408" s="260"/>
      <c r="C408" s="5" t="s">
        <v>93</v>
      </c>
      <c r="D408" s="5"/>
      <c r="E408" s="5"/>
      <c r="F408" s="5"/>
      <c r="G408" s="5"/>
      <c r="H408" s="5"/>
      <c r="I408" s="5" t="s">
        <v>94</v>
      </c>
    </row>
    <row r="409" spans="1:9" ht="13.5" thickTop="1">
      <c r="A409" s="261" t="s">
        <v>95</v>
      </c>
      <c r="B409" s="137" t="s">
        <v>203</v>
      </c>
      <c r="C409" s="84">
        <f>'4A_DOC'!$B$39*$L$26</f>
        <v>0.22051083132587251</v>
      </c>
      <c r="D409" s="85">
        <v>0.4</v>
      </c>
      <c r="E409" s="85">
        <v>0.38</v>
      </c>
      <c r="F409" s="34">
        <v>0</v>
      </c>
      <c r="G409" s="86">
        <v>0.57999999999999996</v>
      </c>
      <c r="H409" s="85">
        <f>44/12</f>
        <v>3.6666666666666665</v>
      </c>
      <c r="I409" s="137">
        <f>C409*D409*E409*F409*G409*H409</f>
        <v>0</v>
      </c>
    </row>
    <row r="410" spans="1:9">
      <c r="A410" s="261"/>
      <c r="B410" s="137" t="s">
        <v>204</v>
      </c>
      <c r="C410" s="84">
        <f>'4A_DOC'!$B$40*$L$26</f>
        <v>4.2680587174837498E-2</v>
      </c>
      <c r="D410" s="85">
        <v>0.9</v>
      </c>
      <c r="E410" s="85">
        <v>0.46</v>
      </c>
      <c r="F410" s="34">
        <f>1/100</f>
        <v>0.01</v>
      </c>
      <c r="G410" s="86">
        <v>0.57999999999999996</v>
      </c>
      <c r="H410" s="85">
        <f t="shared" ref="H410:H417" si="26">44/12</f>
        <v>3.6666666666666665</v>
      </c>
      <c r="I410" s="137">
        <f t="shared" ref="I410:I417" si="27">C410*D410*E410*F410*G410*H410</f>
        <v>3.7577696172213924E-4</v>
      </c>
    </row>
    <row r="411" spans="1:9">
      <c r="A411" s="261"/>
      <c r="B411" s="137" t="s">
        <v>205</v>
      </c>
      <c r="C411" s="84">
        <f>'4A_DOC'!$B$41*$L$26</f>
        <v>0</v>
      </c>
      <c r="D411" s="85">
        <v>0.85</v>
      </c>
      <c r="E411" s="85">
        <v>0.5</v>
      </c>
      <c r="F411" s="34">
        <v>0</v>
      </c>
      <c r="G411" s="86">
        <v>0.57999999999999996</v>
      </c>
      <c r="H411" s="85">
        <f t="shared" si="26"/>
        <v>3.6666666666666665</v>
      </c>
      <c r="I411" s="137">
        <f t="shared" si="27"/>
        <v>0</v>
      </c>
    </row>
    <row r="412" spans="1:9">
      <c r="A412" s="261"/>
      <c r="B412" s="137" t="s">
        <v>47</v>
      </c>
      <c r="C412" s="84">
        <f>'4A_DOC'!$B$42*$L$26</f>
        <v>2.6903716429275003E-3</v>
      </c>
      <c r="D412" s="85">
        <v>0.8</v>
      </c>
      <c r="E412" s="85">
        <v>0.5</v>
      </c>
      <c r="F412" s="34">
        <f>20/100</f>
        <v>0.2</v>
      </c>
      <c r="G412" s="86">
        <v>0.57999999999999996</v>
      </c>
      <c r="H412" s="85">
        <f t="shared" si="26"/>
        <v>3.6666666666666665</v>
      </c>
      <c r="I412" s="137">
        <f t="shared" si="27"/>
        <v>4.5772189551673202E-4</v>
      </c>
    </row>
    <row r="413" spans="1:9">
      <c r="A413" s="261"/>
      <c r="B413" s="137" t="s">
        <v>206</v>
      </c>
      <c r="C413" s="84">
        <f>'4A_DOC'!$B$43*$L$26</f>
        <v>0</v>
      </c>
      <c r="D413" s="85">
        <v>0.84</v>
      </c>
      <c r="E413" s="85">
        <v>0.67</v>
      </c>
      <c r="F413" s="34">
        <f>20/100</f>
        <v>0.2</v>
      </c>
      <c r="G413" s="86">
        <v>0.57999999999999996</v>
      </c>
      <c r="H413" s="85">
        <f t="shared" si="26"/>
        <v>3.6666666666666665</v>
      </c>
      <c r="I413" s="137">
        <f t="shared" si="27"/>
        <v>0</v>
      </c>
    </row>
    <row r="414" spans="1:9">
      <c r="A414" s="261"/>
      <c r="B414" s="137" t="s">
        <v>207</v>
      </c>
      <c r="C414" s="84">
        <f>'4A_DOC'!$B$44*$L$26</f>
        <v>3.55726917231525E-2</v>
      </c>
      <c r="D414" s="85">
        <v>1</v>
      </c>
      <c r="E414" s="85">
        <v>0.75</v>
      </c>
      <c r="F414" s="34">
        <f>100/100</f>
        <v>1</v>
      </c>
      <c r="G414" s="86">
        <v>0.57999999999999996</v>
      </c>
      <c r="H414" s="85">
        <f t="shared" si="26"/>
        <v>3.6666666666666665</v>
      </c>
      <c r="I414" s="137">
        <f t="shared" si="27"/>
        <v>5.6738443298428233E-2</v>
      </c>
    </row>
    <row r="415" spans="1:9">
      <c r="A415" s="261"/>
      <c r="B415" s="137" t="s">
        <v>208</v>
      </c>
      <c r="C415" s="84">
        <f>'4A_DOC'!$B$45*$L$26</f>
        <v>5.8789602567674995E-3</v>
      </c>
      <c r="D415" s="85">
        <v>1</v>
      </c>
      <c r="E415" s="85">
        <v>0</v>
      </c>
      <c r="F415" s="34">
        <v>0</v>
      </c>
      <c r="G415" s="86">
        <v>0.57999999999999996</v>
      </c>
      <c r="H415" s="85">
        <f t="shared" si="26"/>
        <v>3.6666666666666665</v>
      </c>
      <c r="I415" s="137">
        <f t="shared" si="27"/>
        <v>0</v>
      </c>
    </row>
    <row r="416" spans="1:9">
      <c r="A416" s="261"/>
      <c r="B416" s="137" t="s">
        <v>209</v>
      </c>
      <c r="C416" s="84">
        <f>'4A_DOC'!$B$46*$L$26</f>
        <v>4.4175238087574998E-3</v>
      </c>
      <c r="D416" s="85">
        <v>1</v>
      </c>
      <c r="E416" s="85">
        <v>0</v>
      </c>
      <c r="F416" s="34">
        <v>0</v>
      </c>
      <c r="G416" s="86">
        <v>0.57999999999999996</v>
      </c>
      <c r="H416" s="85">
        <f t="shared" si="26"/>
        <v>3.6666666666666665</v>
      </c>
      <c r="I416" s="137">
        <f t="shared" si="27"/>
        <v>0</v>
      </c>
    </row>
    <row r="417" spans="1:9">
      <c r="A417" s="261"/>
      <c r="B417" s="137" t="s">
        <v>210</v>
      </c>
      <c r="C417" s="84">
        <f>'4A_DOC'!$B$47*$L$26</f>
        <v>2.06261825957775E-2</v>
      </c>
      <c r="D417" s="85">
        <v>0.9</v>
      </c>
      <c r="E417" s="85">
        <v>0</v>
      </c>
      <c r="F417" s="34">
        <v>0</v>
      </c>
      <c r="G417" s="86">
        <v>0.57999999999999996</v>
      </c>
      <c r="H417" s="85">
        <f t="shared" si="26"/>
        <v>3.6666666666666665</v>
      </c>
      <c r="I417" s="137">
        <f t="shared" si="27"/>
        <v>0</v>
      </c>
    </row>
    <row r="418" spans="1:9">
      <c r="A418" s="261" t="s">
        <v>48</v>
      </c>
      <c r="B418" s="261"/>
      <c r="C418" s="7"/>
      <c r="D418" s="137"/>
      <c r="E418" s="137"/>
      <c r="F418" s="137"/>
      <c r="G418" s="137"/>
      <c r="H418" s="137"/>
      <c r="I418" s="137"/>
    </row>
    <row r="419" spans="1:9">
      <c r="A419" s="198" t="s">
        <v>283</v>
      </c>
      <c r="B419" s="199"/>
      <c r="C419" s="199"/>
      <c r="D419" s="199"/>
      <c r="E419" s="199"/>
      <c r="F419" s="199"/>
      <c r="G419" s="199"/>
      <c r="H419" s="200"/>
      <c r="I419" s="91">
        <f>SUM(I409:I418)</f>
        <v>5.7571942155667105E-2</v>
      </c>
    </row>
    <row r="420" spans="1:9">
      <c r="A420" s="253" t="s">
        <v>53</v>
      </c>
      <c r="B420" s="254"/>
      <c r="C420" s="254"/>
      <c r="D420" s="254"/>
      <c r="E420" s="254"/>
      <c r="F420" s="254"/>
      <c r="G420" s="254"/>
      <c r="H420" s="254"/>
      <c r="I420" s="254"/>
    </row>
    <row r="421" spans="1:9">
      <c r="A421" s="255" t="s">
        <v>54</v>
      </c>
      <c r="B421" s="256"/>
      <c r="C421" s="256"/>
      <c r="D421" s="256"/>
      <c r="E421" s="256"/>
      <c r="F421" s="256"/>
      <c r="G421" s="256"/>
      <c r="H421" s="256"/>
      <c r="I421" s="256"/>
    </row>
    <row r="422" spans="1:9">
      <c r="A422" s="255" t="s">
        <v>55</v>
      </c>
      <c r="B422" s="256"/>
      <c r="C422" s="256"/>
      <c r="D422" s="256"/>
      <c r="E422" s="256"/>
      <c r="F422" s="256"/>
      <c r="G422" s="256"/>
      <c r="H422" s="256"/>
      <c r="I422" s="256"/>
    </row>
    <row r="423" spans="1:9">
      <c r="A423" s="255" t="s">
        <v>96</v>
      </c>
      <c r="B423" s="256"/>
      <c r="C423" s="256"/>
      <c r="D423" s="256"/>
      <c r="E423" s="256"/>
      <c r="F423" s="256"/>
      <c r="G423" s="256"/>
      <c r="H423" s="256"/>
      <c r="I423" s="256"/>
    </row>
    <row r="424" spans="1:9">
      <c r="A424" s="255" t="s">
        <v>97</v>
      </c>
      <c r="B424" s="256"/>
      <c r="C424" s="256"/>
      <c r="D424" s="256"/>
      <c r="E424" s="256"/>
      <c r="F424" s="256"/>
      <c r="G424" s="256"/>
      <c r="H424" s="256"/>
      <c r="I424" s="256"/>
    </row>
    <row r="425" spans="1:9">
      <c r="A425" s="257" t="s">
        <v>200</v>
      </c>
      <c r="B425" s="258"/>
      <c r="C425" s="258"/>
      <c r="D425" s="258"/>
      <c r="E425" s="258"/>
      <c r="F425" s="258"/>
      <c r="G425" s="258"/>
      <c r="H425" s="258"/>
      <c r="I425" s="258"/>
    </row>
    <row r="428" spans="1:9">
      <c r="A428" s="197" t="s">
        <v>0</v>
      </c>
      <c r="B428" s="197"/>
      <c r="C428" s="196" t="s">
        <v>1</v>
      </c>
      <c r="D428" s="196"/>
      <c r="E428" s="196"/>
      <c r="F428" s="196"/>
      <c r="G428" s="196"/>
      <c r="H428" s="196"/>
      <c r="I428" s="196"/>
    </row>
    <row r="429" spans="1:9">
      <c r="A429" s="197" t="s">
        <v>2</v>
      </c>
      <c r="B429" s="197"/>
      <c r="C429" s="196" t="s">
        <v>75</v>
      </c>
      <c r="D429" s="196"/>
      <c r="E429" s="196"/>
      <c r="F429" s="196"/>
      <c r="G429" s="196"/>
      <c r="H429" s="196"/>
      <c r="I429" s="196"/>
    </row>
    <row r="430" spans="1:9">
      <c r="A430" s="197" t="s">
        <v>4</v>
      </c>
      <c r="B430" s="197"/>
      <c r="C430" s="196" t="s">
        <v>76</v>
      </c>
      <c r="D430" s="196"/>
      <c r="E430" s="196"/>
      <c r="F430" s="196"/>
      <c r="G430" s="196"/>
      <c r="H430" s="196"/>
      <c r="I430" s="196"/>
    </row>
    <row r="431" spans="1:9">
      <c r="A431" s="197" t="s">
        <v>6</v>
      </c>
      <c r="B431" s="197"/>
      <c r="C431" s="196" t="s">
        <v>77</v>
      </c>
      <c r="D431" s="196"/>
      <c r="E431" s="196"/>
      <c r="F431" s="196"/>
      <c r="G431" s="196"/>
      <c r="H431" s="196"/>
      <c r="I431" s="196"/>
    </row>
    <row r="432" spans="1:9">
      <c r="A432" s="250" t="s">
        <v>8</v>
      </c>
      <c r="B432" s="250"/>
      <c r="C432" s="250"/>
      <c r="D432" s="250" t="s">
        <v>9</v>
      </c>
      <c r="E432" s="262"/>
      <c r="F432" s="262"/>
      <c r="G432" s="262"/>
      <c r="H432" s="262"/>
      <c r="I432" s="134"/>
    </row>
    <row r="433" spans="1:9">
      <c r="A433" s="259"/>
      <c r="B433" s="259"/>
      <c r="C433" s="7" t="s">
        <v>58</v>
      </c>
      <c r="D433" s="7" t="s">
        <v>78</v>
      </c>
      <c r="E433" s="7" t="s">
        <v>79</v>
      </c>
      <c r="F433" s="7" t="s">
        <v>80</v>
      </c>
      <c r="G433" s="7" t="s">
        <v>81</v>
      </c>
      <c r="H433" s="7" t="s">
        <v>82</v>
      </c>
      <c r="I433" s="7" t="s">
        <v>83</v>
      </c>
    </row>
    <row r="434" spans="1:9" ht="25.5">
      <c r="A434" s="207" t="s">
        <v>84</v>
      </c>
      <c r="B434" s="207"/>
      <c r="C434" s="138" t="s">
        <v>85</v>
      </c>
      <c r="D434" s="259" t="s">
        <v>86</v>
      </c>
      <c r="E434" s="138" t="s">
        <v>87</v>
      </c>
      <c r="F434" s="138" t="s">
        <v>89</v>
      </c>
      <c r="G434" s="259" t="s">
        <v>91</v>
      </c>
      <c r="H434" s="259" t="s">
        <v>38</v>
      </c>
      <c r="I434" s="259" t="s">
        <v>92</v>
      </c>
    </row>
    <row r="435" spans="1:9" ht="14.25">
      <c r="A435" s="207"/>
      <c r="B435" s="207"/>
      <c r="C435" s="135" t="s">
        <v>37</v>
      </c>
      <c r="D435" s="251"/>
      <c r="E435" s="135" t="s">
        <v>88</v>
      </c>
      <c r="F435" s="135" t="s">
        <v>90</v>
      </c>
      <c r="G435" s="251"/>
      <c r="H435" s="251"/>
      <c r="I435" s="251"/>
    </row>
    <row r="436" spans="1:9">
      <c r="A436" s="208"/>
      <c r="B436" s="208"/>
      <c r="C436" s="135"/>
      <c r="D436" s="135" t="s">
        <v>39</v>
      </c>
      <c r="E436" s="135" t="s">
        <v>40</v>
      </c>
      <c r="F436" s="135" t="s">
        <v>41</v>
      </c>
      <c r="G436" s="135" t="s">
        <v>42</v>
      </c>
      <c r="H436" s="135"/>
      <c r="I436" s="135"/>
    </row>
    <row r="437" spans="1:9" ht="15.75">
      <c r="A437" s="208"/>
      <c r="B437" s="208"/>
      <c r="C437" s="8" t="s">
        <v>43</v>
      </c>
      <c r="D437" s="8" t="s">
        <v>44</v>
      </c>
      <c r="E437" s="8" t="s">
        <v>44</v>
      </c>
      <c r="F437" s="8" t="s">
        <v>44</v>
      </c>
      <c r="G437" s="8" t="s">
        <v>44</v>
      </c>
      <c r="H437" s="8" t="s">
        <v>45</v>
      </c>
      <c r="I437" s="8" t="s">
        <v>46</v>
      </c>
    </row>
    <row r="438" spans="1:9" ht="15" thickBot="1">
      <c r="A438" s="260"/>
      <c r="B438" s="260"/>
      <c r="C438" s="5" t="s">
        <v>93</v>
      </c>
      <c r="D438" s="5"/>
      <c r="E438" s="5"/>
      <c r="F438" s="5"/>
      <c r="G438" s="5"/>
      <c r="H438" s="5"/>
      <c r="I438" s="5" t="s">
        <v>94</v>
      </c>
    </row>
    <row r="439" spans="1:9" ht="13.5" thickTop="1">
      <c r="A439" s="261" t="s">
        <v>95</v>
      </c>
      <c r="B439" s="137" t="s">
        <v>203</v>
      </c>
      <c r="C439" s="84">
        <f>'4A_DOC'!$B$39*$L$27</f>
        <v>0.2217562414437563</v>
      </c>
      <c r="D439" s="85">
        <v>0.4</v>
      </c>
      <c r="E439" s="85">
        <v>0.38</v>
      </c>
      <c r="F439" s="34">
        <v>0</v>
      </c>
      <c r="G439" s="86">
        <v>0.57999999999999996</v>
      </c>
      <c r="H439" s="85">
        <f>44/12</f>
        <v>3.6666666666666665</v>
      </c>
      <c r="I439" s="137">
        <f>C439*D439*E439*F439*G439*H439</f>
        <v>0</v>
      </c>
    </row>
    <row r="440" spans="1:9">
      <c r="A440" s="261"/>
      <c r="B440" s="137" t="s">
        <v>204</v>
      </c>
      <c r="C440" s="84">
        <f>'4A_DOC'!$B$40*$L$27</f>
        <v>4.2921640345718756E-2</v>
      </c>
      <c r="D440" s="85">
        <v>0.9</v>
      </c>
      <c r="E440" s="85">
        <v>0.46</v>
      </c>
      <c r="F440" s="34">
        <f>1/100</f>
        <v>0.01</v>
      </c>
      <c r="G440" s="86">
        <v>0.57999999999999996</v>
      </c>
      <c r="H440" s="85">
        <f t="shared" ref="H440:H447" si="28">44/12</f>
        <v>3.6666666666666665</v>
      </c>
      <c r="I440" s="137">
        <f t="shared" ref="I440:I447" si="29">C440*D440*E440*F440*G440*H440</f>
        <v>3.7789929025984622E-4</v>
      </c>
    </row>
    <row r="441" spans="1:9">
      <c r="A441" s="261"/>
      <c r="B441" s="137" t="s">
        <v>205</v>
      </c>
      <c r="C441" s="84">
        <f>'4A_DOC'!$B$41*$L$27</f>
        <v>0</v>
      </c>
      <c r="D441" s="85">
        <v>0.85</v>
      </c>
      <c r="E441" s="85">
        <v>0.5</v>
      </c>
      <c r="F441" s="34">
        <v>0</v>
      </c>
      <c r="G441" s="86">
        <v>0.57999999999999996</v>
      </c>
      <c r="H441" s="85">
        <f t="shared" si="28"/>
        <v>3.6666666666666665</v>
      </c>
      <c r="I441" s="137">
        <f t="shared" si="29"/>
        <v>0</v>
      </c>
    </row>
    <row r="442" spans="1:9">
      <c r="A442" s="261"/>
      <c r="B442" s="137" t="s">
        <v>47</v>
      </c>
      <c r="C442" s="84">
        <f>'4A_DOC'!$B$42*$L$27</f>
        <v>2.7055664342437507E-3</v>
      </c>
      <c r="D442" s="85">
        <v>0.8</v>
      </c>
      <c r="E442" s="85">
        <v>0.5</v>
      </c>
      <c r="F442" s="34">
        <f>20/100</f>
        <v>0.2</v>
      </c>
      <c r="G442" s="86">
        <v>0.57999999999999996</v>
      </c>
      <c r="H442" s="85">
        <f t="shared" si="28"/>
        <v>3.6666666666666665</v>
      </c>
      <c r="I442" s="137">
        <f t="shared" si="29"/>
        <v>4.6030703601267014E-4</v>
      </c>
    </row>
    <row r="443" spans="1:9">
      <c r="A443" s="261"/>
      <c r="B443" s="137" t="s">
        <v>206</v>
      </c>
      <c r="C443" s="84">
        <f>'4A_DOC'!$B$43*$L$27</f>
        <v>0</v>
      </c>
      <c r="D443" s="85">
        <v>0.84</v>
      </c>
      <c r="E443" s="85">
        <v>0.67</v>
      </c>
      <c r="F443" s="34">
        <f>20/100</f>
        <v>0.2</v>
      </c>
      <c r="G443" s="86">
        <v>0.57999999999999996</v>
      </c>
      <c r="H443" s="85">
        <f t="shared" si="28"/>
        <v>3.6666666666666665</v>
      </c>
      <c r="I443" s="137">
        <f t="shared" si="29"/>
        <v>0</v>
      </c>
    </row>
    <row r="444" spans="1:9">
      <c r="A444" s="261"/>
      <c r="B444" s="137" t="s">
        <v>207</v>
      </c>
      <c r="C444" s="84">
        <f>'4A_DOC'!$B$44*$L$27</f>
        <v>3.5773600630556256E-2</v>
      </c>
      <c r="D444" s="85">
        <v>1</v>
      </c>
      <c r="E444" s="85">
        <v>0.75</v>
      </c>
      <c r="F444" s="34">
        <f>100/100</f>
        <v>1</v>
      </c>
      <c r="G444" s="86">
        <v>0.57999999999999996</v>
      </c>
      <c r="H444" s="85">
        <f t="shared" si="28"/>
        <v>3.6666666666666665</v>
      </c>
      <c r="I444" s="137">
        <f t="shared" si="29"/>
        <v>5.7058893005737216E-2</v>
      </c>
    </row>
    <row r="445" spans="1:9">
      <c r="A445" s="261"/>
      <c r="B445" s="137" t="s">
        <v>208</v>
      </c>
      <c r="C445" s="84">
        <f>'4A_DOC'!$B$45*$L$27</f>
        <v>5.9121636896437508E-3</v>
      </c>
      <c r="D445" s="85">
        <v>1</v>
      </c>
      <c r="E445" s="85">
        <v>0</v>
      </c>
      <c r="F445" s="34">
        <v>0</v>
      </c>
      <c r="G445" s="86">
        <v>0.57999999999999996</v>
      </c>
      <c r="H445" s="85">
        <f t="shared" si="28"/>
        <v>3.6666666666666665</v>
      </c>
      <c r="I445" s="137">
        <f t="shared" si="29"/>
        <v>0</v>
      </c>
    </row>
    <row r="446" spans="1:9">
      <c r="A446" s="261"/>
      <c r="B446" s="137" t="s">
        <v>209</v>
      </c>
      <c r="C446" s="84">
        <f>'4A_DOC'!$B$46*$L$27</f>
        <v>4.4424732809187507E-3</v>
      </c>
      <c r="D446" s="85">
        <v>1</v>
      </c>
      <c r="E446" s="85">
        <v>0</v>
      </c>
      <c r="F446" s="34">
        <v>0</v>
      </c>
      <c r="G446" s="86">
        <v>0.57999999999999996</v>
      </c>
      <c r="H446" s="85">
        <f t="shared" si="28"/>
        <v>3.6666666666666665</v>
      </c>
      <c r="I446" s="137">
        <f t="shared" si="29"/>
        <v>0</v>
      </c>
    </row>
    <row r="447" spans="1:9">
      <c r="A447" s="261"/>
      <c r="B447" s="137" t="s">
        <v>210</v>
      </c>
      <c r="C447" s="84">
        <f>'4A_DOC'!$B$47*$L$27</f>
        <v>2.0742675995868754E-2</v>
      </c>
      <c r="D447" s="85">
        <v>0.9</v>
      </c>
      <c r="E447" s="85">
        <v>0</v>
      </c>
      <c r="F447" s="34">
        <v>0</v>
      </c>
      <c r="G447" s="86">
        <v>0.57999999999999996</v>
      </c>
      <c r="H447" s="85">
        <f t="shared" si="28"/>
        <v>3.6666666666666665</v>
      </c>
      <c r="I447" s="137">
        <f t="shared" si="29"/>
        <v>0</v>
      </c>
    </row>
    <row r="448" spans="1:9">
      <c r="A448" s="261" t="s">
        <v>48</v>
      </c>
      <c r="B448" s="261"/>
      <c r="C448" s="7"/>
      <c r="D448" s="137"/>
      <c r="E448" s="137"/>
      <c r="F448" s="137"/>
      <c r="G448" s="137"/>
      <c r="H448" s="137"/>
      <c r="I448" s="137"/>
    </row>
    <row r="449" spans="1:9">
      <c r="A449" s="198" t="s">
        <v>284</v>
      </c>
      <c r="B449" s="199"/>
      <c r="C449" s="199"/>
      <c r="D449" s="199"/>
      <c r="E449" s="199"/>
      <c r="F449" s="199"/>
      <c r="G449" s="199"/>
      <c r="H449" s="200"/>
      <c r="I449" s="91">
        <f>SUM(I439:I448)</f>
        <v>5.7897099332009733E-2</v>
      </c>
    </row>
    <row r="450" spans="1:9">
      <c r="A450" s="253" t="s">
        <v>53</v>
      </c>
      <c r="B450" s="254"/>
      <c r="C450" s="254"/>
      <c r="D450" s="254"/>
      <c r="E450" s="254"/>
      <c r="F450" s="254"/>
      <c r="G450" s="254"/>
      <c r="H450" s="254"/>
      <c r="I450" s="254"/>
    </row>
    <row r="451" spans="1:9">
      <c r="A451" s="255" t="s">
        <v>54</v>
      </c>
      <c r="B451" s="256"/>
      <c r="C451" s="256"/>
      <c r="D451" s="256"/>
      <c r="E451" s="256"/>
      <c r="F451" s="256"/>
      <c r="G451" s="256"/>
      <c r="H451" s="256"/>
      <c r="I451" s="256"/>
    </row>
    <row r="452" spans="1:9">
      <c r="A452" s="255" t="s">
        <v>55</v>
      </c>
      <c r="B452" s="256"/>
      <c r="C452" s="256"/>
      <c r="D452" s="256"/>
      <c r="E452" s="256"/>
      <c r="F452" s="256"/>
      <c r="G452" s="256"/>
      <c r="H452" s="256"/>
      <c r="I452" s="256"/>
    </row>
    <row r="453" spans="1:9">
      <c r="A453" s="255" t="s">
        <v>96</v>
      </c>
      <c r="B453" s="256"/>
      <c r="C453" s="256"/>
      <c r="D453" s="256"/>
      <c r="E453" s="256"/>
      <c r="F453" s="256"/>
      <c r="G453" s="256"/>
      <c r="H453" s="256"/>
      <c r="I453" s="256"/>
    </row>
    <row r="454" spans="1:9">
      <c r="A454" s="255" t="s">
        <v>97</v>
      </c>
      <c r="B454" s="256"/>
      <c r="C454" s="256"/>
      <c r="D454" s="256"/>
      <c r="E454" s="256"/>
      <c r="F454" s="256"/>
      <c r="G454" s="256"/>
      <c r="H454" s="256"/>
      <c r="I454" s="256"/>
    </row>
    <row r="455" spans="1:9">
      <c r="A455" s="257" t="s">
        <v>200</v>
      </c>
      <c r="B455" s="258"/>
      <c r="C455" s="258"/>
      <c r="D455" s="258"/>
      <c r="E455" s="258"/>
      <c r="F455" s="258"/>
      <c r="G455" s="258"/>
      <c r="H455" s="258"/>
      <c r="I455" s="258"/>
    </row>
    <row r="458" spans="1:9">
      <c r="A458" s="197" t="s">
        <v>0</v>
      </c>
      <c r="B458" s="197"/>
      <c r="C458" s="196" t="s">
        <v>1</v>
      </c>
      <c r="D458" s="196"/>
      <c r="E458" s="196"/>
      <c r="F458" s="196"/>
      <c r="G458" s="196"/>
      <c r="H458" s="196"/>
      <c r="I458" s="196"/>
    </row>
    <row r="459" spans="1:9">
      <c r="A459" s="197" t="s">
        <v>2</v>
      </c>
      <c r="B459" s="197"/>
      <c r="C459" s="196" t="s">
        <v>75</v>
      </c>
      <c r="D459" s="196"/>
      <c r="E459" s="196"/>
      <c r="F459" s="196"/>
      <c r="G459" s="196"/>
      <c r="H459" s="196"/>
      <c r="I459" s="196"/>
    </row>
    <row r="460" spans="1:9">
      <c r="A460" s="197" t="s">
        <v>4</v>
      </c>
      <c r="B460" s="197"/>
      <c r="C460" s="196" t="s">
        <v>76</v>
      </c>
      <c r="D460" s="196"/>
      <c r="E460" s="196"/>
      <c r="F460" s="196"/>
      <c r="G460" s="196"/>
      <c r="H460" s="196"/>
      <c r="I460" s="196"/>
    </row>
    <row r="461" spans="1:9">
      <c r="A461" s="197" t="s">
        <v>6</v>
      </c>
      <c r="B461" s="197"/>
      <c r="C461" s="196" t="s">
        <v>77</v>
      </c>
      <c r="D461" s="196"/>
      <c r="E461" s="196"/>
      <c r="F461" s="196"/>
      <c r="G461" s="196"/>
      <c r="H461" s="196"/>
      <c r="I461" s="196"/>
    </row>
    <row r="462" spans="1:9">
      <c r="A462" s="250" t="s">
        <v>8</v>
      </c>
      <c r="B462" s="250"/>
      <c r="C462" s="250"/>
      <c r="D462" s="250" t="s">
        <v>9</v>
      </c>
      <c r="E462" s="262"/>
      <c r="F462" s="262"/>
      <c r="G462" s="262"/>
      <c r="H462" s="262"/>
      <c r="I462" s="134"/>
    </row>
    <row r="463" spans="1:9">
      <c r="A463" s="259"/>
      <c r="B463" s="259"/>
      <c r="C463" s="7" t="s">
        <v>58</v>
      </c>
      <c r="D463" s="7" t="s">
        <v>78</v>
      </c>
      <c r="E463" s="7" t="s">
        <v>79</v>
      </c>
      <c r="F463" s="7" t="s">
        <v>80</v>
      </c>
      <c r="G463" s="7" t="s">
        <v>81</v>
      </c>
      <c r="H463" s="7" t="s">
        <v>82</v>
      </c>
      <c r="I463" s="7" t="s">
        <v>83</v>
      </c>
    </row>
    <row r="464" spans="1:9" ht="25.5">
      <c r="A464" s="207" t="s">
        <v>84</v>
      </c>
      <c r="B464" s="207"/>
      <c r="C464" s="138" t="s">
        <v>85</v>
      </c>
      <c r="D464" s="259" t="s">
        <v>86</v>
      </c>
      <c r="E464" s="138" t="s">
        <v>87</v>
      </c>
      <c r="F464" s="138" t="s">
        <v>89</v>
      </c>
      <c r="G464" s="259" t="s">
        <v>91</v>
      </c>
      <c r="H464" s="259" t="s">
        <v>38</v>
      </c>
      <c r="I464" s="259" t="s">
        <v>92</v>
      </c>
    </row>
    <row r="465" spans="1:9" ht="14.25">
      <c r="A465" s="207"/>
      <c r="B465" s="207"/>
      <c r="C465" s="135" t="s">
        <v>37</v>
      </c>
      <c r="D465" s="251"/>
      <c r="E465" s="135" t="s">
        <v>88</v>
      </c>
      <c r="F465" s="135" t="s">
        <v>90</v>
      </c>
      <c r="G465" s="251"/>
      <c r="H465" s="251"/>
      <c r="I465" s="251"/>
    </row>
    <row r="466" spans="1:9">
      <c r="A466" s="208"/>
      <c r="B466" s="208"/>
      <c r="C466" s="135"/>
      <c r="D466" s="135" t="s">
        <v>39</v>
      </c>
      <c r="E466" s="135" t="s">
        <v>40</v>
      </c>
      <c r="F466" s="135" t="s">
        <v>41</v>
      </c>
      <c r="G466" s="135" t="s">
        <v>42</v>
      </c>
      <c r="H466" s="135"/>
      <c r="I466" s="135"/>
    </row>
    <row r="467" spans="1:9" ht="15.75">
      <c r="A467" s="208"/>
      <c r="B467" s="208"/>
      <c r="C467" s="8" t="s">
        <v>43</v>
      </c>
      <c r="D467" s="8" t="s">
        <v>44</v>
      </c>
      <c r="E467" s="8" t="s">
        <v>44</v>
      </c>
      <c r="F467" s="8" t="s">
        <v>44</v>
      </c>
      <c r="G467" s="8" t="s">
        <v>44</v>
      </c>
      <c r="H467" s="8" t="s">
        <v>45</v>
      </c>
      <c r="I467" s="8" t="s">
        <v>46</v>
      </c>
    </row>
    <row r="468" spans="1:9" ht="15" thickBot="1">
      <c r="A468" s="260"/>
      <c r="B468" s="260"/>
      <c r="C468" s="5" t="s">
        <v>93</v>
      </c>
      <c r="D468" s="5"/>
      <c r="E468" s="5"/>
      <c r="F468" s="5"/>
      <c r="G468" s="5"/>
      <c r="H468" s="5"/>
      <c r="I468" s="5" t="s">
        <v>94</v>
      </c>
    </row>
    <row r="469" spans="1:9" ht="13.5" thickTop="1">
      <c r="A469" s="261" t="s">
        <v>95</v>
      </c>
      <c r="B469" s="137" t="s">
        <v>203</v>
      </c>
      <c r="C469" s="84">
        <f>'4A_DOC'!$B$39*$L$28</f>
        <v>0.22300165156164001</v>
      </c>
      <c r="D469" s="85">
        <v>0.4</v>
      </c>
      <c r="E469" s="85">
        <v>0.38</v>
      </c>
      <c r="F469" s="34">
        <v>0</v>
      </c>
      <c r="G469" s="86">
        <v>0.57999999999999996</v>
      </c>
      <c r="H469" s="85">
        <f>44/12</f>
        <v>3.6666666666666665</v>
      </c>
      <c r="I469" s="137">
        <f>C469*D469*E469*F469*G469*H469</f>
        <v>0</v>
      </c>
    </row>
    <row r="470" spans="1:9">
      <c r="A470" s="261"/>
      <c r="B470" s="137" t="s">
        <v>204</v>
      </c>
      <c r="C470" s="84">
        <f>'4A_DOC'!$B$40*$L$28</f>
        <v>4.3162693516600001E-2</v>
      </c>
      <c r="D470" s="85">
        <v>0.9</v>
      </c>
      <c r="E470" s="85">
        <v>0.46</v>
      </c>
      <c r="F470" s="34">
        <f>1/100</f>
        <v>0.01</v>
      </c>
      <c r="G470" s="86">
        <v>0.57999999999999996</v>
      </c>
      <c r="H470" s="85">
        <f t="shared" ref="H470:H477" si="30">44/12</f>
        <v>3.6666666666666665</v>
      </c>
      <c r="I470" s="137">
        <f t="shared" ref="I470:I477" si="31">C470*D470*E470*F470*G470*H470</f>
        <v>3.8002161879755305E-4</v>
      </c>
    </row>
    <row r="471" spans="1:9">
      <c r="A471" s="261"/>
      <c r="B471" s="137" t="s">
        <v>205</v>
      </c>
      <c r="C471" s="84">
        <f>'4A_DOC'!$B$41*$L$28</f>
        <v>0</v>
      </c>
      <c r="D471" s="85">
        <v>0.85</v>
      </c>
      <c r="E471" s="85">
        <v>0.5</v>
      </c>
      <c r="F471" s="34">
        <v>0</v>
      </c>
      <c r="G471" s="86">
        <v>0.57999999999999996</v>
      </c>
      <c r="H471" s="85">
        <f t="shared" si="30"/>
        <v>3.6666666666666665</v>
      </c>
      <c r="I471" s="137">
        <f t="shared" si="31"/>
        <v>0</v>
      </c>
    </row>
    <row r="472" spans="1:9">
      <c r="A472" s="261"/>
      <c r="B472" s="137" t="s">
        <v>47</v>
      </c>
      <c r="C472" s="84">
        <f>'4A_DOC'!$B$42*$L$28</f>
        <v>2.7207612255600003E-3</v>
      </c>
      <c r="D472" s="85">
        <v>0.8</v>
      </c>
      <c r="E472" s="85">
        <v>0.5</v>
      </c>
      <c r="F472" s="34">
        <f>20/100</f>
        <v>0.2</v>
      </c>
      <c r="G472" s="86">
        <v>0.57999999999999996</v>
      </c>
      <c r="H472" s="85">
        <f t="shared" si="30"/>
        <v>3.6666666666666665</v>
      </c>
      <c r="I472" s="137">
        <f t="shared" si="31"/>
        <v>4.6289217650860804E-4</v>
      </c>
    </row>
    <row r="473" spans="1:9">
      <c r="A473" s="261"/>
      <c r="B473" s="137" t="s">
        <v>206</v>
      </c>
      <c r="C473" s="84">
        <f>'4A_DOC'!$B$43*$L$28</f>
        <v>0</v>
      </c>
      <c r="D473" s="85">
        <v>0.84</v>
      </c>
      <c r="E473" s="85">
        <v>0.67</v>
      </c>
      <c r="F473" s="34">
        <f>20/100</f>
        <v>0.2</v>
      </c>
      <c r="G473" s="86">
        <v>0.57999999999999996</v>
      </c>
      <c r="H473" s="85">
        <f t="shared" si="30"/>
        <v>3.6666666666666665</v>
      </c>
      <c r="I473" s="137">
        <f t="shared" si="31"/>
        <v>0</v>
      </c>
    </row>
    <row r="474" spans="1:9">
      <c r="A474" s="261"/>
      <c r="B474" s="137" t="s">
        <v>207</v>
      </c>
      <c r="C474" s="84">
        <f>'4A_DOC'!$B$44*$L$28</f>
        <v>3.5974509537960005E-2</v>
      </c>
      <c r="D474" s="85">
        <v>1</v>
      </c>
      <c r="E474" s="85">
        <v>0.75</v>
      </c>
      <c r="F474" s="34">
        <f>100/100</f>
        <v>1</v>
      </c>
      <c r="G474" s="86">
        <v>0.57999999999999996</v>
      </c>
      <c r="H474" s="85">
        <f t="shared" si="30"/>
        <v>3.6666666666666665</v>
      </c>
      <c r="I474" s="137">
        <f t="shared" si="31"/>
        <v>5.7379342713046205E-2</v>
      </c>
    </row>
    <row r="475" spans="1:9">
      <c r="A475" s="261"/>
      <c r="B475" s="137" t="s">
        <v>208</v>
      </c>
      <c r="C475" s="84">
        <f>'4A_DOC'!$B$45*$L$28</f>
        <v>5.9453671225200002E-3</v>
      </c>
      <c r="D475" s="85">
        <v>1</v>
      </c>
      <c r="E475" s="85">
        <v>0</v>
      </c>
      <c r="F475" s="34">
        <v>0</v>
      </c>
      <c r="G475" s="86">
        <v>0.57999999999999996</v>
      </c>
      <c r="H475" s="85">
        <f t="shared" si="30"/>
        <v>3.6666666666666665</v>
      </c>
      <c r="I475" s="137">
        <f t="shared" si="31"/>
        <v>0</v>
      </c>
    </row>
    <row r="476" spans="1:9">
      <c r="A476" s="261"/>
      <c r="B476" s="137" t="s">
        <v>209</v>
      </c>
      <c r="C476" s="84">
        <f>'4A_DOC'!$B$46*$L$28</f>
        <v>4.4674227530799998E-3</v>
      </c>
      <c r="D476" s="85">
        <v>1</v>
      </c>
      <c r="E476" s="85">
        <v>0</v>
      </c>
      <c r="F476" s="34">
        <v>0</v>
      </c>
      <c r="G476" s="86">
        <v>0.57999999999999996</v>
      </c>
      <c r="H476" s="85">
        <f t="shared" si="30"/>
        <v>3.6666666666666665</v>
      </c>
      <c r="I476" s="137">
        <f t="shared" si="31"/>
        <v>0</v>
      </c>
    </row>
    <row r="477" spans="1:9">
      <c r="A477" s="261"/>
      <c r="B477" s="137" t="s">
        <v>210</v>
      </c>
      <c r="C477" s="84">
        <f>'4A_DOC'!$B$47*$L$28</f>
        <v>2.0859169395960001E-2</v>
      </c>
      <c r="D477" s="85">
        <v>0.9</v>
      </c>
      <c r="E477" s="85">
        <v>0</v>
      </c>
      <c r="F477" s="34">
        <v>0</v>
      </c>
      <c r="G477" s="86">
        <v>0.57999999999999996</v>
      </c>
      <c r="H477" s="85">
        <f t="shared" si="30"/>
        <v>3.6666666666666665</v>
      </c>
      <c r="I477" s="137">
        <f t="shared" si="31"/>
        <v>0</v>
      </c>
    </row>
    <row r="478" spans="1:9">
      <c r="A478" s="261" t="s">
        <v>48</v>
      </c>
      <c r="B478" s="261"/>
      <c r="C478" s="7"/>
      <c r="D478" s="137"/>
      <c r="E478" s="137"/>
      <c r="F478" s="137"/>
      <c r="G478" s="137"/>
      <c r="H478" s="137"/>
      <c r="I478" s="137"/>
    </row>
    <row r="479" spans="1:9">
      <c r="A479" s="198" t="s">
        <v>285</v>
      </c>
      <c r="B479" s="199"/>
      <c r="C479" s="199"/>
      <c r="D479" s="199"/>
      <c r="E479" s="199"/>
      <c r="F479" s="199"/>
      <c r="G479" s="199"/>
      <c r="H479" s="200"/>
      <c r="I479" s="91">
        <f>SUM(I469:I478)</f>
        <v>5.8222256508352367E-2</v>
      </c>
    </row>
    <row r="480" spans="1:9">
      <c r="A480" s="253" t="s">
        <v>53</v>
      </c>
      <c r="B480" s="254"/>
      <c r="C480" s="254"/>
      <c r="D480" s="254"/>
      <c r="E480" s="254"/>
      <c r="F480" s="254"/>
      <c r="G480" s="254"/>
      <c r="H480" s="254"/>
      <c r="I480" s="254"/>
    </row>
    <row r="481" spans="1:9">
      <c r="A481" s="255" t="s">
        <v>54</v>
      </c>
      <c r="B481" s="256"/>
      <c r="C481" s="256"/>
      <c r="D481" s="256"/>
      <c r="E481" s="256"/>
      <c r="F481" s="256"/>
      <c r="G481" s="256"/>
      <c r="H481" s="256"/>
      <c r="I481" s="256"/>
    </row>
    <row r="482" spans="1:9">
      <c r="A482" s="255" t="s">
        <v>55</v>
      </c>
      <c r="B482" s="256"/>
      <c r="C482" s="256"/>
      <c r="D482" s="256"/>
      <c r="E482" s="256"/>
      <c r="F482" s="256"/>
      <c r="G482" s="256"/>
      <c r="H482" s="256"/>
      <c r="I482" s="256"/>
    </row>
    <row r="483" spans="1:9">
      <c r="A483" s="255" t="s">
        <v>96</v>
      </c>
      <c r="B483" s="256"/>
      <c r="C483" s="256"/>
      <c r="D483" s="256"/>
      <c r="E483" s="256"/>
      <c r="F483" s="256"/>
      <c r="G483" s="256"/>
      <c r="H483" s="256"/>
      <c r="I483" s="256"/>
    </row>
    <row r="484" spans="1:9">
      <c r="A484" s="255" t="s">
        <v>97</v>
      </c>
      <c r="B484" s="256"/>
      <c r="C484" s="256"/>
      <c r="D484" s="256"/>
      <c r="E484" s="256"/>
      <c r="F484" s="256"/>
      <c r="G484" s="256"/>
      <c r="H484" s="256"/>
      <c r="I484" s="256"/>
    </row>
    <row r="485" spans="1:9">
      <c r="A485" s="257" t="s">
        <v>200</v>
      </c>
      <c r="B485" s="258"/>
      <c r="C485" s="258"/>
      <c r="D485" s="258"/>
      <c r="E485" s="258"/>
      <c r="F485" s="258"/>
      <c r="G485" s="258"/>
      <c r="H485" s="258"/>
      <c r="I485" s="258"/>
    </row>
    <row r="488" spans="1:9">
      <c r="A488" s="197" t="s">
        <v>0</v>
      </c>
      <c r="B488" s="197"/>
      <c r="C488" s="196" t="s">
        <v>1</v>
      </c>
      <c r="D488" s="196"/>
      <c r="E488" s="196"/>
      <c r="F488" s="196"/>
      <c r="G488" s="196"/>
      <c r="H488" s="196"/>
      <c r="I488" s="196"/>
    </row>
    <row r="489" spans="1:9">
      <c r="A489" s="197" t="s">
        <v>2</v>
      </c>
      <c r="B489" s="197"/>
      <c r="C489" s="196" t="s">
        <v>75</v>
      </c>
      <c r="D489" s="196"/>
      <c r="E489" s="196"/>
      <c r="F489" s="196"/>
      <c r="G489" s="196"/>
      <c r="H489" s="196"/>
      <c r="I489" s="196"/>
    </row>
    <row r="490" spans="1:9">
      <c r="A490" s="197" t="s">
        <v>4</v>
      </c>
      <c r="B490" s="197"/>
      <c r="C490" s="196" t="s">
        <v>76</v>
      </c>
      <c r="D490" s="196"/>
      <c r="E490" s="196"/>
      <c r="F490" s="196"/>
      <c r="G490" s="196"/>
      <c r="H490" s="196"/>
      <c r="I490" s="196"/>
    </row>
    <row r="491" spans="1:9">
      <c r="A491" s="197" t="s">
        <v>6</v>
      </c>
      <c r="B491" s="197"/>
      <c r="C491" s="196" t="s">
        <v>77</v>
      </c>
      <c r="D491" s="196"/>
      <c r="E491" s="196"/>
      <c r="F491" s="196"/>
      <c r="G491" s="196"/>
      <c r="H491" s="196"/>
      <c r="I491" s="196"/>
    </row>
    <row r="492" spans="1:9">
      <c r="A492" s="250" t="s">
        <v>8</v>
      </c>
      <c r="B492" s="250"/>
      <c r="C492" s="250"/>
      <c r="D492" s="250" t="s">
        <v>9</v>
      </c>
      <c r="E492" s="262"/>
      <c r="F492" s="262"/>
      <c r="G492" s="262"/>
      <c r="H492" s="262"/>
      <c r="I492" s="134"/>
    </row>
    <row r="493" spans="1:9">
      <c r="A493" s="259"/>
      <c r="B493" s="259"/>
      <c r="C493" s="7" t="s">
        <v>58</v>
      </c>
      <c r="D493" s="7" t="s">
        <v>78</v>
      </c>
      <c r="E493" s="7" t="s">
        <v>79</v>
      </c>
      <c r="F493" s="7" t="s">
        <v>80</v>
      </c>
      <c r="G493" s="7" t="s">
        <v>81</v>
      </c>
      <c r="H493" s="7" t="s">
        <v>82</v>
      </c>
      <c r="I493" s="7" t="s">
        <v>83</v>
      </c>
    </row>
    <row r="494" spans="1:9" ht="25.5">
      <c r="A494" s="207" t="s">
        <v>84</v>
      </c>
      <c r="B494" s="207"/>
      <c r="C494" s="138" t="s">
        <v>85</v>
      </c>
      <c r="D494" s="259" t="s">
        <v>86</v>
      </c>
      <c r="E494" s="138" t="s">
        <v>87</v>
      </c>
      <c r="F494" s="138" t="s">
        <v>89</v>
      </c>
      <c r="G494" s="259" t="s">
        <v>91</v>
      </c>
      <c r="H494" s="259" t="s">
        <v>38</v>
      </c>
      <c r="I494" s="259" t="s">
        <v>92</v>
      </c>
    </row>
    <row r="495" spans="1:9" ht="14.25">
      <c r="A495" s="207"/>
      <c r="B495" s="207"/>
      <c r="C495" s="135" t="s">
        <v>37</v>
      </c>
      <c r="D495" s="251"/>
      <c r="E495" s="135" t="s">
        <v>88</v>
      </c>
      <c r="F495" s="135" t="s">
        <v>90</v>
      </c>
      <c r="G495" s="251"/>
      <c r="H495" s="251"/>
      <c r="I495" s="251"/>
    </row>
    <row r="496" spans="1:9">
      <c r="A496" s="208"/>
      <c r="B496" s="208"/>
      <c r="C496" s="135"/>
      <c r="D496" s="135" t="s">
        <v>39</v>
      </c>
      <c r="E496" s="135" t="s">
        <v>40</v>
      </c>
      <c r="F496" s="135" t="s">
        <v>41</v>
      </c>
      <c r="G496" s="135" t="s">
        <v>42</v>
      </c>
      <c r="H496" s="135"/>
      <c r="I496" s="135"/>
    </row>
    <row r="497" spans="1:9" ht="15.75">
      <c r="A497" s="208"/>
      <c r="B497" s="208"/>
      <c r="C497" s="8" t="s">
        <v>43</v>
      </c>
      <c r="D497" s="8" t="s">
        <v>44</v>
      </c>
      <c r="E497" s="8" t="s">
        <v>44</v>
      </c>
      <c r="F497" s="8" t="s">
        <v>44</v>
      </c>
      <c r="G497" s="8" t="s">
        <v>44</v>
      </c>
      <c r="H497" s="8" t="s">
        <v>45</v>
      </c>
      <c r="I497" s="8" t="s">
        <v>46</v>
      </c>
    </row>
    <row r="498" spans="1:9" ht="15" thickBot="1">
      <c r="A498" s="260"/>
      <c r="B498" s="260"/>
      <c r="C498" s="5" t="s">
        <v>93</v>
      </c>
      <c r="D498" s="5"/>
      <c r="E498" s="5"/>
      <c r="F498" s="5"/>
      <c r="G498" s="5"/>
      <c r="H498" s="5"/>
      <c r="I498" s="5" t="s">
        <v>94</v>
      </c>
    </row>
    <row r="499" spans="1:9" ht="13.5" thickTop="1">
      <c r="A499" s="261" t="s">
        <v>95</v>
      </c>
      <c r="B499" s="137" t="s">
        <v>203</v>
      </c>
      <c r="C499" s="84">
        <f>'4A_DOC'!$B$39*$L$29</f>
        <v>0.22424706167952374</v>
      </c>
      <c r="D499" s="85">
        <v>0.4</v>
      </c>
      <c r="E499" s="85">
        <v>0.38</v>
      </c>
      <c r="F499" s="34">
        <v>0</v>
      </c>
      <c r="G499" s="86">
        <v>0.57999999999999996</v>
      </c>
      <c r="H499" s="85">
        <f>44/12</f>
        <v>3.6666666666666665</v>
      </c>
      <c r="I499" s="137">
        <f>C499*D499*E499*F499*G499*H499</f>
        <v>0</v>
      </c>
    </row>
    <row r="500" spans="1:9">
      <c r="A500" s="261"/>
      <c r="B500" s="137" t="s">
        <v>204</v>
      </c>
      <c r="C500" s="84">
        <f>'4A_DOC'!$B$40*$L$29</f>
        <v>4.3403746687481246E-2</v>
      </c>
      <c r="D500" s="85">
        <v>0.9</v>
      </c>
      <c r="E500" s="85">
        <v>0.46</v>
      </c>
      <c r="F500" s="34">
        <f>1/100</f>
        <v>0.01</v>
      </c>
      <c r="G500" s="86">
        <v>0.57999999999999996</v>
      </c>
      <c r="H500" s="85">
        <f t="shared" ref="H500:H507" si="32">44/12</f>
        <v>3.6666666666666665</v>
      </c>
      <c r="I500" s="137">
        <f t="shared" ref="I500:I507" si="33">C500*D500*E500*F500*G500*H500</f>
        <v>3.8214394733525992E-4</v>
      </c>
    </row>
    <row r="501" spans="1:9">
      <c r="A501" s="261"/>
      <c r="B501" s="137" t="s">
        <v>205</v>
      </c>
      <c r="C501" s="84">
        <f>'4A_DOC'!$B$41*$L$29</f>
        <v>0</v>
      </c>
      <c r="D501" s="85">
        <v>0.85</v>
      </c>
      <c r="E501" s="85">
        <v>0.5</v>
      </c>
      <c r="F501" s="34">
        <v>0</v>
      </c>
      <c r="G501" s="86">
        <v>0.57999999999999996</v>
      </c>
      <c r="H501" s="85">
        <f t="shared" si="32"/>
        <v>3.6666666666666665</v>
      </c>
      <c r="I501" s="137">
        <f t="shared" si="33"/>
        <v>0</v>
      </c>
    </row>
    <row r="502" spans="1:9">
      <c r="A502" s="261"/>
      <c r="B502" s="137" t="s">
        <v>47</v>
      </c>
      <c r="C502" s="84">
        <f>'4A_DOC'!$B$42*$L$29</f>
        <v>2.7359560168762503E-3</v>
      </c>
      <c r="D502" s="85">
        <v>0.8</v>
      </c>
      <c r="E502" s="85">
        <v>0.5</v>
      </c>
      <c r="F502" s="34">
        <f>20/100</f>
        <v>0.2</v>
      </c>
      <c r="G502" s="86">
        <v>0.57999999999999996</v>
      </c>
      <c r="H502" s="85">
        <f t="shared" si="32"/>
        <v>3.6666666666666665</v>
      </c>
      <c r="I502" s="137">
        <f t="shared" si="33"/>
        <v>4.6547731700454604E-4</v>
      </c>
    </row>
    <row r="503" spans="1:9">
      <c r="A503" s="261"/>
      <c r="B503" s="137" t="s">
        <v>206</v>
      </c>
      <c r="C503" s="84">
        <f>'4A_DOC'!$B$43*$L$29</f>
        <v>0</v>
      </c>
      <c r="D503" s="85">
        <v>0.84</v>
      </c>
      <c r="E503" s="85">
        <v>0.67</v>
      </c>
      <c r="F503" s="34">
        <f>20/100</f>
        <v>0.2</v>
      </c>
      <c r="G503" s="86">
        <v>0.57999999999999996</v>
      </c>
      <c r="H503" s="85">
        <f t="shared" si="32"/>
        <v>3.6666666666666665</v>
      </c>
      <c r="I503" s="137">
        <f t="shared" si="33"/>
        <v>0</v>
      </c>
    </row>
    <row r="504" spans="1:9">
      <c r="A504" s="261"/>
      <c r="B504" s="137" t="s">
        <v>207</v>
      </c>
      <c r="C504" s="84">
        <f>'4A_DOC'!$B$44*$L$29</f>
        <v>3.6175418445363754E-2</v>
      </c>
      <c r="D504" s="85">
        <v>1</v>
      </c>
      <c r="E504" s="85">
        <v>0.75</v>
      </c>
      <c r="F504" s="34">
        <f>100/100</f>
        <v>1</v>
      </c>
      <c r="G504" s="86">
        <v>0.57999999999999996</v>
      </c>
      <c r="H504" s="85">
        <f t="shared" si="32"/>
        <v>3.6666666666666665</v>
      </c>
      <c r="I504" s="137">
        <f t="shared" si="33"/>
        <v>5.7699792420355181E-2</v>
      </c>
    </row>
    <row r="505" spans="1:9">
      <c r="A505" s="261"/>
      <c r="B505" s="137" t="s">
        <v>208</v>
      </c>
      <c r="C505" s="84">
        <f>'4A_DOC'!$B$45*$L$29</f>
        <v>5.9785705553962497E-3</v>
      </c>
      <c r="D505" s="85">
        <v>1</v>
      </c>
      <c r="E505" s="85">
        <v>0</v>
      </c>
      <c r="F505" s="34">
        <v>0</v>
      </c>
      <c r="G505" s="86">
        <v>0.57999999999999996</v>
      </c>
      <c r="H505" s="85">
        <f t="shared" si="32"/>
        <v>3.6666666666666665</v>
      </c>
      <c r="I505" s="137">
        <f t="shared" si="33"/>
        <v>0</v>
      </c>
    </row>
    <row r="506" spans="1:9">
      <c r="A506" s="261"/>
      <c r="B506" s="137" t="s">
        <v>209</v>
      </c>
      <c r="C506" s="84">
        <f>'4A_DOC'!$B$46*$L$29</f>
        <v>4.4923722252412498E-3</v>
      </c>
      <c r="D506" s="85">
        <v>1</v>
      </c>
      <c r="E506" s="85">
        <v>0</v>
      </c>
      <c r="F506" s="34">
        <v>0</v>
      </c>
      <c r="G506" s="86">
        <v>0.57999999999999996</v>
      </c>
      <c r="H506" s="85">
        <f t="shared" si="32"/>
        <v>3.6666666666666665</v>
      </c>
      <c r="I506" s="137">
        <f t="shared" si="33"/>
        <v>0</v>
      </c>
    </row>
    <row r="507" spans="1:9">
      <c r="A507" s="261"/>
      <c r="B507" s="137" t="s">
        <v>210</v>
      </c>
      <c r="C507" s="84">
        <f>'4A_DOC'!$B$47*$L$29</f>
        <v>2.0975662796051248E-2</v>
      </c>
      <c r="D507" s="85">
        <v>0.9</v>
      </c>
      <c r="E507" s="85">
        <v>0</v>
      </c>
      <c r="F507" s="34">
        <v>0</v>
      </c>
      <c r="G507" s="86">
        <v>0.57999999999999996</v>
      </c>
      <c r="H507" s="85">
        <f t="shared" si="32"/>
        <v>3.6666666666666665</v>
      </c>
      <c r="I507" s="137">
        <f t="shared" si="33"/>
        <v>0</v>
      </c>
    </row>
    <row r="508" spans="1:9">
      <c r="A508" s="261" t="s">
        <v>48</v>
      </c>
      <c r="B508" s="261"/>
      <c r="C508" s="7"/>
      <c r="D508" s="137"/>
      <c r="E508" s="137"/>
      <c r="F508" s="137"/>
      <c r="G508" s="137"/>
      <c r="H508" s="137"/>
      <c r="I508" s="137"/>
    </row>
    <row r="509" spans="1:9">
      <c r="A509" s="198" t="s">
        <v>286</v>
      </c>
      <c r="B509" s="199"/>
      <c r="C509" s="199"/>
      <c r="D509" s="199"/>
      <c r="E509" s="199"/>
      <c r="F509" s="199"/>
      <c r="G509" s="199"/>
      <c r="H509" s="200"/>
      <c r="I509" s="91">
        <f>SUM(I499:I508)</f>
        <v>5.8547413684694988E-2</v>
      </c>
    </row>
    <row r="510" spans="1:9">
      <c r="A510" s="253" t="s">
        <v>53</v>
      </c>
      <c r="B510" s="254"/>
      <c r="C510" s="254"/>
      <c r="D510" s="254"/>
      <c r="E510" s="254"/>
      <c r="F510" s="254"/>
      <c r="G510" s="254"/>
      <c r="H510" s="254"/>
      <c r="I510" s="254"/>
    </row>
    <row r="511" spans="1:9">
      <c r="A511" s="255" t="s">
        <v>54</v>
      </c>
      <c r="B511" s="256"/>
      <c r="C511" s="256"/>
      <c r="D511" s="256"/>
      <c r="E511" s="256"/>
      <c r="F511" s="256"/>
      <c r="G511" s="256"/>
      <c r="H511" s="256"/>
      <c r="I511" s="256"/>
    </row>
    <row r="512" spans="1:9">
      <c r="A512" s="255" t="s">
        <v>55</v>
      </c>
      <c r="B512" s="256"/>
      <c r="C512" s="256"/>
      <c r="D512" s="256"/>
      <c r="E512" s="256"/>
      <c r="F512" s="256"/>
      <c r="G512" s="256"/>
      <c r="H512" s="256"/>
      <c r="I512" s="256"/>
    </row>
    <row r="513" spans="1:9">
      <c r="A513" s="255" t="s">
        <v>96</v>
      </c>
      <c r="B513" s="256"/>
      <c r="C513" s="256"/>
      <c r="D513" s="256"/>
      <c r="E513" s="256"/>
      <c r="F513" s="256"/>
      <c r="G513" s="256"/>
      <c r="H513" s="256"/>
      <c r="I513" s="256"/>
    </row>
    <row r="514" spans="1:9">
      <c r="A514" s="255" t="s">
        <v>97</v>
      </c>
      <c r="B514" s="256"/>
      <c r="C514" s="256"/>
      <c r="D514" s="256"/>
      <c r="E514" s="256"/>
      <c r="F514" s="256"/>
      <c r="G514" s="256"/>
      <c r="H514" s="256"/>
      <c r="I514" s="256"/>
    </row>
    <row r="515" spans="1:9">
      <c r="A515" s="257" t="s">
        <v>200</v>
      </c>
      <c r="B515" s="258"/>
      <c r="C515" s="258"/>
      <c r="D515" s="258"/>
      <c r="E515" s="258"/>
      <c r="F515" s="258"/>
      <c r="G515" s="258"/>
      <c r="H515" s="258"/>
      <c r="I515" s="258"/>
    </row>
    <row r="518" spans="1:9">
      <c r="A518" s="197" t="s">
        <v>0</v>
      </c>
      <c r="B518" s="197"/>
      <c r="C518" s="196" t="s">
        <v>1</v>
      </c>
      <c r="D518" s="196"/>
      <c r="E518" s="196"/>
      <c r="F518" s="196"/>
      <c r="G518" s="196"/>
      <c r="H518" s="196"/>
      <c r="I518" s="196"/>
    </row>
    <row r="519" spans="1:9">
      <c r="A519" s="197" t="s">
        <v>2</v>
      </c>
      <c r="B519" s="197"/>
      <c r="C519" s="196" t="s">
        <v>75</v>
      </c>
      <c r="D519" s="196"/>
      <c r="E519" s="196"/>
      <c r="F519" s="196"/>
      <c r="G519" s="196"/>
      <c r="H519" s="196"/>
      <c r="I519" s="196"/>
    </row>
    <row r="520" spans="1:9">
      <c r="A520" s="197" t="s">
        <v>4</v>
      </c>
      <c r="B520" s="197"/>
      <c r="C520" s="196" t="s">
        <v>76</v>
      </c>
      <c r="D520" s="196"/>
      <c r="E520" s="196"/>
      <c r="F520" s="196"/>
      <c r="G520" s="196"/>
      <c r="H520" s="196"/>
      <c r="I520" s="196"/>
    </row>
    <row r="521" spans="1:9">
      <c r="A521" s="197" t="s">
        <v>6</v>
      </c>
      <c r="B521" s="197"/>
      <c r="C521" s="196" t="s">
        <v>77</v>
      </c>
      <c r="D521" s="196"/>
      <c r="E521" s="196"/>
      <c r="F521" s="196"/>
      <c r="G521" s="196"/>
      <c r="H521" s="196"/>
      <c r="I521" s="196"/>
    </row>
    <row r="522" spans="1:9">
      <c r="A522" s="250" t="s">
        <v>8</v>
      </c>
      <c r="B522" s="250"/>
      <c r="C522" s="250"/>
      <c r="D522" s="250" t="s">
        <v>9</v>
      </c>
      <c r="E522" s="262"/>
      <c r="F522" s="262"/>
      <c r="G522" s="262"/>
      <c r="H522" s="262"/>
      <c r="I522" s="134"/>
    </row>
    <row r="523" spans="1:9">
      <c r="A523" s="259"/>
      <c r="B523" s="259"/>
      <c r="C523" s="7" t="s">
        <v>58</v>
      </c>
      <c r="D523" s="7" t="s">
        <v>78</v>
      </c>
      <c r="E523" s="7" t="s">
        <v>79</v>
      </c>
      <c r="F523" s="7" t="s">
        <v>80</v>
      </c>
      <c r="G523" s="7" t="s">
        <v>81</v>
      </c>
      <c r="H523" s="7" t="s">
        <v>82</v>
      </c>
      <c r="I523" s="7" t="s">
        <v>83</v>
      </c>
    </row>
    <row r="524" spans="1:9" ht="25.5">
      <c r="A524" s="207" t="s">
        <v>84</v>
      </c>
      <c r="B524" s="207"/>
      <c r="C524" s="138" t="s">
        <v>85</v>
      </c>
      <c r="D524" s="259" t="s">
        <v>86</v>
      </c>
      <c r="E524" s="138" t="s">
        <v>87</v>
      </c>
      <c r="F524" s="138" t="s">
        <v>89</v>
      </c>
      <c r="G524" s="259" t="s">
        <v>91</v>
      </c>
      <c r="H524" s="259" t="s">
        <v>38</v>
      </c>
      <c r="I524" s="259" t="s">
        <v>92</v>
      </c>
    </row>
    <row r="525" spans="1:9" ht="14.25">
      <c r="A525" s="207"/>
      <c r="B525" s="207"/>
      <c r="C525" s="135" t="s">
        <v>37</v>
      </c>
      <c r="D525" s="251"/>
      <c r="E525" s="135" t="s">
        <v>88</v>
      </c>
      <c r="F525" s="135" t="s">
        <v>90</v>
      </c>
      <c r="G525" s="251"/>
      <c r="H525" s="251"/>
      <c r="I525" s="251"/>
    </row>
    <row r="526" spans="1:9">
      <c r="A526" s="208"/>
      <c r="B526" s="208"/>
      <c r="C526" s="135"/>
      <c r="D526" s="135" t="s">
        <v>39</v>
      </c>
      <c r="E526" s="135" t="s">
        <v>40</v>
      </c>
      <c r="F526" s="135" t="s">
        <v>41</v>
      </c>
      <c r="G526" s="135" t="s">
        <v>42</v>
      </c>
      <c r="H526" s="135"/>
      <c r="I526" s="135"/>
    </row>
    <row r="527" spans="1:9" ht="15.75">
      <c r="A527" s="208"/>
      <c r="B527" s="208"/>
      <c r="C527" s="8" t="s">
        <v>43</v>
      </c>
      <c r="D527" s="8" t="s">
        <v>44</v>
      </c>
      <c r="E527" s="8" t="s">
        <v>44</v>
      </c>
      <c r="F527" s="8" t="s">
        <v>44</v>
      </c>
      <c r="G527" s="8" t="s">
        <v>44</v>
      </c>
      <c r="H527" s="8" t="s">
        <v>45</v>
      </c>
      <c r="I527" s="8" t="s">
        <v>46</v>
      </c>
    </row>
    <row r="528" spans="1:9" ht="15" thickBot="1">
      <c r="A528" s="260"/>
      <c r="B528" s="260"/>
      <c r="C528" s="5" t="s">
        <v>93</v>
      </c>
      <c r="D528" s="5"/>
      <c r="E528" s="5"/>
      <c r="F528" s="5"/>
      <c r="G528" s="5"/>
      <c r="H528" s="5"/>
      <c r="I528" s="5" t="s">
        <v>94</v>
      </c>
    </row>
    <row r="529" spans="1:9" ht="13.5" thickTop="1">
      <c r="A529" s="261" t="s">
        <v>95</v>
      </c>
      <c r="B529" s="137" t="s">
        <v>203</v>
      </c>
      <c r="C529" s="84">
        <f>'4A_DOC'!$B$39*$L$30</f>
        <v>0.2254924717974075</v>
      </c>
      <c r="D529" s="85">
        <v>0.4</v>
      </c>
      <c r="E529" s="85">
        <v>0.38</v>
      </c>
      <c r="F529" s="34">
        <v>0</v>
      </c>
      <c r="G529" s="86">
        <v>0.57999999999999996</v>
      </c>
      <c r="H529" s="85">
        <f>44/12</f>
        <v>3.6666666666666665</v>
      </c>
      <c r="I529" s="137">
        <f>C529*D529*E529*F529*G529*H529</f>
        <v>0</v>
      </c>
    </row>
    <row r="530" spans="1:9">
      <c r="A530" s="261"/>
      <c r="B530" s="137" t="s">
        <v>204</v>
      </c>
      <c r="C530" s="84">
        <f>'4A_DOC'!$B$40*$L$30</f>
        <v>4.3644799858362497E-2</v>
      </c>
      <c r="D530" s="85">
        <v>0.9</v>
      </c>
      <c r="E530" s="85">
        <v>0.46</v>
      </c>
      <c r="F530" s="34">
        <f>1/100</f>
        <v>0.01</v>
      </c>
      <c r="G530" s="86">
        <v>0.57999999999999996</v>
      </c>
      <c r="H530" s="85">
        <f t="shared" ref="H530:H537" si="34">44/12</f>
        <v>3.6666666666666665</v>
      </c>
      <c r="I530" s="137">
        <f t="shared" ref="I530:I537" si="35">C530*D530*E530*F530*G530*H530</f>
        <v>3.8426627587296669E-4</v>
      </c>
    </row>
    <row r="531" spans="1:9">
      <c r="A531" s="261"/>
      <c r="B531" s="137" t="s">
        <v>205</v>
      </c>
      <c r="C531" s="84">
        <f>'4A_DOC'!$B$41*$L$30</f>
        <v>0</v>
      </c>
      <c r="D531" s="85">
        <v>0.85</v>
      </c>
      <c r="E531" s="85">
        <v>0.5</v>
      </c>
      <c r="F531" s="34">
        <v>0</v>
      </c>
      <c r="G531" s="86">
        <v>0.57999999999999996</v>
      </c>
      <c r="H531" s="85">
        <f t="shared" si="34"/>
        <v>3.6666666666666665</v>
      </c>
      <c r="I531" s="137">
        <f t="shared" si="35"/>
        <v>0</v>
      </c>
    </row>
    <row r="532" spans="1:9">
      <c r="A532" s="261"/>
      <c r="B532" s="137" t="s">
        <v>47</v>
      </c>
      <c r="C532" s="84">
        <f>'4A_DOC'!$B$42*$L$30</f>
        <v>2.7511508081925003E-3</v>
      </c>
      <c r="D532" s="85">
        <v>0.8</v>
      </c>
      <c r="E532" s="85">
        <v>0.5</v>
      </c>
      <c r="F532" s="34">
        <f>20/100</f>
        <v>0.2</v>
      </c>
      <c r="G532" s="86">
        <v>0.57999999999999996</v>
      </c>
      <c r="H532" s="85">
        <f t="shared" si="34"/>
        <v>3.6666666666666665</v>
      </c>
      <c r="I532" s="137">
        <f t="shared" si="35"/>
        <v>4.6806245750048405E-4</v>
      </c>
    </row>
    <row r="533" spans="1:9">
      <c r="A533" s="261"/>
      <c r="B533" s="137" t="s">
        <v>206</v>
      </c>
      <c r="C533" s="84">
        <f>'4A_DOC'!$B$43*$L$30</f>
        <v>0</v>
      </c>
      <c r="D533" s="85">
        <v>0.84</v>
      </c>
      <c r="E533" s="85">
        <v>0.67</v>
      </c>
      <c r="F533" s="34">
        <f>20/100</f>
        <v>0.2</v>
      </c>
      <c r="G533" s="86">
        <v>0.57999999999999996</v>
      </c>
      <c r="H533" s="85">
        <f t="shared" si="34"/>
        <v>3.6666666666666665</v>
      </c>
      <c r="I533" s="137">
        <f t="shared" si="35"/>
        <v>0</v>
      </c>
    </row>
    <row r="534" spans="1:9">
      <c r="A534" s="261"/>
      <c r="B534" s="137" t="s">
        <v>207</v>
      </c>
      <c r="C534" s="84">
        <f>'4A_DOC'!$B$44*$L$30</f>
        <v>3.6376327352767503E-2</v>
      </c>
      <c r="D534" s="85">
        <v>1</v>
      </c>
      <c r="E534" s="85">
        <v>0.75</v>
      </c>
      <c r="F534" s="34">
        <f>100/100</f>
        <v>1</v>
      </c>
      <c r="G534" s="86">
        <v>0.57999999999999996</v>
      </c>
      <c r="H534" s="85">
        <f t="shared" si="34"/>
        <v>3.6666666666666665</v>
      </c>
      <c r="I534" s="137">
        <f t="shared" si="35"/>
        <v>5.8020242127664157E-2</v>
      </c>
    </row>
    <row r="535" spans="1:9">
      <c r="A535" s="261"/>
      <c r="B535" s="137" t="s">
        <v>208</v>
      </c>
      <c r="C535" s="84">
        <f>'4A_DOC'!$B$45*$L$30</f>
        <v>6.0117739882725001E-3</v>
      </c>
      <c r="D535" s="85">
        <v>1</v>
      </c>
      <c r="E535" s="85">
        <v>0</v>
      </c>
      <c r="F535" s="34">
        <v>0</v>
      </c>
      <c r="G535" s="86">
        <v>0.57999999999999996</v>
      </c>
      <c r="H535" s="85">
        <f t="shared" si="34"/>
        <v>3.6666666666666665</v>
      </c>
      <c r="I535" s="137">
        <f t="shared" si="35"/>
        <v>0</v>
      </c>
    </row>
    <row r="536" spans="1:9">
      <c r="A536" s="261"/>
      <c r="B536" s="137" t="s">
        <v>209</v>
      </c>
      <c r="C536" s="84">
        <f>'4A_DOC'!$B$46*$L$30</f>
        <v>4.5173216974024998E-3</v>
      </c>
      <c r="D536" s="85">
        <v>1</v>
      </c>
      <c r="E536" s="85">
        <v>0</v>
      </c>
      <c r="F536" s="34">
        <v>0</v>
      </c>
      <c r="G536" s="86">
        <v>0.57999999999999996</v>
      </c>
      <c r="H536" s="85">
        <f t="shared" si="34"/>
        <v>3.6666666666666665</v>
      </c>
      <c r="I536" s="137">
        <f t="shared" si="35"/>
        <v>0</v>
      </c>
    </row>
    <row r="537" spans="1:9">
      <c r="A537" s="261"/>
      <c r="B537" s="137" t="s">
        <v>210</v>
      </c>
      <c r="C537" s="84">
        <f>'4A_DOC'!$B$47*$L$30</f>
        <v>2.1092156196142499E-2</v>
      </c>
      <c r="D537" s="85">
        <v>0.9</v>
      </c>
      <c r="E537" s="85">
        <v>0</v>
      </c>
      <c r="F537" s="34">
        <v>0</v>
      </c>
      <c r="G537" s="86">
        <v>0.57999999999999996</v>
      </c>
      <c r="H537" s="85">
        <f t="shared" si="34"/>
        <v>3.6666666666666665</v>
      </c>
      <c r="I537" s="137">
        <f t="shared" si="35"/>
        <v>0</v>
      </c>
    </row>
    <row r="538" spans="1:9">
      <c r="A538" s="261" t="s">
        <v>48</v>
      </c>
      <c r="B538" s="261"/>
      <c r="C538" s="7"/>
      <c r="D538" s="137"/>
      <c r="E538" s="137"/>
      <c r="F538" s="137"/>
      <c r="G538" s="137"/>
      <c r="H538" s="137"/>
      <c r="I538" s="137"/>
    </row>
    <row r="539" spans="1:9">
      <c r="A539" s="198" t="s">
        <v>287</v>
      </c>
      <c r="B539" s="199"/>
      <c r="C539" s="199"/>
      <c r="D539" s="199"/>
      <c r="E539" s="199"/>
      <c r="F539" s="199"/>
      <c r="G539" s="199"/>
      <c r="H539" s="200"/>
      <c r="I539" s="91">
        <f>SUM(I529:I538)</f>
        <v>5.8872570861037608E-2</v>
      </c>
    </row>
    <row r="540" spans="1:9">
      <c r="A540" s="253" t="s">
        <v>53</v>
      </c>
      <c r="B540" s="254"/>
      <c r="C540" s="254"/>
      <c r="D540" s="254"/>
      <c r="E540" s="254"/>
      <c r="F540" s="254"/>
      <c r="G540" s="254"/>
      <c r="H540" s="254"/>
      <c r="I540" s="254"/>
    </row>
    <row r="541" spans="1:9">
      <c r="A541" s="255" t="s">
        <v>54</v>
      </c>
      <c r="B541" s="256"/>
      <c r="C541" s="256"/>
      <c r="D541" s="256"/>
      <c r="E541" s="256"/>
      <c r="F541" s="256"/>
      <c r="G541" s="256"/>
      <c r="H541" s="256"/>
      <c r="I541" s="256"/>
    </row>
    <row r="542" spans="1:9">
      <c r="A542" s="255" t="s">
        <v>55</v>
      </c>
      <c r="B542" s="256"/>
      <c r="C542" s="256"/>
      <c r="D542" s="256"/>
      <c r="E542" s="256"/>
      <c r="F542" s="256"/>
      <c r="G542" s="256"/>
      <c r="H542" s="256"/>
      <c r="I542" s="256"/>
    </row>
    <row r="543" spans="1:9">
      <c r="A543" s="255" t="s">
        <v>96</v>
      </c>
      <c r="B543" s="256"/>
      <c r="C543" s="256"/>
      <c r="D543" s="256"/>
      <c r="E543" s="256"/>
      <c r="F543" s="256"/>
      <c r="G543" s="256"/>
      <c r="H543" s="256"/>
      <c r="I543" s="256"/>
    </row>
    <row r="544" spans="1:9">
      <c r="A544" s="255" t="s">
        <v>97</v>
      </c>
      <c r="B544" s="256"/>
      <c r="C544" s="256"/>
      <c r="D544" s="256"/>
      <c r="E544" s="256"/>
      <c r="F544" s="256"/>
      <c r="G544" s="256"/>
      <c r="H544" s="256"/>
      <c r="I544" s="256"/>
    </row>
    <row r="545" spans="1:9">
      <c r="A545" s="257" t="s">
        <v>200</v>
      </c>
      <c r="B545" s="258"/>
      <c r="C545" s="258"/>
      <c r="D545" s="258"/>
      <c r="E545" s="258"/>
      <c r="F545" s="258"/>
      <c r="G545" s="258"/>
      <c r="H545" s="258"/>
      <c r="I545" s="258"/>
    </row>
    <row r="548" spans="1:9">
      <c r="A548" s="197" t="s">
        <v>0</v>
      </c>
      <c r="B548" s="197"/>
      <c r="C548" s="196" t="s">
        <v>1</v>
      </c>
      <c r="D548" s="196"/>
      <c r="E548" s="196"/>
      <c r="F548" s="196"/>
      <c r="G548" s="196"/>
      <c r="H548" s="196"/>
      <c r="I548" s="196"/>
    </row>
    <row r="549" spans="1:9">
      <c r="A549" s="197" t="s">
        <v>2</v>
      </c>
      <c r="B549" s="197"/>
      <c r="C549" s="196" t="s">
        <v>75</v>
      </c>
      <c r="D549" s="196"/>
      <c r="E549" s="196"/>
      <c r="F549" s="196"/>
      <c r="G549" s="196"/>
      <c r="H549" s="196"/>
      <c r="I549" s="196"/>
    </row>
    <row r="550" spans="1:9">
      <c r="A550" s="197" t="s">
        <v>4</v>
      </c>
      <c r="B550" s="197"/>
      <c r="C550" s="196" t="s">
        <v>76</v>
      </c>
      <c r="D550" s="196"/>
      <c r="E550" s="196"/>
      <c r="F550" s="196"/>
      <c r="G550" s="196"/>
      <c r="H550" s="196"/>
      <c r="I550" s="196"/>
    </row>
    <row r="551" spans="1:9">
      <c r="A551" s="197" t="s">
        <v>6</v>
      </c>
      <c r="B551" s="197"/>
      <c r="C551" s="196" t="s">
        <v>77</v>
      </c>
      <c r="D551" s="196"/>
      <c r="E551" s="196"/>
      <c r="F551" s="196"/>
      <c r="G551" s="196"/>
      <c r="H551" s="196"/>
      <c r="I551" s="196"/>
    </row>
    <row r="552" spans="1:9">
      <c r="A552" s="250" t="s">
        <v>8</v>
      </c>
      <c r="B552" s="250"/>
      <c r="C552" s="250"/>
      <c r="D552" s="250" t="s">
        <v>9</v>
      </c>
      <c r="E552" s="262"/>
      <c r="F552" s="262"/>
      <c r="G552" s="262"/>
      <c r="H552" s="262"/>
      <c r="I552" s="134"/>
    </row>
    <row r="553" spans="1:9">
      <c r="A553" s="259"/>
      <c r="B553" s="259"/>
      <c r="C553" s="7" t="s">
        <v>58</v>
      </c>
      <c r="D553" s="7" t="s">
        <v>78</v>
      </c>
      <c r="E553" s="7" t="s">
        <v>79</v>
      </c>
      <c r="F553" s="7" t="s">
        <v>80</v>
      </c>
      <c r="G553" s="7" t="s">
        <v>81</v>
      </c>
      <c r="H553" s="7" t="s">
        <v>82</v>
      </c>
      <c r="I553" s="7" t="s">
        <v>83</v>
      </c>
    </row>
    <row r="554" spans="1:9" ht="25.5">
      <c r="A554" s="207" t="s">
        <v>84</v>
      </c>
      <c r="B554" s="207"/>
      <c r="C554" s="138" t="s">
        <v>85</v>
      </c>
      <c r="D554" s="259" t="s">
        <v>86</v>
      </c>
      <c r="E554" s="138" t="s">
        <v>87</v>
      </c>
      <c r="F554" s="138" t="s">
        <v>89</v>
      </c>
      <c r="G554" s="259" t="s">
        <v>91</v>
      </c>
      <c r="H554" s="259" t="s">
        <v>38</v>
      </c>
      <c r="I554" s="259" t="s">
        <v>92</v>
      </c>
    </row>
    <row r="555" spans="1:9" ht="14.25">
      <c r="A555" s="207"/>
      <c r="B555" s="207"/>
      <c r="C555" s="135" t="s">
        <v>37</v>
      </c>
      <c r="D555" s="251"/>
      <c r="E555" s="135" t="s">
        <v>88</v>
      </c>
      <c r="F555" s="135" t="s">
        <v>90</v>
      </c>
      <c r="G555" s="251"/>
      <c r="H555" s="251"/>
      <c r="I555" s="251"/>
    </row>
    <row r="556" spans="1:9">
      <c r="A556" s="208"/>
      <c r="B556" s="208"/>
      <c r="C556" s="135"/>
      <c r="D556" s="135" t="s">
        <v>39</v>
      </c>
      <c r="E556" s="135" t="s">
        <v>40</v>
      </c>
      <c r="F556" s="135" t="s">
        <v>41</v>
      </c>
      <c r="G556" s="135" t="s">
        <v>42</v>
      </c>
      <c r="H556" s="135"/>
      <c r="I556" s="135"/>
    </row>
    <row r="557" spans="1:9" ht="15.75">
      <c r="A557" s="208"/>
      <c r="B557" s="208"/>
      <c r="C557" s="8" t="s">
        <v>43</v>
      </c>
      <c r="D557" s="8" t="s">
        <v>44</v>
      </c>
      <c r="E557" s="8" t="s">
        <v>44</v>
      </c>
      <c r="F557" s="8" t="s">
        <v>44</v>
      </c>
      <c r="G557" s="8" t="s">
        <v>44</v>
      </c>
      <c r="H557" s="8" t="s">
        <v>45</v>
      </c>
      <c r="I557" s="8" t="s">
        <v>46</v>
      </c>
    </row>
    <row r="558" spans="1:9" ht="15" thickBot="1">
      <c r="A558" s="260"/>
      <c r="B558" s="260"/>
      <c r="C558" s="5" t="s">
        <v>93</v>
      </c>
      <c r="D558" s="5"/>
      <c r="E558" s="5"/>
      <c r="F558" s="5"/>
      <c r="G558" s="5"/>
      <c r="H558" s="5"/>
      <c r="I558" s="5" t="s">
        <v>94</v>
      </c>
    </row>
    <row r="559" spans="1:9" ht="13.5" thickTop="1">
      <c r="A559" s="261" t="s">
        <v>95</v>
      </c>
      <c r="B559" s="137" t="s">
        <v>203</v>
      </c>
      <c r="C559" s="84">
        <f>'4A_DOC'!$B$39*$L$31</f>
        <v>0.22673788191529126</v>
      </c>
      <c r="D559" s="85">
        <v>0.4</v>
      </c>
      <c r="E559" s="85">
        <v>0.38</v>
      </c>
      <c r="F559" s="34">
        <v>0</v>
      </c>
      <c r="G559" s="86">
        <v>0.57999999999999996</v>
      </c>
      <c r="H559" s="85">
        <f>44/12</f>
        <v>3.6666666666666665</v>
      </c>
      <c r="I559" s="137">
        <f>C559*D559*E559*F559*G559*H559</f>
        <v>0</v>
      </c>
    </row>
    <row r="560" spans="1:9">
      <c r="A560" s="261"/>
      <c r="B560" s="137" t="s">
        <v>204</v>
      </c>
      <c r="C560" s="84">
        <f>'4A_DOC'!$B$40*$L$31</f>
        <v>4.3885853029243749E-2</v>
      </c>
      <c r="D560" s="85">
        <v>0.9</v>
      </c>
      <c r="E560" s="85">
        <v>0.46</v>
      </c>
      <c r="F560" s="34">
        <f>1/100</f>
        <v>0.01</v>
      </c>
      <c r="G560" s="86">
        <v>0.57999999999999996</v>
      </c>
      <c r="H560" s="85">
        <f t="shared" ref="H560:H567" si="36">44/12</f>
        <v>3.6666666666666665</v>
      </c>
      <c r="I560" s="137">
        <f t="shared" ref="I560:I567" si="37">C560*D560*E560*F560*G560*H560</f>
        <v>3.8638860441067368E-4</v>
      </c>
    </row>
    <row r="561" spans="1:9">
      <c r="A561" s="261"/>
      <c r="B561" s="137" t="s">
        <v>205</v>
      </c>
      <c r="C561" s="84">
        <f>'4A_DOC'!$B$41*$L$31</f>
        <v>0</v>
      </c>
      <c r="D561" s="85">
        <v>0.85</v>
      </c>
      <c r="E561" s="85">
        <v>0.5</v>
      </c>
      <c r="F561" s="34">
        <v>0</v>
      </c>
      <c r="G561" s="86">
        <v>0.57999999999999996</v>
      </c>
      <c r="H561" s="85">
        <f t="shared" si="36"/>
        <v>3.6666666666666665</v>
      </c>
      <c r="I561" s="137">
        <f t="shared" si="37"/>
        <v>0</v>
      </c>
    </row>
    <row r="562" spans="1:9">
      <c r="A562" s="261"/>
      <c r="B562" s="137" t="s">
        <v>47</v>
      </c>
      <c r="C562" s="84">
        <f>'4A_DOC'!$B$42*$L$31</f>
        <v>2.7663455995087503E-3</v>
      </c>
      <c r="D562" s="85">
        <v>0.8</v>
      </c>
      <c r="E562" s="85">
        <v>0.5</v>
      </c>
      <c r="F562" s="34">
        <f>20/100</f>
        <v>0.2</v>
      </c>
      <c r="G562" s="86">
        <v>0.57999999999999996</v>
      </c>
      <c r="H562" s="85">
        <f t="shared" si="36"/>
        <v>3.6666666666666665</v>
      </c>
      <c r="I562" s="137">
        <f t="shared" si="37"/>
        <v>4.7064759799642206E-4</v>
      </c>
    </row>
    <row r="563" spans="1:9">
      <c r="A563" s="261"/>
      <c r="B563" s="137" t="s">
        <v>206</v>
      </c>
      <c r="C563" s="84">
        <f>'4A_DOC'!$B$43*$L$31</f>
        <v>0</v>
      </c>
      <c r="D563" s="85">
        <v>0.84</v>
      </c>
      <c r="E563" s="85">
        <v>0.67</v>
      </c>
      <c r="F563" s="34">
        <f>20/100</f>
        <v>0.2</v>
      </c>
      <c r="G563" s="86">
        <v>0.57999999999999996</v>
      </c>
      <c r="H563" s="85">
        <f t="shared" si="36"/>
        <v>3.6666666666666665</v>
      </c>
      <c r="I563" s="137">
        <f t="shared" si="37"/>
        <v>0</v>
      </c>
    </row>
    <row r="564" spans="1:9">
      <c r="A564" s="261"/>
      <c r="B564" s="137" t="s">
        <v>207</v>
      </c>
      <c r="C564" s="84">
        <f>'4A_DOC'!$B$44*$L$31</f>
        <v>3.6577236260171252E-2</v>
      </c>
      <c r="D564" s="85">
        <v>1</v>
      </c>
      <c r="E564" s="85">
        <v>0.75</v>
      </c>
      <c r="F564" s="34">
        <f>100/100</f>
        <v>1</v>
      </c>
      <c r="G564" s="86">
        <v>0.57999999999999996</v>
      </c>
      <c r="H564" s="85">
        <f t="shared" si="36"/>
        <v>3.6666666666666665</v>
      </c>
      <c r="I564" s="137">
        <f t="shared" si="37"/>
        <v>5.8340691834973132E-2</v>
      </c>
    </row>
    <row r="565" spans="1:9">
      <c r="A565" s="261"/>
      <c r="B565" s="137" t="s">
        <v>208</v>
      </c>
      <c r="C565" s="84">
        <f>'4A_DOC'!$B$45*$L$31</f>
        <v>6.0449774211487495E-3</v>
      </c>
      <c r="D565" s="85">
        <v>1</v>
      </c>
      <c r="E565" s="85">
        <v>0</v>
      </c>
      <c r="F565" s="34">
        <v>0</v>
      </c>
      <c r="G565" s="86">
        <v>0.57999999999999996</v>
      </c>
      <c r="H565" s="85">
        <f t="shared" si="36"/>
        <v>3.6666666666666665</v>
      </c>
      <c r="I565" s="137">
        <f t="shared" si="37"/>
        <v>0</v>
      </c>
    </row>
    <row r="566" spans="1:9">
      <c r="A566" s="261"/>
      <c r="B566" s="137" t="s">
        <v>209</v>
      </c>
      <c r="C566" s="84">
        <f>'4A_DOC'!$B$46*$L$31</f>
        <v>4.5422711695637498E-3</v>
      </c>
      <c r="D566" s="85">
        <v>1</v>
      </c>
      <c r="E566" s="85">
        <v>0</v>
      </c>
      <c r="F566" s="34">
        <v>0</v>
      </c>
      <c r="G566" s="86">
        <v>0.57999999999999996</v>
      </c>
      <c r="H566" s="85">
        <f t="shared" si="36"/>
        <v>3.6666666666666665</v>
      </c>
      <c r="I566" s="137">
        <f t="shared" si="37"/>
        <v>0</v>
      </c>
    </row>
    <row r="567" spans="1:9">
      <c r="A567" s="261"/>
      <c r="B567" s="137" t="s">
        <v>210</v>
      </c>
      <c r="C567" s="84">
        <f>'4A_DOC'!$B$47*$L$31</f>
        <v>2.1208649596233749E-2</v>
      </c>
      <c r="D567" s="85">
        <v>0.9</v>
      </c>
      <c r="E567" s="85">
        <v>0</v>
      </c>
      <c r="F567" s="34">
        <v>0</v>
      </c>
      <c r="G567" s="86">
        <v>0.57999999999999996</v>
      </c>
      <c r="H567" s="85">
        <f t="shared" si="36"/>
        <v>3.6666666666666665</v>
      </c>
      <c r="I567" s="137">
        <f t="shared" si="37"/>
        <v>0</v>
      </c>
    </row>
    <row r="568" spans="1:9">
      <c r="A568" s="261" t="s">
        <v>48</v>
      </c>
      <c r="B568" s="261"/>
      <c r="C568" s="7"/>
      <c r="D568" s="137"/>
      <c r="E568" s="137"/>
      <c r="F568" s="137"/>
      <c r="G568" s="137"/>
      <c r="H568" s="137"/>
      <c r="I568" s="137"/>
    </row>
    <row r="569" spans="1:9">
      <c r="A569" s="198" t="s">
        <v>288</v>
      </c>
      <c r="B569" s="199"/>
      <c r="C569" s="199"/>
      <c r="D569" s="199"/>
      <c r="E569" s="199"/>
      <c r="F569" s="199"/>
      <c r="G569" s="199"/>
      <c r="H569" s="200"/>
      <c r="I569" s="91">
        <f>SUM(I559:I568)</f>
        <v>5.9197728037380229E-2</v>
      </c>
    </row>
    <row r="570" spans="1:9">
      <c r="A570" s="253" t="s">
        <v>53</v>
      </c>
      <c r="B570" s="254"/>
      <c r="C570" s="254"/>
      <c r="D570" s="254"/>
      <c r="E570" s="254"/>
      <c r="F570" s="254"/>
      <c r="G570" s="254"/>
      <c r="H570" s="254"/>
      <c r="I570" s="254"/>
    </row>
    <row r="571" spans="1:9">
      <c r="A571" s="255" t="s">
        <v>54</v>
      </c>
      <c r="B571" s="256"/>
      <c r="C571" s="256"/>
      <c r="D571" s="256"/>
      <c r="E571" s="256"/>
      <c r="F571" s="256"/>
      <c r="G571" s="256"/>
      <c r="H571" s="256"/>
      <c r="I571" s="256"/>
    </row>
    <row r="572" spans="1:9">
      <c r="A572" s="255" t="s">
        <v>55</v>
      </c>
      <c r="B572" s="256"/>
      <c r="C572" s="256"/>
      <c r="D572" s="256"/>
      <c r="E572" s="256"/>
      <c r="F572" s="256"/>
      <c r="G572" s="256"/>
      <c r="H572" s="256"/>
      <c r="I572" s="256"/>
    </row>
    <row r="573" spans="1:9">
      <c r="A573" s="255" t="s">
        <v>96</v>
      </c>
      <c r="B573" s="256"/>
      <c r="C573" s="256"/>
      <c r="D573" s="256"/>
      <c r="E573" s="256"/>
      <c r="F573" s="256"/>
      <c r="G573" s="256"/>
      <c r="H573" s="256"/>
      <c r="I573" s="256"/>
    </row>
    <row r="574" spans="1:9">
      <c r="A574" s="255" t="s">
        <v>97</v>
      </c>
      <c r="B574" s="256"/>
      <c r="C574" s="256"/>
      <c r="D574" s="256"/>
      <c r="E574" s="256"/>
      <c r="F574" s="256"/>
      <c r="G574" s="256"/>
      <c r="H574" s="256"/>
      <c r="I574" s="256"/>
    </row>
    <row r="575" spans="1:9">
      <c r="A575" s="257" t="s">
        <v>200</v>
      </c>
      <c r="B575" s="258"/>
      <c r="C575" s="258"/>
      <c r="D575" s="258"/>
      <c r="E575" s="258"/>
      <c r="F575" s="258"/>
      <c r="G575" s="258"/>
      <c r="H575" s="258"/>
      <c r="I575" s="258"/>
    </row>
    <row r="578" spans="1:9">
      <c r="A578" s="197" t="s">
        <v>0</v>
      </c>
      <c r="B578" s="197"/>
      <c r="C578" s="196" t="s">
        <v>1</v>
      </c>
      <c r="D578" s="196"/>
      <c r="E578" s="196"/>
      <c r="F578" s="196"/>
      <c r="G578" s="196"/>
      <c r="H578" s="196"/>
      <c r="I578" s="196"/>
    </row>
    <row r="579" spans="1:9">
      <c r="A579" s="197" t="s">
        <v>2</v>
      </c>
      <c r="B579" s="197"/>
      <c r="C579" s="196" t="s">
        <v>75</v>
      </c>
      <c r="D579" s="196"/>
      <c r="E579" s="196"/>
      <c r="F579" s="196"/>
      <c r="G579" s="196"/>
      <c r="H579" s="196"/>
      <c r="I579" s="196"/>
    </row>
    <row r="580" spans="1:9">
      <c r="A580" s="197" t="s">
        <v>4</v>
      </c>
      <c r="B580" s="197"/>
      <c r="C580" s="196" t="s">
        <v>76</v>
      </c>
      <c r="D580" s="196"/>
      <c r="E580" s="196"/>
      <c r="F580" s="196"/>
      <c r="G580" s="196"/>
      <c r="H580" s="196"/>
      <c r="I580" s="196"/>
    </row>
    <row r="581" spans="1:9">
      <c r="A581" s="197" t="s">
        <v>6</v>
      </c>
      <c r="B581" s="197"/>
      <c r="C581" s="196" t="s">
        <v>77</v>
      </c>
      <c r="D581" s="196"/>
      <c r="E581" s="196"/>
      <c r="F581" s="196"/>
      <c r="G581" s="196"/>
      <c r="H581" s="196"/>
      <c r="I581" s="196"/>
    </row>
    <row r="582" spans="1:9">
      <c r="A582" s="250" t="s">
        <v>8</v>
      </c>
      <c r="B582" s="250"/>
      <c r="C582" s="250"/>
      <c r="D582" s="250" t="s">
        <v>9</v>
      </c>
      <c r="E582" s="262"/>
      <c r="F582" s="262"/>
      <c r="G582" s="262"/>
      <c r="H582" s="262"/>
      <c r="I582" s="134"/>
    </row>
    <row r="583" spans="1:9">
      <c r="A583" s="259"/>
      <c r="B583" s="259"/>
      <c r="C583" s="7" t="s">
        <v>58</v>
      </c>
      <c r="D583" s="7" t="s">
        <v>78</v>
      </c>
      <c r="E583" s="7" t="s">
        <v>79</v>
      </c>
      <c r="F583" s="7" t="s">
        <v>80</v>
      </c>
      <c r="G583" s="7" t="s">
        <v>81</v>
      </c>
      <c r="H583" s="7" t="s">
        <v>82</v>
      </c>
      <c r="I583" s="7" t="s">
        <v>83</v>
      </c>
    </row>
    <row r="584" spans="1:9" ht="25.5">
      <c r="A584" s="207" t="s">
        <v>84</v>
      </c>
      <c r="B584" s="207"/>
      <c r="C584" s="138" t="s">
        <v>85</v>
      </c>
      <c r="D584" s="259" t="s">
        <v>86</v>
      </c>
      <c r="E584" s="138" t="s">
        <v>87</v>
      </c>
      <c r="F584" s="138" t="s">
        <v>89</v>
      </c>
      <c r="G584" s="259" t="s">
        <v>91</v>
      </c>
      <c r="H584" s="259" t="s">
        <v>38</v>
      </c>
      <c r="I584" s="259" t="s">
        <v>92</v>
      </c>
    </row>
    <row r="585" spans="1:9" ht="14.25">
      <c r="A585" s="207"/>
      <c r="B585" s="207"/>
      <c r="C585" s="135" t="s">
        <v>37</v>
      </c>
      <c r="D585" s="251"/>
      <c r="E585" s="135" t="s">
        <v>88</v>
      </c>
      <c r="F585" s="135" t="s">
        <v>90</v>
      </c>
      <c r="G585" s="251"/>
      <c r="H585" s="251"/>
      <c r="I585" s="251"/>
    </row>
    <row r="586" spans="1:9">
      <c r="A586" s="208"/>
      <c r="B586" s="208"/>
      <c r="C586" s="135"/>
      <c r="D586" s="135" t="s">
        <v>39</v>
      </c>
      <c r="E586" s="135" t="s">
        <v>40</v>
      </c>
      <c r="F586" s="135" t="s">
        <v>41</v>
      </c>
      <c r="G586" s="135" t="s">
        <v>42</v>
      </c>
      <c r="H586" s="135"/>
      <c r="I586" s="135"/>
    </row>
    <row r="587" spans="1:9" ht="15.75">
      <c r="A587" s="208"/>
      <c r="B587" s="208"/>
      <c r="C587" s="8" t="s">
        <v>43</v>
      </c>
      <c r="D587" s="8" t="s">
        <v>44</v>
      </c>
      <c r="E587" s="8" t="s">
        <v>44</v>
      </c>
      <c r="F587" s="8" t="s">
        <v>44</v>
      </c>
      <c r="G587" s="8" t="s">
        <v>44</v>
      </c>
      <c r="H587" s="8" t="s">
        <v>45</v>
      </c>
      <c r="I587" s="8" t="s">
        <v>46</v>
      </c>
    </row>
    <row r="588" spans="1:9" ht="15" thickBot="1">
      <c r="A588" s="260"/>
      <c r="B588" s="260"/>
      <c r="C588" s="5" t="s">
        <v>93</v>
      </c>
      <c r="D588" s="5"/>
      <c r="E588" s="5"/>
      <c r="F588" s="5"/>
      <c r="G588" s="5"/>
      <c r="H588" s="5"/>
      <c r="I588" s="5" t="s">
        <v>94</v>
      </c>
    </row>
    <row r="589" spans="1:9" ht="13.5" thickTop="1">
      <c r="A589" s="261" t="s">
        <v>95</v>
      </c>
      <c r="B589" s="137" t="s">
        <v>203</v>
      </c>
      <c r="C589" s="84">
        <f>'4A_DOC'!$B$39*$L$32</f>
        <v>0.22798329203317499</v>
      </c>
      <c r="D589" s="85">
        <v>0.4</v>
      </c>
      <c r="E589" s="85">
        <v>0.38</v>
      </c>
      <c r="F589" s="34">
        <v>0</v>
      </c>
      <c r="G589" s="86">
        <v>0.57999999999999996</v>
      </c>
      <c r="H589" s="85">
        <f>44/12</f>
        <v>3.6666666666666665</v>
      </c>
      <c r="I589" s="137">
        <f>C589*D589*E589*F589*G589*H589</f>
        <v>0</v>
      </c>
    </row>
    <row r="590" spans="1:9">
      <c r="A590" s="261"/>
      <c r="B590" s="137" t="s">
        <v>204</v>
      </c>
      <c r="C590" s="84">
        <f>'4A_DOC'!$B$40*$L$32</f>
        <v>4.4126906200125E-2</v>
      </c>
      <c r="D590" s="85">
        <v>0.9</v>
      </c>
      <c r="E590" s="85">
        <v>0.46</v>
      </c>
      <c r="F590" s="34">
        <f>1/100</f>
        <v>0.01</v>
      </c>
      <c r="G590" s="86">
        <v>0.57999999999999996</v>
      </c>
      <c r="H590" s="85">
        <f t="shared" ref="H590:H597" si="38">44/12</f>
        <v>3.6666666666666665</v>
      </c>
      <c r="I590" s="137">
        <f t="shared" ref="I590:I597" si="39">C590*D590*E590*F590*G590*H590</f>
        <v>3.8851093294838056E-4</v>
      </c>
    </row>
    <row r="591" spans="1:9">
      <c r="A591" s="261"/>
      <c r="B591" s="137" t="s">
        <v>205</v>
      </c>
      <c r="C591" s="84">
        <f>'4A_DOC'!$B$41*$L$32</f>
        <v>0</v>
      </c>
      <c r="D591" s="85">
        <v>0.85</v>
      </c>
      <c r="E591" s="85">
        <v>0.5</v>
      </c>
      <c r="F591" s="34">
        <v>0</v>
      </c>
      <c r="G591" s="86">
        <v>0.57999999999999996</v>
      </c>
      <c r="H591" s="85">
        <f t="shared" si="38"/>
        <v>3.6666666666666665</v>
      </c>
      <c r="I591" s="137">
        <f t="shared" si="39"/>
        <v>0</v>
      </c>
    </row>
    <row r="592" spans="1:9">
      <c r="A592" s="261"/>
      <c r="B592" s="137" t="s">
        <v>47</v>
      </c>
      <c r="C592" s="84">
        <f>'4A_DOC'!$B$42*$L$32</f>
        <v>2.7815403908250003E-3</v>
      </c>
      <c r="D592" s="85">
        <v>0.8</v>
      </c>
      <c r="E592" s="85">
        <v>0.5</v>
      </c>
      <c r="F592" s="34">
        <f>20/100</f>
        <v>0.2</v>
      </c>
      <c r="G592" s="86">
        <v>0.57999999999999996</v>
      </c>
      <c r="H592" s="85">
        <f t="shared" si="38"/>
        <v>3.6666666666666665</v>
      </c>
      <c r="I592" s="137">
        <f t="shared" si="39"/>
        <v>4.7323273849236006E-4</v>
      </c>
    </row>
    <row r="593" spans="1:9">
      <c r="A593" s="261"/>
      <c r="B593" s="137" t="s">
        <v>206</v>
      </c>
      <c r="C593" s="84">
        <f>'4A_DOC'!$B$43*$L$32</f>
        <v>0</v>
      </c>
      <c r="D593" s="85">
        <v>0.84</v>
      </c>
      <c r="E593" s="85">
        <v>0.67</v>
      </c>
      <c r="F593" s="34">
        <f>20/100</f>
        <v>0.2</v>
      </c>
      <c r="G593" s="86">
        <v>0.57999999999999996</v>
      </c>
      <c r="H593" s="85">
        <f t="shared" si="38"/>
        <v>3.6666666666666665</v>
      </c>
      <c r="I593" s="137">
        <f t="shared" si="39"/>
        <v>0</v>
      </c>
    </row>
    <row r="594" spans="1:9">
      <c r="A594" s="261"/>
      <c r="B594" s="137" t="s">
        <v>207</v>
      </c>
      <c r="C594" s="84">
        <f>'4A_DOC'!$B$44*$L$32</f>
        <v>3.6778145167575001E-2</v>
      </c>
      <c r="D594" s="85">
        <v>1</v>
      </c>
      <c r="E594" s="85">
        <v>0.75</v>
      </c>
      <c r="F594" s="34">
        <f>100/100</f>
        <v>1</v>
      </c>
      <c r="G594" s="86">
        <v>0.57999999999999996</v>
      </c>
      <c r="H594" s="85">
        <f t="shared" si="38"/>
        <v>3.6666666666666665</v>
      </c>
      <c r="I594" s="137">
        <f t="shared" si="39"/>
        <v>5.8661141542282122E-2</v>
      </c>
    </row>
    <row r="595" spans="1:9">
      <c r="A595" s="261"/>
      <c r="B595" s="137" t="s">
        <v>208</v>
      </c>
      <c r="C595" s="84">
        <f>'4A_DOC'!$B$45*$L$32</f>
        <v>6.0781808540249999E-3</v>
      </c>
      <c r="D595" s="85">
        <v>1</v>
      </c>
      <c r="E595" s="85">
        <v>0</v>
      </c>
      <c r="F595" s="34">
        <v>0</v>
      </c>
      <c r="G595" s="86">
        <v>0.57999999999999996</v>
      </c>
      <c r="H595" s="85">
        <f t="shared" si="38"/>
        <v>3.6666666666666665</v>
      </c>
      <c r="I595" s="137">
        <f t="shared" si="39"/>
        <v>0</v>
      </c>
    </row>
    <row r="596" spans="1:9">
      <c r="A596" s="261"/>
      <c r="B596" s="137" t="s">
        <v>209</v>
      </c>
      <c r="C596" s="84">
        <f>'4A_DOC'!$B$46*$L$32</f>
        <v>4.5672206417249998E-3</v>
      </c>
      <c r="D596" s="85">
        <v>1</v>
      </c>
      <c r="E596" s="85">
        <v>0</v>
      </c>
      <c r="F596" s="34">
        <v>0</v>
      </c>
      <c r="G596" s="86">
        <v>0.57999999999999996</v>
      </c>
      <c r="H596" s="85">
        <f t="shared" si="38"/>
        <v>3.6666666666666665</v>
      </c>
      <c r="I596" s="137">
        <f t="shared" si="39"/>
        <v>0</v>
      </c>
    </row>
    <row r="597" spans="1:9">
      <c r="A597" s="261"/>
      <c r="B597" s="137" t="s">
        <v>210</v>
      </c>
      <c r="C597" s="84">
        <f>'4A_DOC'!$B$47*$L$32</f>
        <v>2.1325142996325E-2</v>
      </c>
      <c r="D597" s="85">
        <v>0.9</v>
      </c>
      <c r="E597" s="85">
        <v>0</v>
      </c>
      <c r="F597" s="34">
        <v>0</v>
      </c>
      <c r="G597" s="86">
        <v>0.57999999999999996</v>
      </c>
      <c r="H597" s="85">
        <f t="shared" si="38"/>
        <v>3.6666666666666665</v>
      </c>
      <c r="I597" s="137">
        <f t="shared" si="39"/>
        <v>0</v>
      </c>
    </row>
    <row r="598" spans="1:9">
      <c r="A598" s="261" t="s">
        <v>48</v>
      </c>
      <c r="B598" s="261"/>
      <c r="C598" s="7"/>
      <c r="D598" s="137"/>
      <c r="E598" s="137"/>
      <c r="F598" s="137"/>
      <c r="G598" s="137"/>
      <c r="H598" s="137"/>
      <c r="I598" s="137"/>
    </row>
    <row r="599" spans="1:9">
      <c r="A599" s="198" t="s">
        <v>289</v>
      </c>
      <c r="B599" s="199"/>
      <c r="C599" s="199"/>
      <c r="D599" s="199"/>
      <c r="E599" s="199"/>
      <c r="F599" s="199"/>
      <c r="G599" s="199"/>
      <c r="H599" s="200"/>
      <c r="I599" s="91">
        <f>SUM(I589:I598)</f>
        <v>5.9522885213722863E-2</v>
      </c>
    </row>
    <row r="600" spans="1:9">
      <c r="A600" s="253" t="s">
        <v>53</v>
      </c>
      <c r="B600" s="254"/>
      <c r="C600" s="254"/>
      <c r="D600" s="254"/>
      <c r="E600" s="254"/>
      <c r="F600" s="254"/>
      <c r="G600" s="254"/>
      <c r="H600" s="254"/>
      <c r="I600" s="254"/>
    </row>
    <row r="601" spans="1:9">
      <c r="A601" s="255" t="s">
        <v>54</v>
      </c>
      <c r="B601" s="256"/>
      <c r="C601" s="256"/>
      <c r="D601" s="256"/>
      <c r="E601" s="256"/>
      <c r="F601" s="256"/>
      <c r="G601" s="256"/>
      <c r="H601" s="256"/>
      <c r="I601" s="256"/>
    </row>
    <row r="602" spans="1:9">
      <c r="A602" s="255" t="s">
        <v>55</v>
      </c>
      <c r="B602" s="256"/>
      <c r="C602" s="256"/>
      <c r="D602" s="256"/>
      <c r="E602" s="256"/>
      <c r="F602" s="256"/>
      <c r="G602" s="256"/>
      <c r="H602" s="256"/>
      <c r="I602" s="256"/>
    </row>
    <row r="603" spans="1:9">
      <c r="A603" s="255" t="s">
        <v>96</v>
      </c>
      <c r="B603" s="256"/>
      <c r="C603" s="256"/>
      <c r="D603" s="256"/>
      <c r="E603" s="256"/>
      <c r="F603" s="256"/>
      <c r="G603" s="256"/>
      <c r="H603" s="256"/>
      <c r="I603" s="256"/>
    </row>
    <row r="604" spans="1:9">
      <c r="A604" s="255" t="s">
        <v>97</v>
      </c>
      <c r="B604" s="256"/>
      <c r="C604" s="256"/>
      <c r="D604" s="256"/>
      <c r="E604" s="256"/>
      <c r="F604" s="256"/>
      <c r="G604" s="256"/>
      <c r="H604" s="256"/>
      <c r="I604" s="256"/>
    </row>
    <row r="605" spans="1:9">
      <c r="A605" s="257" t="s">
        <v>200</v>
      </c>
      <c r="B605" s="258"/>
      <c r="C605" s="258"/>
      <c r="D605" s="258"/>
      <c r="E605" s="258"/>
      <c r="F605" s="258"/>
      <c r="G605" s="258"/>
      <c r="H605" s="258"/>
      <c r="I605" s="258"/>
    </row>
  </sheetData>
  <mergeCells count="523">
    <mergeCell ref="A29:I29"/>
    <mergeCell ref="D6:H6"/>
    <mergeCell ref="A6:C6"/>
    <mergeCell ref="A8:B11"/>
    <mergeCell ref="A24:I24"/>
    <mergeCell ref="A25:I25"/>
    <mergeCell ref="A26:I26"/>
    <mergeCell ref="A27:I27"/>
    <mergeCell ref="A23:H23"/>
    <mergeCell ref="A13:A21"/>
    <mergeCell ref="A7:B7"/>
    <mergeCell ref="H8:H9"/>
    <mergeCell ref="I8:I9"/>
    <mergeCell ref="D8:D9"/>
    <mergeCell ref="A28:I28"/>
    <mergeCell ref="G8:G9"/>
    <mergeCell ref="K8:K12"/>
    <mergeCell ref="L8:L12"/>
    <mergeCell ref="M8:M12"/>
    <mergeCell ref="A12:B12"/>
    <mergeCell ref="A22:B22"/>
    <mergeCell ref="A2:B2"/>
    <mergeCell ref="C2:I2"/>
    <mergeCell ref="A3:B3"/>
    <mergeCell ref="C3:I3"/>
    <mergeCell ref="C5:I5"/>
    <mergeCell ref="A4:B4"/>
    <mergeCell ref="C4:I4"/>
    <mergeCell ref="A5:B5"/>
    <mergeCell ref="A39:B39"/>
    <mergeCell ref="C39:I39"/>
    <mergeCell ref="A40:C40"/>
    <mergeCell ref="D40:H40"/>
    <mergeCell ref="A41:B41"/>
    <mergeCell ref="A36:B36"/>
    <mergeCell ref="C36:I36"/>
    <mergeCell ref="A37:B37"/>
    <mergeCell ref="C37:I37"/>
    <mergeCell ref="A38:B38"/>
    <mergeCell ref="C38:I38"/>
    <mergeCell ref="A46:B46"/>
    <mergeCell ref="A47:A55"/>
    <mergeCell ref="A56:B56"/>
    <mergeCell ref="A57:H57"/>
    <mergeCell ref="A58:I58"/>
    <mergeCell ref="A42:B45"/>
    <mergeCell ref="D42:D43"/>
    <mergeCell ref="G42:G43"/>
    <mergeCell ref="H42:H43"/>
    <mergeCell ref="I42:I43"/>
    <mergeCell ref="A66:B66"/>
    <mergeCell ref="C66:I66"/>
    <mergeCell ref="A67:B67"/>
    <mergeCell ref="C67:I67"/>
    <mergeCell ref="A68:B68"/>
    <mergeCell ref="C68:I68"/>
    <mergeCell ref="A59:I59"/>
    <mergeCell ref="A60:I60"/>
    <mergeCell ref="A61:I61"/>
    <mergeCell ref="A62:I62"/>
    <mergeCell ref="A63:I63"/>
    <mergeCell ref="H72:H73"/>
    <mergeCell ref="I72:I73"/>
    <mergeCell ref="A72:B75"/>
    <mergeCell ref="D72:D73"/>
    <mergeCell ref="G72:G73"/>
    <mergeCell ref="A69:B69"/>
    <mergeCell ref="C69:I69"/>
    <mergeCell ref="A70:C70"/>
    <mergeCell ref="D70:H70"/>
    <mergeCell ref="A71:B71"/>
    <mergeCell ref="A89:I89"/>
    <mergeCell ref="A90:I90"/>
    <mergeCell ref="A91:I91"/>
    <mergeCell ref="A92:I92"/>
    <mergeCell ref="A93:I93"/>
    <mergeCell ref="A76:B76"/>
    <mergeCell ref="A77:A85"/>
    <mergeCell ref="A86:B86"/>
    <mergeCell ref="A87:H87"/>
    <mergeCell ref="A88:I88"/>
    <mergeCell ref="A100:B100"/>
    <mergeCell ref="C100:I100"/>
    <mergeCell ref="A101:C101"/>
    <mergeCell ref="D101:H101"/>
    <mergeCell ref="A102:B102"/>
    <mergeCell ref="A97:B97"/>
    <mergeCell ref="C97:I97"/>
    <mergeCell ref="A98:B98"/>
    <mergeCell ref="C98:I98"/>
    <mergeCell ref="A99:B99"/>
    <mergeCell ref="C99:I99"/>
    <mergeCell ref="A107:B107"/>
    <mergeCell ref="A108:A116"/>
    <mergeCell ref="A117:B117"/>
    <mergeCell ref="A118:H118"/>
    <mergeCell ref="A119:I119"/>
    <mergeCell ref="A103:B106"/>
    <mergeCell ref="D103:D104"/>
    <mergeCell ref="G103:G104"/>
    <mergeCell ref="H103:H104"/>
    <mergeCell ref="I103:I104"/>
    <mergeCell ref="A128:B128"/>
    <mergeCell ref="C128:I128"/>
    <mergeCell ref="A129:B129"/>
    <mergeCell ref="C129:I129"/>
    <mergeCell ref="A130:B130"/>
    <mergeCell ref="C130:I130"/>
    <mergeCell ref="A120:I120"/>
    <mergeCell ref="A121:I121"/>
    <mergeCell ref="A122:I122"/>
    <mergeCell ref="A123:I123"/>
    <mergeCell ref="A124:I124"/>
    <mergeCell ref="A134:B137"/>
    <mergeCell ref="D134:D135"/>
    <mergeCell ref="G134:G135"/>
    <mergeCell ref="H134:H135"/>
    <mergeCell ref="I134:I135"/>
    <mergeCell ref="A131:B131"/>
    <mergeCell ref="C131:I131"/>
    <mergeCell ref="A132:C132"/>
    <mergeCell ref="D132:H132"/>
    <mergeCell ref="A133:B133"/>
    <mergeCell ref="A151:I151"/>
    <mergeCell ref="A152:I152"/>
    <mergeCell ref="A153:I153"/>
    <mergeCell ref="A154:I154"/>
    <mergeCell ref="A155:I155"/>
    <mergeCell ref="A138:B138"/>
    <mergeCell ref="A139:A147"/>
    <mergeCell ref="A148:B148"/>
    <mergeCell ref="A149:H149"/>
    <mergeCell ref="A150:I150"/>
    <mergeCell ref="A161:B161"/>
    <mergeCell ref="C161:I161"/>
    <mergeCell ref="A162:C162"/>
    <mergeCell ref="D162:H162"/>
    <mergeCell ref="A163:B163"/>
    <mergeCell ref="A158:B158"/>
    <mergeCell ref="C158:I158"/>
    <mergeCell ref="A159:B159"/>
    <mergeCell ref="C159:I159"/>
    <mergeCell ref="A160:B160"/>
    <mergeCell ref="C160:I160"/>
    <mergeCell ref="A168:B168"/>
    <mergeCell ref="A169:A177"/>
    <mergeCell ref="A178:B178"/>
    <mergeCell ref="A179:H179"/>
    <mergeCell ref="A180:I180"/>
    <mergeCell ref="A164:B167"/>
    <mergeCell ref="D164:D165"/>
    <mergeCell ref="G164:G165"/>
    <mergeCell ref="H164:H165"/>
    <mergeCell ref="I164:I165"/>
    <mergeCell ref="A188:B188"/>
    <mergeCell ref="C188:I188"/>
    <mergeCell ref="A189:B189"/>
    <mergeCell ref="C189:I189"/>
    <mergeCell ref="A190:B190"/>
    <mergeCell ref="C190:I190"/>
    <mergeCell ref="A181:I181"/>
    <mergeCell ref="A182:I182"/>
    <mergeCell ref="A183:I183"/>
    <mergeCell ref="A184:I184"/>
    <mergeCell ref="A185:I185"/>
    <mergeCell ref="A194:B197"/>
    <mergeCell ref="D194:D195"/>
    <mergeCell ref="G194:G195"/>
    <mergeCell ref="H194:H195"/>
    <mergeCell ref="I194:I195"/>
    <mergeCell ref="A191:B191"/>
    <mergeCell ref="C191:I191"/>
    <mergeCell ref="A192:C192"/>
    <mergeCell ref="D192:H192"/>
    <mergeCell ref="A193:B193"/>
    <mergeCell ref="A211:I211"/>
    <mergeCell ref="A212:I212"/>
    <mergeCell ref="A213:I213"/>
    <mergeCell ref="A214:I214"/>
    <mergeCell ref="A215:I215"/>
    <mergeCell ref="A198:B198"/>
    <mergeCell ref="A199:A207"/>
    <mergeCell ref="A208:B208"/>
    <mergeCell ref="A209:H209"/>
    <mergeCell ref="A210:I210"/>
    <mergeCell ref="A221:B221"/>
    <mergeCell ref="C221:I221"/>
    <mergeCell ref="A222:C222"/>
    <mergeCell ref="D222:H222"/>
    <mergeCell ref="A223:B223"/>
    <mergeCell ref="A218:B218"/>
    <mergeCell ref="C218:I218"/>
    <mergeCell ref="A219:B219"/>
    <mergeCell ref="C219:I219"/>
    <mergeCell ref="A220:B220"/>
    <mergeCell ref="C220:I220"/>
    <mergeCell ref="A228:B228"/>
    <mergeCell ref="A229:A237"/>
    <mergeCell ref="A238:B238"/>
    <mergeCell ref="A239:H239"/>
    <mergeCell ref="A240:I240"/>
    <mergeCell ref="A224:B227"/>
    <mergeCell ref="D224:D225"/>
    <mergeCell ref="G224:G225"/>
    <mergeCell ref="H224:H225"/>
    <mergeCell ref="I224:I225"/>
    <mergeCell ref="A248:B248"/>
    <mergeCell ref="C248:I248"/>
    <mergeCell ref="A249:B249"/>
    <mergeCell ref="C249:I249"/>
    <mergeCell ref="A250:B250"/>
    <mergeCell ref="C250:I250"/>
    <mergeCell ref="A241:I241"/>
    <mergeCell ref="A242:I242"/>
    <mergeCell ref="A243:I243"/>
    <mergeCell ref="A244:I244"/>
    <mergeCell ref="A245:I245"/>
    <mergeCell ref="A254:B257"/>
    <mergeCell ref="D254:D255"/>
    <mergeCell ref="G254:G255"/>
    <mergeCell ref="H254:H255"/>
    <mergeCell ref="I254:I255"/>
    <mergeCell ref="A251:B251"/>
    <mergeCell ref="C251:I251"/>
    <mergeCell ref="A252:C252"/>
    <mergeCell ref="D252:H252"/>
    <mergeCell ref="A253:B253"/>
    <mergeCell ref="A271:I271"/>
    <mergeCell ref="A272:I272"/>
    <mergeCell ref="A273:I273"/>
    <mergeCell ref="A274:I274"/>
    <mergeCell ref="A275:I275"/>
    <mergeCell ref="A258:B258"/>
    <mergeCell ref="A259:A267"/>
    <mergeCell ref="A268:B268"/>
    <mergeCell ref="A269:H269"/>
    <mergeCell ref="A270:I270"/>
    <mergeCell ref="A281:B281"/>
    <mergeCell ref="C281:I281"/>
    <mergeCell ref="A282:C282"/>
    <mergeCell ref="D282:H282"/>
    <mergeCell ref="A283:B283"/>
    <mergeCell ref="A278:B278"/>
    <mergeCell ref="C278:I278"/>
    <mergeCell ref="A279:B279"/>
    <mergeCell ref="C279:I279"/>
    <mergeCell ref="A280:B280"/>
    <mergeCell ref="C280:I280"/>
    <mergeCell ref="A288:B288"/>
    <mergeCell ref="A289:A297"/>
    <mergeCell ref="A298:B298"/>
    <mergeCell ref="A299:H299"/>
    <mergeCell ref="A300:I300"/>
    <mergeCell ref="A284:B287"/>
    <mergeCell ref="D284:D285"/>
    <mergeCell ref="G284:G285"/>
    <mergeCell ref="H284:H285"/>
    <mergeCell ref="I284:I285"/>
    <mergeCell ref="A308:B308"/>
    <mergeCell ref="C308:I308"/>
    <mergeCell ref="A309:B309"/>
    <mergeCell ref="C309:I309"/>
    <mergeCell ref="A310:B310"/>
    <mergeCell ref="C310:I310"/>
    <mergeCell ref="A301:I301"/>
    <mergeCell ref="A302:I302"/>
    <mergeCell ref="A303:I303"/>
    <mergeCell ref="A304:I304"/>
    <mergeCell ref="A305:I305"/>
    <mergeCell ref="A314:B317"/>
    <mergeCell ref="D314:D315"/>
    <mergeCell ref="G314:G315"/>
    <mergeCell ref="H314:H315"/>
    <mergeCell ref="I314:I315"/>
    <mergeCell ref="A311:B311"/>
    <mergeCell ref="C311:I311"/>
    <mergeCell ref="A312:C312"/>
    <mergeCell ref="D312:H312"/>
    <mergeCell ref="A313:B313"/>
    <mergeCell ref="A331:I331"/>
    <mergeCell ref="A332:I332"/>
    <mergeCell ref="A333:I333"/>
    <mergeCell ref="A334:I334"/>
    <mergeCell ref="A335:I335"/>
    <mergeCell ref="A318:B318"/>
    <mergeCell ref="A319:A327"/>
    <mergeCell ref="A328:B328"/>
    <mergeCell ref="A329:H329"/>
    <mergeCell ref="A330:I330"/>
    <mergeCell ref="A338:B338"/>
    <mergeCell ref="C338:I338"/>
    <mergeCell ref="A339:B339"/>
    <mergeCell ref="C339:I339"/>
    <mergeCell ref="A340:B340"/>
    <mergeCell ref="C340:I340"/>
    <mergeCell ref="A341:B341"/>
    <mergeCell ref="C341:I341"/>
    <mergeCell ref="A342:C342"/>
    <mergeCell ref="D342:H342"/>
    <mergeCell ref="A343:B343"/>
    <mergeCell ref="A344:B347"/>
    <mergeCell ref="D344:D345"/>
    <mergeCell ref="G344:G345"/>
    <mergeCell ref="H344:H345"/>
    <mergeCell ref="I344:I345"/>
    <mergeCell ref="A348:B348"/>
    <mergeCell ref="A349:A357"/>
    <mergeCell ref="A358:B358"/>
    <mergeCell ref="A359:H359"/>
    <mergeCell ref="A360:I360"/>
    <mergeCell ref="A361:I361"/>
    <mergeCell ref="A362:I362"/>
    <mergeCell ref="A363:I363"/>
    <mergeCell ref="A364:I364"/>
    <mergeCell ref="A365:I365"/>
    <mergeCell ref="A368:B368"/>
    <mergeCell ref="C368:I368"/>
    <mergeCell ref="A369:B369"/>
    <mergeCell ref="C369:I369"/>
    <mergeCell ref="A370:B370"/>
    <mergeCell ref="C370:I370"/>
    <mergeCell ref="A371:B371"/>
    <mergeCell ref="C371:I371"/>
    <mergeCell ref="A372:C372"/>
    <mergeCell ref="D372:H372"/>
    <mergeCell ref="A373:B373"/>
    <mergeCell ref="A374:B377"/>
    <mergeCell ref="D374:D375"/>
    <mergeCell ref="G374:G375"/>
    <mergeCell ref="H374:H375"/>
    <mergeCell ref="I374:I375"/>
    <mergeCell ref="A378:B378"/>
    <mergeCell ref="A379:A387"/>
    <mergeCell ref="A388:B388"/>
    <mergeCell ref="A389:H389"/>
    <mergeCell ref="A390:I390"/>
    <mergeCell ref="A391:I391"/>
    <mergeCell ref="A392:I392"/>
    <mergeCell ref="A393:I393"/>
    <mergeCell ref="A394:I394"/>
    <mergeCell ref="A395:I395"/>
    <mergeCell ref="A398:B398"/>
    <mergeCell ref="C398:I398"/>
    <mergeCell ref="A399:B399"/>
    <mergeCell ref="C399:I399"/>
    <mergeCell ref="A400:B400"/>
    <mergeCell ref="C400:I400"/>
    <mergeCell ref="A401:B401"/>
    <mergeCell ref="C401:I401"/>
    <mergeCell ref="A402:C402"/>
    <mergeCell ref="D402:H402"/>
    <mergeCell ref="A403:B403"/>
    <mergeCell ref="A404:B407"/>
    <mergeCell ref="D404:D405"/>
    <mergeCell ref="G404:G405"/>
    <mergeCell ref="H404:H405"/>
    <mergeCell ref="I404:I405"/>
    <mergeCell ref="A408:B408"/>
    <mergeCell ref="A409:A417"/>
    <mergeCell ref="A418:B418"/>
    <mergeCell ref="A419:H419"/>
    <mergeCell ref="A420:I420"/>
    <mergeCell ref="A421:I421"/>
    <mergeCell ref="A422:I422"/>
    <mergeCell ref="A423:I423"/>
    <mergeCell ref="A424:I424"/>
    <mergeCell ref="A425:I425"/>
    <mergeCell ref="A428:B428"/>
    <mergeCell ref="C428:I428"/>
    <mergeCell ref="A429:B429"/>
    <mergeCell ref="C429:I429"/>
    <mergeCell ref="A430:B430"/>
    <mergeCell ref="C430:I430"/>
    <mergeCell ref="A431:B431"/>
    <mergeCell ref="C431:I431"/>
    <mergeCell ref="A432:C432"/>
    <mergeCell ref="D432:H432"/>
    <mergeCell ref="A433:B433"/>
    <mergeCell ref="A434:B437"/>
    <mergeCell ref="D434:D435"/>
    <mergeCell ref="G434:G435"/>
    <mergeCell ref="H434:H435"/>
    <mergeCell ref="I434:I435"/>
    <mergeCell ref="A438:B438"/>
    <mergeCell ref="A439:A447"/>
    <mergeCell ref="A448:B448"/>
    <mergeCell ref="A449:H449"/>
    <mergeCell ref="A450:I450"/>
    <mergeCell ref="A451:I451"/>
    <mergeCell ref="A452:I452"/>
    <mergeCell ref="A453:I453"/>
    <mergeCell ref="A454:I454"/>
    <mergeCell ref="A455:I455"/>
    <mergeCell ref="A458:B458"/>
    <mergeCell ref="C458:I458"/>
    <mergeCell ref="A459:B459"/>
    <mergeCell ref="C459:I459"/>
    <mergeCell ref="A460:B460"/>
    <mergeCell ref="C460:I460"/>
    <mergeCell ref="A461:B461"/>
    <mergeCell ref="C461:I461"/>
    <mergeCell ref="A462:C462"/>
    <mergeCell ref="D462:H462"/>
    <mergeCell ref="A463:B463"/>
    <mergeCell ref="A464:B467"/>
    <mergeCell ref="D464:D465"/>
    <mergeCell ref="G464:G465"/>
    <mergeCell ref="H464:H465"/>
    <mergeCell ref="I464:I465"/>
    <mergeCell ref="A468:B468"/>
    <mergeCell ref="A469:A477"/>
    <mergeCell ref="A478:B478"/>
    <mergeCell ref="A479:H479"/>
    <mergeCell ref="A480:I480"/>
    <mergeCell ref="A481:I481"/>
    <mergeCell ref="A482:I482"/>
    <mergeCell ref="A483:I483"/>
    <mergeCell ref="A484:I484"/>
    <mergeCell ref="A485:I485"/>
    <mergeCell ref="A488:B488"/>
    <mergeCell ref="C488:I488"/>
    <mergeCell ref="A489:B489"/>
    <mergeCell ref="C489:I489"/>
    <mergeCell ref="A490:B490"/>
    <mergeCell ref="C490:I490"/>
    <mergeCell ref="A491:B491"/>
    <mergeCell ref="C491:I491"/>
    <mergeCell ref="A492:C492"/>
    <mergeCell ref="D492:H492"/>
    <mergeCell ref="A493:B493"/>
    <mergeCell ref="A494:B497"/>
    <mergeCell ref="D494:D495"/>
    <mergeCell ref="G494:G495"/>
    <mergeCell ref="H494:H495"/>
    <mergeCell ref="I494:I495"/>
    <mergeCell ref="A498:B498"/>
    <mergeCell ref="A499:A507"/>
    <mergeCell ref="A508:B508"/>
    <mergeCell ref="A509:H509"/>
    <mergeCell ref="A510:I510"/>
    <mergeCell ref="A511:I511"/>
    <mergeCell ref="A512:I512"/>
    <mergeCell ref="A513:I513"/>
    <mergeCell ref="A514:I514"/>
    <mergeCell ref="A515:I515"/>
    <mergeCell ref="A518:B518"/>
    <mergeCell ref="C518:I518"/>
    <mergeCell ref="A519:B519"/>
    <mergeCell ref="C519:I519"/>
    <mergeCell ref="A520:B520"/>
    <mergeCell ref="C520:I520"/>
    <mergeCell ref="A521:B521"/>
    <mergeCell ref="C521:I521"/>
    <mergeCell ref="A522:C522"/>
    <mergeCell ref="D522:H522"/>
    <mergeCell ref="A523:B523"/>
    <mergeCell ref="A524:B527"/>
    <mergeCell ref="D524:D525"/>
    <mergeCell ref="G524:G525"/>
    <mergeCell ref="H524:H525"/>
    <mergeCell ref="I524:I525"/>
    <mergeCell ref="A528:B528"/>
    <mergeCell ref="A529:A537"/>
    <mergeCell ref="A538:B538"/>
    <mergeCell ref="A539:H539"/>
    <mergeCell ref="A540:I540"/>
    <mergeCell ref="A541:I541"/>
    <mergeCell ref="A542:I542"/>
    <mergeCell ref="A543:I543"/>
    <mergeCell ref="A544:I544"/>
    <mergeCell ref="A545:I545"/>
    <mergeCell ref="A548:B548"/>
    <mergeCell ref="C548:I548"/>
    <mergeCell ref="A549:B549"/>
    <mergeCell ref="C549:I549"/>
    <mergeCell ref="A550:B550"/>
    <mergeCell ref="C550:I550"/>
    <mergeCell ref="A551:B551"/>
    <mergeCell ref="C551:I551"/>
    <mergeCell ref="A552:C552"/>
    <mergeCell ref="D552:H552"/>
    <mergeCell ref="A553:B553"/>
    <mergeCell ref="A554:B557"/>
    <mergeCell ref="D554:D555"/>
    <mergeCell ref="G554:G555"/>
    <mergeCell ref="H554:H555"/>
    <mergeCell ref="I554:I555"/>
    <mergeCell ref="A558:B558"/>
    <mergeCell ref="A559:A567"/>
    <mergeCell ref="A568:B568"/>
    <mergeCell ref="A569:H569"/>
    <mergeCell ref="A570:I570"/>
    <mergeCell ref="A571:I571"/>
    <mergeCell ref="A572:I572"/>
    <mergeCell ref="A573:I573"/>
    <mergeCell ref="A574:I574"/>
    <mergeCell ref="A575:I575"/>
    <mergeCell ref="A578:B578"/>
    <mergeCell ref="C578:I578"/>
    <mergeCell ref="A579:B579"/>
    <mergeCell ref="C579:I579"/>
    <mergeCell ref="A580:B580"/>
    <mergeCell ref="C580:I580"/>
    <mergeCell ref="A581:B581"/>
    <mergeCell ref="C581:I581"/>
    <mergeCell ref="A582:C582"/>
    <mergeCell ref="D582:H582"/>
    <mergeCell ref="A599:H599"/>
    <mergeCell ref="A600:I600"/>
    <mergeCell ref="A601:I601"/>
    <mergeCell ref="A602:I602"/>
    <mergeCell ref="A603:I603"/>
    <mergeCell ref="A604:I604"/>
    <mergeCell ref="A605:I605"/>
    <mergeCell ref="A583:B583"/>
    <mergeCell ref="A584:B587"/>
    <mergeCell ref="D584:D585"/>
    <mergeCell ref="G584:G585"/>
    <mergeCell ref="H584:H585"/>
    <mergeCell ref="I584:I585"/>
    <mergeCell ref="A588:B588"/>
    <mergeCell ref="A589:A597"/>
    <mergeCell ref="A598:B598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C00000"/>
  </sheetPr>
  <dimension ref="A2:I34"/>
  <sheetViews>
    <sheetView topLeftCell="A8" zoomScaleNormal="100" workbookViewId="0">
      <selection activeCell="B11" sqref="B11"/>
    </sheetView>
  </sheetViews>
  <sheetFormatPr defaultRowHeight="12.75"/>
  <cols>
    <col min="1" max="1" width="24.140625" style="6" customWidth="1"/>
    <col min="2" max="2" width="24.85546875" style="6" customWidth="1"/>
    <col min="3" max="3" width="21.85546875" style="6" customWidth="1"/>
    <col min="4" max="4" width="19.42578125" style="6" customWidth="1"/>
    <col min="5" max="16384" width="9.140625" style="6"/>
  </cols>
  <sheetData>
    <row r="2" spans="1:9">
      <c r="A2" s="75" t="s">
        <v>0</v>
      </c>
      <c r="B2" s="196" t="s">
        <v>1</v>
      </c>
      <c r="C2" s="196"/>
      <c r="D2" s="196"/>
    </row>
    <row r="3" spans="1:9">
      <c r="A3" s="75" t="s">
        <v>2</v>
      </c>
      <c r="B3" s="196" t="s">
        <v>75</v>
      </c>
      <c r="C3" s="196"/>
      <c r="D3" s="196"/>
    </row>
    <row r="4" spans="1:9">
      <c r="A4" s="75" t="s">
        <v>4</v>
      </c>
      <c r="B4" s="196" t="s">
        <v>76</v>
      </c>
      <c r="C4" s="196"/>
      <c r="D4" s="196"/>
    </row>
    <row r="5" spans="1:9">
      <c r="A5" s="75" t="s">
        <v>6</v>
      </c>
      <c r="B5" s="196" t="s">
        <v>100</v>
      </c>
      <c r="C5" s="196"/>
      <c r="D5" s="196"/>
    </row>
    <row r="6" spans="1:9">
      <c r="A6" s="250"/>
      <c r="B6" s="250"/>
      <c r="C6" s="83"/>
      <c r="D6" s="83"/>
    </row>
    <row r="7" spans="1:9">
      <c r="A7" s="59"/>
      <c r="B7" s="7" t="s">
        <v>58</v>
      </c>
      <c r="C7" s="7" t="s">
        <v>78</v>
      </c>
      <c r="D7" s="7" t="s">
        <v>79</v>
      </c>
    </row>
    <row r="8" spans="1:9" ht="39.75">
      <c r="A8" s="207" t="s">
        <v>84</v>
      </c>
      <c r="B8" s="59" t="s">
        <v>107</v>
      </c>
      <c r="C8" s="59" t="s">
        <v>101</v>
      </c>
      <c r="D8" s="59" t="s">
        <v>98</v>
      </c>
    </row>
    <row r="9" spans="1:9" ht="30">
      <c r="A9" s="208"/>
      <c r="B9" s="8" t="s">
        <v>43</v>
      </c>
      <c r="C9" s="8" t="s">
        <v>102</v>
      </c>
      <c r="D9" s="8" t="s">
        <v>99</v>
      </c>
    </row>
    <row r="10" spans="1:9" ht="15" thickBot="1">
      <c r="A10" s="208"/>
      <c r="B10" s="77"/>
      <c r="C10" s="77"/>
      <c r="D10" s="5" t="s">
        <v>103</v>
      </c>
    </row>
    <row r="11" spans="1:9" ht="13.5" thickTop="1">
      <c r="A11" s="7">
        <f>'4B_N2O emission'!B12</f>
        <v>2011</v>
      </c>
      <c r="B11" s="97">
        <f>'4C1_Amount_Waste_OpenBurned'!G12</f>
        <v>0.30727771375000001</v>
      </c>
      <c r="C11" s="78">
        <f>$H$11</f>
        <v>6500</v>
      </c>
      <c r="D11" s="95">
        <f>B11*C11/(10^6)</f>
        <v>1.9973051393750003E-3</v>
      </c>
      <c r="E11" s="6" t="s">
        <v>250</v>
      </c>
      <c r="H11" s="6">
        <v>6500</v>
      </c>
      <c r="I11" s="6" t="s">
        <v>251</v>
      </c>
    </row>
    <row r="12" spans="1:9">
      <c r="A12" s="7">
        <f>'4B_N2O emission'!B13</f>
        <v>2012</v>
      </c>
      <c r="B12" s="98">
        <f>'4C1_Amount_Waste_OpenBurned'!G13</f>
        <v>0.30974137249999995</v>
      </c>
      <c r="C12" s="53">
        <f t="shared" ref="C12:C31" si="0">$H$11</f>
        <v>6500</v>
      </c>
      <c r="D12" s="85">
        <f t="shared" ref="D12:D31" si="1">B12*C12/(10^6)</f>
        <v>2.0133189212499995E-3</v>
      </c>
    </row>
    <row r="13" spans="1:9">
      <c r="A13" s="7">
        <f>'4B_N2O emission'!B14</f>
        <v>2013</v>
      </c>
      <c r="B13" s="98">
        <f>'4C1_Amount_Waste_OpenBurned'!G14</f>
        <v>0.31163462749999998</v>
      </c>
      <c r="C13" s="53">
        <f t="shared" si="0"/>
        <v>6500</v>
      </c>
      <c r="D13" s="85">
        <f t="shared" si="1"/>
        <v>2.0256250787499997E-3</v>
      </c>
    </row>
    <row r="14" spans="1:9">
      <c r="A14" s="7">
        <f>'4B_N2O emission'!B15</f>
        <v>2014</v>
      </c>
      <c r="B14" s="98">
        <f>'4C1_Amount_Waste_OpenBurned'!G15</f>
        <v>0.31425605750000002</v>
      </c>
      <c r="C14" s="53">
        <f t="shared" si="0"/>
        <v>6500</v>
      </c>
      <c r="D14" s="85">
        <f t="shared" si="1"/>
        <v>2.0426643737500002E-3</v>
      </c>
    </row>
    <row r="15" spans="1:9">
      <c r="A15" s="7">
        <f>'4B_N2O emission'!B16</f>
        <v>2015</v>
      </c>
      <c r="B15" s="98">
        <f>'4C1_Amount_Waste_OpenBurned'!G16</f>
        <v>0.31517841250000006</v>
      </c>
      <c r="C15" s="53">
        <f t="shared" si="0"/>
        <v>6500</v>
      </c>
      <c r="D15" s="85">
        <f t="shared" si="1"/>
        <v>2.04865968125E-3</v>
      </c>
    </row>
    <row r="16" spans="1:9">
      <c r="A16" s="7">
        <f>'4B_N2O emission'!B17</f>
        <v>2016</v>
      </c>
      <c r="B16" s="98">
        <f>'4C1_Amount_Waste_OpenBurned'!G17</f>
        <v>0.31662262624999998</v>
      </c>
      <c r="C16" s="53">
        <f t="shared" si="0"/>
        <v>6500</v>
      </c>
      <c r="D16" s="85">
        <f t="shared" si="1"/>
        <v>2.0580470706249997E-3</v>
      </c>
    </row>
    <row r="17" spans="1:4">
      <c r="A17" s="7">
        <f>'4B_N2O emission'!B18</f>
        <v>2017</v>
      </c>
      <c r="B17" s="98">
        <f>'4C1_Amount_Waste_OpenBurned'!G18</f>
        <v>0.31901334613750004</v>
      </c>
      <c r="C17" s="53">
        <f t="shared" si="0"/>
        <v>6500</v>
      </c>
      <c r="D17" s="85">
        <f t="shared" si="1"/>
        <v>2.0735867498937505E-3</v>
      </c>
    </row>
    <row r="18" spans="1:4">
      <c r="A18" s="7">
        <f>'4B_N2O emission'!B19</f>
        <v>2018</v>
      </c>
      <c r="B18" s="98">
        <f>'4C1_Amount_Waste_OpenBurned'!G19</f>
        <v>0.32088924629999999</v>
      </c>
      <c r="C18" s="53">
        <f t="shared" si="0"/>
        <v>6500</v>
      </c>
      <c r="D18" s="85">
        <f t="shared" si="1"/>
        <v>2.0857801009499998E-3</v>
      </c>
    </row>
    <row r="19" spans="1:4">
      <c r="A19" s="7">
        <f>'4B_N2O emission'!B20</f>
        <v>2019</v>
      </c>
      <c r="B19" s="98">
        <f>'4C1_Amount_Waste_OpenBurned'!G20</f>
        <v>0.32276514646249999</v>
      </c>
      <c r="C19" s="53">
        <f t="shared" si="0"/>
        <v>6500</v>
      </c>
      <c r="D19" s="85">
        <f t="shared" si="1"/>
        <v>2.0979734520062496E-3</v>
      </c>
    </row>
    <row r="20" spans="1:4">
      <c r="A20" s="7">
        <f>'4B_N2O emission'!B21</f>
        <v>2020</v>
      </c>
      <c r="B20" s="98">
        <f>'4C1_Amount_Waste_OpenBurned'!G21</f>
        <v>0.32464104662499998</v>
      </c>
      <c r="C20" s="53">
        <f>$H$11</f>
        <v>6500</v>
      </c>
      <c r="D20" s="85">
        <f t="shared" si="1"/>
        <v>2.1101668030625003E-3</v>
      </c>
    </row>
    <row r="21" spans="1:4">
      <c r="A21" s="7">
        <f>'4B_N2O emission'!B22</f>
        <v>2021</v>
      </c>
      <c r="B21" s="98">
        <f>'4C1_Amount_Waste_OpenBurned'!G22</f>
        <v>0.32651694678749998</v>
      </c>
      <c r="C21" s="53">
        <f t="shared" si="0"/>
        <v>6500</v>
      </c>
      <c r="D21" s="85">
        <f t="shared" si="1"/>
        <v>2.1223601541187501E-3</v>
      </c>
    </row>
    <row r="22" spans="1:4">
      <c r="A22" s="7">
        <f>'4B_N2O emission'!B23</f>
        <v>2022</v>
      </c>
      <c r="B22" s="98">
        <f>'4C1_Amount_Waste_OpenBurned'!G23</f>
        <v>0.32839284694999998</v>
      </c>
      <c r="C22" s="53">
        <f t="shared" si="0"/>
        <v>6500</v>
      </c>
      <c r="D22" s="85">
        <f t="shared" si="1"/>
        <v>2.1345535051749999E-3</v>
      </c>
    </row>
    <row r="23" spans="1:4">
      <c r="A23" s="7">
        <f>'4B_N2O emission'!B24</f>
        <v>2023</v>
      </c>
      <c r="B23" s="98">
        <f>'4C1_Amount_Waste_OpenBurned'!G24</f>
        <v>0.33026874711249993</v>
      </c>
      <c r="C23" s="53">
        <f t="shared" si="0"/>
        <v>6500</v>
      </c>
      <c r="D23" s="85">
        <f t="shared" si="1"/>
        <v>2.1467468562312497E-3</v>
      </c>
    </row>
    <row r="24" spans="1:4">
      <c r="A24" s="7">
        <f>'4B_N2O emission'!B25</f>
        <v>2024</v>
      </c>
      <c r="B24" s="98">
        <f>'4C1_Amount_Waste_OpenBurned'!G25</f>
        <v>0.33214464727499998</v>
      </c>
      <c r="C24" s="53">
        <f t="shared" si="0"/>
        <v>6500</v>
      </c>
      <c r="D24" s="85">
        <f t="shared" si="1"/>
        <v>2.1589402072874999E-3</v>
      </c>
    </row>
    <row r="25" spans="1:4">
      <c r="A25" s="7">
        <f>'4B_N2O emission'!B26</f>
        <v>2025</v>
      </c>
      <c r="B25" s="98">
        <f>'4C1_Amount_Waste_OpenBurned'!G26</f>
        <v>0.33402054743750004</v>
      </c>
      <c r="C25" s="53">
        <f t="shared" si="0"/>
        <v>6500</v>
      </c>
      <c r="D25" s="85">
        <f t="shared" si="1"/>
        <v>2.1711335583437501E-3</v>
      </c>
    </row>
    <row r="26" spans="1:4">
      <c r="A26" s="7">
        <f>'4B_N2O emission'!B27</f>
        <v>2026</v>
      </c>
      <c r="B26" s="98">
        <f>'4C1_Amount_Waste_OpenBurned'!G27</f>
        <v>0.33589644759999998</v>
      </c>
      <c r="C26" s="53">
        <f t="shared" si="0"/>
        <v>6500</v>
      </c>
      <c r="D26" s="85">
        <f t="shared" si="1"/>
        <v>2.1833269093999999E-3</v>
      </c>
    </row>
    <row r="27" spans="1:4">
      <c r="A27" s="7">
        <f>'4B_N2O emission'!B28</f>
        <v>2027</v>
      </c>
      <c r="B27" s="98">
        <f>'4C1_Amount_Waste_OpenBurned'!G28</f>
        <v>0.33777234776249998</v>
      </c>
      <c r="C27" s="53">
        <f t="shared" si="0"/>
        <v>6500</v>
      </c>
      <c r="D27" s="85">
        <f t="shared" si="1"/>
        <v>2.1955202604562502E-3</v>
      </c>
    </row>
    <row r="28" spans="1:4">
      <c r="A28" s="7">
        <f>'4B_N2O emission'!B29</f>
        <v>2028</v>
      </c>
      <c r="B28" s="98">
        <f>'4C1_Amount_Waste_OpenBurned'!G29</f>
        <v>0.33964824792499998</v>
      </c>
      <c r="C28" s="53">
        <f t="shared" si="0"/>
        <v>6500</v>
      </c>
      <c r="D28" s="85">
        <f t="shared" si="1"/>
        <v>2.2077136115125E-3</v>
      </c>
    </row>
    <row r="29" spans="1:4">
      <c r="A29" s="7">
        <f>'4B_N2O emission'!B30</f>
        <v>2029</v>
      </c>
      <c r="B29" s="98">
        <f>'4C1_Amount_Waste_OpenBurned'!G30</f>
        <v>0.34152414808749998</v>
      </c>
      <c r="C29" s="53">
        <f t="shared" si="0"/>
        <v>6500</v>
      </c>
      <c r="D29" s="85">
        <f t="shared" si="1"/>
        <v>2.2199069625687498E-3</v>
      </c>
    </row>
    <row r="30" spans="1:4">
      <c r="A30" s="7">
        <f>'4B_N2O emission'!B31</f>
        <v>2030</v>
      </c>
      <c r="B30" s="98">
        <f>'4C1_Amount_Waste_OpenBurned'!G31</f>
        <v>0.34340004824999998</v>
      </c>
      <c r="C30" s="53">
        <f t="shared" si="0"/>
        <v>6500</v>
      </c>
      <c r="D30" s="85">
        <f t="shared" si="1"/>
        <v>2.2321003136249996E-3</v>
      </c>
    </row>
    <row r="31" spans="1:4">
      <c r="A31" s="7">
        <f>'4B_N2O emission'!B32</f>
        <v>2031</v>
      </c>
      <c r="B31" s="99">
        <f>'4C1_Amount_Waste_OpenBurned'!G32</f>
        <v>0</v>
      </c>
      <c r="C31" s="55">
        <f t="shared" si="0"/>
        <v>6500</v>
      </c>
      <c r="D31" s="96">
        <f t="shared" si="1"/>
        <v>0</v>
      </c>
    </row>
    <row r="32" spans="1:4">
      <c r="A32" s="253" t="s">
        <v>104</v>
      </c>
      <c r="B32" s="254"/>
      <c r="C32" s="254"/>
      <c r="D32" s="254"/>
    </row>
    <row r="33" spans="1:4">
      <c r="A33" s="255" t="s">
        <v>105</v>
      </c>
      <c r="B33" s="256"/>
      <c r="C33" s="256"/>
      <c r="D33" s="256"/>
    </row>
    <row r="34" spans="1:4">
      <c r="A34" s="257" t="s">
        <v>106</v>
      </c>
      <c r="B34" s="258"/>
      <c r="C34" s="258"/>
      <c r="D34" s="258"/>
    </row>
  </sheetData>
  <mergeCells count="9">
    <mergeCell ref="A32:D32"/>
    <mergeCell ref="A33:D33"/>
    <mergeCell ref="A34:D34"/>
    <mergeCell ref="B2:D2"/>
    <mergeCell ref="B3:D3"/>
    <mergeCell ref="A8:A10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C00000"/>
  </sheetPr>
  <dimension ref="A2:I35"/>
  <sheetViews>
    <sheetView topLeftCell="A11" zoomScaleNormal="100" workbookViewId="0">
      <selection activeCell="E22" sqref="E22"/>
    </sheetView>
  </sheetViews>
  <sheetFormatPr defaultRowHeight="12.75"/>
  <cols>
    <col min="1" max="1" width="28" style="6" customWidth="1"/>
    <col min="2" max="4" width="29.28515625" style="6" customWidth="1"/>
    <col min="5" max="6" width="9.140625" style="6"/>
    <col min="7" max="7" width="14.42578125" style="6" customWidth="1"/>
    <col min="8" max="16384" width="9.140625" style="6"/>
  </cols>
  <sheetData>
    <row r="2" spans="1:9" ht="14.25" customHeight="1">
      <c r="A2" s="75" t="s">
        <v>0</v>
      </c>
      <c r="B2" s="196" t="s">
        <v>1</v>
      </c>
      <c r="C2" s="196"/>
      <c r="D2" s="196"/>
    </row>
    <row r="3" spans="1:9" ht="14.25" customHeight="1">
      <c r="A3" s="75" t="s">
        <v>2</v>
      </c>
      <c r="B3" s="196" t="s">
        <v>75</v>
      </c>
      <c r="C3" s="196"/>
      <c r="D3" s="196"/>
    </row>
    <row r="4" spans="1:9" ht="14.25" customHeight="1">
      <c r="A4" s="75" t="s">
        <v>4</v>
      </c>
      <c r="B4" s="196" t="s">
        <v>76</v>
      </c>
      <c r="C4" s="196"/>
      <c r="D4" s="196"/>
    </row>
    <row r="5" spans="1:9" ht="14.25" customHeight="1">
      <c r="A5" s="75" t="s">
        <v>6</v>
      </c>
      <c r="B5" s="196" t="s">
        <v>111</v>
      </c>
      <c r="C5" s="196"/>
      <c r="D5" s="196"/>
    </row>
    <row r="6" spans="1:9">
      <c r="A6" s="250"/>
      <c r="B6" s="250"/>
      <c r="C6" s="83"/>
      <c r="D6" s="83"/>
    </row>
    <row r="7" spans="1:9">
      <c r="A7" s="59"/>
      <c r="B7" s="7" t="s">
        <v>58</v>
      </c>
      <c r="C7" s="7" t="s">
        <v>78</v>
      </c>
      <c r="D7" s="7" t="s">
        <v>79</v>
      </c>
    </row>
    <row r="8" spans="1:9" ht="39.75">
      <c r="A8" s="207" t="s">
        <v>84</v>
      </c>
      <c r="B8" s="59" t="s">
        <v>116</v>
      </c>
      <c r="C8" s="59" t="s">
        <v>108</v>
      </c>
      <c r="D8" s="59" t="s">
        <v>109</v>
      </c>
    </row>
    <row r="9" spans="1:9" ht="16.5" customHeight="1">
      <c r="A9" s="208"/>
      <c r="B9" s="8" t="s">
        <v>112</v>
      </c>
      <c r="C9" s="8" t="s">
        <v>113</v>
      </c>
      <c r="D9" s="8" t="s">
        <v>110</v>
      </c>
    </row>
    <row r="10" spans="1:9" ht="15" thickBot="1">
      <c r="A10" s="52"/>
      <c r="B10" s="77"/>
      <c r="C10" s="77"/>
      <c r="D10" s="5" t="s">
        <v>114</v>
      </c>
    </row>
    <row r="11" spans="1:9" ht="13.5" customHeight="1" thickTop="1">
      <c r="A11" s="54" t="s">
        <v>201</v>
      </c>
      <c r="E11" s="89" t="s">
        <v>253</v>
      </c>
      <c r="H11" s="6">
        <v>0.15</v>
      </c>
      <c r="I11" s="6" t="s">
        <v>252</v>
      </c>
    </row>
    <row r="12" spans="1:9" ht="13.5" customHeight="1">
      <c r="A12" s="8">
        <f>'4B_N2O emission'!B12</f>
        <v>2011</v>
      </c>
      <c r="B12" s="98">
        <f>'4C1_Amount_Waste_OpenBurned'!G12</f>
        <v>0.30727771375000001</v>
      </c>
      <c r="C12" s="53">
        <f>$H$11*1000</f>
        <v>150</v>
      </c>
      <c r="D12" s="141">
        <f>B12*C12/(10^6)</f>
        <v>4.6091657062500007E-5</v>
      </c>
    </row>
    <row r="13" spans="1:9" ht="13.5" customHeight="1">
      <c r="A13" s="8">
        <f>'4B_N2O emission'!B13</f>
        <v>2012</v>
      </c>
      <c r="B13" s="98">
        <f>'4C1_Amount_Waste_OpenBurned'!G13</f>
        <v>0.30974137249999995</v>
      </c>
      <c r="C13" s="53">
        <f t="shared" ref="C13:C32" si="0">$H$11*1000</f>
        <v>150</v>
      </c>
      <c r="D13" s="141">
        <f t="shared" ref="D13:D32" si="1">B13*C13/(10^6)</f>
        <v>4.6461205874999992E-5</v>
      </c>
    </row>
    <row r="14" spans="1:9" ht="13.5" customHeight="1">
      <c r="A14" s="8">
        <f>'4B_N2O emission'!B14</f>
        <v>2013</v>
      </c>
      <c r="B14" s="98">
        <f>'4C1_Amount_Waste_OpenBurned'!G14</f>
        <v>0.31163462749999998</v>
      </c>
      <c r="C14" s="53">
        <f t="shared" si="0"/>
        <v>150</v>
      </c>
      <c r="D14" s="141">
        <f t="shared" si="1"/>
        <v>4.6745194124999997E-5</v>
      </c>
    </row>
    <row r="15" spans="1:9" ht="13.5" customHeight="1">
      <c r="A15" s="8">
        <f>'4B_N2O emission'!B15</f>
        <v>2014</v>
      </c>
      <c r="B15" s="98">
        <f>'4C1_Amount_Waste_OpenBurned'!G15</f>
        <v>0.31425605750000002</v>
      </c>
      <c r="C15" s="53">
        <f t="shared" si="0"/>
        <v>150</v>
      </c>
      <c r="D15" s="141">
        <f t="shared" si="1"/>
        <v>4.7138408625000002E-5</v>
      </c>
    </row>
    <row r="16" spans="1:9" ht="13.5" customHeight="1">
      <c r="A16" s="8">
        <f>'4B_N2O emission'!B16</f>
        <v>2015</v>
      </c>
      <c r="B16" s="98">
        <f>'4C1_Amount_Waste_OpenBurned'!G16</f>
        <v>0.31517841250000006</v>
      </c>
      <c r="C16" s="53">
        <f t="shared" si="0"/>
        <v>150</v>
      </c>
      <c r="D16" s="141">
        <f t="shared" si="1"/>
        <v>4.7276761875000011E-5</v>
      </c>
    </row>
    <row r="17" spans="1:4" ht="13.5" customHeight="1">
      <c r="A17" s="8">
        <f>'4B_N2O emission'!B17</f>
        <v>2016</v>
      </c>
      <c r="B17" s="98">
        <f>'4C1_Amount_Waste_OpenBurned'!G17</f>
        <v>0.31662262624999998</v>
      </c>
      <c r="C17" s="53">
        <f t="shared" si="0"/>
        <v>150</v>
      </c>
      <c r="D17" s="141">
        <f t="shared" si="1"/>
        <v>4.7493393937499992E-5</v>
      </c>
    </row>
    <row r="18" spans="1:4" ht="13.5" customHeight="1">
      <c r="A18" s="8">
        <f>'4B_N2O emission'!B18</f>
        <v>2017</v>
      </c>
      <c r="B18" s="98">
        <f>'4C1_Amount_Waste_OpenBurned'!G18</f>
        <v>0.31901334613750004</v>
      </c>
      <c r="C18" s="53">
        <f t="shared" si="0"/>
        <v>150</v>
      </c>
      <c r="D18" s="141">
        <f t="shared" si="1"/>
        <v>4.7852001920625004E-5</v>
      </c>
    </row>
    <row r="19" spans="1:4" ht="13.5" customHeight="1">
      <c r="A19" s="8">
        <f>'4B_N2O emission'!B19</f>
        <v>2018</v>
      </c>
      <c r="B19" s="98">
        <f>'4C1_Amount_Waste_OpenBurned'!G19</f>
        <v>0.32088924629999999</v>
      </c>
      <c r="C19" s="53">
        <f t="shared" si="0"/>
        <v>150</v>
      </c>
      <c r="D19" s="141">
        <f t="shared" si="1"/>
        <v>4.8133386944999996E-5</v>
      </c>
    </row>
    <row r="20" spans="1:4" ht="13.5" customHeight="1">
      <c r="A20" s="8">
        <f>'4B_N2O emission'!B20</f>
        <v>2019</v>
      </c>
      <c r="B20" s="98">
        <f>'4C1_Amount_Waste_OpenBurned'!G20</f>
        <v>0.32276514646249999</v>
      </c>
      <c r="C20" s="53">
        <f t="shared" si="0"/>
        <v>150</v>
      </c>
      <c r="D20" s="141">
        <f t="shared" si="1"/>
        <v>4.8414771969374995E-5</v>
      </c>
    </row>
    <row r="21" spans="1:4" ht="13.5" customHeight="1">
      <c r="A21" s="8">
        <f>'4B_N2O emission'!B21</f>
        <v>2020</v>
      </c>
      <c r="B21" s="98">
        <f>'4C1_Amount_Waste_OpenBurned'!G21</f>
        <v>0.32464104662499998</v>
      </c>
      <c r="C21" s="53">
        <f t="shared" si="0"/>
        <v>150</v>
      </c>
      <c r="D21" s="141">
        <f t="shared" si="1"/>
        <v>4.8696156993749993E-5</v>
      </c>
    </row>
    <row r="22" spans="1:4" ht="13.5" customHeight="1">
      <c r="A22" s="8">
        <f>'4B_N2O emission'!B22</f>
        <v>2021</v>
      </c>
      <c r="B22" s="98">
        <f>'4C1_Amount_Waste_OpenBurned'!G22</f>
        <v>0.32651694678749998</v>
      </c>
      <c r="C22" s="53">
        <f t="shared" si="0"/>
        <v>150</v>
      </c>
      <c r="D22" s="141">
        <f t="shared" si="1"/>
        <v>4.8977542018124999E-5</v>
      </c>
    </row>
    <row r="23" spans="1:4" ht="13.5" customHeight="1">
      <c r="A23" s="8">
        <f>'4B_N2O emission'!B23</f>
        <v>2022</v>
      </c>
      <c r="B23" s="98">
        <f>'4C1_Amount_Waste_OpenBurned'!G23</f>
        <v>0.32839284694999998</v>
      </c>
      <c r="C23" s="53">
        <f t="shared" si="0"/>
        <v>150</v>
      </c>
      <c r="D23" s="141">
        <f t="shared" si="1"/>
        <v>4.9258927042499998E-5</v>
      </c>
    </row>
    <row r="24" spans="1:4" ht="13.5" customHeight="1">
      <c r="A24" s="8">
        <f>'4B_N2O emission'!B24</f>
        <v>2023</v>
      </c>
      <c r="B24" s="98">
        <f>'4C1_Amount_Waste_OpenBurned'!G24</f>
        <v>0.33026874711249993</v>
      </c>
      <c r="C24" s="53">
        <f t="shared" si="0"/>
        <v>150</v>
      </c>
      <c r="D24" s="141">
        <f t="shared" si="1"/>
        <v>4.9540312066874989E-5</v>
      </c>
    </row>
    <row r="25" spans="1:4" ht="13.5" customHeight="1">
      <c r="A25" s="8">
        <f>'4B_N2O emission'!B25</f>
        <v>2024</v>
      </c>
      <c r="B25" s="98">
        <f>'4C1_Amount_Waste_OpenBurned'!G25</f>
        <v>0.33214464727499998</v>
      </c>
      <c r="C25" s="53">
        <f t="shared" si="0"/>
        <v>150</v>
      </c>
      <c r="D25" s="141">
        <f t="shared" si="1"/>
        <v>4.9821697091249995E-5</v>
      </c>
    </row>
    <row r="26" spans="1:4" ht="13.5" customHeight="1">
      <c r="A26" s="8">
        <f>'4B_N2O emission'!B26</f>
        <v>2025</v>
      </c>
      <c r="B26" s="98">
        <f>'4C1_Amount_Waste_OpenBurned'!G26</f>
        <v>0.33402054743750004</v>
      </c>
      <c r="C26" s="53">
        <f t="shared" si="0"/>
        <v>150</v>
      </c>
      <c r="D26" s="141">
        <f t="shared" si="1"/>
        <v>5.0103082115625007E-5</v>
      </c>
    </row>
    <row r="27" spans="1:4" ht="13.5" customHeight="1">
      <c r="A27" s="8">
        <f>'4B_N2O emission'!B27</f>
        <v>2026</v>
      </c>
      <c r="B27" s="98">
        <f>'4C1_Amount_Waste_OpenBurned'!G27</f>
        <v>0.33589644759999998</v>
      </c>
      <c r="C27" s="53">
        <f t="shared" si="0"/>
        <v>150</v>
      </c>
      <c r="D27" s="141">
        <f t="shared" si="1"/>
        <v>5.0384467139999999E-5</v>
      </c>
    </row>
    <row r="28" spans="1:4" ht="13.5" customHeight="1">
      <c r="A28" s="8">
        <f>'4B_N2O emission'!B28</f>
        <v>2027</v>
      </c>
      <c r="B28" s="98">
        <f>'4C1_Amount_Waste_OpenBurned'!G28</f>
        <v>0.33777234776249998</v>
      </c>
      <c r="C28" s="53">
        <f t="shared" si="0"/>
        <v>150</v>
      </c>
      <c r="D28" s="141">
        <f t="shared" si="1"/>
        <v>5.0665852164374998E-5</v>
      </c>
    </row>
    <row r="29" spans="1:4" ht="13.5" customHeight="1">
      <c r="A29" s="8">
        <f>'4B_N2O emission'!B29</f>
        <v>2028</v>
      </c>
      <c r="B29" s="98">
        <f>'4C1_Amount_Waste_OpenBurned'!G29</f>
        <v>0.33964824792499998</v>
      </c>
      <c r="C29" s="53">
        <f t="shared" si="0"/>
        <v>150</v>
      </c>
      <c r="D29" s="141">
        <f t="shared" si="1"/>
        <v>5.0947237188749997E-5</v>
      </c>
    </row>
    <row r="30" spans="1:4" ht="13.5" customHeight="1">
      <c r="A30" s="8">
        <f>'4B_N2O emission'!B30</f>
        <v>2029</v>
      </c>
      <c r="B30" s="98">
        <f>'4C1_Amount_Waste_OpenBurned'!G30</f>
        <v>0.34152414808749998</v>
      </c>
      <c r="C30" s="53">
        <f t="shared" si="0"/>
        <v>150</v>
      </c>
      <c r="D30" s="141">
        <f t="shared" si="1"/>
        <v>5.1228622213125002E-5</v>
      </c>
    </row>
    <row r="31" spans="1:4" ht="13.5" customHeight="1">
      <c r="A31" s="8">
        <f>'4B_N2O emission'!B31</f>
        <v>2030</v>
      </c>
      <c r="B31" s="98">
        <f>'4C1_Amount_Waste_OpenBurned'!G31</f>
        <v>0.34340004824999998</v>
      </c>
      <c r="C31" s="53">
        <f t="shared" si="0"/>
        <v>150</v>
      </c>
      <c r="D31" s="141">
        <f t="shared" si="1"/>
        <v>5.1510007237500001E-5</v>
      </c>
    </row>
    <row r="32" spans="1:4" ht="13.5" customHeight="1">
      <c r="A32" s="8">
        <f>'4B_N2O emission'!B32</f>
        <v>2031</v>
      </c>
      <c r="B32" s="99">
        <f>'4C1_Amount_Waste_OpenBurned'!G32</f>
        <v>0</v>
      </c>
      <c r="C32" s="55">
        <f t="shared" si="0"/>
        <v>150</v>
      </c>
      <c r="D32" s="142">
        <f t="shared" si="1"/>
        <v>0</v>
      </c>
    </row>
    <row r="33" spans="1:4" ht="15" customHeight="1">
      <c r="A33" s="253" t="s">
        <v>104</v>
      </c>
      <c r="B33" s="254"/>
      <c r="C33" s="254"/>
      <c r="D33" s="254"/>
    </row>
    <row r="34" spans="1:4" ht="15" customHeight="1">
      <c r="A34" s="255" t="s">
        <v>115</v>
      </c>
      <c r="B34" s="256"/>
      <c r="C34" s="256"/>
      <c r="D34" s="256"/>
    </row>
    <row r="35" spans="1:4" ht="12.75" customHeight="1">
      <c r="A35" s="257" t="s">
        <v>106</v>
      </c>
      <c r="B35" s="258"/>
      <c r="C35" s="258"/>
      <c r="D35" s="258"/>
    </row>
  </sheetData>
  <mergeCells count="9">
    <mergeCell ref="A33:D33"/>
    <mergeCell ref="A34:D34"/>
    <mergeCell ref="A35:D35"/>
    <mergeCell ref="B2:D2"/>
    <mergeCell ref="B3:D3"/>
    <mergeCell ref="A6:B6"/>
    <mergeCell ref="A8:A9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9" tint="-0.249977111117893"/>
  </sheetPr>
  <dimension ref="A2:J34"/>
  <sheetViews>
    <sheetView topLeftCell="A13" zoomScaleNormal="100" workbookViewId="0">
      <selection activeCell="B24" sqref="B24"/>
    </sheetView>
  </sheetViews>
  <sheetFormatPr defaultRowHeight="12.75"/>
  <cols>
    <col min="1" max="1" width="25.28515625" style="6" customWidth="1"/>
    <col min="2" max="5" width="25.5703125" style="6" customWidth="1"/>
    <col min="6" max="7" width="9.140625" style="6"/>
    <col min="8" max="8" width="11.5703125" style="6" customWidth="1"/>
    <col min="9" max="16384" width="9.140625" style="6"/>
  </cols>
  <sheetData>
    <row r="2" spans="1:10" ht="14.25" customHeight="1">
      <c r="A2" s="100" t="s">
        <v>0</v>
      </c>
      <c r="B2" s="196" t="s">
        <v>1</v>
      </c>
      <c r="C2" s="196"/>
      <c r="D2" s="196"/>
      <c r="E2" s="196"/>
    </row>
    <row r="3" spans="1:10" ht="14.25" customHeight="1">
      <c r="A3" s="100" t="s">
        <v>2</v>
      </c>
      <c r="B3" s="196" t="s">
        <v>117</v>
      </c>
      <c r="C3" s="196"/>
      <c r="D3" s="196"/>
      <c r="E3" s="196"/>
    </row>
    <row r="4" spans="1:10" ht="14.25" customHeight="1">
      <c r="A4" s="100" t="s">
        <v>4</v>
      </c>
      <c r="B4" s="196" t="s">
        <v>118</v>
      </c>
      <c r="C4" s="196"/>
      <c r="D4" s="196"/>
      <c r="E4" s="196"/>
    </row>
    <row r="5" spans="1:10" ht="14.25" customHeight="1">
      <c r="A5" s="100" t="s">
        <v>6</v>
      </c>
      <c r="B5" s="196" t="s">
        <v>119</v>
      </c>
      <c r="C5" s="196"/>
      <c r="D5" s="196"/>
      <c r="E5" s="196"/>
    </row>
    <row r="6" spans="1:10">
      <c r="A6" s="250" t="s">
        <v>8</v>
      </c>
      <c r="B6" s="267"/>
      <c r="C6" s="267"/>
      <c r="D6" s="267"/>
      <c r="E6" s="267"/>
    </row>
    <row r="7" spans="1:10">
      <c r="A7" s="70"/>
      <c r="B7" s="59" t="s">
        <v>11</v>
      </c>
      <c r="C7" s="59" t="s">
        <v>12</v>
      </c>
      <c r="D7" s="59" t="s">
        <v>13</v>
      </c>
      <c r="E7" s="59" t="s">
        <v>14</v>
      </c>
    </row>
    <row r="8" spans="1:10" ht="28.5" customHeight="1">
      <c r="A8" s="196" t="s">
        <v>120</v>
      </c>
      <c r="B8" s="7" t="s">
        <v>59</v>
      </c>
      <c r="C8" s="7" t="s">
        <v>121</v>
      </c>
      <c r="D8" s="7" t="s">
        <v>122</v>
      </c>
      <c r="E8" s="7" t="s">
        <v>244</v>
      </c>
    </row>
    <row r="9" spans="1:10" ht="14.25">
      <c r="A9" s="266"/>
      <c r="B9" s="7" t="s">
        <v>124</v>
      </c>
      <c r="C9" s="7" t="s">
        <v>125</v>
      </c>
      <c r="D9" s="7" t="s">
        <v>126</v>
      </c>
      <c r="E9" s="7" t="s">
        <v>127</v>
      </c>
    </row>
    <row r="10" spans="1:10" ht="14.25">
      <c r="A10" s="266"/>
      <c r="B10" s="7" t="s">
        <v>128</v>
      </c>
      <c r="C10" s="7" t="s">
        <v>129</v>
      </c>
      <c r="D10" s="7"/>
      <c r="E10" s="7" t="s">
        <v>130</v>
      </c>
    </row>
    <row r="11" spans="1:10">
      <c r="A11" s="53"/>
      <c r="B11" s="53"/>
      <c r="C11" s="53"/>
      <c r="D11" s="53"/>
      <c r="E11" s="7" t="s">
        <v>131</v>
      </c>
    </row>
    <row r="12" spans="1:10">
      <c r="A12" s="7">
        <f>'4B_N2O emission'!B12</f>
        <v>2011</v>
      </c>
      <c r="B12" s="103">
        <f>'4C1_Amount_Waste_OpenBurned'!B12</f>
        <v>25319</v>
      </c>
      <c r="C12" s="55">
        <f>$I$12*365/1000</f>
        <v>14.6</v>
      </c>
      <c r="D12" s="101">
        <v>1</v>
      </c>
      <c r="E12" s="102">
        <f>B12*C12*D12</f>
        <v>369657.39999999997</v>
      </c>
      <c r="F12" s="6" t="s">
        <v>254</v>
      </c>
      <c r="I12" s="6">
        <v>40</v>
      </c>
      <c r="J12" s="6" t="s">
        <v>255</v>
      </c>
    </row>
    <row r="13" spans="1:10">
      <c r="A13" s="7">
        <f>'4B_N2O emission'!B13</f>
        <v>2012</v>
      </c>
      <c r="B13" s="103">
        <f>'4C1_Amount_Waste_OpenBurned'!B13</f>
        <v>25522</v>
      </c>
      <c r="C13" s="55">
        <f t="shared" ref="C13:C32" si="0">$I$12*365/1000</f>
        <v>14.6</v>
      </c>
      <c r="D13" s="101">
        <v>1</v>
      </c>
      <c r="E13" s="102">
        <f t="shared" ref="E13:E32" si="1">B13*C13*D13</f>
        <v>372621.2</v>
      </c>
    </row>
    <row r="14" spans="1:10">
      <c r="A14" s="7">
        <f>'4B_N2O emission'!B14</f>
        <v>2013</v>
      </c>
      <c r="B14" s="103">
        <f>'4C1_Amount_Waste_OpenBurned'!B14</f>
        <v>25678</v>
      </c>
      <c r="C14" s="55">
        <f t="shared" si="0"/>
        <v>14.6</v>
      </c>
      <c r="D14" s="101">
        <v>1</v>
      </c>
      <c r="E14" s="102">
        <f t="shared" si="1"/>
        <v>374898.8</v>
      </c>
    </row>
    <row r="15" spans="1:10">
      <c r="A15" s="7">
        <f>'4B_N2O emission'!B15</f>
        <v>2014</v>
      </c>
      <c r="B15" s="103">
        <f>'4C1_Amount_Waste_OpenBurned'!B15</f>
        <v>25894</v>
      </c>
      <c r="C15" s="55">
        <f t="shared" si="0"/>
        <v>14.6</v>
      </c>
      <c r="D15" s="101">
        <v>1</v>
      </c>
      <c r="E15" s="102">
        <f t="shared" si="1"/>
        <v>378052.39999999997</v>
      </c>
    </row>
    <row r="16" spans="1:10">
      <c r="A16" s="7">
        <f>'4B_N2O emission'!B16</f>
        <v>2015</v>
      </c>
      <c r="B16" s="103">
        <f>'4C1_Amount_Waste_OpenBurned'!B16</f>
        <v>25970</v>
      </c>
      <c r="C16" s="55">
        <f t="shared" si="0"/>
        <v>14.6</v>
      </c>
      <c r="D16" s="101">
        <v>1</v>
      </c>
      <c r="E16" s="102">
        <f t="shared" si="1"/>
        <v>379162</v>
      </c>
    </row>
    <row r="17" spans="1:5">
      <c r="A17" s="7">
        <f>'4B_N2O emission'!B17</f>
        <v>2016</v>
      </c>
      <c r="B17" s="103">
        <f>'4C1_Amount_Waste_OpenBurned'!B17</f>
        <v>26089</v>
      </c>
      <c r="C17" s="55">
        <f t="shared" si="0"/>
        <v>14.6</v>
      </c>
      <c r="D17" s="101">
        <v>1</v>
      </c>
      <c r="E17" s="102">
        <f t="shared" si="1"/>
        <v>380899.39999999997</v>
      </c>
    </row>
    <row r="18" spans="1:5">
      <c r="A18" s="7">
        <f>'4B_N2O emission'!B18</f>
        <v>2017</v>
      </c>
      <c r="B18" s="103">
        <f>'4C1_Amount_Waste_OpenBurned'!B18</f>
        <v>26285.99</v>
      </c>
      <c r="C18" s="55">
        <f t="shared" si="0"/>
        <v>14.6</v>
      </c>
      <c r="D18" s="101">
        <v>1</v>
      </c>
      <c r="E18" s="102">
        <f t="shared" si="1"/>
        <v>383775.45400000003</v>
      </c>
    </row>
    <row r="19" spans="1:5">
      <c r="A19" s="7">
        <f>'4B_N2O emission'!B19</f>
        <v>2018</v>
      </c>
      <c r="B19" s="103">
        <f>'4C1_Amount_Waste_OpenBurned'!B19</f>
        <v>26440.560000000001</v>
      </c>
      <c r="C19" s="55">
        <f t="shared" si="0"/>
        <v>14.6</v>
      </c>
      <c r="D19" s="101">
        <v>1</v>
      </c>
      <c r="E19" s="102">
        <f t="shared" si="1"/>
        <v>386032.17600000004</v>
      </c>
    </row>
    <row r="20" spans="1:5">
      <c r="A20" s="7">
        <f>'4B_N2O emission'!B20</f>
        <v>2019</v>
      </c>
      <c r="B20" s="103">
        <f>'4C1_Amount_Waste_OpenBurned'!B20</f>
        <v>26595.13</v>
      </c>
      <c r="C20" s="55">
        <f t="shared" si="0"/>
        <v>14.6</v>
      </c>
      <c r="D20" s="101">
        <v>1</v>
      </c>
      <c r="E20" s="102">
        <f t="shared" si="1"/>
        <v>388288.89799999999</v>
      </c>
    </row>
    <row r="21" spans="1:5">
      <c r="A21" s="7">
        <f>'4B_N2O emission'!B21</f>
        <v>2020</v>
      </c>
      <c r="B21" s="103">
        <f>'4C1_Amount_Waste_OpenBurned'!B21</f>
        <v>26749.7</v>
      </c>
      <c r="C21" s="55">
        <f t="shared" si="0"/>
        <v>14.6</v>
      </c>
      <c r="D21" s="101">
        <v>1</v>
      </c>
      <c r="E21" s="102">
        <f t="shared" si="1"/>
        <v>390545.62</v>
      </c>
    </row>
    <row r="22" spans="1:5">
      <c r="A22" s="7">
        <f>'4B_N2O emission'!B22</f>
        <v>2021</v>
      </c>
      <c r="B22" s="103">
        <f>'4C1_Amount_Waste_OpenBurned'!B22</f>
        <v>26904.27</v>
      </c>
      <c r="C22" s="55">
        <f t="shared" si="0"/>
        <v>14.6</v>
      </c>
      <c r="D22" s="101">
        <v>1</v>
      </c>
      <c r="E22" s="102">
        <f t="shared" si="1"/>
        <v>392802.342</v>
      </c>
    </row>
    <row r="23" spans="1:5">
      <c r="A23" s="7">
        <f>'4B_N2O emission'!B23</f>
        <v>2022</v>
      </c>
      <c r="B23" s="103">
        <f>'4C1_Amount_Waste_OpenBurned'!B23</f>
        <v>27058.84</v>
      </c>
      <c r="C23" s="55">
        <f t="shared" si="0"/>
        <v>14.6</v>
      </c>
      <c r="D23" s="101">
        <v>1</v>
      </c>
      <c r="E23" s="102">
        <f t="shared" si="1"/>
        <v>395059.06400000001</v>
      </c>
    </row>
    <row r="24" spans="1:5">
      <c r="A24" s="7">
        <f>'4B_N2O emission'!B24</f>
        <v>2023</v>
      </c>
      <c r="B24" s="103">
        <f>'4C1_Amount_Waste_OpenBurned'!B24</f>
        <v>27213.41</v>
      </c>
      <c r="C24" s="55">
        <f t="shared" si="0"/>
        <v>14.6</v>
      </c>
      <c r="D24" s="101">
        <v>1</v>
      </c>
      <c r="E24" s="102">
        <f t="shared" si="1"/>
        <v>397315.78599999996</v>
      </c>
    </row>
    <row r="25" spans="1:5">
      <c r="A25" s="7">
        <f>'4B_N2O emission'!B25</f>
        <v>2024</v>
      </c>
      <c r="B25" s="103">
        <f>'4C1_Amount_Waste_OpenBurned'!B25</f>
        <v>27367.98</v>
      </c>
      <c r="C25" s="55">
        <f t="shared" si="0"/>
        <v>14.6</v>
      </c>
      <c r="D25" s="101">
        <v>1</v>
      </c>
      <c r="E25" s="102">
        <f t="shared" si="1"/>
        <v>399572.50799999997</v>
      </c>
    </row>
    <row r="26" spans="1:5">
      <c r="A26" s="7">
        <f>'4B_N2O emission'!B26</f>
        <v>2025</v>
      </c>
      <c r="B26" s="103">
        <f>'4C1_Amount_Waste_OpenBurned'!B26</f>
        <v>27522.55</v>
      </c>
      <c r="C26" s="55">
        <f t="shared" si="0"/>
        <v>14.6</v>
      </c>
      <c r="D26" s="101">
        <v>1</v>
      </c>
      <c r="E26" s="102">
        <f t="shared" si="1"/>
        <v>401829.23</v>
      </c>
    </row>
    <row r="27" spans="1:5">
      <c r="A27" s="7">
        <f>'4B_N2O emission'!B27</f>
        <v>2026</v>
      </c>
      <c r="B27" s="103">
        <f>'4C1_Amount_Waste_OpenBurned'!B27</f>
        <v>27677.119999999999</v>
      </c>
      <c r="C27" s="55">
        <f t="shared" si="0"/>
        <v>14.6</v>
      </c>
      <c r="D27" s="101">
        <v>1</v>
      </c>
      <c r="E27" s="102">
        <f t="shared" si="1"/>
        <v>404085.95199999999</v>
      </c>
    </row>
    <row r="28" spans="1:5">
      <c r="A28" s="7">
        <f>'4B_N2O emission'!B28</f>
        <v>2027</v>
      </c>
      <c r="B28" s="103">
        <f>'4C1_Amount_Waste_OpenBurned'!B28</f>
        <v>27831.69</v>
      </c>
      <c r="C28" s="55">
        <f t="shared" si="0"/>
        <v>14.6</v>
      </c>
      <c r="D28" s="101">
        <v>1</v>
      </c>
      <c r="E28" s="102">
        <f t="shared" si="1"/>
        <v>406342.674</v>
      </c>
    </row>
    <row r="29" spans="1:5">
      <c r="A29" s="7">
        <f>'4B_N2O emission'!B29</f>
        <v>2028</v>
      </c>
      <c r="B29" s="103">
        <f>'4C1_Amount_Waste_OpenBurned'!B29</f>
        <v>27986.26</v>
      </c>
      <c r="C29" s="55">
        <f t="shared" si="0"/>
        <v>14.6</v>
      </c>
      <c r="D29" s="101">
        <v>1</v>
      </c>
      <c r="E29" s="102">
        <f t="shared" si="1"/>
        <v>408599.39599999995</v>
      </c>
    </row>
    <row r="30" spans="1:5">
      <c r="A30" s="7">
        <f>'4B_N2O emission'!B30</f>
        <v>2029</v>
      </c>
      <c r="B30" s="103">
        <f>'4C1_Amount_Waste_OpenBurned'!B30</f>
        <v>28140.83</v>
      </c>
      <c r="C30" s="55">
        <f t="shared" si="0"/>
        <v>14.6</v>
      </c>
      <c r="D30" s="101">
        <v>1</v>
      </c>
      <c r="E30" s="102">
        <f t="shared" si="1"/>
        <v>410856.11800000002</v>
      </c>
    </row>
    <row r="31" spans="1:5">
      <c r="A31" s="7">
        <f>'4B_N2O emission'!B31</f>
        <v>2030</v>
      </c>
      <c r="B31" s="103">
        <f>'4C1_Amount_Waste_OpenBurned'!B31</f>
        <v>28295.4</v>
      </c>
      <c r="C31" s="55">
        <f t="shared" si="0"/>
        <v>14.6</v>
      </c>
      <c r="D31" s="101">
        <v>1</v>
      </c>
      <c r="E31" s="102">
        <f t="shared" si="1"/>
        <v>413112.84</v>
      </c>
    </row>
    <row r="32" spans="1:5">
      <c r="A32" s="7">
        <f>'4B_N2O emission'!B32</f>
        <v>2031</v>
      </c>
      <c r="B32" s="103">
        <f>'4C1_Amount_Waste_OpenBurned'!B32</f>
        <v>0</v>
      </c>
      <c r="C32" s="55">
        <f t="shared" si="0"/>
        <v>14.6</v>
      </c>
      <c r="D32" s="101">
        <v>1</v>
      </c>
      <c r="E32" s="102">
        <f t="shared" si="1"/>
        <v>0</v>
      </c>
    </row>
    <row r="33" spans="1:5">
      <c r="A33" s="253" t="s">
        <v>132</v>
      </c>
      <c r="B33" s="264"/>
      <c r="C33" s="264"/>
      <c r="D33" s="264"/>
      <c r="E33" s="264"/>
    </row>
    <row r="34" spans="1:5" ht="12" customHeight="1">
      <c r="A34" s="257" t="s">
        <v>133</v>
      </c>
      <c r="B34" s="265"/>
      <c r="C34" s="265"/>
      <c r="D34" s="265"/>
      <c r="E34" s="265"/>
    </row>
  </sheetData>
  <mergeCells count="8">
    <mergeCell ref="B2:E2"/>
    <mergeCell ref="B3:E3"/>
    <mergeCell ref="A33:E33"/>
    <mergeCell ref="A34:E34"/>
    <mergeCell ref="A8:A10"/>
    <mergeCell ref="A6:E6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4A_DOC</vt:lpstr>
      <vt:lpstr>4B_CH4 emissions</vt:lpstr>
      <vt:lpstr>4B_N2O emission</vt:lpstr>
      <vt:lpstr>REKAPITULASI</vt:lpstr>
      <vt:lpstr>4C1_Amount_Waste_OpenBurned</vt:lpstr>
      <vt:lpstr>4C2_CO2_OpenBurning</vt:lpstr>
      <vt:lpstr>4C2_CH4_OpenBurning</vt:lpstr>
      <vt:lpstr>4C2_N2O_OpenBurning</vt:lpstr>
      <vt:lpstr>4D1_TOW_DomesticWastewater</vt:lpstr>
      <vt:lpstr>4D1_CH4_EF_DomesticWastewater</vt:lpstr>
      <vt:lpstr>4D1_CH4_Domestic_Wastewater</vt:lpstr>
      <vt:lpstr>4D1_N_effluent</vt:lpstr>
      <vt:lpstr>4D1_Indirect_N2O</vt:lpstr>
      <vt:lpstr>'4B_N2O emission'!Print_Area</vt:lpstr>
      <vt:lpstr>'4C1_Amount_Waste_OpenBurned'!Print_Area</vt:lpstr>
      <vt:lpstr>'4C2_CH4_OpenBurning'!Print_Area</vt:lpstr>
      <vt:lpstr>'4C2_CO2_OpenBurning'!Print_Area</vt:lpstr>
      <vt:lpstr>'4C2_N2O_OpenBurning'!Print_Area</vt:lpstr>
      <vt:lpstr>'4D1_CH4_Domestic_Wastewater'!Print_Area</vt:lpstr>
      <vt:lpstr>'4D1_CH4_EF_DomesticWastewater'!Print_Area</vt:lpstr>
      <vt:lpstr>'4D1_Indirect_N2O'!Print_Area</vt:lpstr>
      <vt:lpstr>'4D1_N_effluent'!Print_Area</vt:lpstr>
      <vt:lpstr>'4D1_TOW_DomesticWastewater'!Print_Area</vt:lpstr>
    </vt:vector>
  </TitlesOfParts>
  <Company>IGES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Kyoko MIWA</dc:creator>
  <cp:lastModifiedBy>Iwied</cp:lastModifiedBy>
  <cp:lastPrinted>2008-12-22T09:51:13Z</cp:lastPrinted>
  <dcterms:created xsi:type="dcterms:W3CDTF">2007-03-22T01:36:09Z</dcterms:created>
  <dcterms:modified xsi:type="dcterms:W3CDTF">2017-09-27T07:22:44Z</dcterms:modified>
</cp:coreProperties>
</file>