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Mitigasi_2010-2030_IW\Paser\"/>
    </mc:Choice>
  </mc:AlternateContent>
  <bookViews>
    <workbookView xWindow="0" yWindow="0" windowWidth="20490" windowHeight="7755" tabRatio="820" activeTab="7"/>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43" i="6" l="1"/>
  <c r="C42" i="6"/>
  <c r="C41" i="6"/>
  <c r="C40" i="6"/>
  <c r="C39" i="6"/>
  <c r="C38" i="6"/>
  <c r="C37" i="6"/>
  <c r="C36" i="6"/>
  <c r="C35" i="6"/>
  <c r="C34" i="6"/>
  <c r="C33" i="6"/>
  <c r="C32" i="6"/>
  <c r="C31" i="6"/>
  <c r="C30" i="6"/>
  <c r="C29" i="6"/>
  <c r="C28" i="6"/>
  <c r="C27" i="6"/>
  <c r="C26" i="6"/>
  <c r="C25" i="6"/>
  <c r="C24" i="6"/>
  <c r="O8" i="6" l="1"/>
  <c r="N8" i="6"/>
  <c r="M8" i="6"/>
  <c r="L8" i="6"/>
  <c r="K8" i="6"/>
  <c r="J8" i="6"/>
  <c r="I8" i="6"/>
  <c r="F8" i="6"/>
  <c r="E8" i="6"/>
  <c r="C23" i="6" l="1"/>
  <c r="C22" i="6"/>
  <c r="C21" i="6"/>
  <c r="C20" i="6"/>
  <c r="C19" i="6"/>
  <c r="C18" i="6"/>
  <c r="C17" i="6"/>
  <c r="C16" i="6"/>
  <c r="C15" i="6"/>
  <c r="C14" i="6"/>
  <c r="C13" i="6"/>
  <c r="V13" i="6" l="1"/>
  <c r="O13" i="6"/>
  <c r="N13" i="6"/>
  <c r="M13" i="6"/>
  <c r="L13" i="6"/>
  <c r="H13" i="6"/>
  <c r="P8" i="6"/>
  <c r="E13" i="6"/>
  <c r="C116" i="4" l="1"/>
  <c r="E116" i="4" s="1"/>
  <c r="C115" i="4"/>
  <c r="E115" i="4" s="1"/>
  <c r="C114" i="4"/>
  <c r="E114" i="4" s="1"/>
  <c r="C113" i="4"/>
  <c r="E113" i="4" s="1"/>
  <c r="E112" i="4"/>
  <c r="E111" i="4"/>
  <c r="C111" i="4"/>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3" i="38"/>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S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S59" i="8" s="1"/>
  <c r="K59" i="8"/>
  <c r="L59" i="8"/>
  <c r="M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c r="O28" i="4" s="1"/>
  <c r="K6" i="40" s="1"/>
  <c r="L28" i="4"/>
  <c r="B28" i="4"/>
  <c r="V93" i="6"/>
  <c r="X93" i="6"/>
  <c r="P94" i="7" s="1"/>
  <c r="V92" i="6"/>
  <c r="X92" i="6" s="1"/>
  <c r="P93" i="7"/>
  <c r="P98" i="40" s="1"/>
  <c r="V91" i="6"/>
  <c r="X91" i="6"/>
  <c r="P92" i="7" s="1"/>
  <c r="V90" i="6"/>
  <c r="X90" i="6" s="1"/>
  <c r="P91" i="7"/>
  <c r="P96" i="40" s="1"/>
  <c r="V89" i="6"/>
  <c r="X89" i="6"/>
  <c r="P90" i="7" s="1"/>
  <c r="V88" i="6"/>
  <c r="X88" i="6" s="1"/>
  <c r="P89" i="7"/>
  <c r="P94" i="40" s="1"/>
  <c r="V87" i="6"/>
  <c r="X87" i="6"/>
  <c r="P88" i="7" s="1"/>
  <c r="V86" i="6"/>
  <c r="X86" i="6" s="1"/>
  <c r="P87" i="7"/>
  <c r="P92" i="40" s="1"/>
  <c r="V85" i="6"/>
  <c r="X85" i="6"/>
  <c r="P86" i="7" s="1"/>
  <c r="V84" i="6"/>
  <c r="X84" i="6" s="1"/>
  <c r="P85" i="7"/>
  <c r="P90" i="40" s="1"/>
  <c r="V83" i="6"/>
  <c r="X83" i="6"/>
  <c r="P84" i="7" s="1"/>
  <c r="V82" i="6"/>
  <c r="X82" i="6" s="1"/>
  <c r="P83" i="7"/>
  <c r="P88" i="40" s="1"/>
  <c r="V81" i="6"/>
  <c r="X81" i="6"/>
  <c r="P82" i="7" s="1"/>
  <c r="V80" i="6"/>
  <c r="X80" i="6" s="1"/>
  <c r="P81" i="7"/>
  <c r="P86" i="40" s="1"/>
  <c r="V79" i="6"/>
  <c r="X79" i="6"/>
  <c r="P80" i="7" s="1"/>
  <c r="V78" i="6"/>
  <c r="X78" i="6" s="1"/>
  <c r="P79" i="7"/>
  <c r="P84" i="40" s="1"/>
  <c r="V77" i="6"/>
  <c r="X77" i="6"/>
  <c r="P78" i="7" s="1"/>
  <c r="V76" i="6"/>
  <c r="X76" i="6" s="1"/>
  <c r="P77" i="7"/>
  <c r="P82" i="40" s="1"/>
  <c r="V75" i="6"/>
  <c r="X75" i="6"/>
  <c r="P76" i="7" s="1"/>
  <c r="V74" i="6"/>
  <c r="X74" i="6" s="1"/>
  <c r="P75" i="7"/>
  <c r="P80" i="40" s="1"/>
  <c r="V73" i="6"/>
  <c r="X73" i="6"/>
  <c r="P74" i="7" s="1"/>
  <c r="V72" i="6"/>
  <c r="X72" i="6" s="1"/>
  <c r="P73" i="7"/>
  <c r="P78" i="40" s="1"/>
  <c r="V71" i="6"/>
  <c r="X71" i="6"/>
  <c r="P72" i="7" s="1"/>
  <c r="V70" i="6"/>
  <c r="X70" i="6" s="1"/>
  <c r="P71" i="7"/>
  <c r="P76" i="40" s="1"/>
  <c r="V69" i="6"/>
  <c r="X69" i="6"/>
  <c r="P70" i="7" s="1"/>
  <c r="V68" i="6"/>
  <c r="X68" i="6" s="1"/>
  <c r="P69" i="7"/>
  <c r="P74" i="40" s="1"/>
  <c r="V67" i="6"/>
  <c r="X67" i="6"/>
  <c r="P68" i="7" s="1"/>
  <c r="V66" i="6"/>
  <c r="X66" i="6" s="1"/>
  <c r="P67" i="7"/>
  <c r="P72" i="40" s="1"/>
  <c r="V65" i="6"/>
  <c r="X65" i="6"/>
  <c r="P66" i="7" s="1"/>
  <c r="V64" i="6"/>
  <c r="X64" i="6" s="1"/>
  <c r="P65" i="7"/>
  <c r="P70" i="40" s="1"/>
  <c r="V63" i="6"/>
  <c r="X63" i="6"/>
  <c r="P64" i="7" s="1"/>
  <c r="V62" i="6"/>
  <c r="X62" i="6" s="1"/>
  <c r="P63" i="7"/>
  <c r="P68" i="40" s="1"/>
  <c r="V61" i="6"/>
  <c r="X61" i="6"/>
  <c r="P62" i="7" s="1"/>
  <c r="V60" i="6"/>
  <c r="X60" i="6" s="1"/>
  <c r="P61" i="7"/>
  <c r="P66" i="40" s="1"/>
  <c r="V59" i="6"/>
  <c r="X59" i="6"/>
  <c r="P60" i="7" s="1"/>
  <c r="V58" i="6"/>
  <c r="X58" i="6" s="1"/>
  <c r="P59" i="7"/>
  <c r="P64" i="40" s="1"/>
  <c r="V57" i="6"/>
  <c r="X57" i="6"/>
  <c r="P58" i="7" s="1"/>
  <c r="V56" i="6"/>
  <c r="X56" i="6" s="1"/>
  <c r="P57" i="7"/>
  <c r="P62" i="40" s="1"/>
  <c r="V55" i="6"/>
  <c r="X55" i="6"/>
  <c r="P56" i="7" s="1"/>
  <c r="V54" i="6"/>
  <c r="X54" i="6" s="1"/>
  <c r="P55" i="7"/>
  <c r="P60" i="40" s="1"/>
  <c r="V53" i="6"/>
  <c r="X53" i="6"/>
  <c r="P54" i="7" s="1"/>
  <c r="V52" i="6"/>
  <c r="X52" i="6" s="1"/>
  <c r="P53" i="7"/>
  <c r="P58" i="40" s="1"/>
  <c r="V51" i="6"/>
  <c r="X51" i="6"/>
  <c r="P52" i="7" s="1"/>
  <c r="V50" i="6"/>
  <c r="X50" i="6"/>
  <c r="P51" i="7" s="1"/>
  <c r="P56" i="40" s="1"/>
  <c r="V49" i="6"/>
  <c r="X49" i="6" s="1"/>
  <c r="P50" i="7"/>
  <c r="V48" i="6"/>
  <c r="X48" i="6"/>
  <c r="P49" i="7" s="1"/>
  <c r="P54" i="40" s="1"/>
  <c r="V47" i="6"/>
  <c r="X47" i="6" s="1"/>
  <c r="P48" i="7"/>
  <c r="V46" i="6"/>
  <c r="X46" i="6"/>
  <c r="P47" i="7" s="1"/>
  <c r="P52" i="40" s="1"/>
  <c r="V45" i="6"/>
  <c r="X45" i="6" s="1"/>
  <c r="P46" i="7"/>
  <c r="V44" i="6"/>
  <c r="X44" i="6"/>
  <c r="P45" i="7" s="1"/>
  <c r="P50" i="40" s="1"/>
  <c r="V43" i="6"/>
  <c r="X43" i="6" s="1"/>
  <c r="P44" i="7"/>
  <c r="V42" i="6"/>
  <c r="X42" i="6"/>
  <c r="P43" i="7" s="1"/>
  <c r="P48" i="40" s="1"/>
  <c r="V41" i="6"/>
  <c r="X41" i="6" s="1"/>
  <c r="P42" i="7"/>
  <c r="V40" i="6"/>
  <c r="X40" i="6"/>
  <c r="P41" i="7" s="1"/>
  <c r="P46" i="40" s="1"/>
  <c r="V39" i="6"/>
  <c r="X39" i="6" s="1"/>
  <c r="P40" i="7"/>
  <c r="V38" i="6"/>
  <c r="X38" i="6"/>
  <c r="P39" i="7" s="1"/>
  <c r="P44" i="40" s="1"/>
  <c r="V37" i="6"/>
  <c r="X37" i="6" s="1"/>
  <c r="P38" i="7"/>
  <c r="V36" i="6"/>
  <c r="X36" i="6"/>
  <c r="P37" i="7" s="1"/>
  <c r="P42" i="40" s="1"/>
  <c r="V35" i="6"/>
  <c r="X35" i="6" s="1"/>
  <c r="P36" i="7"/>
  <c r="V34" i="6"/>
  <c r="X34" i="6"/>
  <c r="P35" i="7" s="1"/>
  <c r="P40" i="40" s="1"/>
  <c r="V33" i="6"/>
  <c r="X33" i="6" s="1"/>
  <c r="P34" i="7"/>
  <c r="V32" i="6"/>
  <c r="X32" i="6"/>
  <c r="P33" i="7" s="1"/>
  <c r="P38" i="40" s="1"/>
  <c r="V31" i="6"/>
  <c r="X31" i="6" s="1"/>
  <c r="P32" i="7"/>
  <c r="V30" i="6"/>
  <c r="X30" i="6"/>
  <c r="P31" i="7" s="1"/>
  <c r="P36" i="40" s="1"/>
  <c r="V29" i="6"/>
  <c r="X29" i="6" s="1"/>
  <c r="P30" i="7"/>
  <c r="V28" i="6"/>
  <c r="X28" i="6"/>
  <c r="P29" i="7" s="1"/>
  <c r="P34" i="40" s="1"/>
  <c r="V27" i="6"/>
  <c r="X27" i="6" s="1"/>
  <c r="P28" i="7"/>
  <c r="V26" i="6"/>
  <c r="X26" i="6"/>
  <c r="P27" i="7" s="1"/>
  <c r="P32" i="40" s="1"/>
  <c r="V25" i="6"/>
  <c r="X25" i="6" s="1"/>
  <c r="P26" i="7"/>
  <c r="V24" i="6"/>
  <c r="X24" i="6"/>
  <c r="P25" i="7" s="1"/>
  <c r="P30" i="40" s="1"/>
  <c r="V23" i="6"/>
  <c r="X23" i="6" s="1"/>
  <c r="P24" i="7"/>
  <c r="V22" i="6"/>
  <c r="X22" i="6"/>
  <c r="P23" i="7" s="1"/>
  <c r="P28" i="40" s="1"/>
  <c r="V21" i="6"/>
  <c r="X21" i="6" s="1"/>
  <c r="P22" i="7"/>
  <c r="V20" i="6"/>
  <c r="X20" i="6"/>
  <c r="P21" i="7" s="1"/>
  <c r="P26" i="40" s="1"/>
  <c r="V19" i="6"/>
  <c r="X19" i="6" s="1"/>
  <c r="P20" i="7"/>
  <c r="V18" i="6"/>
  <c r="X18" i="6"/>
  <c r="P19" i="7" s="1"/>
  <c r="P24" i="40" s="1"/>
  <c r="V17" i="6"/>
  <c r="X17" i="6" s="1"/>
  <c r="P18" i="7"/>
  <c r="V16" i="6"/>
  <c r="X16" i="6"/>
  <c r="P17" i="7" s="1"/>
  <c r="P22" i="40" s="1"/>
  <c r="V15" i="6"/>
  <c r="X15" i="6" s="1"/>
  <c r="P16" i="7"/>
  <c r="V14" i="6"/>
  <c r="X14" i="6"/>
  <c r="P15" i="7" s="1"/>
  <c r="P20" i="40" s="1"/>
  <c r="X13" i="6"/>
  <c r="P14" i="7"/>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G92" i="7" s="1"/>
  <c r="P97" i="34" s="1"/>
  <c r="I90" i="6"/>
  <c r="I89" i="6"/>
  <c r="I88" i="6"/>
  <c r="I87" i="6"/>
  <c r="G88" i="7" s="1"/>
  <c r="P93" i="34" s="1"/>
  <c r="I86" i="6"/>
  <c r="I85" i="6"/>
  <c r="I84" i="6"/>
  <c r="G85" i="7" s="1"/>
  <c r="P90" i="34" s="1"/>
  <c r="I83" i="6"/>
  <c r="I82" i="6"/>
  <c r="I81" i="6"/>
  <c r="I80" i="6"/>
  <c r="I79" i="6"/>
  <c r="I78" i="6"/>
  <c r="I77" i="6"/>
  <c r="I76" i="6"/>
  <c r="I75" i="6"/>
  <c r="I74" i="6"/>
  <c r="I73" i="6"/>
  <c r="I72" i="6"/>
  <c r="I71" i="6"/>
  <c r="G72" i="7" s="1"/>
  <c r="P77" i="34" s="1"/>
  <c r="I70" i="6"/>
  <c r="I69" i="6"/>
  <c r="I68" i="6"/>
  <c r="I67" i="6"/>
  <c r="I66" i="6"/>
  <c r="I65" i="6"/>
  <c r="I64" i="6"/>
  <c r="I63" i="6"/>
  <c r="I62" i="6"/>
  <c r="I61" i="6"/>
  <c r="I60" i="6"/>
  <c r="I59" i="6"/>
  <c r="I58" i="6"/>
  <c r="I57" i="6"/>
  <c r="I56" i="6"/>
  <c r="I55" i="6"/>
  <c r="I54" i="6"/>
  <c r="I53" i="6"/>
  <c r="I52" i="6"/>
  <c r="I51" i="6"/>
  <c r="I50" i="6"/>
  <c r="I49" i="6"/>
  <c r="I48" i="6"/>
  <c r="I47" i="6"/>
  <c r="I46" i="6"/>
  <c r="I45" i="6"/>
  <c r="I44" i="6"/>
  <c r="G45" i="7" s="1"/>
  <c r="P50" i="34" s="1"/>
  <c r="I43" i="6"/>
  <c r="I42" i="6"/>
  <c r="I41" i="6"/>
  <c r="I40" i="6"/>
  <c r="I39" i="6"/>
  <c r="I38" i="6"/>
  <c r="I37" i="6"/>
  <c r="I36" i="6"/>
  <c r="I35" i="6"/>
  <c r="I34" i="6"/>
  <c r="I33" i="6"/>
  <c r="I32" i="6"/>
  <c r="I31" i="6"/>
  <c r="I30" i="6"/>
  <c r="I29" i="6"/>
  <c r="I28" i="6"/>
  <c r="I27" i="6"/>
  <c r="G28" i="7" s="1"/>
  <c r="P33" i="34" s="1"/>
  <c r="I26" i="6"/>
  <c r="I25" i="6"/>
  <c r="G26" i="7" s="1"/>
  <c r="P31" i="34" s="1"/>
  <c r="I24" i="6"/>
  <c r="I23" i="6"/>
  <c r="I22" i="6"/>
  <c r="I21" i="6"/>
  <c r="I20" i="6"/>
  <c r="I19" i="6"/>
  <c r="I18" i="6"/>
  <c r="I17" i="6"/>
  <c r="I16" i="6"/>
  <c r="I15" i="6"/>
  <c r="I14" i="6"/>
  <c r="G93" i="6"/>
  <c r="G92" i="6"/>
  <c r="G91" i="6"/>
  <c r="G90" i="6"/>
  <c r="G89" i="6"/>
  <c r="G88" i="6"/>
  <c r="G87" i="6"/>
  <c r="G86" i="6"/>
  <c r="G85" i="6"/>
  <c r="G84" i="6"/>
  <c r="G83" i="6"/>
  <c r="G82" i="6"/>
  <c r="G81" i="6"/>
  <c r="G80" i="6"/>
  <c r="G79" i="6"/>
  <c r="G78" i="6"/>
  <c r="G77" i="6"/>
  <c r="G76" i="6"/>
  <c r="G75" i="6"/>
  <c r="G74" i="6"/>
  <c r="G73" i="6"/>
  <c r="E74" i="7" s="1"/>
  <c r="P79" i="35" s="1"/>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E28" i="7" s="1"/>
  <c r="P33" i="35" s="1"/>
  <c r="G26" i="6"/>
  <c r="G25" i="6"/>
  <c r="E26" i="7" s="1"/>
  <c r="P31" i="35" s="1"/>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L17" i="7" s="1"/>
  <c r="M17" i="6"/>
  <c r="N17" i="6"/>
  <c r="L18" i="7" s="1"/>
  <c r="M18" i="6"/>
  <c r="N18" i="6"/>
  <c r="M19" i="6"/>
  <c r="N19" i="6"/>
  <c r="M20" i="6"/>
  <c r="N20" i="6"/>
  <c r="M21" i="6"/>
  <c r="N21" i="6"/>
  <c r="M22" i="6"/>
  <c r="N22" i="6"/>
  <c r="M23" i="6"/>
  <c r="N23" i="6"/>
  <c r="M24" i="6"/>
  <c r="N24" i="6"/>
  <c r="M25" i="6"/>
  <c r="N25" i="6"/>
  <c r="L26" i="7" s="1"/>
  <c r="M26" i="6"/>
  <c r="N26" i="6"/>
  <c r="M27" i="6"/>
  <c r="N27" i="6"/>
  <c r="M28" i="6"/>
  <c r="N28" i="6"/>
  <c r="M29" i="6"/>
  <c r="N29" i="6"/>
  <c r="L30" i="7" s="1"/>
  <c r="M30" i="6"/>
  <c r="N30" i="6"/>
  <c r="M31" i="6"/>
  <c r="N31" i="6"/>
  <c r="M32" i="6"/>
  <c r="N32" i="6"/>
  <c r="M33" i="6"/>
  <c r="N33" i="6"/>
  <c r="O34" i="7"/>
  <c r="C39" i="37" s="1"/>
  <c r="M34" i="6"/>
  <c r="N34" i="6"/>
  <c r="M35" i="6"/>
  <c r="N35" i="6"/>
  <c r="M36" i="6"/>
  <c r="N36" i="6"/>
  <c r="L37" i="7" s="1"/>
  <c r="M37" i="6"/>
  <c r="N37" i="6"/>
  <c r="M38" i="6"/>
  <c r="N38" i="6"/>
  <c r="M39" i="6"/>
  <c r="N39" i="6"/>
  <c r="M40" i="6"/>
  <c r="N40" i="6"/>
  <c r="M41" i="6"/>
  <c r="N41" i="6"/>
  <c r="M42" i="6"/>
  <c r="N42" i="6"/>
  <c r="M43" i="6"/>
  <c r="N43" i="6"/>
  <c r="M44" i="6"/>
  <c r="N44" i="6"/>
  <c r="L45" i="7" s="1"/>
  <c r="M45" i="6"/>
  <c r="N45" i="6"/>
  <c r="M46" i="6"/>
  <c r="K47" i="7" s="1"/>
  <c r="N46" i="6"/>
  <c r="M47" i="6"/>
  <c r="N47" i="6"/>
  <c r="M48" i="6"/>
  <c r="N48" i="6"/>
  <c r="L49" i="7" s="1"/>
  <c r="M49" i="6"/>
  <c r="N49" i="6"/>
  <c r="M50" i="6"/>
  <c r="N50" i="6"/>
  <c r="M51" i="6"/>
  <c r="N51" i="6"/>
  <c r="M52" i="6"/>
  <c r="N52" i="6"/>
  <c r="M53" i="6"/>
  <c r="N53" i="6"/>
  <c r="M54" i="6"/>
  <c r="N54" i="6"/>
  <c r="M55" i="6"/>
  <c r="N55" i="6"/>
  <c r="M56" i="6"/>
  <c r="N56" i="6"/>
  <c r="L57" i="7" s="1"/>
  <c r="M57" i="6"/>
  <c r="N57" i="6"/>
  <c r="M58" i="6"/>
  <c r="N58" i="6"/>
  <c r="M59" i="6"/>
  <c r="N59" i="6"/>
  <c r="M60" i="6"/>
  <c r="N60" i="6"/>
  <c r="M61" i="6"/>
  <c r="N61" i="6"/>
  <c r="M62" i="6"/>
  <c r="K63" i="7" s="1"/>
  <c r="N62" i="6"/>
  <c r="M63" i="6"/>
  <c r="N63" i="6"/>
  <c r="L64" i="7" s="1"/>
  <c r="M64" i="6"/>
  <c r="N64" i="6"/>
  <c r="M65" i="6"/>
  <c r="N65" i="6"/>
  <c r="M66" i="6"/>
  <c r="N66" i="6"/>
  <c r="M67" i="6"/>
  <c r="N67" i="6"/>
  <c r="M68" i="6"/>
  <c r="N68" i="6"/>
  <c r="M69" i="6"/>
  <c r="N69" i="6"/>
  <c r="M70" i="6"/>
  <c r="N70" i="6"/>
  <c r="M71" i="6"/>
  <c r="N71" i="6"/>
  <c r="L72" i="7" s="1"/>
  <c r="M72" i="6"/>
  <c r="N72" i="6"/>
  <c r="M73" i="6"/>
  <c r="N73" i="6"/>
  <c r="L74" i="7" s="1"/>
  <c r="M74" i="6"/>
  <c r="N74" i="6"/>
  <c r="M75" i="6"/>
  <c r="N75" i="6"/>
  <c r="M76" i="6"/>
  <c r="N76" i="6"/>
  <c r="L77" i="7" s="1"/>
  <c r="M77" i="6"/>
  <c r="N77" i="6"/>
  <c r="M78" i="6"/>
  <c r="N78" i="6"/>
  <c r="M79" i="6"/>
  <c r="N79" i="6"/>
  <c r="M80" i="6"/>
  <c r="K81" i="7" s="1"/>
  <c r="N80" i="6"/>
  <c r="M81" i="6"/>
  <c r="N81" i="6"/>
  <c r="M82" i="6"/>
  <c r="N82" i="6"/>
  <c r="M83" i="6"/>
  <c r="N83" i="6"/>
  <c r="M84" i="6"/>
  <c r="N84" i="6"/>
  <c r="M85" i="6"/>
  <c r="N85" i="6"/>
  <c r="M86" i="6"/>
  <c r="N86" i="6"/>
  <c r="M87" i="6"/>
  <c r="N87" i="6"/>
  <c r="M88" i="6"/>
  <c r="K89" i="7" s="1"/>
  <c r="N88" i="6"/>
  <c r="L89" i="7" s="1"/>
  <c r="M89" i="6"/>
  <c r="N89" i="6"/>
  <c r="M90" i="6"/>
  <c r="N90" i="6"/>
  <c r="M91" i="6"/>
  <c r="N91" i="6"/>
  <c r="M92" i="6"/>
  <c r="N92" i="6"/>
  <c r="L93" i="7" s="1"/>
  <c r="M93" i="6"/>
  <c r="N9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E53" i="4"/>
  <c r="W4" i="5"/>
  <c r="X4" i="5"/>
  <c r="Y4" i="5"/>
  <c r="AA4" i="5"/>
  <c r="AH15" i="5" s="1"/>
  <c r="AD4" i="5"/>
  <c r="E58" i="4"/>
  <c r="E59" i="4"/>
  <c r="E55" i="4"/>
  <c r="F38" i="28" s="1"/>
  <c r="C94" i="8"/>
  <c r="D94" i="8"/>
  <c r="E94" i="8"/>
  <c r="F94" i="8"/>
  <c r="G94" i="8"/>
  <c r="C95" i="8"/>
  <c r="D95" i="8"/>
  <c r="E95" i="8"/>
  <c r="F95" i="8"/>
  <c r="G95" i="8"/>
  <c r="C96" i="8"/>
  <c r="D96" i="8"/>
  <c r="E96" i="8"/>
  <c r="F96" i="8"/>
  <c r="G96" i="8"/>
  <c r="C97" i="8"/>
  <c r="D97" i="8"/>
  <c r="E97" i="8"/>
  <c r="F97" i="8"/>
  <c r="G97" i="8"/>
  <c r="C98" i="8"/>
  <c r="D98" i="8"/>
  <c r="E98" i="8"/>
  <c r="F98" i="8"/>
  <c r="G98" i="8"/>
  <c r="B14" i="7"/>
  <c r="O19" i="18"/>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H76" i="6"/>
  <c r="J46" i="6"/>
  <c r="E70" i="6"/>
  <c r="E29" i="6"/>
  <c r="E18" i="6"/>
  <c r="E43" i="6"/>
  <c r="F43" i="6"/>
  <c r="H43" i="6"/>
  <c r="J43" i="6"/>
  <c r="K43" i="6"/>
  <c r="L43" i="6"/>
  <c r="E44" i="6"/>
  <c r="E35" i="6"/>
  <c r="E34" i="6"/>
  <c r="E37" i="6"/>
  <c r="E28" i="6"/>
  <c r="C29" i="7" s="1"/>
  <c r="C34" i="18" s="1"/>
  <c r="E20" i="6"/>
  <c r="E58" i="6"/>
  <c r="J41" i="6"/>
  <c r="E67" i="6"/>
  <c r="E23" i="6"/>
  <c r="J80" i="6"/>
  <c r="H81" i="7" s="1"/>
  <c r="E63" i="6"/>
  <c r="F63" i="6"/>
  <c r="H63" i="6"/>
  <c r="J63" i="6"/>
  <c r="K63" i="6"/>
  <c r="L63" i="6"/>
  <c r="J53" i="6"/>
  <c r="E46" i="6"/>
  <c r="C47" i="7" s="1"/>
  <c r="P52" i="18" s="1"/>
  <c r="L65" i="6"/>
  <c r="E82" i="6"/>
  <c r="E64" i="6"/>
  <c r="E76" i="6"/>
  <c r="E60" i="6"/>
  <c r="J67" i="6"/>
  <c r="E55" i="6"/>
  <c r="E36" i="6"/>
  <c r="E21" i="6"/>
  <c r="K51" i="6"/>
  <c r="E54" i="6"/>
  <c r="E66" i="6"/>
  <c r="E79" i="6"/>
  <c r="F79" i="6"/>
  <c r="H79" i="6"/>
  <c r="J79" i="6"/>
  <c r="K79" i="6"/>
  <c r="L79" i="6"/>
  <c r="J42" i="6"/>
  <c r="E88" i="6"/>
  <c r="J22" i="6"/>
  <c r="J92" i="6"/>
  <c r="E87" i="6"/>
  <c r="E51" i="6"/>
  <c r="E33" i="6"/>
  <c r="J82" i="6"/>
  <c r="E45" i="6"/>
  <c r="C46" i="7" s="1"/>
  <c r="C51" i="18" s="1"/>
  <c r="E27" i="6"/>
  <c r="E74" i="6"/>
  <c r="C75" i="7" s="1"/>
  <c r="C80" i="18" s="1"/>
  <c r="E57" i="6"/>
  <c r="E78" i="7"/>
  <c r="P83" i="35" s="1"/>
  <c r="L89" i="6"/>
  <c r="K38" i="6"/>
  <c r="K28" i="6"/>
  <c r="I29" i="7" s="1"/>
  <c r="L38" i="6"/>
  <c r="E38" i="6"/>
  <c r="F38" i="6"/>
  <c r="H38" i="6"/>
  <c r="J38" i="6"/>
  <c r="K17" i="6"/>
  <c r="F91" i="6"/>
  <c r="D92" i="7" s="1"/>
  <c r="C97" i="35" s="1"/>
  <c r="K42" i="6"/>
  <c r="L93" i="6"/>
  <c r="L54" i="6"/>
  <c r="K23" i="6"/>
  <c r="K88" i="6"/>
  <c r="I89" i="7" s="1"/>
  <c r="L40" i="6"/>
  <c r="L24" i="6"/>
  <c r="L42" i="6"/>
  <c r="K65" i="6"/>
  <c r="F18" i="6"/>
  <c r="K26" i="6"/>
  <c r="I27" i="7" s="1"/>
  <c r="L34" i="6"/>
  <c r="F41" i="6"/>
  <c r="F93" i="6"/>
  <c r="O23" i="7"/>
  <c r="F20" i="6"/>
  <c r="L71" i="6"/>
  <c r="I49" i="7"/>
  <c r="L55" i="6"/>
  <c r="L25" i="6"/>
  <c r="K22" i="6"/>
  <c r="E22" i="6"/>
  <c r="F22" i="6"/>
  <c r="H22" i="6"/>
  <c r="L22" i="6"/>
  <c r="F92" i="6"/>
  <c r="K47" i="6"/>
  <c r="F26" i="6"/>
  <c r="L17" i="6"/>
  <c r="L75" i="6"/>
  <c r="F77" i="6"/>
  <c r="L52" i="6"/>
  <c r="L57" i="6"/>
  <c r="L70" i="6"/>
  <c r="L72" i="6"/>
  <c r="K25" i="6"/>
  <c r="K72" i="6"/>
  <c r="E72" i="6"/>
  <c r="F72" i="6"/>
  <c r="D73" i="7" s="1"/>
  <c r="C78" i="35" s="1"/>
  <c r="H72" i="6"/>
  <c r="J72" i="6"/>
  <c r="K46" i="6"/>
  <c r="F53" i="6"/>
  <c r="L86" i="6"/>
  <c r="K92" i="6"/>
  <c r="F59" i="6"/>
  <c r="K48" i="6"/>
  <c r="L46" i="6"/>
  <c r="O68" i="7"/>
  <c r="I47" i="7"/>
  <c r="F19" i="6"/>
  <c r="L68" i="6"/>
  <c r="L39" i="6"/>
  <c r="L29" i="6"/>
  <c r="J30" i="7" s="1"/>
  <c r="K77" i="6"/>
  <c r="K55" i="6"/>
  <c r="I56" i="7" s="1"/>
  <c r="K81" i="6"/>
  <c r="K59" i="6"/>
  <c r="K74" i="6"/>
  <c r="F86" i="6"/>
  <c r="H14" i="6"/>
  <c r="K68" i="6"/>
  <c r="L31" i="6"/>
  <c r="L59" i="6"/>
  <c r="L83" i="6"/>
  <c r="H86" i="6"/>
  <c r="H26" i="6"/>
  <c r="L18" i="6"/>
  <c r="L80" i="6"/>
  <c r="J81" i="7" s="1"/>
  <c r="L81" i="6"/>
  <c r="L44" i="6"/>
  <c r="L82" i="6"/>
  <c r="L45" i="6"/>
  <c r="L78" i="6"/>
  <c r="K53" i="6"/>
  <c r="I54" i="7" s="1"/>
  <c r="K87" i="6"/>
  <c r="K33" i="6"/>
  <c r="K78" i="6"/>
  <c r="K19" i="6"/>
  <c r="K75" i="6"/>
  <c r="K52" i="6"/>
  <c r="K18" i="6"/>
  <c r="I19" i="7" s="1"/>
  <c r="L23" i="6"/>
  <c r="H67" i="6"/>
  <c r="H80" i="6"/>
  <c r="H71" i="6"/>
  <c r="H53" i="6"/>
  <c r="K36" i="6"/>
  <c r="K70" i="6"/>
  <c r="L87" i="6"/>
  <c r="H36" i="6"/>
  <c r="F37" i="7" s="1"/>
  <c r="H48" i="6"/>
  <c r="L26" i="6"/>
  <c r="L27" i="6"/>
  <c r="L20" i="6"/>
  <c r="L49" i="6"/>
  <c r="L16" i="6"/>
  <c r="J17" i="7" s="1"/>
  <c r="L50" i="6"/>
  <c r="L90" i="6"/>
  <c r="K34" i="6"/>
  <c r="K45" i="6"/>
  <c r="K84" i="6"/>
  <c r="I85" i="7" s="1"/>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L47" i="6"/>
  <c r="J48" i="7" s="1"/>
  <c r="L74" i="6"/>
  <c r="L67" i="6"/>
  <c r="J68" i="7" s="1"/>
  <c r="L56" i="6"/>
  <c r="L64" i="6"/>
  <c r="L73" i="6"/>
  <c r="L85" i="6"/>
  <c r="K37" i="6"/>
  <c r="K29" i="6"/>
  <c r="K32" i="6"/>
  <c r="K44" i="6"/>
  <c r="K24" i="6"/>
  <c r="K80" i="6"/>
  <c r="K67" i="6"/>
  <c r="K35" i="6"/>
  <c r="K40" i="6"/>
  <c r="K86" i="6"/>
  <c r="K73" i="6"/>
  <c r="K41" i="6"/>
  <c r="K56" i="6"/>
  <c r="K71" i="6"/>
  <c r="K21" i="6"/>
  <c r="K90" i="6"/>
  <c r="K66" i="6"/>
  <c r="K76" i="6"/>
  <c r="I77" i="7" s="1"/>
  <c r="K93" i="6"/>
  <c r="K61" i="6"/>
  <c r="K82" i="6"/>
  <c r="I83" i="7" s="1"/>
  <c r="K62" i="6"/>
  <c r="K20" i="6"/>
  <c r="K58" i="6"/>
  <c r="L15" i="6"/>
  <c r="J16" i="7" s="1"/>
  <c r="L36" i="6"/>
  <c r="L61" i="6"/>
  <c r="L77" i="6"/>
  <c r="J78" i="7" s="1"/>
  <c r="F83" i="6"/>
  <c r="F57" i="6"/>
  <c r="F23" i="6"/>
  <c r="L32" i="6"/>
  <c r="L37" i="6"/>
  <c r="L19" i="6"/>
  <c r="L69" i="6"/>
  <c r="L28" i="6"/>
  <c r="J29" i="7" s="1"/>
  <c r="L58" i="6"/>
  <c r="L88" i="6"/>
  <c r="J89" i="7" s="1"/>
  <c r="L35" i="6"/>
  <c r="L66" i="6"/>
  <c r="L92" i="6"/>
  <c r="K31" i="6"/>
  <c r="K85" i="6"/>
  <c r="K39" i="6"/>
  <c r="K30" i="6"/>
  <c r="K49" i="6"/>
  <c r="I50" i="7" s="1"/>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E68" i="6"/>
  <c r="E53" i="6"/>
  <c r="E17" i="6"/>
  <c r="E93" i="6"/>
  <c r="E77" i="6"/>
  <c r="C78" i="7" s="1"/>
  <c r="E25" i="6"/>
  <c r="E73" i="6"/>
  <c r="E78" i="6"/>
  <c r="E62" i="6"/>
  <c r="C63" i="7" s="1"/>
  <c r="P68" i="18" s="1"/>
  <c r="E30" i="6"/>
  <c r="E80" i="6"/>
  <c r="C81" i="7" s="1"/>
  <c r="E50" i="6"/>
  <c r="E75" i="6"/>
  <c r="J91" i="6"/>
  <c r="J25" i="6"/>
  <c r="J44" i="6"/>
  <c r="J18" i="6"/>
  <c r="J86" i="6"/>
  <c r="J30" i="6"/>
  <c r="J73" i="6"/>
  <c r="J34" i="6"/>
  <c r="H35" i="7" s="1"/>
  <c r="P40" i="33" s="1"/>
  <c r="J74" i="6"/>
  <c r="J15" i="6"/>
  <c r="J60" i="6"/>
  <c r="J31" i="6"/>
  <c r="J40" i="6"/>
  <c r="J62" i="6"/>
  <c r="J26" i="6"/>
  <c r="J57" i="6"/>
  <c r="H58" i="7" s="1"/>
  <c r="J28" i="6"/>
  <c r="J54" i="6"/>
  <c r="J88" i="6"/>
  <c r="J19" i="6"/>
  <c r="J66" i="6"/>
  <c r="J50" i="6"/>
  <c r="J64" i="6"/>
  <c r="J27" i="6"/>
  <c r="J52" i="6"/>
  <c r="J76" i="6"/>
  <c r="H77" i="7" s="1"/>
  <c r="J83" i="6"/>
  <c r="J71" i="6"/>
  <c r="J59" i="6"/>
  <c r="J49" i="6"/>
  <c r="H50" i="7" s="1"/>
  <c r="J37" i="6"/>
  <c r="J24" i="6"/>
  <c r="J85" i="6"/>
  <c r="J21" i="6"/>
  <c r="J58" i="6"/>
  <c r="J84" i="6"/>
  <c r="J75" i="6"/>
  <c r="J55" i="6"/>
  <c r="J29" i="6"/>
  <c r="J16" i="6"/>
  <c r="H17" i="7" s="1"/>
  <c r="P22" i="33" s="1"/>
  <c r="J47" i="6"/>
  <c r="H48" i="7" s="1"/>
  <c r="J68" i="6"/>
  <c r="J14" i="6"/>
  <c r="J87" i="6"/>
  <c r="J93" i="6"/>
  <c r="J39" i="6"/>
  <c r="J70" i="6"/>
  <c r="J51" i="6"/>
  <c r="J35" i="6"/>
  <c r="J13" i="6"/>
  <c r="J45" i="6"/>
  <c r="J77" i="6"/>
  <c r="H46" i="6"/>
  <c r="H52" i="6"/>
  <c r="H20" i="6"/>
  <c r="H84" i="6"/>
  <c r="J65" i="6"/>
  <c r="H27" i="6"/>
  <c r="J56" i="6"/>
  <c r="H74" i="6"/>
  <c r="J20" i="6"/>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H56" i="6"/>
  <c r="H87" i="6"/>
  <c r="H17" i="6"/>
  <c r="H60" i="6"/>
  <c r="H28" i="6"/>
  <c r="H18" i="6"/>
  <c r="H82" i="6"/>
  <c r="H42" i="6"/>
  <c r="H73" i="6"/>
  <c r="H83" i="6"/>
  <c r="H57" i="6"/>
  <c r="H50" i="6"/>
  <c r="H62" i="6"/>
  <c r="H88" i="6"/>
  <c r="H40" i="6"/>
  <c r="H93" i="6"/>
  <c r="H70" i="6"/>
  <c r="H29" i="6"/>
  <c r="H64" i="6"/>
  <c r="H65" i="6"/>
  <c r="J33" i="6"/>
  <c r="J61" i="6"/>
  <c r="J90" i="6"/>
  <c r="H81" i="6"/>
  <c r="H21" i="6"/>
  <c r="H92" i="6"/>
  <c r="H30" i="6"/>
  <c r="H31" i="6"/>
  <c r="J32" i="6"/>
  <c r="H47" i="6"/>
  <c r="H34" i="6"/>
  <c r="F35" i="7" s="1"/>
  <c r="C40" i="32" s="1"/>
  <c r="H41" i="6"/>
  <c r="H55" i="6"/>
  <c r="F66" i="6"/>
  <c r="F64" i="6"/>
  <c r="F81" i="6"/>
  <c r="F45" i="6"/>
  <c r="F70" i="6"/>
  <c r="D71" i="7" s="1"/>
  <c r="P76" i="31" s="1"/>
  <c r="F56" i="6"/>
  <c r="F74" i="6"/>
  <c r="F88" i="6"/>
  <c r="D89" i="7" s="1"/>
  <c r="C94" i="35" s="1"/>
  <c r="F47" i="6"/>
  <c r="F14" i="6"/>
  <c r="F71" i="6"/>
  <c r="F44" i="6"/>
  <c r="F16" i="6"/>
  <c r="F65" i="6"/>
  <c r="F42" i="6"/>
  <c r="F85" i="6"/>
  <c r="F52" i="6"/>
  <c r="F17" i="6"/>
  <c r="F80" i="6"/>
  <c r="F36" i="6"/>
  <c r="F40" i="6"/>
  <c r="F25" i="6"/>
  <c r="D26" i="7" s="1"/>
  <c r="C31" i="31" s="1"/>
  <c r="F76" i="6"/>
  <c r="E19" i="6"/>
  <c r="E56" i="6"/>
  <c r="E24" i="6"/>
  <c r="E40" i="6"/>
  <c r="E49" i="6"/>
  <c r="E32" i="6"/>
  <c r="E31" i="6"/>
  <c r="E71" i="6"/>
  <c r="E92" i="6"/>
  <c r="H69" i="6"/>
  <c r="J89" i="6"/>
  <c r="J48" i="6"/>
  <c r="J23" i="6"/>
  <c r="J81" i="6"/>
  <c r="J69" i="6"/>
  <c r="J36" i="6"/>
  <c r="O81" i="7"/>
  <c r="C86" i="37" s="1"/>
  <c r="I33" i="7"/>
  <c r="O43" i="7"/>
  <c r="P48" i="37" s="1"/>
  <c r="F29" i="7"/>
  <c r="P34" i="32" s="1"/>
  <c r="B19" i="32"/>
  <c r="F70" i="28"/>
  <c r="F58" i="28"/>
  <c r="F81" i="28"/>
  <c r="F19" i="28"/>
  <c r="F45" i="28"/>
  <c r="K7" i="18"/>
  <c r="W7" i="18"/>
  <c r="B19" i="35"/>
  <c r="K7" i="31"/>
  <c r="W7" i="31"/>
  <c r="K7" i="32"/>
  <c r="W7" i="32"/>
  <c r="K7" i="33"/>
  <c r="E81" i="7"/>
  <c r="P86" i="35" s="1"/>
  <c r="E46" i="7"/>
  <c r="P51" i="35" s="1"/>
  <c r="E35" i="7"/>
  <c r="P40" i="35" s="1"/>
  <c r="O46" i="4"/>
  <c r="K7" i="34"/>
  <c r="W7" i="34"/>
  <c r="K7" i="35"/>
  <c r="O24" i="7"/>
  <c r="P29" i="37" s="1"/>
  <c r="D24" i="7"/>
  <c r="O52" i="7"/>
  <c r="C57" i="37" s="1"/>
  <c r="G22" i="7"/>
  <c r="P27" i="34" s="1"/>
  <c r="O26" i="7"/>
  <c r="C31" i="37" s="1"/>
  <c r="O89" i="7"/>
  <c r="P94" i="37" s="1"/>
  <c r="O19" i="33"/>
  <c r="B15" i="7"/>
  <c r="B20" i="33" s="1"/>
  <c r="O19" i="37"/>
  <c r="O79" i="7"/>
  <c r="C84" i="37" s="1"/>
  <c r="G16" i="7"/>
  <c r="P21" i="34" s="1"/>
  <c r="I46" i="7"/>
  <c r="O46" i="7"/>
  <c r="C51" i="37" s="1"/>
  <c r="O21" i="7"/>
  <c r="C26" i="37" s="1"/>
  <c r="G30" i="7"/>
  <c r="P35" i="34" s="1"/>
  <c r="I30" i="7"/>
  <c r="K44" i="7"/>
  <c r="K28" i="7"/>
  <c r="O28" i="7"/>
  <c r="P33" i="37" s="1"/>
  <c r="F28" i="7"/>
  <c r="F65" i="7"/>
  <c r="P70" i="32" s="1"/>
  <c r="G33" i="7"/>
  <c r="P38" i="34" s="1"/>
  <c r="O45" i="7"/>
  <c r="J92" i="7"/>
  <c r="K92" i="7"/>
  <c r="C92" i="7"/>
  <c r="P97" i="18" s="1"/>
  <c r="O92" i="7"/>
  <c r="P97" i="37" s="1"/>
  <c r="H76" i="7"/>
  <c r="P81" i="33" s="1"/>
  <c r="F81" i="7"/>
  <c r="D81" i="7"/>
  <c r="C86" i="31" s="1"/>
  <c r="C83" i="7"/>
  <c r="C54" i="7"/>
  <c r="D78" i="7"/>
  <c r="C83" i="35" s="1"/>
  <c r="W7" i="36"/>
  <c r="W7" i="37"/>
  <c r="K7" i="36"/>
  <c r="O19" i="35"/>
  <c r="O19" i="31"/>
  <c r="B19" i="37"/>
  <c r="C97" i="37"/>
  <c r="C22" i="40"/>
  <c r="P27" i="40"/>
  <c r="C27" i="40"/>
  <c r="P29" i="40"/>
  <c r="C29" i="40"/>
  <c r="P31" i="40"/>
  <c r="C31" i="40"/>
  <c r="P33" i="40"/>
  <c r="C33" i="40"/>
  <c r="P35" i="40"/>
  <c r="C35" i="40"/>
  <c r="P37" i="40"/>
  <c r="C37" i="40"/>
  <c r="P39" i="40"/>
  <c r="C39" i="40"/>
  <c r="P41" i="40"/>
  <c r="C41" i="40"/>
  <c r="P43" i="40"/>
  <c r="C43" i="40"/>
  <c r="P45" i="40"/>
  <c r="C45" i="40"/>
  <c r="P47" i="40"/>
  <c r="C47" i="40"/>
  <c r="P49" i="40"/>
  <c r="C49" i="40"/>
  <c r="P51" i="40"/>
  <c r="C51" i="40"/>
  <c r="P53" i="40"/>
  <c r="C53" i="40"/>
  <c r="P55" i="40"/>
  <c r="C55" i="40"/>
  <c r="P57" i="40"/>
  <c r="C57" i="40"/>
  <c r="C64" i="40"/>
  <c r="C72" i="40"/>
  <c r="C80" i="40"/>
  <c r="C88" i="40"/>
  <c r="P93" i="40"/>
  <c r="C93" i="40"/>
  <c r="P95" i="40"/>
  <c r="C95" i="40"/>
  <c r="P97" i="40"/>
  <c r="C97" i="40"/>
  <c r="P99" i="40"/>
  <c r="C99" i="40"/>
  <c r="P57" i="37"/>
  <c r="P19" i="40"/>
  <c r="C19" i="40"/>
  <c r="P21" i="40"/>
  <c r="C21" i="40"/>
  <c r="P23" i="40"/>
  <c r="C23" i="40"/>
  <c r="P25" i="40"/>
  <c r="C25" i="40"/>
  <c r="C26" i="40"/>
  <c r="C30" i="40"/>
  <c r="C34" i="40"/>
  <c r="C38" i="40"/>
  <c r="C42" i="40"/>
  <c r="C46" i="40"/>
  <c r="C50" i="40"/>
  <c r="C54" i="40"/>
  <c r="C58" i="40"/>
  <c r="P59" i="40"/>
  <c r="C59" i="40"/>
  <c r="P61" i="40"/>
  <c r="C61" i="40"/>
  <c r="P63" i="40"/>
  <c r="C63" i="40"/>
  <c r="P65" i="40"/>
  <c r="C65" i="40"/>
  <c r="P67" i="40"/>
  <c r="C67" i="40"/>
  <c r="P69" i="40"/>
  <c r="C69" i="40"/>
  <c r="P71" i="40"/>
  <c r="C71" i="40"/>
  <c r="P73" i="40"/>
  <c r="C73" i="40"/>
  <c r="P75" i="40"/>
  <c r="C75" i="40"/>
  <c r="P77" i="40"/>
  <c r="C77" i="40"/>
  <c r="P79" i="40"/>
  <c r="C79" i="40"/>
  <c r="P81" i="40"/>
  <c r="C81" i="40"/>
  <c r="P83" i="40"/>
  <c r="C83" i="40"/>
  <c r="P85" i="40"/>
  <c r="C85" i="40"/>
  <c r="P87" i="40"/>
  <c r="C87" i="40"/>
  <c r="P89" i="40"/>
  <c r="C89" i="40"/>
  <c r="P91" i="40"/>
  <c r="C91" i="40"/>
  <c r="C92" i="40"/>
  <c r="C96" i="40"/>
  <c r="W6" i="37"/>
  <c r="D10" i="39"/>
  <c r="F12" i="39"/>
  <c r="R16" i="4"/>
  <c r="O17" i="4"/>
  <c r="K6" i="32" s="1"/>
  <c r="W8" i="34"/>
  <c r="B16" i="7"/>
  <c r="B21" i="40" s="1"/>
  <c r="O19" i="32"/>
  <c r="B19" i="34"/>
  <c r="O19" i="36"/>
  <c r="B19" i="33"/>
  <c r="B19" i="31"/>
  <c r="B19" i="18"/>
  <c r="O19" i="34"/>
  <c r="B19" i="36"/>
  <c r="O19" i="40"/>
  <c r="B19" i="40"/>
  <c r="W6" i="36"/>
  <c r="W8" i="35"/>
  <c r="R15" i="4"/>
  <c r="F10" i="39" s="1"/>
  <c r="K8" i="33"/>
  <c r="K8" i="37"/>
  <c r="K12" i="37" s="1"/>
  <c r="W8" i="37"/>
  <c r="O20" i="33"/>
  <c r="O20" i="31"/>
  <c r="W10" i="35"/>
  <c r="O21" i="31"/>
  <c r="B17" i="7"/>
  <c r="B22" i="34" s="1"/>
  <c r="B21" i="34"/>
  <c r="K12" i="34"/>
  <c r="K9" i="34"/>
  <c r="K12" i="35"/>
  <c r="K9" i="37"/>
  <c r="W10" i="37"/>
  <c r="W12" i="37"/>
  <c r="W9" i="37"/>
  <c r="O22" i="18"/>
  <c r="B22" i="32"/>
  <c r="B22" i="33"/>
  <c r="B22" i="40"/>
  <c r="C40" i="33" l="1"/>
  <c r="C94" i="37"/>
  <c r="P97" i="31"/>
  <c r="P51" i="37"/>
  <c r="S35" i="8"/>
  <c r="C86" i="40"/>
  <c r="C78" i="40"/>
  <c r="C70" i="40"/>
  <c r="C62" i="40"/>
  <c r="C20" i="40"/>
  <c r="F16" i="28"/>
  <c r="F14" i="28"/>
  <c r="F66" i="28"/>
  <c r="F92" i="28"/>
  <c r="F21" i="28"/>
  <c r="AH24" i="5"/>
  <c r="P42" i="32"/>
  <c r="C42" i="32"/>
  <c r="G56" i="7"/>
  <c r="P61" i="34" s="1"/>
  <c r="O56" i="7"/>
  <c r="K56" i="7"/>
  <c r="K73" i="7"/>
  <c r="O73" i="7"/>
  <c r="H73" i="7"/>
  <c r="C78" i="33" s="1"/>
  <c r="E79" i="7"/>
  <c r="P84" i="35" s="1"/>
  <c r="L79" i="7"/>
  <c r="D79" i="7"/>
  <c r="C84" i="31" s="1"/>
  <c r="K65" i="7"/>
  <c r="O65" i="7"/>
  <c r="C70" i="37" s="1"/>
  <c r="I75" i="7"/>
  <c r="H75" i="7"/>
  <c r="P80" i="33" s="1"/>
  <c r="K75" i="7"/>
  <c r="L33" i="7"/>
  <c r="F33" i="7"/>
  <c r="C38" i="34" s="1"/>
  <c r="H74" i="7"/>
  <c r="P79" i="33" s="1"/>
  <c r="G74" i="7"/>
  <c r="P79" i="34" s="1"/>
  <c r="O74" i="7"/>
  <c r="F48" i="7"/>
  <c r="O48" i="7"/>
  <c r="C53" i="37" s="1"/>
  <c r="G48" i="7"/>
  <c r="P53" i="34" s="1"/>
  <c r="K48" i="7"/>
  <c r="G62" i="7"/>
  <c r="P67" i="34" s="1"/>
  <c r="E62" i="7"/>
  <c r="P67" i="35" s="1"/>
  <c r="O62" i="7"/>
  <c r="C67" i="37" s="1"/>
  <c r="G43" i="7"/>
  <c r="P48" i="34" s="1"/>
  <c r="L43" i="7"/>
  <c r="I57" i="7"/>
  <c r="G57" i="7"/>
  <c r="P62" i="34" s="1"/>
  <c r="F57" i="7"/>
  <c r="C62" i="32" s="1"/>
  <c r="H30" i="7"/>
  <c r="P35" i="33" s="1"/>
  <c r="F30" i="7"/>
  <c r="P35" i="32" s="1"/>
  <c r="E30" i="7"/>
  <c r="P35" i="35" s="1"/>
  <c r="C30" i="7"/>
  <c r="C35" i="18" s="1"/>
  <c r="O54" i="7"/>
  <c r="P59" i="37" s="1"/>
  <c r="E54" i="7"/>
  <c r="P59" i="35" s="1"/>
  <c r="G54" i="7"/>
  <c r="P59" i="34" s="1"/>
  <c r="AH16" i="5"/>
  <c r="AH19" i="5"/>
  <c r="AH25" i="5"/>
  <c r="C94" i="40"/>
  <c r="C52" i="40"/>
  <c r="C32" i="40"/>
  <c r="C84" i="40"/>
  <c r="C60" i="40"/>
  <c r="G82" i="7"/>
  <c r="P87" i="34" s="1"/>
  <c r="K82" i="7"/>
  <c r="W13" i="40"/>
  <c r="W13" i="18"/>
  <c r="K13" i="33"/>
  <c r="K13" i="35"/>
  <c r="W13" i="36"/>
  <c r="K13" i="36"/>
  <c r="K13" i="40"/>
  <c r="K13" i="37"/>
  <c r="K13" i="31"/>
  <c r="K13" i="32"/>
  <c r="K13" i="34"/>
  <c r="W13" i="33"/>
  <c r="K13" i="18"/>
  <c r="W13" i="31"/>
  <c r="W13" i="32"/>
  <c r="W13" i="34"/>
  <c r="W13" i="35"/>
  <c r="W13" i="37"/>
  <c r="F12" i="28"/>
  <c r="F74" i="28"/>
  <c r="F28" i="28"/>
  <c r="F50" i="28"/>
  <c r="F69" i="28"/>
  <c r="F33" i="28"/>
  <c r="F37" i="28"/>
  <c r="F88" i="28"/>
  <c r="F80" i="28"/>
  <c r="F54" i="28"/>
  <c r="F90" i="28"/>
  <c r="F42" i="28"/>
  <c r="F51" i="28"/>
  <c r="F77" i="28"/>
  <c r="F30" i="28"/>
  <c r="F25" i="28"/>
  <c r="F82" i="28"/>
  <c r="F35" i="28"/>
  <c r="F56" i="28"/>
  <c r="F57" i="28"/>
  <c r="F61" i="28"/>
  <c r="F13" i="28"/>
  <c r="F48" i="28"/>
  <c r="F18" i="28"/>
  <c r="F68" i="28"/>
  <c r="F44" i="28"/>
  <c r="F34" i="28"/>
  <c r="F85" i="28"/>
  <c r="F86" i="28"/>
  <c r="F53" i="28"/>
  <c r="F32" i="28"/>
  <c r="F78" i="28"/>
  <c r="F89" i="28"/>
  <c r="F39" i="28"/>
  <c r="F67" i="28"/>
  <c r="F20" i="28"/>
  <c r="F63" i="28"/>
  <c r="F72" i="28"/>
  <c r="F23" i="28"/>
  <c r="F46" i="28"/>
  <c r="F91" i="28"/>
  <c r="F17" i="28"/>
  <c r="F71" i="28"/>
  <c r="F27" i="28"/>
  <c r="F43" i="28"/>
  <c r="F22" i="28"/>
  <c r="F84" i="28"/>
  <c r="F65" i="28"/>
  <c r="F87" i="28"/>
  <c r="F31" i="28"/>
  <c r="F41" i="28"/>
  <c r="F76" i="28"/>
  <c r="F29" i="28"/>
  <c r="F52" i="28"/>
  <c r="F15" i="28"/>
  <c r="F26" i="28"/>
  <c r="F55" i="28"/>
  <c r="F83" i="28"/>
  <c r="F36" i="28"/>
  <c r="F59" i="28"/>
  <c r="K10" i="37"/>
  <c r="C98" i="40"/>
  <c r="C56" i="40"/>
  <c r="C48" i="40"/>
  <c r="C44" i="40"/>
  <c r="C40" i="40"/>
  <c r="C36" i="40"/>
  <c r="C28" i="40"/>
  <c r="C76" i="40"/>
  <c r="C68" i="40"/>
  <c r="F60" i="28"/>
  <c r="F24" i="28"/>
  <c r="F62" i="28"/>
  <c r="F79" i="28"/>
  <c r="F49" i="28"/>
  <c r="O22" i="34"/>
  <c r="W6" i="18"/>
  <c r="C90" i="40"/>
  <c r="C82" i="40"/>
  <c r="C74" i="40"/>
  <c r="C66" i="40"/>
  <c r="C24" i="40"/>
  <c r="F73" i="28"/>
  <c r="F40" i="28"/>
  <c r="F64" i="28"/>
  <c r="F47" i="28"/>
  <c r="D57" i="7"/>
  <c r="P62" i="31" s="1"/>
  <c r="F62" i="7"/>
  <c r="C67" i="34" s="1"/>
  <c r="C33" i="7"/>
  <c r="P38" i="18" s="1"/>
  <c r="C57" i="7"/>
  <c r="P62" i="18" s="1"/>
  <c r="D48" i="7"/>
  <c r="C53" i="35" s="1"/>
  <c r="E71" i="7"/>
  <c r="P76" i="35" s="1"/>
  <c r="H39" i="7"/>
  <c r="C44" i="33" s="1"/>
  <c r="J55" i="7"/>
  <c r="H21" i="7"/>
  <c r="C26" i="33" s="1"/>
  <c r="F83" i="7"/>
  <c r="C88" i="34" s="1"/>
  <c r="L20" i="7"/>
  <c r="R81" i="8"/>
  <c r="E82" i="33" s="1"/>
  <c r="L65" i="7"/>
  <c r="E59" i="7"/>
  <c r="P64" i="35" s="1"/>
  <c r="L56" i="7"/>
  <c r="L54" i="7"/>
  <c r="L48" i="7"/>
  <c r="K33" i="7"/>
  <c r="K26" i="7"/>
  <c r="K24" i="7"/>
  <c r="E24" i="7"/>
  <c r="P29" i="35" s="1"/>
  <c r="E48" i="7"/>
  <c r="P53" i="35" s="1"/>
  <c r="E92" i="7"/>
  <c r="P97" i="35" s="1"/>
  <c r="I25" i="7"/>
  <c r="L24" i="7"/>
  <c r="L86" i="7"/>
  <c r="F40" i="7"/>
  <c r="C45" i="34" s="1"/>
  <c r="F80" i="7"/>
  <c r="C85" i="34" s="1"/>
  <c r="G81" i="7"/>
  <c r="P86" i="34" s="1"/>
  <c r="G89" i="7"/>
  <c r="P94" i="34" s="1"/>
  <c r="H56" i="7"/>
  <c r="P61" i="33" s="1"/>
  <c r="C74" i="7"/>
  <c r="P79" i="18" s="1"/>
  <c r="C62" i="7"/>
  <c r="C43" i="7"/>
  <c r="C48" i="18" s="1"/>
  <c r="J65" i="7"/>
  <c r="F36" i="7"/>
  <c r="P41" i="32" s="1"/>
  <c r="H96" i="8"/>
  <c r="H20" i="8"/>
  <c r="L81" i="7"/>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P83" i="32" s="1"/>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P65" i="33" s="1"/>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K23" i="7"/>
  <c r="D39" i="7"/>
  <c r="C44" i="31" s="1"/>
  <c r="O71" i="7"/>
  <c r="P76" i="37" s="1"/>
  <c r="H26" i="7"/>
  <c r="P31" i="33" s="1"/>
  <c r="C68" i="7"/>
  <c r="P73" i="18" s="1"/>
  <c r="O47" i="7"/>
  <c r="O40" i="7"/>
  <c r="P45" i="37" s="1"/>
  <c r="O78" i="7"/>
  <c r="I63" i="7"/>
  <c r="J63" i="7"/>
  <c r="D63" i="7"/>
  <c r="C68" i="35" s="1"/>
  <c r="C73" i="7"/>
  <c r="P78" i="18" s="1"/>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P67" i="37"/>
  <c r="C86" i="33"/>
  <c r="P86" i="33"/>
  <c r="H85" i="7"/>
  <c r="P90" i="33" s="1"/>
  <c r="P77" i="37"/>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50" i="33" s="1"/>
  <c r="C79" i="7"/>
  <c r="C84" i="18" s="1"/>
  <c r="J36" i="7"/>
  <c r="I21" i="7"/>
  <c r="I74" i="7"/>
  <c r="I68" i="7"/>
  <c r="D52" i="7"/>
  <c r="C57" i="31" s="1"/>
  <c r="D47" i="7"/>
  <c r="D33" i="7"/>
  <c r="C38" i="31"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32" i="36"/>
  <c r="Q34" i="40"/>
  <c r="R98" i="8"/>
  <c r="E99" i="37" s="1"/>
  <c r="R26" i="8"/>
  <c r="E27" i="34" s="1"/>
  <c r="H30" i="8"/>
  <c r="R37" i="8"/>
  <c r="E38" i="40" s="1"/>
  <c r="Q82" i="36"/>
  <c r="R82" i="36" s="1"/>
  <c r="R97" i="8"/>
  <c r="R19" i="8"/>
  <c r="E20" i="31" s="1"/>
  <c r="H23" i="8"/>
  <c r="R68" i="8"/>
  <c r="E69" i="36" s="1"/>
  <c r="R83" i="8"/>
  <c r="E84" i="31" s="1"/>
  <c r="H91" i="8"/>
  <c r="R18" i="8"/>
  <c r="E19" i="35" s="1"/>
  <c r="H39" i="8"/>
  <c r="H41" i="8"/>
  <c r="R51" i="8"/>
  <c r="E52" i="37" s="1"/>
  <c r="H56" i="8"/>
  <c r="R63" i="8"/>
  <c r="E64" i="36" s="1"/>
  <c r="R65" i="8"/>
  <c r="Q66" i="32" s="1"/>
  <c r="R67" i="8"/>
  <c r="E68" i="34" s="1"/>
  <c r="H69" i="8"/>
  <c r="R71" i="8"/>
  <c r="Q72" i="33" s="1"/>
  <c r="H73" i="8"/>
  <c r="R75" i="8"/>
  <c r="E76" i="18" s="1"/>
  <c r="H79" i="8"/>
  <c r="H82" i="8"/>
  <c r="H84" i="8"/>
  <c r="H86" i="8"/>
  <c r="H90" i="8"/>
  <c r="H92" i="8"/>
  <c r="Q84" i="40"/>
  <c r="Q20" i="32"/>
  <c r="E82" i="40"/>
  <c r="F82" i="40" s="1"/>
  <c r="R23" i="8"/>
  <c r="E24" i="18" s="1"/>
  <c r="Q82" i="18"/>
  <c r="Q52" i="33"/>
  <c r="E83" i="40"/>
  <c r="F83" i="40" s="1"/>
  <c r="R69" i="8"/>
  <c r="E70" i="33" s="1"/>
  <c r="Q96" i="31"/>
  <c r="R73" i="8"/>
  <c r="R55" i="8"/>
  <c r="H55" i="8"/>
  <c r="R59" i="8"/>
  <c r="Q60" i="40" s="1"/>
  <c r="H59" i="8"/>
  <c r="E82" i="36"/>
  <c r="E82" i="18"/>
  <c r="Q82" i="33"/>
  <c r="E82" i="34"/>
  <c r="Q82" i="37"/>
  <c r="Q82" i="32"/>
  <c r="Q20" i="40"/>
  <c r="E82" i="32"/>
  <c r="H77" i="8"/>
  <c r="R77" i="8"/>
  <c r="R93" i="8"/>
  <c r="Q94" i="35" s="1"/>
  <c r="H93" i="8"/>
  <c r="Q82" i="34"/>
  <c r="E82" i="37"/>
  <c r="R39" i="8"/>
  <c r="H98" i="8"/>
  <c r="H22" i="8"/>
  <c r="R29" i="8"/>
  <c r="E30" i="36" s="1"/>
  <c r="H43" i="8"/>
  <c r="H47" i="8"/>
  <c r="H54" i="8"/>
  <c r="R61" i="8"/>
  <c r="H65" i="8"/>
  <c r="H68" i="8"/>
  <c r="H72" i="8"/>
  <c r="R87" i="8"/>
  <c r="E88" i="31" s="1"/>
  <c r="R91" i="8"/>
  <c r="Q92" i="40" s="1"/>
  <c r="E36" i="18"/>
  <c r="E36" i="34"/>
  <c r="E36" i="36"/>
  <c r="E36" i="35"/>
  <c r="Q36" i="35"/>
  <c r="E36" i="40"/>
  <c r="F36" i="40" s="1"/>
  <c r="Q36" i="34"/>
  <c r="E36" i="37"/>
  <c r="E36" i="32"/>
  <c r="Q36" i="37"/>
  <c r="Q36" i="18"/>
  <c r="Q76" i="18"/>
  <c r="E58" i="31"/>
  <c r="E35" i="34"/>
  <c r="R85" i="8"/>
  <c r="H85" i="8"/>
  <c r="Q58" i="35"/>
  <c r="Q96" i="34"/>
  <c r="R89" i="8"/>
  <c r="R27" i="8"/>
  <c r="R53" i="8"/>
  <c r="H53" i="8"/>
  <c r="E83" i="32"/>
  <c r="Q58" i="37"/>
  <c r="E52" i="34"/>
  <c r="Q82" i="40"/>
  <c r="E82" i="35"/>
  <c r="E82" i="31"/>
  <c r="Q82" i="35"/>
  <c r="Q82" i="31"/>
  <c r="E34" i="40"/>
  <c r="F34" i="40" s="1"/>
  <c r="E83" i="31"/>
  <c r="Q92" i="34"/>
  <c r="H87" i="8"/>
  <c r="I88" i="7"/>
  <c r="P79" i="32"/>
  <c r="C79" i="34"/>
  <c r="C79" i="32"/>
  <c r="C83" i="34"/>
  <c r="C67" i="32"/>
  <c r="P67" i="32"/>
  <c r="C62" i="34"/>
  <c r="C42" i="34"/>
  <c r="C34" i="32"/>
  <c r="F46" i="7"/>
  <c r="E16" i="7"/>
  <c r="P21" i="35" s="1"/>
  <c r="E56" i="7"/>
  <c r="P61" i="35" s="1"/>
  <c r="O62" i="6"/>
  <c r="M63" i="7" s="1"/>
  <c r="O74" i="6"/>
  <c r="M75" i="7" s="1"/>
  <c r="O23" i="6"/>
  <c r="M24" i="7" s="1"/>
  <c r="J26" i="7"/>
  <c r="P82" i="33"/>
  <c r="C82" i="33"/>
  <c r="F82" i="33" s="1"/>
  <c r="P88" i="33"/>
  <c r="O89" i="6"/>
  <c r="M90" i="7" s="1"/>
  <c r="O76" i="6"/>
  <c r="M77" i="7" s="1"/>
  <c r="O82" i="6"/>
  <c r="M83" i="7" s="1"/>
  <c r="O30" i="6"/>
  <c r="M31" i="7" s="1"/>
  <c r="O24" i="6"/>
  <c r="M25" i="7" s="1"/>
  <c r="H15" i="7"/>
  <c r="C20" i="33" s="1"/>
  <c r="C79" i="33"/>
  <c r="O83" i="6"/>
  <c r="P83" i="6" s="1"/>
  <c r="O42" i="6"/>
  <c r="M43" i="7" s="1"/>
  <c r="O72" i="6"/>
  <c r="M73" i="7" s="1"/>
  <c r="D49" i="7"/>
  <c r="P54" i="31" s="1"/>
  <c r="P21" i="6"/>
  <c r="P52" i="31"/>
  <c r="C52" i="35"/>
  <c r="C52" i="31"/>
  <c r="C88" i="31"/>
  <c r="P88" i="31"/>
  <c r="C88" i="35"/>
  <c r="D65" i="7"/>
  <c r="C70" i="31" s="1"/>
  <c r="O88" i="6"/>
  <c r="M89" i="7" s="1"/>
  <c r="O50" i="6"/>
  <c r="P50" i="6" s="1"/>
  <c r="O20" i="6"/>
  <c r="M21" i="7" s="1"/>
  <c r="O14" i="6"/>
  <c r="M15" i="7" s="1"/>
  <c r="C97" i="31"/>
  <c r="O64" i="6"/>
  <c r="M65" i="7" s="1"/>
  <c r="O31" i="6"/>
  <c r="M32" i="7" s="1"/>
  <c r="O49" i="6"/>
  <c r="M50" i="7" s="1"/>
  <c r="P67" i="18"/>
  <c r="C67" i="18"/>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M14" i="7"/>
  <c r="O25" i="6"/>
  <c r="M26" i="7" s="1"/>
  <c r="O39" i="6"/>
  <c r="P39" i="6" s="1"/>
  <c r="O56" i="6"/>
  <c r="M57" i="7" s="1"/>
  <c r="O53" i="6"/>
  <c r="M54" i="7" s="1"/>
  <c r="P76" i="6"/>
  <c r="C73" i="18"/>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O63" i="6"/>
  <c r="M64" i="7" s="1"/>
  <c r="P26" i="37"/>
  <c r="C22" i="33"/>
  <c r="P22" i="18"/>
  <c r="C59" i="18"/>
  <c r="P59" i="18"/>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M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G94" i="7"/>
  <c r="P99" i="34" s="1"/>
  <c r="O90" i="7"/>
  <c r="P54" i="37"/>
  <c r="C31" i="7"/>
  <c r="G25" i="7"/>
  <c r="P30" i="34" s="1"/>
  <c r="C66" i="7"/>
  <c r="J61" i="7"/>
  <c r="O38" i="7"/>
  <c r="P68" i="37"/>
  <c r="C68" i="37"/>
  <c r="C38" i="7"/>
  <c r="O36" i="7"/>
  <c r="P41" i="37" s="1"/>
  <c r="P83" i="18"/>
  <c r="C83" i="18"/>
  <c r="C53" i="33"/>
  <c r="P53" i="33"/>
  <c r="I64" i="7"/>
  <c r="J67" i="7"/>
  <c r="I14" i="7"/>
  <c r="C59" i="37"/>
  <c r="F41" i="7"/>
  <c r="J41" i="7"/>
  <c r="P31" i="37"/>
  <c r="K18" i="7"/>
  <c r="I86" i="7"/>
  <c r="L90" i="7"/>
  <c r="C81" i="33"/>
  <c r="J31" i="7"/>
  <c r="C77" i="33"/>
  <c r="P77" i="33"/>
  <c r="H55" i="7"/>
  <c r="C60" i="33" s="1"/>
  <c r="G70" i="7"/>
  <c r="P75" i="34" s="1"/>
  <c r="G53" i="7"/>
  <c r="P58" i="34" s="1"/>
  <c r="P70" i="37"/>
  <c r="K20" i="7"/>
  <c r="J44" i="7"/>
  <c r="C40" i="34"/>
  <c r="P40" i="32"/>
  <c r="O61" i="7"/>
  <c r="L19" i="7"/>
  <c r="D41" i="7"/>
  <c r="O91" i="7"/>
  <c r="F22" i="7"/>
  <c r="P53" i="18"/>
  <c r="C53" i="18"/>
  <c r="L67" i="7"/>
  <c r="E66" i="7"/>
  <c r="P71" i="35" s="1"/>
  <c r="O15" i="7"/>
  <c r="P20" i="37" s="1"/>
  <c r="C52" i="18"/>
  <c r="M22" i="7"/>
  <c r="F64" i="7"/>
  <c r="O80" i="7"/>
  <c r="C59" i="33"/>
  <c r="P59" i="33"/>
  <c r="P50" i="33"/>
  <c r="C78" i="31"/>
  <c r="C86" i="34"/>
  <c r="P86" i="32"/>
  <c r="C86" i="32"/>
  <c r="C62" i="35"/>
  <c r="C62" i="31"/>
  <c r="H14" i="7"/>
  <c r="C51" i="7"/>
  <c r="J86" i="7"/>
  <c r="I20"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4" i="34"/>
  <c r="C33" i="37"/>
  <c r="C29" i="37"/>
  <c r="C33" i="32"/>
  <c r="C29" i="34"/>
  <c r="P34" i="18"/>
  <c r="B20" i="32"/>
  <c r="O20" i="35"/>
  <c r="B20" i="40"/>
  <c r="O20" i="37"/>
  <c r="B20" i="36"/>
  <c r="O20" i="18"/>
  <c r="B20" i="37"/>
  <c r="O22" i="40"/>
  <c r="O22" i="33"/>
  <c r="O22" i="32"/>
  <c r="B22" i="31"/>
  <c r="B22" i="18"/>
  <c r="B21" i="35"/>
  <c r="O21" i="35"/>
  <c r="B20" i="34"/>
  <c r="B20" i="31"/>
  <c r="O20" i="40"/>
  <c r="O20" i="32"/>
  <c r="O20" i="36"/>
  <c r="O22" i="35"/>
  <c r="B22" i="37"/>
  <c r="O22" i="37"/>
  <c r="B22" i="36"/>
  <c r="O22" i="36"/>
  <c r="O22" i="31"/>
  <c r="B18" i="7"/>
  <c r="B22" i="35"/>
  <c r="B21" i="31"/>
  <c r="B20" i="35"/>
  <c r="O20" i="34"/>
  <c r="B20" i="18"/>
  <c r="P80" i="18"/>
  <c r="C84" i="35"/>
  <c r="C21" i="31"/>
  <c r="P21" i="31"/>
  <c r="C55" i="33"/>
  <c r="P55" i="33"/>
  <c r="C80" i="33"/>
  <c r="C9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E83" i="37"/>
  <c r="Q83" i="33"/>
  <c r="P53" i="31"/>
  <c r="C53" i="31"/>
  <c r="C63" i="33"/>
  <c r="P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E99" i="36"/>
  <c r="H97" i="8"/>
  <c r="H18" i="8"/>
  <c r="H19" i="8"/>
  <c r="R32" i="8"/>
  <c r="H32" i="8"/>
  <c r="H33" i="8"/>
  <c r="Q35" i="36"/>
  <c r="R35" i="36" s="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H41" i="7"/>
  <c r="C90" i="7"/>
  <c r="F27" i="7"/>
  <c r="J27" i="7"/>
  <c r="H27" i="7"/>
  <c r="C27" i="7"/>
  <c r="K71" i="7"/>
  <c r="F71" i="7"/>
  <c r="P76" i="32" s="1"/>
  <c r="G69" i="7"/>
  <c r="P74" i="34" s="1"/>
  <c r="J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W8" i="36"/>
  <c r="K8" i="36"/>
  <c r="W6" i="35"/>
  <c r="H10" i="39"/>
  <c r="R17" i="4"/>
  <c r="W8" i="18"/>
  <c r="K8" i="18"/>
  <c r="O23" i="35"/>
  <c r="O23" i="31"/>
  <c r="B23" i="40"/>
  <c r="B23" i="35"/>
  <c r="W9" i="34"/>
  <c r="W12" i="34"/>
  <c r="W10" i="34"/>
  <c r="K10" i="31"/>
  <c r="K12" i="31"/>
  <c r="K9" i="31"/>
  <c r="O21" i="40"/>
  <c r="O21" i="34"/>
  <c r="O21" i="18"/>
  <c r="O21" i="36"/>
  <c r="B21" i="36"/>
  <c r="O21" i="33"/>
  <c r="O21" i="32"/>
  <c r="B21" i="18"/>
  <c r="B21" i="32"/>
  <c r="O21" i="37"/>
  <c r="B21" i="33"/>
  <c r="B21" i="37"/>
  <c r="W12" i="33"/>
  <c r="W10" i="33"/>
  <c r="D12" i="39"/>
  <c r="W6" i="34"/>
  <c r="K9" i="18"/>
  <c r="C31" i="35"/>
  <c r="C29" i="32"/>
  <c r="P51" i="18"/>
  <c r="P93" i="32"/>
  <c r="P33" i="31"/>
  <c r="P86" i="31"/>
  <c r="C83" i="32"/>
  <c r="P76" i="33"/>
  <c r="P88" i="18"/>
  <c r="C86" i="35"/>
  <c r="C97" i="18"/>
  <c r="C64" i="33"/>
  <c r="C50" i="32"/>
  <c r="C33" i="31"/>
  <c r="C93" i="34"/>
  <c r="C68" i="18"/>
  <c r="P82" i="18"/>
  <c r="P31" i="31"/>
  <c r="P90" i="32"/>
  <c r="C94" i="31"/>
  <c r="C63" i="37"/>
  <c r="P78" i="31"/>
  <c r="P68" i="32"/>
  <c r="P94" i="31"/>
  <c r="C90" i="34"/>
  <c r="P41" i="31"/>
  <c r="C41" i="35"/>
  <c r="P38" i="32" l="1"/>
  <c r="P51" i="33"/>
  <c r="P72" i="6"/>
  <c r="P84" i="31"/>
  <c r="C82" i="31"/>
  <c r="F82" i="31" s="1"/>
  <c r="G82" i="31" s="1"/>
  <c r="M94" i="7"/>
  <c r="C62" i="18"/>
  <c r="C44" i="18"/>
  <c r="P23" i="6"/>
  <c r="C82" i="35"/>
  <c r="C89" i="33"/>
  <c r="P82" i="6"/>
  <c r="P24" i="6"/>
  <c r="P77" i="18"/>
  <c r="M37" i="7"/>
  <c r="P80" i="32"/>
  <c r="M69" i="7"/>
  <c r="P54" i="18"/>
  <c r="P78" i="33"/>
  <c r="C50" i="34"/>
  <c r="P63" i="32"/>
  <c r="P85" i="32"/>
  <c r="C88" i="32"/>
  <c r="P88" i="32"/>
  <c r="C80" i="34"/>
  <c r="P52" i="32"/>
  <c r="P26" i="33"/>
  <c r="C35" i="33"/>
  <c r="F35" i="33" s="1"/>
  <c r="H35" i="33" s="1"/>
  <c r="P21" i="37"/>
  <c r="P47" i="33"/>
  <c r="C32" i="35"/>
  <c r="C48" i="33"/>
  <c r="C45" i="33"/>
  <c r="C34" i="31"/>
  <c r="C32" i="31"/>
  <c r="P41" i="33"/>
  <c r="P35" i="18"/>
  <c r="C30" i="32"/>
  <c r="P22" i="37"/>
  <c r="P22" i="31"/>
  <c r="P28" i="18"/>
  <c r="C41" i="32"/>
  <c r="P42" i="18"/>
  <c r="P21" i="18"/>
  <c r="C19" i="32"/>
  <c r="P48" i="18"/>
  <c r="P34" i="33"/>
  <c r="P45" i="31"/>
  <c r="C45" i="31"/>
  <c r="C35" i="35"/>
  <c r="F35" i="35" s="1"/>
  <c r="C38" i="18"/>
  <c r="P44" i="33"/>
  <c r="C48" i="35"/>
  <c r="C31" i="18"/>
  <c r="C85" i="32"/>
  <c r="C41" i="34"/>
  <c r="P55" i="18"/>
  <c r="C31" i="34"/>
  <c r="C26" i="18"/>
  <c r="C65" i="33"/>
  <c r="C79" i="18"/>
  <c r="C76" i="18"/>
  <c r="C78" i="18"/>
  <c r="C38" i="32"/>
  <c r="P62" i="32"/>
  <c r="P45" i="32"/>
  <c r="C63" i="32"/>
  <c r="C58" i="33"/>
  <c r="C39" i="32"/>
  <c r="C31" i="33"/>
  <c r="C28" i="33"/>
  <c r="P42" i="31"/>
  <c r="C61" i="33"/>
  <c r="F61" i="33" s="1"/>
  <c r="H61" i="33" s="1"/>
  <c r="P31" i="32"/>
  <c r="C45" i="32"/>
  <c r="C42" i="31"/>
  <c r="R76" i="18"/>
  <c r="C28" i="32"/>
  <c r="P32" i="37"/>
  <c r="C38" i="35"/>
  <c r="C35" i="31"/>
  <c r="F35" i="31" s="1"/>
  <c r="G35" i="31" s="1"/>
  <c r="P38" i="31"/>
  <c r="C39" i="35"/>
  <c r="P28" i="32"/>
  <c r="E35" i="31"/>
  <c r="E68" i="36"/>
  <c r="Q96" i="33"/>
  <c r="Q96" i="40"/>
  <c r="R96" i="40" s="1"/>
  <c r="E35" i="18"/>
  <c r="Q76" i="33"/>
  <c r="E52" i="33"/>
  <c r="Q96" i="32"/>
  <c r="E96" i="31"/>
  <c r="Q35" i="32"/>
  <c r="E96" i="34"/>
  <c r="E35" i="40"/>
  <c r="F35" i="40" s="1"/>
  <c r="E35" i="32"/>
  <c r="Q52" i="37"/>
  <c r="Q35" i="34"/>
  <c r="Q96" i="37"/>
  <c r="E96" i="36"/>
  <c r="E35" i="33"/>
  <c r="E76" i="31"/>
  <c r="Q20" i="31"/>
  <c r="C61" i="37"/>
  <c r="P61" i="37"/>
  <c r="C35" i="32"/>
  <c r="C35" i="34"/>
  <c r="F35" i="34" s="1"/>
  <c r="P78" i="37"/>
  <c r="C78" i="37"/>
  <c r="F88" i="31"/>
  <c r="H88" i="31" s="1"/>
  <c r="C53" i="34"/>
  <c r="P53" i="32"/>
  <c r="C53" i="32"/>
  <c r="R82" i="31"/>
  <c r="P79" i="37"/>
  <c r="C79" i="37"/>
  <c r="P73" i="33"/>
  <c r="C73" i="33"/>
  <c r="P68" i="31"/>
  <c r="F82" i="34"/>
  <c r="H82" i="34" s="1"/>
  <c r="C52" i="34"/>
  <c r="F52" i="34" s="1"/>
  <c r="C52" i="37"/>
  <c r="F52" i="37" s="1"/>
  <c r="H52" i="37" s="1"/>
  <c r="P52" i="37"/>
  <c r="R52" i="37" s="1"/>
  <c r="C69" i="18"/>
  <c r="C68" i="31"/>
  <c r="F68" i="31" s="1"/>
  <c r="G68" i="31" s="1"/>
  <c r="P44" i="31"/>
  <c r="P96" i="32"/>
  <c r="P34" i="31"/>
  <c r="C61" i="34"/>
  <c r="C43" i="32"/>
  <c r="C61" i="31"/>
  <c r="C92" i="33"/>
  <c r="C56" i="34"/>
  <c r="C90" i="37"/>
  <c r="C56" i="32"/>
  <c r="P52" i="33"/>
  <c r="P42" i="33"/>
  <c r="C68" i="34"/>
  <c r="F68" i="34" s="1"/>
  <c r="G68" i="34" s="1"/>
  <c r="P57" i="31"/>
  <c r="P44" i="37"/>
  <c r="P20" i="33"/>
  <c r="P59" i="31"/>
  <c r="C44" i="35"/>
  <c r="C92" i="34"/>
  <c r="C82" i="32"/>
  <c r="F82" i="32" s="1"/>
  <c r="C39" i="31"/>
  <c r="C29" i="18"/>
  <c r="C37" i="33"/>
  <c r="C77" i="31"/>
  <c r="C55" i="32"/>
  <c r="C83" i="37"/>
  <c r="P83" i="37"/>
  <c r="C28" i="31"/>
  <c r="C28" i="35"/>
  <c r="R82" i="37"/>
  <c r="T82" i="37" s="1"/>
  <c r="P98" i="32"/>
  <c r="P49" i="33"/>
  <c r="C45" i="37"/>
  <c r="C76" i="37"/>
  <c r="Q35" i="33"/>
  <c r="R35" i="33" s="1"/>
  <c r="T35" i="33" s="1"/>
  <c r="E35" i="37"/>
  <c r="E69" i="34"/>
  <c r="E34" i="34"/>
  <c r="Q58" i="40"/>
  <c r="R58" i="40" s="1"/>
  <c r="Q96" i="35"/>
  <c r="E96" i="33"/>
  <c r="E96" i="32"/>
  <c r="E58" i="34"/>
  <c r="E68" i="18"/>
  <c r="Q35" i="40"/>
  <c r="R35" i="40" s="1"/>
  <c r="Q58" i="34"/>
  <c r="E76" i="36"/>
  <c r="E72" i="18"/>
  <c r="E52" i="32"/>
  <c r="F52" i="32" s="1"/>
  <c r="E20" i="40"/>
  <c r="F20" i="40" s="1"/>
  <c r="R96" i="18"/>
  <c r="S96" i="18" s="1"/>
  <c r="Q35" i="18"/>
  <c r="Q35" i="35"/>
  <c r="E68" i="31"/>
  <c r="E35" i="35"/>
  <c r="Q96" i="36"/>
  <c r="R96" i="36" s="1"/>
  <c r="Q35" i="31"/>
  <c r="R35" i="31" s="1"/>
  <c r="Q96" i="18"/>
  <c r="E96" i="40"/>
  <c r="F96" i="40" s="1"/>
  <c r="E35" i="36"/>
  <c r="Q76" i="36"/>
  <c r="R76" i="36" s="1"/>
  <c r="E96" i="35"/>
  <c r="Q20" i="33"/>
  <c r="E96" i="37"/>
  <c r="E61" i="18"/>
  <c r="Q70" i="36"/>
  <c r="R70" i="36" s="1"/>
  <c r="Q92" i="32"/>
  <c r="Q32" i="33"/>
  <c r="Q32" i="37"/>
  <c r="Q32" i="31"/>
  <c r="Q80" i="31"/>
  <c r="R80" i="31" s="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E32" i="31"/>
  <c r="Q64" i="36"/>
  <c r="R64" i="36" s="1"/>
  <c r="E61" i="36"/>
  <c r="Q69" i="32"/>
  <c r="Q61" i="33"/>
  <c r="R61" i="33" s="1"/>
  <c r="T61" i="33" s="1"/>
  <c r="Q61" i="36"/>
  <c r="R61" i="36" s="1"/>
  <c r="E32" i="32"/>
  <c r="E26" i="32"/>
  <c r="E61" i="33"/>
  <c r="Q32" i="35"/>
  <c r="R32" i="35" s="1"/>
  <c r="E32" i="35"/>
  <c r="E61" i="31"/>
  <c r="R76" i="33"/>
  <c r="T76" i="33" s="1"/>
  <c r="Q61" i="18"/>
  <c r="Q61" i="34"/>
  <c r="Q61" i="37"/>
  <c r="R61" i="37" s="1"/>
  <c r="S61" i="37" s="1"/>
  <c r="E52" i="40"/>
  <c r="F52" i="40" s="1"/>
  <c r="Q32" i="32"/>
  <c r="E61" i="35"/>
  <c r="E32" i="18"/>
  <c r="E61" i="34"/>
  <c r="F61" i="34" s="1"/>
  <c r="G61" i="34" s="1"/>
  <c r="Q32" i="18"/>
  <c r="E68" i="40"/>
  <c r="E32" i="37"/>
  <c r="Q32" i="40"/>
  <c r="R32" i="40" s="1"/>
  <c r="Q76" i="40"/>
  <c r="E76" i="40"/>
  <c r="Q36" i="36"/>
  <c r="R36" i="36" s="1"/>
  <c r="Q36" i="31"/>
  <c r="E36" i="31"/>
  <c r="E22" i="35"/>
  <c r="E68" i="32"/>
  <c r="F68" i="32" s="1"/>
  <c r="Q52" i="35"/>
  <c r="R52" i="35" s="1"/>
  <c r="E20" i="34"/>
  <c r="E32" i="33"/>
  <c r="E22" i="40"/>
  <c r="E19" i="31"/>
  <c r="Q52" i="18"/>
  <c r="R52" i="18" s="1"/>
  <c r="Q52" i="40"/>
  <c r="R52" i="40" s="1"/>
  <c r="Q68" i="33"/>
  <c r="E68" i="35"/>
  <c r="F68" i="35" s="1"/>
  <c r="G68" i="35" s="1"/>
  <c r="Q68" i="36"/>
  <c r="R68" i="36" s="1"/>
  <c r="Q68" i="18"/>
  <c r="R68" i="18" s="1"/>
  <c r="E53" i="37"/>
  <c r="R52" i="33"/>
  <c r="T52" i="33" s="1"/>
  <c r="Q94" i="31"/>
  <c r="Q52" i="34"/>
  <c r="Q68" i="32"/>
  <c r="Q68" i="31"/>
  <c r="Q68" i="34"/>
  <c r="R68" i="34" s="1"/>
  <c r="E76" i="37"/>
  <c r="Q76" i="31"/>
  <c r="R76" i="31" s="1"/>
  <c r="E76" i="34"/>
  <c r="Q22" i="35"/>
  <c r="R22" i="35" s="1"/>
  <c r="E20" i="36"/>
  <c r="E52" i="36"/>
  <c r="Q20" i="34"/>
  <c r="R20" i="34" s="1"/>
  <c r="E20" i="35"/>
  <c r="Q76" i="34"/>
  <c r="E76" i="33"/>
  <c r="Q76" i="37"/>
  <c r="R76" i="37" s="1"/>
  <c r="S76" i="37" s="1"/>
  <c r="E22" i="31"/>
  <c r="Q52" i="31"/>
  <c r="R52" i="31" s="1"/>
  <c r="Q20" i="18"/>
  <c r="Q20" i="35"/>
  <c r="R20" i="35" s="1"/>
  <c r="F83" i="32"/>
  <c r="F76" i="40"/>
  <c r="E72" i="34"/>
  <c r="E22" i="36"/>
  <c r="E22" i="37"/>
  <c r="Q22" i="40"/>
  <c r="R22" i="40" s="1"/>
  <c r="Q68" i="40"/>
  <c r="R68" i="40" s="1"/>
  <c r="Q38" i="40"/>
  <c r="E19" i="34"/>
  <c r="E94" i="36"/>
  <c r="E52" i="18"/>
  <c r="Q68" i="37"/>
  <c r="R68" i="37" s="1"/>
  <c r="T68" i="37" s="1"/>
  <c r="E68" i="33"/>
  <c r="Q76" i="32"/>
  <c r="E76" i="32"/>
  <c r="Q76" i="35"/>
  <c r="R76" i="35" s="1"/>
  <c r="T76" i="35" s="1"/>
  <c r="E76" i="35"/>
  <c r="E22" i="34"/>
  <c r="Q22" i="31"/>
  <c r="Q20" i="36"/>
  <c r="R20" i="36" s="1"/>
  <c r="E20" i="32"/>
  <c r="E20" i="18"/>
  <c r="E40" i="33"/>
  <c r="E40" i="40"/>
  <c r="F40" i="40" s="1"/>
  <c r="Q40" i="31"/>
  <c r="Q74" i="40"/>
  <c r="R74" i="40" s="1"/>
  <c r="E74" i="32"/>
  <c r="F74" i="32" s="1"/>
  <c r="Q74" i="36"/>
  <c r="R74" i="36" s="1"/>
  <c r="E70" i="40"/>
  <c r="F70" i="40" s="1"/>
  <c r="E70" i="37"/>
  <c r="Q66" i="33"/>
  <c r="Q66" i="34"/>
  <c r="R66" i="34" s="1"/>
  <c r="Q98" i="35"/>
  <c r="R98" i="35" s="1"/>
  <c r="Q98" i="32"/>
  <c r="Q53" i="40"/>
  <c r="R53" i="40" s="1"/>
  <c r="E53" i="40"/>
  <c r="F53" i="40" s="1"/>
  <c r="E53" i="31"/>
  <c r="E53" i="35"/>
  <c r="F53" i="35" s="1"/>
  <c r="Q53" i="32"/>
  <c r="Q53" i="36"/>
  <c r="R53" i="36" s="1"/>
  <c r="E53" i="34"/>
  <c r="E53" i="36"/>
  <c r="Q53" i="35"/>
  <c r="R53" i="35" s="1"/>
  <c r="T53" i="35" s="1"/>
  <c r="Q53" i="31"/>
  <c r="R53" i="31" s="1"/>
  <c r="Q53" i="34"/>
  <c r="R53" i="34" s="1"/>
  <c r="Q27" i="32"/>
  <c r="E74" i="36"/>
  <c r="Q84" i="33"/>
  <c r="R84" i="33" s="1"/>
  <c r="E53" i="18"/>
  <c r="E53" i="32"/>
  <c r="E24" i="34"/>
  <c r="E24" i="36"/>
  <c r="Q24" i="18"/>
  <c r="E24" i="35"/>
  <c r="E72" i="31"/>
  <c r="Q72" i="40"/>
  <c r="R72" i="40" s="1"/>
  <c r="E72" i="36"/>
  <c r="E72" i="33"/>
  <c r="F72" i="33" s="1"/>
  <c r="Q72" i="34"/>
  <c r="R72" i="34" s="1"/>
  <c r="E72" i="40"/>
  <c r="F72" i="40" s="1"/>
  <c r="Q64" i="40"/>
  <c r="R64" i="40" s="1"/>
  <c r="Q64" i="34"/>
  <c r="R64" i="34" s="1"/>
  <c r="E64" i="37"/>
  <c r="E64" i="35"/>
  <c r="Q64" i="18"/>
  <c r="E64" i="32"/>
  <c r="E69" i="31"/>
  <c r="E69" i="18"/>
  <c r="E69" i="40"/>
  <c r="F69" i="40" s="1"/>
  <c r="E69" i="37"/>
  <c r="E99" i="34"/>
  <c r="E99" i="18"/>
  <c r="Q99" i="33"/>
  <c r="Q99" i="32"/>
  <c r="E83" i="35"/>
  <c r="Q83" i="37"/>
  <c r="Q83" i="36"/>
  <c r="R83" i="36" s="1"/>
  <c r="E83" i="36"/>
  <c r="Q83" i="32"/>
  <c r="E83" i="34"/>
  <c r="Q83" i="40"/>
  <c r="R83" i="40" s="1"/>
  <c r="Q83" i="35"/>
  <c r="R83" i="35" s="1"/>
  <c r="T83" i="35" s="1"/>
  <c r="Q83" i="31"/>
  <c r="R83" i="31" s="1"/>
  <c r="E58" i="36"/>
  <c r="E58" i="40"/>
  <c r="F58" i="40" s="1"/>
  <c r="E58" i="18"/>
  <c r="E58" i="32"/>
  <c r="E58" i="37"/>
  <c r="Q58" i="18"/>
  <c r="E34" i="32"/>
  <c r="F34" i="32" s="1"/>
  <c r="Q34" i="31"/>
  <c r="E34" i="18"/>
  <c r="Q34" i="33"/>
  <c r="E34" i="36"/>
  <c r="Q34" i="32"/>
  <c r="F83" i="37"/>
  <c r="H83" i="37" s="1"/>
  <c r="Q69" i="33"/>
  <c r="Q53" i="37"/>
  <c r="R53" i="37" s="1"/>
  <c r="S53" i="37" s="1"/>
  <c r="Q83" i="18"/>
  <c r="R83" i="18" s="1"/>
  <c r="E83" i="18"/>
  <c r="Q69" i="40"/>
  <c r="R69" i="40" s="1"/>
  <c r="Q34" i="36"/>
  <c r="R34" i="36" s="1"/>
  <c r="Q58" i="31"/>
  <c r="R58" i="31" s="1"/>
  <c r="E58" i="35"/>
  <c r="E83" i="33"/>
  <c r="E53" i="33"/>
  <c r="Q58" i="32"/>
  <c r="Q72" i="18"/>
  <c r="E64" i="31"/>
  <c r="Q92" i="36"/>
  <c r="R92" i="36" s="1"/>
  <c r="E92" i="36"/>
  <c r="E92" i="31"/>
  <c r="E92" i="40"/>
  <c r="E92" i="32"/>
  <c r="E34" i="31"/>
  <c r="F68" i="36"/>
  <c r="R96" i="31"/>
  <c r="E80" i="18"/>
  <c r="E26" i="35"/>
  <c r="C34" i="37"/>
  <c r="F34" i="37" s="1"/>
  <c r="P34" i="37"/>
  <c r="C93" i="37"/>
  <c r="P93" i="37"/>
  <c r="C87" i="34"/>
  <c r="C87" i="32"/>
  <c r="C22" i="34"/>
  <c r="P22" i="32"/>
  <c r="C22" i="32"/>
  <c r="F22" i="32" s="1"/>
  <c r="P81" i="32"/>
  <c r="P61" i="32"/>
  <c r="P91" i="32"/>
  <c r="C21" i="34"/>
  <c r="R82" i="33"/>
  <c r="T82" i="33" s="1"/>
  <c r="P48" i="32"/>
  <c r="C48" i="34"/>
  <c r="C48" i="32"/>
  <c r="C58" i="35"/>
  <c r="C43" i="34"/>
  <c r="C98" i="34"/>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F61" i="35" s="1"/>
  <c r="P82" i="32"/>
  <c r="C96" i="34"/>
  <c r="P62" i="33"/>
  <c r="P93" i="33"/>
  <c r="C93" i="33"/>
  <c r="C61" i="18"/>
  <c r="P61" i="18"/>
  <c r="Q50" i="18"/>
  <c r="Q50" i="36"/>
  <c r="R50" i="36" s="1"/>
  <c r="Q50" i="32"/>
  <c r="Q50" i="31"/>
  <c r="Q50" i="40"/>
  <c r="R50" i="40" s="1"/>
  <c r="E50" i="36"/>
  <c r="Q50" i="34"/>
  <c r="R50" i="34" s="1"/>
  <c r="E50" i="40"/>
  <c r="Q50" i="37"/>
  <c r="R50" i="37" s="1"/>
  <c r="S50" i="37" s="1"/>
  <c r="E50" i="37"/>
  <c r="E50" i="18"/>
  <c r="F50" i="18" s="1"/>
  <c r="E50" i="31"/>
  <c r="Q50" i="33"/>
  <c r="R50" i="33" s="1"/>
  <c r="S50" i="33" s="1"/>
  <c r="Q50" i="35"/>
  <c r="R50" i="35" s="1"/>
  <c r="T50" i="35" s="1"/>
  <c r="E88" i="32"/>
  <c r="F88" i="32" s="1"/>
  <c r="Q26" i="36"/>
  <c r="R26" i="36" s="1"/>
  <c r="E50" i="32"/>
  <c r="F50" i="32" s="1"/>
  <c r="E62" i="40"/>
  <c r="E62" i="18"/>
  <c r="E62" i="33"/>
  <c r="E40" i="37"/>
  <c r="Q40" i="36"/>
  <c r="R40" i="36" s="1"/>
  <c r="Q40" i="18"/>
  <c r="R40" i="18" s="1"/>
  <c r="Q40" i="33"/>
  <c r="R40" i="33" s="1"/>
  <c r="S40" i="33" s="1"/>
  <c r="Q40" i="34"/>
  <c r="R40" i="34" s="1"/>
  <c r="E40" i="34"/>
  <c r="Q40" i="40"/>
  <c r="E40" i="32"/>
  <c r="F40" i="32" s="1"/>
  <c r="E26" i="34"/>
  <c r="E26" i="36"/>
  <c r="Q26" i="37"/>
  <c r="R26" i="37" s="1"/>
  <c r="Q26" i="35"/>
  <c r="R26" i="35" s="1"/>
  <c r="Q26" i="33"/>
  <c r="E26" i="37"/>
  <c r="E26" i="40"/>
  <c r="F26" i="40" s="1"/>
  <c r="Q26" i="34"/>
  <c r="Q26" i="40"/>
  <c r="R26" i="40" s="1"/>
  <c r="E26" i="31"/>
  <c r="Q26" i="18"/>
  <c r="R26" i="18" s="1"/>
  <c r="Q26" i="32"/>
  <c r="Q26" i="31"/>
  <c r="E26" i="18"/>
  <c r="Q80" i="35"/>
  <c r="Q80" i="18"/>
  <c r="R80" i="18" s="1"/>
  <c r="E80" i="40"/>
  <c r="E80" i="33"/>
  <c r="Q80" i="32"/>
  <c r="E80" i="31"/>
  <c r="Q80" i="37"/>
  <c r="E80" i="36"/>
  <c r="E80" i="37"/>
  <c r="Q80" i="36"/>
  <c r="R80" i="36" s="1"/>
  <c r="E80" i="35"/>
  <c r="Q80" i="40"/>
  <c r="R80" i="40" s="1"/>
  <c r="E80" i="32"/>
  <c r="F80" i="32" s="1"/>
  <c r="E80" i="34"/>
  <c r="E50" i="35"/>
  <c r="E50" i="34"/>
  <c r="E50" i="33"/>
  <c r="E66" i="40"/>
  <c r="F66" i="40" s="1"/>
  <c r="E66" i="18"/>
  <c r="Q66" i="31"/>
  <c r="E66" i="31"/>
  <c r="E66" i="32"/>
  <c r="E66" i="35"/>
  <c r="E84" i="32"/>
  <c r="Q84" i="34"/>
  <c r="R84" i="34" s="1"/>
  <c r="E84" i="34"/>
  <c r="E84" i="33"/>
  <c r="Q84" i="35"/>
  <c r="R84" i="35" s="1"/>
  <c r="Q84" i="31"/>
  <c r="R84" i="31" s="1"/>
  <c r="Q84" i="18"/>
  <c r="E98" i="35"/>
  <c r="Q98" i="33"/>
  <c r="E98" i="32"/>
  <c r="F98" i="32" s="1"/>
  <c r="E98" i="37"/>
  <c r="E98" i="36"/>
  <c r="E98" i="40"/>
  <c r="Q98" i="37"/>
  <c r="E98" i="33"/>
  <c r="Q27" i="37"/>
  <c r="Q27" i="34"/>
  <c r="R27" i="34" s="1"/>
  <c r="E27" i="37"/>
  <c r="E27" i="31"/>
  <c r="Q27" i="33"/>
  <c r="Q27" i="36"/>
  <c r="R27" i="36" s="1"/>
  <c r="Q27" i="18"/>
  <c r="E27" i="36"/>
  <c r="F82" i="35"/>
  <c r="H82" i="35" s="1"/>
  <c r="Q69" i="31"/>
  <c r="Q69" i="35"/>
  <c r="R69" i="35" s="1"/>
  <c r="S69" i="35" s="1"/>
  <c r="Q69" i="37"/>
  <c r="Q99" i="31"/>
  <c r="Q99" i="35"/>
  <c r="R99" i="35" s="1"/>
  <c r="T99" i="35" s="1"/>
  <c r="R36" i="35"/>
  <c r="T36" i="35" s="1"/>
  <c r="E99" i="35"/>
  <c r="E69" i="35"/>
  <c r="Q72" i="35"/>
  <c r="R72" i="35" s="1"/>
  <c r="Q72" i="36"/>
  <c r="R72" i="36" s="1"/>
  <c r="Q72" i="37"/>
  <c r="E72" i="37"/>
  <c r="E72" i="35"/>
  <c r="Q22" i="18"/>
  <c r="R22" i="18" s="1"/>
  <c r="Q22" i="37"/>
  <c r="E22" i="18"/>
  <c r="E22" i="33"/>
  <c r="Q22" i="36"/>
  <c r="R22" i="36" s="1"/>
  <c r="Q64" i="37"/>
  <c r="E64" i="40"/>
  <c r="E64" i="33"/>
  <c r="E64" i="34"/>
  <c r="E99" i="33"/>
  <c r="Q58" i="33"/>
  <c r="R58" i="33" s="1"/>
  <c r="T58" i="33" s="1"/>
  <c r="E58" i="33"/>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F38" i="40"/>
  <c r="Q19" i="34"/>
  <c r="R19" i="34" s="1"/>
  <c r="E40" i="36"/>
  <c r="Q24" i="32"/>
  <c r="Q24" i="40"/>
  <c r="R24" i="40" s="1"/>
  <c r="E84" i="37"/>
  <c r="E66" i="33"/>
  <c r="Q66" i="18"/>
  <c r="Q40" i="37"/>
  <c r="E66" i="34"/>
  <c r="E66" i="36"/>
  <c r="E98" i="18"/>
  <c r="Q84" i="32"/>
  <c r="E84" i="36"/>
  <c r="E84" i="35"/>
  <c r="Q68" i="35"/>
  <c r="R68" i="35" s="1"/>
  <c r="E68" i="37"/>
  <c r="Q52" i="36"/>
  <c r="R52" i="36" s="1"/>
  <c r="E52" i="31"/>
  <c r="Q52" i="32"/>
  <c r="E52" i="35"/>
  <c r="E20" i="33"/>
  <c r="E20" i="37"/>
  <c r="Q20" i="37"/>
  <c r="R20" i="37" s="1"/>
  <c r="T20" i="37" s="1"/>
  <c r="E19" i="40"/>
  <c r="E19" i="33"/>
  <c r="Q19" i="18"/>
  <c r="E19" i="18"/>
  <c r="E19" i="32"/>
  <c r="Q19" i="31"/>
  <c r="Q19" i="37"/>
  <c r="Q19" i="35"/>
  <c r="R19" i="35" s="1"/>
  <c r="S19" i="35" s="1"/>
  <c r="U19" i="35" s="1"/>
  <c r="E19" i="36"/>
  <c r="Q19" i="33"/>
  <c r="E38" i="35"/>
  <c r="E38" i="18"/>
  <c r="Q38" i="34"/>
  <c r="E38" i="31"/>
  <c r="E38" i="34"/>
  <c r="F38" i="34" s="1"/>
  <c r="G38" i="34" s="1"/>
  <c r="Q38" i="37"/>
  <c r="Q38" i="33"/>
  <c r="Q38" i="31"/>
  <c r="E38" i="37"/>
  <c r="E38" i="33"/>
  <c r="E38" i="36"/>
  <c r="Q38" i="32"/>
  <c r="E38" i="32"/>
  <c r="Q38" i="35"/>
  <c r="R38" i="35" s="1"/>
  <c r="Q38" i="18"/>
  <c r="R38" i="18" s="1"/>
  <c r="S38" i="18" s="1"/>
  <c r="Q38" i="36"/>
  <c r="R38" i="36" s="1"/>
  <c r="Q19" i="36"/>
  <c r="R19" i="36" s="1"/>
  <c r="Q66" i="35"/>
  <c r="R66" i="35" s="1"/>
  <c r="E66" i="37"/>
  <c r="E98" i="34"/>
  <c r="F98" i="34" s="1"/>
  <c r="Q98" i="18"/>
  <c r="E27" i="33"/>
  <c r="Q27" i="40"/>
  <c r="R27" i="40" s="1"/>
  <c r="E27" i="32"/>
  <c r="E27" i="40"/>
  <c r="F27" i="40" s="1"/>
  <c r="Q27" i="31"/>
  <c r="Q27" i="35"/>
  <c r="R27" i="35" s="1"/>
  <c r="F96" i="34"/>
  <c r="F26" i="33"/>
  <c r="G26" i="33" s="1"/>
  <c r="Q98" i="36"/>
  <c r="R98" i="36" s="1"/>
  <c r="Q70" i="32"/>
  <c r="E19" i="37"/>
  <c r="E92" i="37"/>
  <c r="Q19" i="32"/>
  <c r="Q19" i="40"/>
  <c r="R19" i="40" s="1"/>
  <c r="Q74" i="32"/>
  <c r="E84" i="40"/>
  <c r="Q84" i="36"/>
  <c r="R84" i="36" s="1"/>
  <c r="Q24" i="35"/>
  <c r="R24" i="35" s="1"/>
  <c r="S24" i="35" s="1"/>
  <c r="Q84" i="37"/>
  <c r="R84" i="37" s="1"/>
  <c r="Q40" i="35"/>
  <c r="R40" i="35" s="1"/>
  <c r="Q66" i="40"/>
  <c r="R66" i="40" s="1"/>
  <c r="E40" i="31"/>
  <c r="Q66" i="37"/>
  <c r="Q66" i="36"/>
  <c r="R66" i="36" s="1"/>
  <c r="E27" i="18"/>
  <c r="E27" i="35"/>
  <c r="Q98" i="34"/>
  <c r="R98" i="34" s="1"/>
  <c r="Q98" i="40"/>
  <c r="R98" i="40" s="1"/>
  <c r="Q98" i="31"/>
  <c r="E98" i="31"/>
  <c r="E84" i="18"/>
  <c r="E69" i="32"/>
  <c r="E69" i="33"/>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Q30" i="34"/>
  <c r="R30" i="34" s="1"/>
  <c r="E30" i="34"/>
  <c r="F30" i="34" s="1"/>
  <c r="G30" i="34" s="1"/>
  <c r="E30" i="18"/>
  <c r="E30" i="31"/>
  <c r="Q30" i="35"/>
  <c r="R30" i="35" s="1"/>
  <c r="E30" i="40"/>
  <c r="F30" i="40" s="1"/>
  <c r="E30" i="37"/>
  <c r="Q30" i="32"/>
  <c r="E62" i="32"/>
  <c r="F62" i="32" s="1"/>
  <c r="E88" i="37"/>
  <c r="Q30" i="36"/>
  <c r="R30" i="36" s="1"/>
  <c r="F52" i="33"/>
  <c r="Q62" i="34"/>
  <c r="R62" i="34" s="1"/>
  <c r="Q62" i="32"/>
  <c r="E88" i="18"/>
  <c r="Q30" i="18"/>
  <c r="Q88" i="32"/>
  <c r="Q30" i="33"/>
  <c r="R30" i="33" s="1"/>
  <c r="S30" i="33" s="1"/>
  <c r="E94" i="37"/>
  <c r="E94" i="31"/>
  <c r="F94" i="31" s="1"/>
  <c r="G94" i="31" s="1"/>
  <c r="Q94" i="33"/>
  <c r="R94" i="33" s="1"/>
  <c r="S94" i="33" s="1"/>
  <c r="E94" i="35"/>
  <c r="Q94" i="37"/>
  <c r="R94" i="37" s="1"/>
  <c r="Q94" i="32"/>
  <c r="E94" i="33"/>
  <c r="Q94" i="40"/>
  <c r="R94" i="40" s="1"/>
  <c r="Q94" i="34"/>
  <c r="R94" i="34" s="1"/>
  <c r="Q94" i="18"/>
  <c r="Q94" i="36"/>
  <c r="R94" i="36" s="1"/>
  <c r="E94" i="18"/>
  <c r="E94" i="34"/>
  <c r="E62" i="31"/>
  <c r="F62" i="31" s="1"/>
  <c r="H62" i="31" s="1"/>
  <c r="Q62" i="31"/>
  <c r="R62" i="31" s="1"/>
  <c r="E62" i="36"/>
  <c r="Q62" i="37"/>
  <c r="Q62" i="18"/>
  <c r="R62" i="18" s="1"/>
  <c r="Q62" i="40"/>
  <c r="R62" i="40" s="1"/>
  <c r="E62" i="34"/>
  <c r="F62" i="34" s="1"/>
  <c r="H62" i="34" s="1"/>
  <c r="Q62" i="33"/>
  <c r="Q62" i="35"/>
  <c r="R62" i="35" s="1"/>
  <c r="S62" i="35" s="1"/>
  <c r="E62" i="35"/>
  <c r="F62" i="35" s="1"/>
  <c r="G62" i="35" s="1"/>
  <c r="E62" i="37"/>
  <c r="Q30" i="37"/>
  <c r="E88" i="36"/>
  <c r="E56" i="34"/>
  <c r="E56" i="18"/>
  <c r="Q56" i="34"/>
  <c r="R56" i="34" s="1"/>
  <c r="Q56" i="18"/>
  <c r="E56" i="40"/>
  <c r="E56" i="37"/>
  <c r="E56" i="33"/>
  <c r="Q56" i="37"/>
  <c r="Q56" i="33"/>
  <c r="E56" i="31"/>
  <c r="F56" i="31" s="1"/>
  <c r="Q56" i="31"/>
  <c r="E56" i="35"/>
  <c r="E56" i="36"/>
  <c r="Q56" i="36"/>
  <c r="R56" i="36" s="1"/>
  <c r="Q56" i="35"/>
  <c r="R56" i="35" s="1"/>
  <c r="S56" i="35" s="1"/>
  <c r="Q56" i="40"/>
  <c r="E56" i="32"/>
  <c r="Q56" i="32"/>
  <c r="R82" i="18"/>
  <c r="F34" i="34"/>
  <c r="H34" i="34" s="1"/>
  <c r="F96" i="32"/>
  <c r="Q62" i="36"/>
  <c r="R62" i="36" s="1"/>
  <c r="Q88" i="31"/>
  <c r="R88" i="31" s="1"/>
  <c r="Q30" i="31"/>
  <c r="Q88" i="34"/>
  <c r="R88" i="34" s="1"/>
  <c r="Q88" i="36"/>
  <c r="R88" i="36" s="1"/>
  <c r="E30" i="32"/>
  <c r="E92" i="34"/>
  <c r="Q92" i="35"/>
  <c r="R92" i="35" s="1"/>
  <c r="E92" i="33"/>
  <c r="Q92" i="33"/>
  <c r="R92" i="33" s="1"/>
  <c r="E92" i="35"/>
  <c r="Q92" i="18"/>
  <c r="Q92" i="37"/>
  <c r="E92" i="18"/>
  <c r="Q92" i="31"/>
  <c r="E40" i="18"/>
  <c r="Q40" i="32"/>
  <c r="E40" i="35"/>
  <c r="E78" i="34"/>
  <c r="E78" i="18"/>
  <c r="Q78" i="32"/>
  <c r="Q78" i="36"/>
  <c r="R78" i="36" s="1"/>
  <c r="Q78" i="40"/>
  <c r="R78" i="40" s="1"/>
  <c r="E78" i="33"/>
  <c r="Q78" i="35"/>
  <c r="Q78" i="31"/>
  <c r="R78" i="31" s="1"/>
  <c r="E78" i="37"/>
  <c r="E78" i="31"/>
  <c r="Q78" i="37"/>
  <c r="R78" i="37" s="1"/>
  <c r="S78" i="37" s="1"/>
  <c r="Q78" i="33"/>
  <c r="R78" i="33" s="1"/>
  <c r="T78" i="33" s="1"/>
  <c r="E78" i="40"/>
  <c r="Q78" i="34"/>
  <c r="R78" i="34" s="1"/>
  <c r="E78" i="36"/>
  <c r="E78" i="35"/>
  <c r="E78" i="32"/>
  <c r="Q78" i="18"/>
  <c r="R78" i="18" s="1"/>
  <c r="E60" i="40"/>
  <c r="F60" i="40" s="1"/>
  <c r="E60" i="34"/>
  <c r="E60" i="18"/>
  <c r="Q60" i="34"/>
  <c r="R60" i="34" s="1"/>
  <c r="Q60" i="18"/>
  <c r="E60" i="37"/>
  <c r="E60" i="33"/>
  <c r="Q60" i="37"/>
  <c r="Q60" i="33"/>
  <c r="E60" i="31"/>
  <c r="Q60" i="31"/>
  <c r="E60" i="35"/>
  <c r="E60" i="36"/>
  <c r="Q60" i="36"/>
  <c r="R60" i="36" s="1"/>
  <c r="Q60" i="35"/>
  <c r="R60" i="35" s="1"/>
  <c r="E60" i="32"/>
  <c r="Q60" i="32"/>
  <c r="E74" i="40"/>
  <c r="E74" i="35"/>
  <c r="E74" i="18"/>
  <c r="E74" i="34"/>
  <c r="E74" i="31"/>
  <c r="Q74" i="33"/>
  <c r="Q74" i="35"/>
  <c r="R74" i="35" s="1"/>
  <c r="Q74" i="37"/>
  <c r="Q74" i="31"/>
  <c r="R74" i="31" s="1"/>
  <c r="E74" i="37"/>
  <c r="Q74" i="18"/>
  <c r="E74" i="33"/>
  <c r="Q74" i="34"/>
  <c r="R74" i="34" s="1"/>
  <c r="E70" i="35"/>
  <c r="Q70" i="37"/>
  <c r="R70" i="37" s="1"/>
  <c r="Q70" i="31"/>
  <c r="Q70" i="40"/>
  <c r="R70" i="40" s="1"/>
  <c r="E70" i="34"/>
  <c r="F70" i="34" s="1"/>
  <c r="G70" i="34" s="1"/>
  <c r="Q70" i="35"/>
  <c r="R70" i="35" s="1"/>
  <c r="T70" i="35" s="1"/>
  <c r="Q70" i="18"/>
  <c r="E70" i="36"/>
  <c r="Q70" i="33"/>
  <c r="E70" i="31"/>
  <c r="E70" i="32"/>
  <c r="F70" i="32" s="1"/>
  <c r="E70" i="18"/>
  <c r="Q70" i="34"/>
  <c r="R70" i="34" s="1"/>
  <c r="T70" i="34" s="1"/>
  <c r="E24" i="32"/>
  <c r="E24" i="31"/>
  <c r="E24" i="40"/>
  <c r="F24" i="40" s="1"/>
  <c r="E24" i="37"/>
  <c r="Q24" i="37"/>
  <c r="Q24" i="31"/>
  <c r="E24" i="33"/>
  <c r="Q24" i="34"/>
  <c r="R24" i="34" s="1"/>
  <c r="Q24" i="33"/>
  <c r="Q24" i="36"/>
  <c r="R24" i="36" s="1"/>
  <c r="R94" i="31"/>
  <c r="E90" i="36"/>
  <c r="E90" i="32"/>
  <c r="F90" i="32" s="1"/>
  <c r="Q90" i="35"/>
  <c r="R90" i="35" s="1"/>
  <c r="Q90" i="31"/>
  <c r="E90" i="18"/>
  <c r="E90" i="33"/>
  <c r="Q90" i="34"/>
  <c r="R90" i="34" s="1"/>
  <c r="E90" i="37"/>
  <c r="E90" i="31"/>
  <c r="Q90" i="33"/>
  <c r="R90" i="33" s="1"/>
  <c r="T90" i="33" s="1"/>
  <c r="E90" i="35"/>
  <c r="Q90" i="37"/>
  <c r="R90" i="37" s="1"/>
  <c r="Q90" i="32"/>
  <c r="E90" i="40"/>
  <c r="Q90" i="40"/>
  <c r="R90" i="40" s="1"/>
  <c r="E90" i="34"/>
  <c r="F90" i="34" s="1"/>
  <c r="H90" i="34" s="1"/>
  <c r="Q90" i="36"/>
  <c r="R90" i="36" s="1"/>
  <c r="Q90" i="18"/>
  <c r="R90" i="18" s="1"/>
  <c r="Q86" i="40"/>
  <c r="R86" i="40" s="1"/>
  <c r="E86" i="40"/>
  <c r="F86" i="40" s="1"/>
  <c r="E86" i="36"/>
  <c r="E86" i="32"/>
  <c r="F86" i="32" s="1"/>
  <c r="Q86" i="35"/>
  <c r="R86" i="35" s="1"/>
  <c r="Q86" i="31"/>
  <c r="R86" i="31" s="1"/>
  <c r="E86" i="18"/>
  <c r="E86" i="33"/>
  <c r="Q86" i="34"/>
  <c r="R86" i="34" s="1"/>
  <c r="E86" i="37"/>
  <c r="E86" i="31"/>
  <c r="Q86" i="33"/>
  <c r="R86" i="33" s="1"/>
  <c r="T86" i="33" s="1"/>
  <c r="E86" i="35"/>
  <c r="Q86" i="37"/>
  <c r="R86" i="37" s="1"/>
  <c r="Q86" i="32"/>
  <c r="E86" i="34"/>
  <c r="F86" i="34" s="1"/>
  <c r="Q86" i="36"/>
  <c r="R86" i="36" s="1"/>
  <c r="Q86" i="18"/>
  <c r="R86" i="18" s="1"/>
  <c r="F50" i="33"/>
  <c r="G50" i="33" s="1"/>
  <c r="E54" i="36"/>
  <c r="E54" i="32"/>
  <c r="Q54" i="36"/>
  <c r="R54" i="36" s="1"/>
  <c r="Q54" i="32"/>
  <c r="Q54" i="40"/>
  <c r="R54" i="40" s="1"/>
  <c r="E54" i="37"/>
  <c r="E54" i="31"/>
  <c r="Q54" i="34"/>
  <c r="R54" i="34" s="1"/>
  <c r="E54" i="33"/>
  <c r="Q54" i="33"/>
  <c r="R54" i="33" s="1"/>
  <c r="E54" i="40"/>
  <c r="E54" i="18"/>
  <c r="Q54" i="31"/>
  <c r="R54" i="31" s="1"/>
  <c r="E54" i="35"/>
  <c r="Q54" i="37"/>
  <c r="R54" i="37" s="1"/>
  <c r="T54" i="37" s="1"/>
  <c r="Q54" i="18"/>
  <c r="E54" i="34"/>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R70" i="31" s="1"/>
  <c r="C43" i="31"/>
  <c r="M61" i="7"/>
  <c r="M51" i="7"/>
  <c r="M20" i="7"/>
  <c r="M19" i="7"/>
  <c r="P64" i="6"/>
  <c r="C58" i="31"/>
  <c r="F58" i="31" s="1"/>
  <c r="H58" i="31" s="1"/>
  <c r="C48" i="31"/>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C49" i="31"/>
  <c r="P49" i="31"/>
  <c r="C49" i="35"/>
  <c r="P38" i="33"/>
  <c r="C38" i="33"/>
  <c r="C42" i="37"/>
  <c r="P42" i="37"/>
  <c r="P33" i="33"/>
  <c r="C33" i="33"/>
  <c r="P95" i="37"/>
  <c r="C95" i="37"/>
  <c r="C23" i="37"/>
  <c r="P23" i="37"/>
  <c r="C36" i="37"/>
  <c r="F36" i="37" s="1"/>
  <c r="G36" i="37" s="1"/>
  <c r="P47" i="37"/>
  <c r="C47" i="37"/>
  <c r="C72" i="37"/>
  <c r="P72" i="37"/>
  <c r="C72" i="35"/>
  <c r="P72" i="31"/>
  <c r="C72" i="31"/>
  <c r="C64" i="37"/>
  <c r="P64" i="37"/>
  <c r="P25" i="18"/>
  <c r="C25" i="18"/>
  <c r="C46" i="18"/>
  <c r="P46" i="18"/>
  <c r="C46" i="37"/>
  <c r="P46" i="37"/>
  <c r="C89" i="31"/>
  <c r="C89" i="35"/>
  <c r="P95" i="33"/>
  <c r="C95" i="33"/>
  <c r="C81" i="37"/>
  <c r="P81" i="37"/>
  <c r="C96" i="33"/>
  <c r="F96" i="33" s="1"/>
  <c r="H96" i="33" s="1"/>
  <c r="P96" i="33"/>
  <c r="R96" i="33" s="1"/>
  <c r="T96" i="33" s="1"/>
  <c r="C24" i="37"/>
  <c r="P24" i="37"/>
  <c r="P81" i="31"/>
  <c r="P47" i="32"/>
  <c r="C56" i="35"/>
  <c r="P72" i="33"/>
  <c r="R72" i="33" s="1"/>
  <c r="S72" i="33" s="1"/>
  <c r="C92" i="32"/>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P24" i="32"/>
  <c r="C24" i="32"/>
  <c r="C24" i="34"/>
  <c r="P56" i="31"/>
  <c r="C41" i="37"/>
  <c r="P36" i="37"/>
  <c r="R36" i="37" s="1"/>
  <c r="C47" i="34"/>
  <c r="C74" i="35"/>
  <c r="P49" i="18"/>
  <c r="P89" i="31"/>
  <c r="P25" i="31"/>
  <c r="P30" i="31"/>
  <c r="P51" i="31"/>
  <c r="C96" i="35"/>
  <c r="F96" i="35" s="1"/>
  <c r="C30" i="33"/>
  <c r="C29" i="33"/>
  <c r="P39" i="18"/>
  <c r="P36" i="33"/>
  <c r="C93" i="35"/>
  <c r="C93" i="31"/>
  <c r="P93" i="31"/>
  <c r="C94" i="32"/>
  <c r="C94" i="34"/>
  <c r="P94" i="32"/>
  <c r="C97" i="34"/>
  <c r="P97" i="32"/>
  <c r="C97" i="32"/>
  <c r="C19" i="33"/>
  <c r="P19" i="33"/>
  <c r="P96" i="37"/>
  <c r="C96" i="37"/>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F76" i="18"/>
  <c r="F68" i="18"/>
  <c r="B23" i="33"/>
  <c r="B23" i="37"/>
  <c r="B19" i="7"/>
  <c r="B23" i="18"/>
  <c r="O23" i="36"/>
  <c r="O23" i="34"/>
  <c r="B23" i="32"/>
  <c r="B23" i="34"/>
  <c r="O23" i="37"/>
  <c r="O23" i="40"/>
  <c r="O23" i="18"/>
  <c r="O23" i="32"/>
  <c r="B23" i="36"/>
  <c r="B23" i="31"/>
  <c r="O23" i="33"/>
  <c r="E93" i="18"/>
  <c r="Q93" i="37"/>
  <c r="R93" i="37" s="1"/>
  <c r="S93" i="37" s="1"/>
  <c r="Q93" i="36"/>
  <c r="R93" i="36" s="1"/>
  <c r="E93" i="37"/>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E77" i="32"/>
  <c r="Q77" i="18"/>
  <c r="R77" i="18" s="1"/>
  <c r="E77" i="35"/>
  <c r="E77" i="33"/>
  <c r="E77" i="31"/>
  <c r="E77" i="40"/>
  <c r="Q77" i="40"/>
  <c r="R77" i="40" s="1"/>
  <c r="E89" i="18"/>
  <c r="Q89" i="37"/>
  <c r="Q89" i="36"/>
  <c r="R89" i="36" s="1"/>
  <c r="E89" i="37"/>
  <c r="Q89" i="35"/>
  <c r="R89" i="35" s="1"/>
  <c r="Q89" i="34"/>
  <c r="R89" i="34" s="1"/>
  <c r="Q89" i="33"/>
  <c r="R89" i="33" s="1"/>
  <c r="S89" i="33" s="1"/>
  <c r="Q89" i="32"/>
  <c r="Q89" i="31"/>
  <c r="Q89" i="18"/>
  <c r="R89" i="18" s="1"/>
  <c r="E89" i="35"/>
  <c r="E89" i="33"/>
  <c r="E89" i="31"/>
  <c r="E89" i="36"/>
  <c r="E89" i="34"/>
  <c r="F89" i="34" s="1"/>
  <c r="E89" i="32"/>
  <c r="Q89" i="40"/>
  <c r="R89" i="40" s="1"/>
  <c r="E89" i="40"/>
  <c r="F89" i="40" s="1"/>
  <c r="E71" i="18"/>
  <c r="E71" i="37"/>
  <c r="E71" i="36"/>
  <c r="Q71" i="35"/>
  <c r="R71" i="35" s="1"/>
  <c r="S71" i="35" s="1"/>
  <c r="Q71" i="34"/>
  <c r="R71" i="34" s="1"/>
  <c r="Q71" i="33"/>
  <c r="Q71" i="32"/>
  <c r="Q71" i="31"/>
  <c r="Q71" i="37"/>
  <c r="E71" i="34"/>
  <c r="E71" i="32"/>
  <c r="Q71" i="36"/>
  <c r="R71" i="36" s="1"/>
  <c r="E71" i="35"/>
  <c r="E71" i="33"/>
  <c r="E71" i="31"/>
  <c r="Q71" i="18"/>
  <c r="Q71" i="40"/>
  <c r="R71" i="40" s="1"/>
  <c r="E71" i="40"/>
  <c r="E55" i="18"/>
  <c r="E55" i="37"/>
  <c r="E55" i="36"/>
  <c r="Q55" i="35"/>
  <c r="R55" i="35" s="1"/>
  <c r="Q55" i="34"/>
  <c r="R55" i="34" s="1"/>
  <c r="Q55" i="33"/>
  <c r="R55" i="33" s="1"/>
  <c r="S55" i="33" s="1"/>
  <c r="Q55" i="32"/>
  <c r="Q55" i="31"/>
  <c r="R55" i="31" s="1"/>
  <c r="Q55" i="18"/>
  <c r="R55" i="18" s="1"/>
  <c r="Q55" i="37"/>
  <c r="E55" i="34"/>
  <c r="E55" i="32"/>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E37" i="36"/>
  <c r="E37" i="35"/>
  <c r="E37" i="33"/>
  <c r="E37" i="37"/>
  <c r="E37" i="34"/>
  <c r="E37" i="32"/>
  <c r="Q37" i="18"/>
  <c r="Q37" i="31"/>
  <c r="Q37" i="40"/>
  <c r="R37" i="40" s="1"/>
  <c r="E37" i="40"/>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E95" i="34"/>
  <c r="E95" i="32"/>
  <c r="F95" i="32" s="1"/>
  <c r="E95" i="18"/>
  <c r="E95" i="35"/>
  <c r="E95" i="33"/>
  <c r="E95" i="31"/>
  <c r="Q95" i="40"/>
  <c r="R95" i="40" s="1"/>
  <c r="E95" i="40"/>
  <c r="Q31" i="35"/>
  <c r="R31" i="35" s="1"/>
  <c r="Q31" i="34"/>
  <c r="R31" i="34" s="1"/>
  <c r="Q31" i="33"/>
  <c r="R31" i="33" s="1"/>
  <c r="T31" i="33" s="1"/>
  <c r="Q31" i="32"/>
  <c r="Q31" i="31"/>
  <c r="R31" i="31" s="1"/>
  <c r="Q31" i="18"/>
  <c r="R31" i="18" s="1"/>
  <c r="E31" i="37"/>
  <c r="E31" i="36"/>
  <c r="E31" i="34"/>
  <c r="E31" i="32"/>
  <c r="F31" i="32" s="1"/>
  <c r="E31" i="18"/>
  <c r="Q31" i="37"/>
  <c r="R31" i="37" s="1"/>
  <c r="S31" i="37" s="1"/>
  <c r="E31" i="35"/>
  <c r="E31" i="33"/>
  <c r="E31" i="31"/>
  <c r="F31" i="31" s="1"/>
  <c r="Q31" i="36"/>
  <c r="R31" i="36" s="1"/>
  <c r="Q31" i="40"/>
  <c r="R31" i="40" s="1"/>
  <c r="E31" i="40"/>
  <c r="F31" i="40" s="1"/>
  <c r="E41" i="18"/>
  <c r="E41" i="37"/>
  <c r="Q41" i="36"/>
  <c r="R41" i="36" s="1"/>
  <c r="Q41" i="35"/>
  <c r="R41" i="35" s="1"/>
  <c r="T41" i="35" s="1"/>
  <c r="Q41" i="34"/>
  <c r="R41" i="34" s="1"/>
  <c r="Q41" i="33"/>
  <c r="Q41" i="32"/>
  <c r="Q41" i="31"/>
  <c r="R41" i="31" s="1"/>
  <c r="E41" i="36"/>
  <c r="E41" i="35"/>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E43" i="36"/>
  <c r="Q43" i="37"/>
  <c r="E43" i="35"/>
  <c r="E43" i="33"/>
  <c r="E43" i="31"/>
  <c r="E43" i="40"/>
  <c r="E43" i="34"/>
  <c r="E43" i="32"/>
  <c r="E43" i="18"/>
  <c r="Q43" i="40"/>
  <c r="R43" i="40" s="1"/>
  <c r="E45" i="18"/>
  <c r="E45" i="37"/>
  <c r="Q45" i="36"/>
  <c r="R45" i="36" s="1"/>
  <c r="Q45" i="35"/>
  <c r="Q45" i="34"/>
  <c r="R45" i="34" s="1"/>
  <c r="Q45" i="33"/>
  <c r="R45" i="33" s="1"/>
  <c r="S45" i="33" s="1"/>
  <c r="Q45" i="32"/>
  <c r="Q45" i="31"/>
  <c r="Q45" i="18"/>
  <c r="Q45" i="37"/>
  <c r="R45" i="37" s="1"/>
  <c r="T45" i="37" s="1"/>
  <c r="E45" i="34"/>
  <c r="F45" i="34" s="1"/>
  <c r="E45" i="32"/>
  <c r="E45" i="36"/>
  <c r="E45" i="35"/>
  <c r="E45" i="33"/>
  <c r="E45" i="31"/>
  <c r="E45" i="40"/>
  <c r="Q45" i="40"/>
  <c r="R45" i="40" s="1"/>
  <c r="Q47" i="35"/>
  <c r="R47" i="35" s="1"/>
  <c r="T47" i="35" s="1"/>
  <c r="Q47" i="34"/>
  <c r="R47" i="34" s="1"/>
  <c r="Q47" i="33"/>
  <c r="Q47" i="32"/>
  <c r="Q47" i="31"/>
  <c r="Q47" i="18"/>
  <c r="Q47" i="37"/>
  <c r="Q47" i="36"/>
  <c r="R47" i="36" s="1"/>
  <c r="E47" i="34"/>
  <c r="E47" i="32"/>
  <c r="F47" i="32" s="1"/>
  <c r="E47" i="18"/>
  <c r="E47" i="36"/>
  <c r="E47" i="35"/>
  <c r="E47" i="33"/>
  <c r="E47" i="31"/>
  <c r="E47" i="37"/>
  <c r="E47" i="40"/>
  <c r="Q47" i="40"/>
  <c r="Q49" i="37"/>
  <c r="Q49" i="36"/>
  <c r="R49" i="36" s="1"/>
  <c r="E49" i="35"/>
  <c r="E49" i="34"/>
  <c r="E49" i="33"/>
  <c r="E49" i="32"/>
  <c r="F49" i="32" s="1"/>
  <c r="E49" i="31"/>
  <c r="E49" i="18"/>
  <c r="E49" i="36"/>
  <c r="E49" i="37"/>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E65" i="32"/>
  <c r="E65" i="18"/>
  <c r="E65" i="36"/>
  <c r="E65" i="35"/>
  <c r="E65" i="33"/>
  <c r="E65" i="31"/>
  <c r="E65" i="37"/>
  <c r="Q65" i="40"/>
  <c r="R65" i="40" s="1"/>
  <c r="E65" i="40"/>
  <c r="Q91" i="35"/>
  <c r="R91" i="35" s="1"/>
  <c r="T91" i="35" s="1"/>
  <c r="Q91" i="34"/>
  <c r="R91" i="34" s="1"/>
  <c r="Q91" i="33"/>
  <c r="Q91" i="32"/>
  <c r="Q91" i="31"/>
  <c r="Q91" i="18"/>
  <c r="Q91" i="37"/>
  <c r="Q91" i="36"/>
  <c r="R91" i="36" s="1"/>
  <c r="E91" i="34"/>
  <c r="E91" i="32"/>
  <c r="F91" i="32" s="1"/>
  <c r="E91" i="18"/>
  <c r="E91" i="36"/>
  <c r="E91" i="35"/>
  <c r="E91" i="33"/>
  <c r="E91" i="31"/>
  <c r="F91" i="31" s="1"/>
  <c r="G91" i="31" s="1"/>
  <c r="E91" i="37"/>
  <c r="Q91" i="40"/>
  <c r="R91" i="40" s="1"/>
  <c r="E91" i="40"/>
  <c r="E87" i="37"/>
  <c r="E87" i="36"/>
  <c r="Q87" i="35"/>
  <c r="R87" i="35" s="1"/>
  <c r="T87" i="35" s="1"/>
  <c r="Q87" i="34"/>
  <c r="R87" i="34" s="1"/>
  <c r="Q87" i="33"/>
  <c r="Q87" i="32"/>
  <c r="Q87" i="31"/>
  <c r="Q87" i="37"/>
  <c r="E87" i="34"/>
  <c r="E87" i="32"/>
  <c r="E87" i="18"/>
  <c r="Q87" i="36"/>
  <c r="R87" i="36" s="1"/>
  <c r="E87" i="35"/>
  <c r="E87" i="33"/>
  <c r="E87" i="31"/>
  <c r="Q87" i="18"/>
  <c r="E87" i="40"/>
  <c r="Q87" i="40"/>
  <c r="R87" i="40" s="1"/>
  <c r="C20" i="31"/>
  <c r="F20" i="31" s="1"/>
  <c r="G20" i="31" s="1"/>
  <c r="C20" i="35"/>
  <c r="P20" i="31"/>
  <c r="C37" i="31"/>
  <c r="C37" i="35"/>
  <c r="P37" i="31"/>
  <c r="P37" i="18"/>
  <c r="C37" i="18"/>
  <c r="C63" i="35"/>
  <c r="P63" i="31"/>
  <c r="C63" i="31"/>
  <c r="P85" i="33"/>
  <c r="C85" i="33"/>
  <c r="C87" i="35"/>
  <c r="F87" i="35" s="1"/>
  <c r="P87" i="31"/>
  <c r="C87" i="31"/>
  <c r="F87" i="31" s="1"/>
  <c r="G87" i="31" s="1"/>
  <c r="P87" i="18"/>
  <c r="R87" i="18" s="1"/>
  <c r="C87" i="18"/>
  <c r="C99" i="37"/>
  <c r="P99" i="37"/>
  <c r="C99" i="31"/>
  <c r="P99" i="31"/>
  <c r="C99" i="35"/>
  <c r="E51" i="37"/>
  <c r="Q51" i="36"/>
  <c r="R51" i="36" s="1"/>
  <c r="Q51" i="35"/>
  <c r="R51" i="35" s="1"/>
  <c r="Q51" i="34"/>
  <c r="R51" i="34" s="1"/>
  <c r="Q51" i="33"/>
  <c r="R51" i="33" s="1"/>
  <c r="S51" i="33" s="1"/>
  <c r="Q51" i="32"/>
  <c r="Q51" i="31"/>
  <c r="E51" i="18"/>
  <c r="Q51" i="37"/>
  <c r="R51" i="37" s="1"/>
  <c r="T51" i="37" s="1"/>
  <c r="E51" i="36"/>
  <c r="E51" i="35"/>
  <c r="E51" i="33"/>
  <c r="E51" i="31"/>
  <c r="F51" i="31" s="1"/>
  <c r="G51" i="31" s="1"/>
  <c r="Q51" i="18"/>
  <c r="R51" i="18" s="1"/>
  <c r="E51" i="34"/>
  <c r="E51" i="32"/>
  <c r="E51" i="40"/>
  <c r="F51" i="40" s="1"/>
  <c r="Q51" i="40"/>
  <c r="R51" i="40" s="1"/>
  <c r="Q33" i="37"/>
  <c r="R33" i="37" s="1"/>
  <c r="T33" i="37" s="1"/>
  <c r="E33" i="36"/>
  <c r="E33" i="35"/>
  <c r="F33" i="35" s="1"/>
  <c r="H33" i="35" s="1"/>
  <c r="E33" i="34"/>
  <c r="F33" i="34" s="1"/>
  <c r="E33" i="33"/>
  <c r="E33" i="32"/>
  <c r="F33" i="32" s="1"/>
  <c r="E33" i="31"/>
  <c r="E33" i="18"/>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F80" i="31" s="1"/>
  <c r="H80" i="31" s="1"/>
  <c r="P80" i="37"/>
  <c r="C80" i="37"/>
  <c r="P58" i="32"/>
  <c r="C58" i="34"/>
  <c r="F58" i="34" s="1"/>
  <c r="C58" i="32"/>
  <c r="P70" i="33"/>
  <c r="C70" i="33"/>
  <c r="F70" i="33" s="1"/>
  <c r="H70" i="33" s="1"/>
  <c r="C84" i="33"/>
  <c r="P97" i="33"/>
  <c r="C97" i="33"/>
  <c r="Q85" i="37"/>
  <c r="R85" i="37" s="1"/>
  <c r="S85" i="37" s="1"/>
  <c r="Q85" i="36"/>
  <c r="R85" i="36" s="1"/>
  <c r="E85" i="35"/>
  <c r="E85" i="34"/>
  <c r="F85" i="34" s="1"/>
  <c r="E85" i="33"/>
  <c r="E85" i="32"/>
  <c r="E85" i="31"/>
  <c r="E85" i="18"/>
  <c r="E85" i="36"/>
  <c r="E85" i="37"/>
  <c r="Q85" i="35"/>
  <c r="R85" i="35" s="1"/>
  <c r="Q85" i="33"/>
  <c r="Q85" i="31"/>
  <c r="Q85" i="32"/>
  <c r="E85" i="40"/>
  <c r="Q85" i="34"/>
  <c r="R85" i="34" s="1"/>
  <c r="Q85" i="18"/>
  <c r="Q85" i="40"/>
  <c r="R85" i="40" s="1"/>
  <c r="Q73" i="37"/>
  <c r="R73" i="37" s="1"/>
  <c r="T73" i="37" s="1"/>
  <c r="Q73" i="36"/>
  <c r="R73" i="36" s="1"/>
  <c r="E73" i="37"/>
  <c r="Q73" i="35"/>
  <c r="R73" i="35" s="1"/>
  <c r="S73" i="35" s="1"/>
  <c r="Q73" i="34"/>
  <c r="R73" i="34" s="1"/>
  <c r="Q73" i="33"/>
  <c r="Q73" i="32"/>
  <c r="Q73" i="31"/>
  <c r="Q73" i="18"/>
  <c r="R73" i="18" s="1"/>
  <c r="E73" i="18"/>
  <c r="E73" i="35"/>
  <c r="E73" i="33"/>
  <c r="E73" i="31"/>
  <c r="E73" i="36"/>
  <c r="E73" i="34"/>
  <c r="F73" i="34" s="1"/>
  <c r="E73" i="32"/>
  <c r="E73" i="40"/>
  <c r="Q73" i="40"/>
  <c r="R73" i="40" s="1"/>
  <c r="E63" i="35"/>
  <c r="E63" i="34"/>
  <c r="F63" i="34" s="1"/>
  <c r="E63" i="33"/>
  <c r="E63" i="32"/>
  <c r="E63" i="31"/>
  <c r="E63" i="18"/>
  <c r="E63" i="37"/>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Q29" i="37"/>
  <c r="R29" i="37" s="1"/>
  <c r="T29" i="37" s="1"/>
  <c r="E29" i="36"/>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E21" i="34"/>
  <c r="E21" i="32"/>
  <c r="F21" i="32" s="1"/>
  <c r="E21" i="18"/>
  <c r="Q21" i="37"/>
  <c r="E21" i="35"/>
  <c r="F21" i="35" s="1"/>
  <c r="G21" i="35" s="1"/>
  <c r="E21" i="33"/>
  <c r="E21" i="31"/>
  <c r="Q21" i="36"/>
  <c r="R21" i="36" s="1"/>
  <c r="E21" i="40"/>
  <c r="Q21" i="40"/>
  <c r="R21" i="40" s="1"/>
  <c r="E97" i="37"/>
  <c r="E97" i="36"/>
  <c r="Q97" i="35"/>
  <c r="R97" i="35" s="1"/>
  <c r="Q97" i="34"/>
  <c r="R97" i="34" s="1"/>
  <c r="Q97" i="33"/>
  <c r="Q97" i="32"/>
  <c r="Q97" i="31"/>
  <c r="R97" i="31" s="1"/>
  <c r="Q97" i="18"/>
  <c r="R97" i="18" s="1"/>
  <c r="Q97" i="37"/>
  <c r="R97" i="37" s="1"/>
  <c r="S97" i="37" s="1"/>
  <c r="E97" i="34"/>
  <c r="E97" i="32"/>
  <c r="F97" i="32" s="1"/>
  <c r="E97" i="18"/>
  <c r="Q97" i="36"/>
  <c r="R97" i="36" s="1"/>
  <c r="E97" i="35"/>
  <c r="E97" i="33"/>
  <c r="E97" i="31"/>
  <c r="Q97" i="40"/>
  <c r="R97" i="40" s="1"/>
  <c r="E97" i="40"/>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Q23" i="36"/>
  <c r="R23" i="36" s="1"/>
  <c r="Q23" i="35"/>
  <c r="R23" i="35" s="1"/>
  <c r="Q23" i="34"/>
  <c r="R23" i="34" s="1"/>
  <c r="Q23" i="33"/>
  <c r="Q23" i="32"/>
  <c r="E23" i="31"/>
  <c r="F23" i="31" s="1"/>
  <c r="G23" i="31" s="1"/>
  <c r="E23" i="18"/>
  <c r="E23" i="36"/>
  <c r="E23" i="34"/>
  <c r="E23" i="32"/>
  <c r="Q23" i="37"/>
  <c r="E23" i="35"/>
  <c r="E23" i="33"/>
  <c r="Q23" i="18"/>
  <c r="Q23" i="31"/>
  <c r="E23" i="40"/>
  <c r="Q23" i="40"/>
  <c r="R23" i="40" s="1"/>
  <c r="E39" i="18"/>
  <c r="E39" i="37"/>
  <c r="Q39" i="36"/>
  <c r="R39" i="36" s="1"/>
  <c r="Q39" i="35"/>
  <c r="R39" i="35" s="1"/>
  <c r="Q39" i="34"/>
  <c r="R39" i="34" s="1"/>
  <c r="Q39" i="33"/>
  <c r="Q39" i="32"/>
  <c r="Q39" i="18"/>
  <c r="E39" i="31"/>
  <c r="E39" i="34"/>
  <c r="F39" i="34" s="1"/>
  <c r="E39" i="32"/>
  <c r="Q39" i="31"/>
  <c r="R39" i="31" s="1"/>
  <c r="Q39" i="37"/>
  <c r="R39" i="37" s="1"/>
  <c r="S39" i="37" s="1"/>
  <c r="E39" i="36"/>
  <c r="E39" i="35"/>
  <c r="E39" i="33"/>
  <c r="Q39" i="40"/>
  <c r="R39" i="40" s="1"/>
  <c r="E39" i="40"/>
  <c r="E42" i="18"/>
  <c r="Q42" i="37"/>
  <c r="Q42" i="36"/>
  <c r="R42" i="36" s="1"/>
  <c r="Q42" i="35"/>
  <c r="R42" i="35" s="1"/>
  <c r="Q42" i="34"/>
  <c r="R42" i="34" s="1"/>
  <c r="Q42" i="33"/>
  <c r="Q42" i="32"/>
  <c r="Q42" i="31"/>
  <c r="Q42" i="18"/>
  <c r="E42" i="35"/>
  <c r="F42" i="35" s="1"/>
  <c r="E42" i="33"/>
  <c r="E42" i="31"/>
  <c r="E42" i="37"/>
  <c r="E42" i="36"/>
  <c r="E42" i="34"/>
  <c r="F42" i="34" s="1"/>
  <c r="E42" i="32"/>
  <c r="F42" i="32" s="1"/>
  <c r="Q42" i="40"/>
  <c r="R42" i="40" s="1"/>
  <c r="E42" i="40"/>
  <c r="Q44" i="37"/>
  <c r="E44" i="18"/>
  <c r="E44" i="37"/>
  <c r="Q44" i="36"/>
  <c r="R44" i="36" s="1"/>
  <c r="Q44" i="35"/>
  <c r="R44" i="35" s="1"/>
  <c r="T44" i="35" s="1"/>
  <c r="Q44" i="34"/>
  <c r="R44" i="34" s="1"/>
  <c r="Q44" i="33"/>
  <c r="Q44" i="32"/>
  <c r="Q44" i="31"/>
  <c r="E44" i="36"/>
  <c r="E44" i="34"/>
  <c r="E44" i="32"/>
  <c r="E44" i="35"/>
  <c r="E44" i="33"/>
  <c r="E44" i="31"/>
  <c r="F44" i="31" s="1"/>
  <c r="H44" i="31" s="1"/>
  <c r="Q44" i="18"/>
  <c r="R44" i="18" s="1"/>
  <c r="Q44" i="40"/>
  <c r="R44" i="40" s="1"/>
  <c r="E44" i="40"/>
  <c r="E46" i="37"/>
  <c r="E46" i="35"/>
  <c r="E46" i="34"/>
  <c r="E46" i="33"/>
  <c r="E46" i="32"/>
  <c r="E46" i="31"/>
  <c r="E46" i="18"/>
  <c r="Q46" i="36"/>
  <c r="R46" i="36" s="1"/>
  <c r="Q46" i="35"/>
  <c r="R46" i="35" s="1"/>
  <c r="T46" i="35" s="1"/>
  <c r="Q46" i="33"/>
  <c r="Q46" i="31"/>
  <c r="Q46" i="37"/>
  <c r="Q46" i="40"/>
  <c r="R46" i="40" s="1"/>
  <c r="Q46" i="34"/>
  <c r="R46" i="34" s="1"/>
  <c r="Q46" i="32"/>
  <c r="Q46" i="18"/>
  <c r="E46" i="36"/>
  <c r="E46" i="40"/>
  <c r="Q48" i="35"/>
  <c r="R48" i="35" s="1"/>
  <c r="S48" i="35" s="1"/>
  <c r="Q48" i="34"/>
  <c r="R48" i="34" s="1"/>
  <c r="Q48" i="33"/>
  <c r="R48" i="33" s="1"/>
  <c r="Q48" i="32"/>
  <c r="Q48" i="31"/>
  <c r="R48" i="31" s="1"/>
  <c r="Q48" i="18"/>
  <c r="Q48" i="37"/>
  <c r="R48" i="37" s="1"/>
  <c r="Q48" i="36"/>
  <c r="R48" i="36" s="1"/>
  <c r="E48" i="34"/>
  <c r="E48" i="32"/>
  <c r="E48" i="18"/>
  <c r="E48" i="36"/>
  <c r="E48" i="35"/>
  <c r="E48" i="33"/>
  <c r="E48" i="31"/>
  <c r="E48" i="37"/>
  <c r="Q48" i="40"/>
  <c r="R48" i="40" s="1"/>
  <c r="E48" i="40"/>
  <c r="Q57" i="37"/>
  <c r="R57" i="37" s="1"/>
  <c r="E57" i="37"/>
  <c r="E57" i="36"/>
  <c r="Q57" i="35"/>
  <c r="R57" i="35" s="1"/>
  <c r="Q57" i="34"/>
  <c r="R57" i="34" s="1"/>
  <c r="Q57" i="33"/>
  <c r="R57" i="33" s="1"/>
  <c r="T57" i="33" s="1"/>
  <c r="Q57" i="32"/>
  <c r="Q57" i="31"/>
  <c r="E57" i="35"/>
  <c r="E57" i="33"/>
  <c r="E57" i="31"/>
  <c r="E57" i="18"/>
  <c r="Q57" i="36"/>
  <c r="R57" i="36" s="1"/>
  <c r="E57" i="34"/>
  <c r="F57" i="34" s="1"/>
  <c r="E57" i="32"/>
  <c r="Q57" i="18"/>
  <c r="Q57" i="40"/>
  <c r="R57" i="40" s="1"/>
  <c r="E57" i="40"/>
  <c r="Q75" i="35"/>
  <c r="R75" i="35" s="1"/>
  <c r="S75" i="35" s="1"/>
  <c r="Q75" i="34"/>
  <c r="R75" i="34" s="1"/>
  <c r="Q75" i="33"/>
  <c r="Q75" i="32"/>
  <c r="Q75" i="31"/>
  <c r="Q75" i="18"/>
  <c r="Q75" i="37"/>
  <c r="Q75" i="36"/>
  <c r="R75" i="36" s="1"/>
  <c r="E75" i="34"/>
  <c r="E75" i="32"/>
  <c r="E75" i="18"/>
  <c r="E75" i="36"/>
  <c r="E75" i="35"/>
  <c r="E75" i="33"/>
  <c r="E75" i="31"/>
  <c r="E75" i="37"/>
  <c r="E75" i="40"/>
  <c r="Q75" i="40"/>
  <c r="R75" i="40" s="1"/>
  <c r="E79" i="35"/>
  <c r="E79" i="34"/>
  <c r="F79" i="34" s="1"/>
  <c r="E79" i="33"/>
  <c r="E79" i="32"/>
  <c r="F79" i="32" s="1"/>
  <c r="E79" i="31"/>
  <c r="E79" i="18"/>
  <c r="E79" i="37"/>
  <c r="E79" i="36"/>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E67" i="36"/>
  <c r="Q67" i="35"/>
  <c r="R67" i="35" s="1"/>
  <c r="S67" i="35" s="1"/>
  <c r="Q67" i="34"/>
  <c r="R67" i="34" s="1"/>
  <c r="Q67" i="33"/>
  <c r="Q67" i="32"/>
  <c r="Q67" i="31"/>
  <c r="E67" i="18"/>
  <c r="Q67" i="37"/>
  <c r="R67" i="37" s="1"/>
  <c r="S67" i="37" s="1"/>
  <c r="E67" i="35"/>
  <c r="E67" i="33"/>
  <c r="E67" i="3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Q81" i="35"/>
  <c r="R81" i="35" s="1"/>
  <c r="Q81" i="34"/>
  <c r="R81" i="34" s="1"/>
  <c r="Q81" i="33"/>
  <c r="R81" i="33" s="1"/>
  <c r="S81" i="33" s="1"/>
  <c r="Q81" i="32"/>
  <c r="Q81" i="31"/>
  <c r="Q81" i="18"/>
  <c r="R81" i="18" s="1"/>
  <c r="Q81" i="37"/>
  <c r="R81" i="37" s="1"/>
  <c r="T81" i="37" s="1"/>
  <c r="Q81" i="36"/>
  <c r="R81" i="36" s="1"/>
  <c r="E81" i="34"/>
  <c r="E81" i="32"/>
  <c r="E81" i="18"/>
  <c r="E81" i="36"/>
  <c r="E81" i="35"/>
  <c r="E81" i="33"/>
  <c r="E81" i="31"/>
  <c r="E81" i="37"/>
  <c r="E81" i="40"/>
  <c r="F81" i="40" s="1"/>
  <c r="Q81" i="40"/>
  <c r="R81" i="40" s="1"/>
  <c r="Q59" i="37"/>
  <c r="R59" i="37" s="1"/>
  <c r="Q59" i="36"/>
  <c r="R59" i="36" s="1"/>
  <c r="E59" i="35"/>
  <c r="E59" i="34"/>
  <c r="E59" i="33"/>
  <c r="E59" i="32"/>
  <c r="E59" i="31"/>
  <c r="E59" i="18"/>
  <c r="E59" i="36"/>
  <c r="E59" i="37"/>
  <c r="Q59" i="35"/>
  <c r="R59" i="35" s="1"/>
  <c r="T59" i="35" s="1"/>
  <c r="Q59" i="33"/>
  <c r="R59" i="33" s="1"/>
  <c r="S59" i="33" s="1"/>
  <c r="Q59" i="31"/>
  <c r="R59" i="31" s="1"/>
  <c r="Q59" i="40"/>
  <c r="R59" i="40" s="1"/>
  <c r="Q59" i="34"/>
  <c r="R59" i="34" s="1"/>
  <c r="Q59" i="32"/>
  <c r="Q59" i="18"/>
  <c r="R59" i="18" s="1"/>
  <c r="E59" i="40"/>
  <c r="E25" i="37"/>
  <c r="Q25" i="36"/>
  <c r="R25" i="36" s="1"/>
  <c r="Q25" i="35"/>
  <c r="R25" i="35" s="1"/>
  <c r="S25" i="35" s="1"/>
  <c r="Q25" i="34"/>
  <c r="R25" i="34" s="1"/>
  <c r="Q25" i="33"/>
  <c r="Q25" i="32"/>
  <c r="Q25" i="18"/>
  <c r="E25" i="31"/>
  <c r="E25" i="18"/>
  <c r="E25" i="34"/>
  <c r="E25" i="32"/>
  <c r="F25" i="32" s="1"/>
  <c r="Q25" i="31"/>
  <c r="Q25" i="37"/>
  <c r="E25" i="36"/>
  <c r="E25" i="35"/>
  <c r="E25" i="33"/>
  <c r="Q25" i="40"/>
  <c r="R25" i="40" s="1"/>
  <c r="E25" i="40"/>
  <c r="F25" i="40" s="1"/>
  <c r="C96" i="18"/>
  <c r="F96" i="18" s="1"/>
  <c r="C30" i="18"/>
  <c r="P30" i="18"/>
  <c r="P30" i="37"/>
  <c r="C30" i="37"/>
  <c r="C75" i="34"/>
  <c r="C75" i="32"/>
  <c r="P75" i="32"/>
  <c r="C75" i="37"/>
  <c r="P75" i="37"/>
  <c r="P58" i="18"/>
  <c r="C58" i="18"/>
  <c r="C70" i="18"/>
  <c r="P70" i="18"/>
  <c r="C84" i="32"/>
  <c r="P84" i="32"/>
  <c r="C84" i="34"/>
  <c r="F84" i="34" s="1"/>
  <c r="C68" i="33"/>
  <c r="P68" i="33"/>
  <c r="K9" i="36"/>
  <c r="K12" i="36"/>
  <c r="K10" i="36"/>
  <c r="K8" i="40"/>
  <c r="W8" i="40"/>
  <c r="F35" i="18"/>
  <c r="F24" i="18"/>
  <c r="F82" i="18"/>
  <c r="W8" i="32"/>
  <c r="K8" i="32"/>
  <c r="K10" i="18"/>
  <c r="K12" i="18"/>
  <c r="R47" i="40"/>
  <c r="R40" i="40"/>
  <c r="R60" i="40"/>
  <c r="R84" i="40"/>
  <c r="R34" i="40"/>
  <c r="R38" i="40"/>
  <c r="R92" i="40"/>
  <c r="R61" i="40"/>
  <c r="R76" i="40"/>
  <c r="R82" i="40"/>
  <c r="R20" i="40"/>
  <c r="R56" i="40"/>
  <c r="F76" i="37"/>
  <c r="H76" i="37" s="1"/>
  <c r="R61" i="35"/>
  <c r="T61" i="35" s="1"/>
  <c r="F36" i="36"/>
  <c r="H36" i="36" s="1"/>
  <c r="R96" i="35"/>
  <c r="R35" i="35"/>
  <c r="R94" i="35"/>
  <c r="R82" i="35"/>
  <c r="F61" i="36"/>
  <c r="F58" i="36"/>
  <c r="F69" i="36"/>
  <c r="F35" i="36"/>
  <c r="F99" i="36"/>
  <c r="F64" i="36"/>
  <c r="F96" i="36"/>
  <c r="F30" i="36"/>
  <c r="F32" i="36"/>
  <c r="F87" i="36"/>
  <c r="F82" i="36"/>
  <c r="W10" i="18"/>
  <c r="W9" i="18"/>
  <c r="W12" i="18"/>
  <c r="F83" i="31"/>
  <c r="G83" i="31" s="1"/>
  <c r="F53" i="31"/>
  <c r="H53" i="31" s="1"/>
  <c r="F76" i="31"/>
  <c r="H76" i="31" s="1"/>
  <c r="F11" i="39"/>
  <c r="W6" i="32"/>
  <c r="W12" i="36"/>
  <c r="S69" i="36" s="1"/>
  <c r="W9" i="36"/>
  <c r="W10" i="36"/>
  <c r="W12" i="31"/>
  <c r="T52" i="31" s="1"/>
  <c r="W9" i="31"/>
  <c r="W10" i="31"/>
  <c r="R32" i="31"/>
  <c r="F96" i="37"/>
  <c r="H96" i="37" s="1"/>
  <c r="R78" i="35"/>
  <c r="S78" i="35" s="1"/>
  <c r="R45" i="35"/>
  <c r="S45" i="35" s="1"/>
  <c r="R80" i="35"/>
  <c r="S80" i="35" s="1"/>
  <c r="R58" i="35"/>
  <c r="S58" i="35" s="1"/>
  <c r="F82" i="37"/>
  <c r="G82" i="37" s="1"/>
  <c r="F99" i="37"/>
  <c r="H99" i="37" s="1"/>
  <c r="F68" i="37"/>
  <c r="F84" i="31"/>
  <c r="G84" i="31" s="1"/>
  <c r="T69" i="36"/>
  <c r="T64" i="35"/>
  <c r="H82" i="33"/>
  <c r="G82" i="33"/>
  <c r="S99" i="35"/>
  <c r="R76" i="34"/>
  <c r="R58" i="34"/>
  <c r="R32" i="34"/>
  <c r="R52" i="34"/>
  <c r="R38" i="34"/>
  <c r="R36" i="34"/>
  <c r="R26" i="34"/>
  <c r="R96" i="34"/>
  <c r="R82" i="34"/>
  <c r="R35" i="34"/>
  <c r="R34" i="34"/>
  <c r="R61" i="34"/>
  <c r="R83" i="34"/>
  <c r="R92" i="34"/>
  <c r="R26" i="33" l="1"/>
  <c r="T26" i="33" s="1"/>
  <c r="G82" i="34"/>
  <c r="F38" i="32"/>
  <c r="F75" i="31"/>
  <c r="G75" i="31" s="1"/>
  <c r="F57" i="35"/>
  <c r="H57" i="35" s="1"/>
  <c r="R57" i="31"/>
  <c r="T57" i="31" s="1"/>
  <c r="R62" i="33"/>
  <c r="T62" i="33" s="1"/>
  <c r="F63" i="32"/>
  <c r="R73" i="33"/>
  <c r="S73" i="33" s="1"/>
  <c r="R49" i="33"/>
  <c r="T49" i="33" s="1"/>
  <c r="F50" i="34"/>
  <c r="H50" i="34" s="1"/>
  <c r="F85" i="32"/>
  <c r="F56" i="34"/>
  <c r="H56" i="34" s="1"/>
  <c r="R54" i="18"/>
  <c r="S54" i="18" s="1"/>
  <c r="F53" i="34"/>
  <c r="H53" i="34" s="1"/>
  <c r="G88" i="31"/>
  <c r="F55" i="32"/>
  <c r="F89" i="32"/>
  <c r="R34" i="33"/>
  <c r="S34" i="33" s="1"/>
  <c r="R38" i="31"/>
  <c r="T38" i="31" s="1"/>
  <c r="F32" i="35"/>
  <c r="H32" i="35" s="1"/>
  <c r="R47" i="33"/>
  <c r="S47" i="33" s="1"/>
  <c r="R21" i="37"/>
  <c r="S21" i="37" s="1"/>
  <c r="R22" i="37"/>
  <c r="S22" i="37" s="1"/>
  <c r="F30" i="32"/>
  <c r="R35" i="18"/>
  <c r="S35" i="18" s="1"/>
  <c r="R44" i="33"/>
  <c r="S44" i="33" s="1"/>
  <c r="R41" i="33"/>
  <c r="T41" i="33" s="1"/>
  <c r="R42" i="18"/>
  <c r="S42" i="18" s="1"/>
  <c r="R45" i="18"/>
  <c r="T45" i="18" s="1"/>
  <c r="R22" i="31"/>
  <c r="T22" i="31" s="1"/>
  <c r="R28" i="18"/>
  <c r="T28" i="18" s="1"/>
  <c r="F21" i="34"/>
  <c r="G21" i="34" s="1"/>
  <c r="F41" i="32"/>
  <c r="R21" i="18"/>
  <c r="S21" i="18" s="1"/>
  <c r="F19" i="32"/>
  <c r="R48" i="18"/>
  <c r="T48" i="18" s="1"/>
  <c r="F25" i="34"/>
  <c r="H25" i="34" s="1"/>
  <c r="F28" i="32"/>
  <c r="S36" i="35"/>
  <c r="F48" i="32"/>
  <c r="F48" i="34"/>
  <c r="H48" i="34" s="1"/>
  <c r="F44" i="35"/>
  <c r="H44" i="35" s="1"/>
  <c r="R45" i="31"/>
  <c r="T45" i="31" s="1"/>
  <c r="R34" i="31"/>
  <c r="S34" i="31" s="1"/>
  <c r="R42" i="31"/>
  <c r="S42" i="31" s="1"/>
  <c r="R33" i="33"/>
  <c r="T33" i="33" s="1"/>
  <c r="F48" i="35"/>
  <c r="H48" i="35" s="1"/>
  <c r="F45" i="32"/>
  <c r="F42" i="31"/>
  <c r="H42" i="31" s="1"/>
  <c r="R47" i="37"/>
  <c r="S47" i="37" s="1"/>
  <c r="R42" i="33"/>
  <c r="T42" i="33" s="1"/>
  <c r="R40" i="37"/>
  <c r="T40" i="37" s="1"/>
  <c r="H52" i="34"/>
  <c r="G52" i="34"/>
  <c r="R44" i="31"/>
  <c r="T44" i="31" s="1"/>
  <c r="R44" i="37"/>
  <c r="S44" i="37" s="1"/>
  <c r="S82" i="37"/>
  <c r="S68" i="37"/>
  <c r="F44" i="32"/>
  <c r="F31" i="34"/>
  <c r="G31" i="34" s="1"/>
  <c r="F92" i="34"/>
  <c r="G92" i="34" s="1"/>
  <c r="F53" i="32"/>
  <c r="S64" i="33"/>
  <c r="F39" i="32"/>
  <c r="R91" i="18"/>
  <c r="F43" i="32"/>
  <c r="R84" i="18"/>
  <c r="R32" i="37"/>
  <c r="T32" i="37" s="1"/>
  <c r="F35" i="32"/>
  <c r="F38" i="35"/>
  <c r="H38" i="35" s="1"/>
  <c r="T62" i="18"/>
  <c r="F86" i="36"/>
  <c r="H86" i="36" s="1"/>
  <c r="F90" i="36"/>
  <c r="F52" i="18"/>
  <c r="G52" i="18" s="1"/>
  <c r="S35" i="33"/>
  <c r="F64" i="37"/>
  <c r="H64" i="37" s="1"/>
  <c r="F19" i="37"/>
  <c r="H19" i="37" s="1"/>
  <c r="J19" i="37" s="1"/>
  <c r="K19" i="37" s="1"/>
  <c r="J17" i="17" s="1"/>
  <c r="T61" i="37"/>
  <c r="F76" i="36"/>
  <c r="G76" i="36" s="1"/>
  <c r="R96" i="37"/>
  <c r="S96" i="37" s="1"/>
  <c r="F72" i="31"/>
  <c r="H72" i="31" s="1"/>
  <c r="H68" i="34"/>
  <c r="F72" i="34"/>
  <c r="G72" i="34" s="1"/>
  <c r="R20" i="31"/>
  <c r="S20" i="31" s="1"/>
  <c r="H35" i="34"/>
  <c r="G35" i="34"/>
  <c r="S41" i="36"/>
  <c r="S39" i="36"/>
  <c r="T97" i="18"/>
  <c r="T85" i="36"/>
  <c r="T45" i="36"/>
  <c r="T41" i="36"/>
  <c r="H36" i="18"/>
  <c r="T64" i="31"/>
  <c r="T90" i="18"/>
  <c r="T94" i="31"/>
  <c r="T82" i="18"/>
  <c r="T80" i="31"/>
  <c r="S22" i="18"/>
  <c r="H68" i="36"/>
  <c r="R76" i="32"/>
  <c r="S52" i="31"/>
  <c r="S68" i="18"/>
  <c r="S81" i="18"/>
  <c r="S46" i="36"/>
  <c r="S97" i="31"/>
  <c r="S87" i="36"/>
  <c r="T91" i="18"/>
  <c r="H68" i="18"/>
  <c r="S54" i="36"/>
  <c r="S78" i="18"/>
  <c r="S84" i="36"/>
  <c r="T84" i="18"/>
  <c r="S80" i="36"/>
  <c r="T80" i="18"/>
  <c r="T53" i="18"/>
  <c r="R20" i="33"/>
  <c r="S20" i="33" s="1"/>
  <c r="R71" i="37"/>
  <c r="T71" i="37" s="1"/>
  <c r="T77" i="18"/>
  <c r="H76" i="18"/>
  <c r="T86" i="31"/>
  <c r="R90" i="31"/>
  <c r="T90" i="31" s="1"/>
  <c r="T94" i="36"/>
  <c r="S88" i="18"/>
  <c r="T38" i="18"/>
  <c r="S69" i="18"/>
  <c r="T26" i="18"/>
  <c r="T40" i="18"/>
  <c r="S83" i="18"/>
  <c r="S44" i="18"/>
  <c r="T97" i="36"/>
  <c r="T29" i="18"/>
  <c r="S31" i="18"/>
  <c r="T54" i="31"/>
  <c r="T74" i="31"/>
  <c r="S78" i="31"/>
  <c r="S88" i="31"/>
  <c r="S62" i="18"/>
  <c r="T96" i="31"/>
  <c r="T52" i="37"/>
  <c r="S52" i="37"/>
  <c r="F49" i="34"/>
  <c r="H49" i="34" s="1"/>
  <c r="S76" i="33"/>
  <c r="F48" i="31"/>
  <c r="H48" i="31" s="1"/>
  <c r="R23" i="33"/>
  <c r="S23" i="33" s="1"/>
  <c r="F73" i="32"/>
  <c r="R91" i="37"/>
  <c r="S91" i="37" s="1"/>
  <c r="F71" i="32"/>
  <c r="F27" i="37"/>
  <c r="H27" i="37" s="1"/>
  <c r="R83" i="37"/>
  <c r="R68" i="31"/>
  <c r="S68" i="31" s="1"/>
  <c r="R61" i="18"/>
  <c r="S61" i="18" s="1"/>
  <c r="T22" i="18"/>
  <c r="R81" i="31"/>
  <c r="S81" i="31" s="1"/>
  <c r="R79" i="31"/>
  <c r="S79" i="31" s="1"/>
  <c r="F57" i="32"/>
  <c r="R46" i="31"/>
  <c r="T46" i="31" s="1"/>
  <c r="R65" i="37"/>
  <c r="T65" i="37" s="1"/>
  <c r="F58" i="18"/>
  <c r="G58" i="18" s="1"/>
  <c r="R81" i="32"/>
  <c r="R55" i="37"/>
  <c r="T55" i="37" s="1"/>
  <c r="F56" i="32"/>
  <c r="R27" i="31"/>
  <c r="S27" i="31" s="1"/>
  <c r="G83" i="37"/>
  <c r="F22" i="36"/>
  <c r="H22" i="36" s="1"/>
  <c r="T76" i="37"/>
  <c r="F20" i="34"/>
  <c r="H20" i="34" s="1"/>
  <c r="R36" i="33"/>
  <c r="S36" i="33" s="1"/>
  <c r="F69" i="34"/>
  <c r="H69" i="34" s="1"/>
  <c r="S22" i="33"/>
  <c r="G68" i="18"/>
  <c r="F69" i="18"/>
  <c r="G69" i="18" s="1"/>
  <c r="D46" i="38"/>
  <c r="F34" i="18"/>
  <c r="H34" i="18" s="1"/>
  <c r="R32" i="18"/>
  <c r="T32" i="18" s="1"/>
  <c r="F36" i="31"/>
  <c r="G36" i="31" s="1"/>
  <c r="F66" i="35"/>
  <c r="H66" i="35" s="1"/>
  <c r="F64" i="35"/>
  <c r="H64" i="35" s="1"/>
  <c r="T88" i="33"/>
  <c r="D33" i="38"/>
  <c r="G34" i="34"/>
  <c r="F61" i="18"/>
  <c r="H61" i="18" s="1"/>
  <c r="H36" i="33"/>
  <c r="G36" i="33"/>
  <c r="T84" i="33"/>
  <c r="S84" i="33"/>
  <c r="T40" i="33"/>
  <c r="F32" i="18"/>
  <c r="G32" i="18" s="1"/>
  <c r="F20" i="35"/>
  <c r="G20" i="35" s="1"/>
  <c r="I20" i="35" s="1"/>
  <c r="F26" i="32"/>
  <c r="F92" i="32"/>
  <c r="R27" i="18"/>
  <c r="S27" i="18" s="1"/>
  <c r="F83" i="34"/>
  <c r="G83" i="34" s="1"/>
  <c r="F19" i="34"/>
  <c r="H19" i="34" s="1"/>
  <c r="J19" i="34" s="1"/>
  <c r="L12" i="38" s="1"/>
  <c r="S80" i="31"/>
  <c r="G76" i="37"/>
  <c r="E62" i="38"/>
  <c r="F34" i="31"/>
  <c r="H34" i="31" s="1"/>
  <c r="F43" i="34"/>
  <c r="H43" i="34" s="1"/>
  <c r="R99" i="18"/>
  <c r="S99" i="18" s="1"/>
  <c r="T54" i="36"/>
  <c r="F22" i="31"/>
  <c r="G22" i="31" s="1"/>
  <c r="F24" i="36"/>
  <c r="G24" i="36" s="1"/>
  <c r="F67" i="31"/>
  <c r="G67" i="31" s="1"/>
  <c r="D69" i="38"/>
  <c r="R58" i="18"/>
  <c r="T58" i="18" s="1"/>
  <c r="F32" i="32"/>
  <c r="F50" i="31"/>
  <c r="G50" i="31" s="1"/>
  <c r="F94" i="32"/>
  <c r="F58" i="37"/>
  <c r="H58" i="37" s="1"/>
  <c r="F22" i="35"/>
  <c r="H22" i="35" s="1"/>
  <c r="T77" i="33"/>
  <c r="R33" i="18"/>
  <c r="T33" i="18" s="1"/>
  <c r="F38" i="18"/>
  <c r="H38" i="18" s="1"/>
  <c r="T53" i="33"/>
  <c r="E54" i="38"/>
  <c r="E87" i="38"/>
  <c r="T78" i="37"/>
  <c r="F61" i="31"/>
  <c r="G61" i="31" s="1"/>
  <c r="F78" i="36"/>
  <c r="H78" i="36" s="1"/>
  <c r="F72" i="36"/>
  <c r="G72" i="36" s="1"/>
  <c r="F41" i="35"/>
  <c r="H41" i="35" s="1"/>
  <c r="F74" i="33"/>
  <c r="H74" i="33" s="1"/>
  <c r="F56" i="35"/>
  <c r="H56" i="35" s="1"/>
  <c r="D61" i="38"/>
  <c r="F68" i="40"/>
  <c r="F61" i="37"/>
  <c r="T84" i="36"/>
  <c r="G68" i="36"/>
  <c r="E35" i="38"/>
  <c r="E51" i="38"/>
  <c r="S88" i="35"/>
  <c r="F32" i="31"/>
  <c r="G32" i="31" s="1"/>
  <c r="F88" i="36"/>
  <c r="G88" i="36" s="1"/>
  <c r="F20" i="36"/>
  <c r="G20" i="36" s="1"/>
  <c r="F53" i="18"/>
  <c r="H53" i="18" s="1"/>
  <c r="F22" i="37"/>
  <c r="H22" i="37" s="1"/>
  <c r="R20" i="18"/>
  <c r="S20" i="18" s="1"/>
  <c r="F20" i="32"/>
  <c r="R74" i="37"/>
  <c r="T74" i="37" s="1"/>
  <c r="F80" i="35"/>
  <c r="G80" i="35" s="1"/>
  <c r="F32" i="34"/>
  <c r="H32" i="34" s="1"/>
  <c r="F98" i="18"/>
  <c r="G98" i="18" s="1"/>
  <c r="R60" i="33"/>
  <c r="T60" i="33" s="1"/>
  <c r="F74" i="34"/>
  <c r="F80" i="34"/>
  <c r="H80" i="34" s="1"/>
  <c r="F32" i="37"/>
  <c r="S28" i="33"/>
  <c r="T28" i="33"/>
  <c r="T84" i="37"/>
  <c r="S84" i="37"/>
  <c r="F92" i="40"/>
  <c r="D85" i="38"/>
  <c r="F83" i="35"/>
  <c r="S96" i="31"/>
  <c r="E92" i="38"/>
  <c r="T95" i="35"/>
  <c r="S53" i="31"/>
  <c r="H68" i="35"/>
  <c r="F59" i="36"/>
  <c r="H59" i="36" s="1"/>
  <c r="F83" i="33"/>
  <c r="G83" i="33" s="1"/>
  <c r="F87" i="33"/>
  <c r="G87" i="33" s="1"/>
  <c r="F58" i="32"/>
  <c r="S58" i="37"/>
  <c r="T58" i="37"/>
  <c r="F78" i="37"/>
  <c r="G78" i="37" s="1"/>
  <c r="F56" i="37"/>
  <c r="H56" i="37" s="1"/>
  <c r="F62" i="37"/>
  <c r="G62" i="37" s="1"/>
  <c r="F80" i="18"/>
  <c r="G80" i="18" s="1"/>
  <c r="F76" i="33"/>
  <c r="F52" i="36"/>
  <c r="G52" i="36" s="1"/>
  <c r="F53" i="37"/>
  <c r="G53" i="37" s="1"/>
  <c r="F22" i="40"/>
  <c r="D15" i="38"/>
  <c r="S82" i="33"/>
  <c r="H92" i="34"/>
  <c r="F28" i="18"/>
  <c r="H28" i="18" s="1"/>
  <c r="F40" i="33"/>
  <c r="H40" i="33" s="1"/>
  <c r="S92" i="33"/>
  <c r="T92" i="33"/>
  <c r="F52" i="35"/>
  <c r="H52" i="35" s="1"/>
  <c r="F66" i="31"/>
  <c r="G66" i="31" s="1"/>
  <c r="S26" i="37"/>
  <c r="T26" i="37"/>
  <c r="S52" i="33"/>
  <c r="S74" i="31"/>
  <c r="E63" i="38"/>
  <c r="T72" i="33"/>
  <c r="F97" i="31"/>
  <c r="H97" i="31" s="1"/>
  <c r="F19" i="36"/>
  <c r="G19" i="36" s="1"/>
  <c r="I19" i="36" s="1"/>
  <c r="F84" i="18"/>
  <c r="G84" i="18" s="1"/>
  <c r="F74" i="36"/>
  <c r="H74" i="36" s="1"/>
  <c r="S54" i="37"/>
  <c r="D26" i="38"/>
  <c r="T93" i="33"/>
  <c r="S93" i="33"/>
  <c r="T27" i="35"/>
  <c r="S27" i="35"/>
  <c r="F19" i="18"/>
  <c r="G19" i="18" s="1"/>
  <c r="I19" i="18" s="1"/>
  <c r="F64" i="40"/>
  <c r="D57" i="38"/>
  <c r="R68" i="33"/>
  <c r="S68" i="33" s="1"/>
  <c r="R38" i="37"/>
  <c r="T38" i="37" s="1"/>
  <c r="F19" i="31"/>
  <c r="G19" i="31" s="1"/>
  <c r="I19" i="31" s="1"/>
  <c r="I20" i="31" s="1"/>
  <c r="F76" i="34"/>
  <c r="H76" i="34" s="1"/>
  <c r="F24" i="34"/>
  <c r="H24" i="34" s="1"/>
  <c r="R66" i="33"/>
  <c r="F99" i="34"/>
  <c r="G99" i="34" s="1"/>
  <c r="R98" i="37"/>
  <c r="T98" i="37" s="1"/>
  <c r="T94" i="33"/>
  <c r="H91" i="31"/>
  <c r="R70" i="18"/>
  <c r="T70" i="18" s="1"/>
  <c r="R50" i="18"/>
  <c r="T50" i="18" s="1"/>
  <c r="R60" i="18"/>
  <c r="S60" i="18" s="1"/>
  <c r="F76" i="32"/>
  <c r="T50" i="33"/>
  <c r="F60" i="36"/>
  <c r="G60" i="36" s="1"/>
  <c r="F64" i="18"/>
  <c r="H64" i="18" s="1"/>
  <c r="F69" i="31"/>
  <c r="G69" i="31" s="1"/>
  <c r="R66" i="18"/>
  <c r="T66" i="18" s="1"/>
  <c r="R72" i="37"/>
  <c r="T72" i="37" s="1"/>
  <c r="F64" i="31"/>
  <c r="F44" i="36"/>
  <c r="G44" i="36" s="1"/>
  <c r="F44" i="18"/>
  <c r="H44" i="18" s="1"/>
  <c r="F39" i="40"/>
  <c r="D32" i="38"/>
  <c r="F39" i="36"/>
  <c r="H39" i="36" s="1"/>
  <c r="F39" i="37"/>
  <c r="H39" i="37" s="1"/>
  <c r="F23" i="18"/>
  <c r="H23" i="18" s="1"/>
  <c r="F90" i="40"/>
  <c r="D83" i="38"/>
  <c r="F98" i="31"/>
  <c r="H98" i="31" s="1"/>
  <c r="F22" i="18"/>
  <c r="G22" i="18" s="1"/>
  <c r="F98" i="40"/>
  <c r="F80" i="33"/>
  <c r="H80" i="33" s="1"/>
  <c r="E33" i="38"/>
  <c r="F40" i="34"/>
  <c r="G40" i="34" s="1"/>
  <c r="F62" i="40"/>
  <c r="D55" i="38"/>
  <c r="F50" i="37"/>
  <c r="H50" i="37" s="1"/>
  <c r="H61" i="35"/>
  <c r="G61" i="35"/>
  <c r="H53" i="35"/>
  <c r="G53" i="35"/>
  <c r="S90" i="33"/>
  <c r="E57" i="38"/>
  <c r="R66" i="31"/>
  <c r="T66" i="31" s="1"/>
  <c r="F26" i="18"/>
  <c r="G26" i="18" s="1"/>
  <c r="E31" i="38"/>
  <c r="G61" i="33"/>
  <c r="F94" i="36"/>
  <c r="G94" i="36" s="1"/>
  <c r="F79" i="36"/>
  <c r="H79" i="36" s="1"/>
  <c r="F26" i="31"/>
  <c r="H26" i="31" s="1"/>
  <c r="F93" i="31"/>
  <c r="G93" i="31" s="1"/>
  <c r="F48" i="40"/>
  <c r="F44" i="40"/>
  <c r="D37" i="38"/>
  <c r="F26" i="37"/>
  <c r="G26" i="37" s="1"/>
  <c r="F26" i="36"/>
  <c r="G26" i="36" s="1"/>
  <c r="H36" i="34"/>
  <c r="T62" i="31"/>
  <c r="S62" i="31"/>
  <c r="T83" i="18"/>
  <c r="S58" i="33"/>
  <c r="S90" i="18"/>
  <c r="F50" i="36"/>
  <c r="H50" i="36" s="1"/>
  <c r="F80" i="36"/>
  <c r="G80" i="36" s="1"/>
  <c r="F70" i="37"/>
  <c r="G70" i="37" s="1"/>
  <c r="F78" i="31"/>
  <c r="H78" i="31" s="1"/>
  <c r="T30" i="35"/>
  <c r="S30" i="35"/>
  <c r="H88" i="35"/>
  <c r="G88" i="35"/>
  <c r="R19" i="37"/>
  <c r="T19" i="37" s="1"/>
  <c r="V19" i="37" s="1"/>
  <c r="W19" i="37" s="1"/>
  <c r="AA17" i="17" s="1"/>
  <c r="R64" i="37"/>
  <c r="S64" i="37" s="1"/>
  <c r="R72" i="31"/>
  <c r="T72" i="31" s="1"/>
  <c r="F72" i="37"/>
  <c r="H72" i="37" s="1"/>
  <c r="R56" i="37"/>
  <c r="R72" i="32"/>
  <c r="F76" i="35"/>
  <c r="G76" i="35" s="1"/>
  <c r="F84" i="32"/>
  <c r="F75" i="32"/>
  <c r="F20" i="18"/>
  <c r="H20" i="18" s="1"/>
  <c r="R98" i="33"/>
  <c r="F89" i="37"/>
  <c r="G89" i="37" s="1"/>
  <c r="S96" i="33"/>
  <c r="D62" i="38"/>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E26" i="38"/>
  <c r="F45" i="37"/>
  <c r="G45" i="37" s="1"/>
  <c r="F53" i="36"/>
  <c r="H53" i="36" s="1"/>
  <c r="D42" i="38"/>
  <c r="T53" i="37"/>
  <c r="F90" i="31"/>
  <c r="H90" i="31" s="1"/>
  <c r="R99" i="37"/>
  <c r="T99" i="37" s="1"/>
  <c r="F26" i="35"/>
  <c r="H26" i="35" s="1"/>
  <c r="F92" i="37"/>
  <c r="G92" i="37" s="1"/>
  <c r="F64" i="32"/>
  <c r="R69" i="33"/>
  <c r="R24" i="37"/>
  <c r="S24" i="37" s="1"/>
  <c r="F69" i="32"/>
  <c r="F58" i="35"/>
  <c r="G58" i="35" s="1"/>
  <c r="T80" i="35"/>
  <c r="S61" i="33"/>
  <c r="H76" i="36"/>
  <c r="T48" i="35"/>
  <c r="E20" i="38"/>
  <c r="E19" i="38"/>
  <c r="F94" i="37"/>
  <c r="G94" i="37" s="1"/>
  <c r="F77" i="31"/>
  <c r="H77" i="31" s="1"/>
  <c r="F31" i="36"/>
  <c r="H31" i="36" s="1"/>
  <c r="F51" i="36"/>
  <c r="G51" i="36" s="1"/>
  <c r="F62" i="18"/>
  <c r="H62" i="18" s="1"/>
  <c r="D23" i="38"/>
  <c r="D41" i="38"/>
  <c r="D19" i="38"/>
  <c r="F83" i="18"/>
  <c r="H83" i="18" s="1"/>
  <c r="F60" i="18"/>
  <c r="H60" i="18" s="1"/>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H63" i="18" s="1"/>
  <c r="F86" i="18"/>
  <c r="H86" i="18" s="1"/>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H69" i="18"/>
  <c r="T96" i="37"/>
  <c r="G35" i="33"/>
  <c r="R67" i="31"/>
  <c r="T67" i="31" s="1"/>
  <c r="F91" i="35"/>
  <c r="H91" i="35" s="1"/>
  <c r="F65" i="31"/>
  <c r="G65" i="31" s="1"/>
  <c r="S40" i="18"/>
  <c r="S26" i="33"/>
  <c r="T89" i="33"/>
  <c r="G82" i="35"/>
  <c r="G34" i="35"/>
  <c r="T19" i="35"/>
  <c r="V19" i="35" s="1"/>
  <c r="W19" i="35" s="1"/>
  <c r="V17" i="17" s="1"/>
  <c r="T97" i="31"/>
  <c r="S62" i="33"/>
  <c r="S94" i="31"/>
  <c r="S45" i="37"/>
  <c r="S51" i="37"/>
  <c r="R25" i="32"/>
  <c r="F81" i="32"/>
  <c r="R21" i="33"/>
  <c r="S21" i="33" s="1"/>
  <c r="F37" i="32"/>
  <c r="F71" i="34"/>
  <c r="H71" i="34" s="1"/>
  <c r="G22" i="36"/>
  <c r="H26" i="33"/>
  <c r="H38" i="34"/>
  <c r="H82" i="31"/>
  <c r="G52" i="37"/>
  <c r="H98" i="34"/>
  <c r="G98" i="34"/>
  <c r="S34" i="18"/>
  <c r="T34" i="18"/>
  <c r="H50" i="18"/>
  <c r="G50" i="18"/>
  <c r="T88" i="31"/>
  <c r="T51" i="33"/>
  <c r="S86" i="33"/>
  <c r="T37" i="35"/>
  <c r="T69" i="18"/>
  <c r="S54" i="31"/>
  <c r="E83" i="38"/>
  <c r="S53" i="35"/>
  <c r="H51" i="31"/>
  <c r="F45" i="18"/>
  <c r="G45" i="18" s="1"/>
  <c r="F98" i="36"/>
  <c r="H98" i="36" s="1"/>
  <c r="F84" i="36"/>
  <c r="H84" i="36" s="1"/>
  <c r="D82" i="38"/>
  <c r="D17" i="38"/>
  <c r="F65" i="18"/>
  <c r="G65" i="18" s="1"/>
  <c r="F97" i="37"/>
  <c r="G97" i="37" s="1"/>
  <c r="R26" i="31"/>
  <c r="T26" i="31" s="1"/>
  <c r="F60" i="37"/>
  <c r="H60" i="37" s="1"/>
  <c r="F54" i="33"/>
  <c r="H54" i="33" s="1"/>
  <c r="F50" i="40"/>
  <c r="D43" i="38"/>
  <c r="F80" i="40"/>
  <c r="D73" i="38"/>
  <c r="F64" i="33"/>
  <c r="S78" i="33"/>
  <c r="E73" i="38"/>
  <c r="H62" i="35"/>
  <c r="T93" i="37"/>
  <c r="F48" i="36"/>
  <c r="H48" i="36" s="1"/>
  <c r="F45" i="36"/>
  <c r="G45" i="36" s="1"/>
  <c r="F33" i="31"/>
  <c r="G33" i="31" s="1"/>
  <c r="F94" i="18"/>
  <c r="G94" i="18" s="1"/>
  <c r="F37" i="31"/>
  <c r="G37" i="31" s="1"/>
  <c r="F50" i="35"/>
  <c r="G50" i="35" s="1"/>
  <c r="F26" i="34"/>
  <c r="G26" i="34" s="1"/>
  <c r="F92" i="18"/>
  <c r="H92" i="18" s="1"/>
  <c r="R98" i="31"/>
  <c r="T98" i="31" s="1"/>
  <c r="R27" i="33"/>
  <c r="S27" i="33" s="1"/>
  <c r="F72" i="35"/>
  <c r="H72" i="35" s="1"/>
  <c r="F62" i="33"/>
  <c r="F34" i="33"/>
  <c r="E49" i="38"/>
  <c r="T30" i="33"/>
  <c r="T71" i="35"/>
  <c r="E17" i="38"/>
  <c r="E44" i="38"/>
  <c r="S97" i="36"/>
  <c r="F21" i="31"/>
  <c r="G21" i="31" s="1"/>
  <c r="F56" i="36"/>
  <c r="H56" i="36" s="1"/>
  <c r="F84" i="37"/>
  <c r="H84" i="37" s="1"/>
  <c r="F51" i="37"/>
  <c r="H51" i="37" s="1"/>
  <c r="F63" i="37"/>
  <c r="G63" i="37" s="1"/>
  <c r="D18" i="38"/>
  <c r="F67" i="18"/>
  <c r="G67" i="18" s="1"/>
  <c r="F84" i="33"/>
  <c r="G84" i="33" s="1"/>
  <c r="R80" i="37"/>
  <c r="T80" i="37" s="1"/>
  <c r="R99" i="31"/>
  <c r="T99" i="31" s="1"/>
  <c r="F40" i="37"/>
  <c r="H40" i="37" s="1"/>
  <c r="G56" i="34"/>
  <c r="R27" i="37"/>
  <c r="S27" i="37" s="1"/>
  <c r="F98" i="35"/>
  <c r="H98" i="35" s="1"/>
  <c r="F90" i="33"/>
  <c r="F58" i="33"/>
  <c r="S28" i="37"/>
  <c r="T28" i="37"/>
  <c r="S70" i="37"/>
  <c r="T70" i="37"/>
  <c r="F99" i="31"/>
  <c r="H99" i="31" s="1"/>
  <c r="S20" i="37"/>
  <c r="F59" i="31"/>
  <c r="F81" i="34"/>
  <c r="G81" i="34" s="1"/>
  <c r="F21" i="18"/>
  <c r="H21" i="18" s="1"/>
  <c r="F21" i="37"/>
  <c r="G21" i="37" s="1"/>
  <c r="F29" i="18"/>
  <c r="G29" i="18" s="1"/>
  <c r="F63" i="33"/>
  <c r="G63" i="33" s="1"/>
  <c r="F73" i="40"/>
  <c r="F85" i="31"/>
  <c r="G85" i="31" s="1"/>
  <c r="D78" i="38"/>
  <c r="F94" i="35"/>
  <c r="H30" i="35"/>
  <c r="G30" i="35"/>
  <c r="F52" i="31"/>
  <c r="G52" i="31" s="1"/>
  <c r="F84" i="35"/>
  <c r="F66" i="36"/>
  <c r="F40" i="36"/>
  <c r="H40" i="36" s="1"/>
  <c r="S83" i="33"/>
  <c r="T50" i="37"/>
  <c r="S36" i="31"/>
  <c r="T36" i="31"/>
  <c r="F55" i="18"/>
  <c r="H55" i="18" s="1"/>
  <c r="F77" i="18"/>
  <c r="G77" i="18" s="1"/>
  <c r="F93" i="18"/>
  <c r="G93" i="18" s="1"/>
  <c r="D31" i="38"/>
  <c r="F38" i="31"/>
  <c r="H38" i="31" s="1"/>
  <c r="G87" i="35"/>
  <c r="H87" i="35"/>
  <c r="F87" i="34"/>
  <c r="G87" i="34" s="1"/>
  <c r="E80" i="38"/>
  <c r="F47" i="40"/>
  <c r="F47" i="34"/>
  <c r="G47" i="34" s="1"/>
  <c r="F41" i="34"/>
  <c r="G41" i="34" s="1"/>
  <c r="F95" i="34"/>
  <c r="G95" i="34" s="1"/>
  <c r="E88" i="38"/>
  <c r="F95" i="36"/>
  <c r="G95" i="36" s="1"/>
  <c r="F70" i="31"/>
  <c r="G70" i="31" s="1"/>
  <c r="S92" i="35"/>
  <c r="T92" i="35"/>
  <c r="F66" i="33"/>
  <c r="G96" i="34"/>
  <c r="H96" i="34"/>
  <c r="F66" i="37"/>
  <c r="H66" i="37" s="1"/>
  <c r="T69" i="35"/>
  <c r="F40" i="31"/>
  <c r="H40" i="31" s="1"/>
  <c r="F74" i="18"/>
  <c r="G74" i="18" s="1"/>
  <c r="F24" i="32"/>
  <c r="F60" i="32"/>
  <c r="R24" i="33"/>
  <c r="F19" i="40"/>
  <c r="F20" i="33"/>
  <c r="T29" i="35"/>
  <c r="H83" i="31"/>
  <c r="E12" i="38"/>
  <c r="H12" i="38" s="1"/>
  <c r="F44" i="37"/>
  <c r="H44" i="37" s="1"/>
  <c r="S35" i="37"/>
  <c r="F39" i="31"/>
  <c r="H39" i="31" s="1"/>
  <c r="F25" i="36"/>
  <c r="G25" i="36" s="1"/>
  <c r="F46" i="36"/>
  <c r="H46" i="36" s="1"/>
  <c r="F38" i="36"/>
  <c r="H38" i="36" s="1"/>
  <c r="F54" i="36"/>
  <c r="F67" i="37"/>
  <c r="F45" i="31"/>
  <c r="G45" i="31" s="1"/>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D77" i="38"/>
  <c r="D76" i="38"/>
  <c r="D56" i="38"/>
  <c r="T31" i="37"/>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F85" i="36"/>
  <c r="H85" i="36" s="1"/>
  <c r="T86" i="37"/>
  <c r="S86" i="37"/>
  <c r="F86" i="37"/>
  <c r="G86" i="37" s="1"/>
  <c r="S94" i="37"/>
  <c r="T94" i="37"/>
  <c r="D81" i="38"/>
  <c r="F88" i="40"/>
  <c r="G88" i="34"/>
  <c r="H88" i="34"/>
  <c r="G99" i="37"/>
  <c r="S63" i="35"/>
  <c r="F79" i="37"/>
  <c r="H79" i="37" s="1"/>
  <c r="F75" i="40"/>
  <c r="F57" i="36"/>
  <c r="H57" i="36" s="1"/>
  <c r="F73" i="18"/>
  <c r="H73" i="18" s="1"/>
  <c r="F28" i="31"/>
  <c r="H28" i="31" s="1"/>
  <c r="G28" i="34"/>
  <c r="H28" i="34"/>
  <c r="F28" i="37"/>
  <c r="G28" i="37" s="1"/>
  <c r="F54" i="18"/>
  <c r="G54" i="18" s="1"/>
  <c r="F86" i="35"/>
  <c r="S88" i="37"/>
  <c r="T88" i="37"/>
  <c r="E21" i="38"/>
  <c r="F57" i="31"/>
  <c r="F90" i="37"/>
  <c r="F39" i="18"/>
  <c r="G39" i="18" s="1"/>
  <c r="F30" i="18"/>
  <c r="G30" i="18" s="1"/>
  <c r="F59" i="35"/>
  <c r="G59" i="35" s="1"/>
  <c r="F79" i="18"/>
  <c r="G79" i="18" s="1"/>
  <c r="F33" i="37"/>
  <c r="G33" i="37" s="1"/>
  <c r="F87" i="40"/>
  <c r="D80" i="38"/>
  <c r="F91" i="18"/>
  <c r="G91" i="18" s="1"/>
  <c r="F43" i="36"/>
  <c r="H43" i="36" s="1"/>
  <c r="F31" i="35"/>
  <c r="G31" i="35" s="1"/>
  <c r="F71" i="36"/>
  <c r="G71" i="36" s="1"/>
  <c r="F28" i="40"/>
  <c r="F54" i="40"/>
  <c r="D47" i="38"/>
  <c r="F60" i="33"/>
  <c r="F78" i="40"/>
  <c r="H52" i="33"/>
  <c r="G52" i="33"/>
  <c r="F88" i="37"/>
  <c r="H88" i="37" s="1"/>
  <c r="T85" i="37"/>
  <c r="R75" i="31"/>
  <c r="T75" i="31" s="1"/>
  <c r="F91" i="40"/>
  <c r="F65" i="36"/>
  <c r="G65" i="36" s="1"/>
  <c r="F47" i="36"/>
  <c r="G47" i="36" s="1"/>
  <c r="F45" i="35"/>
  <c r="H45" i="35" s="1"/>
  <c r="F43" i="33"/>
  <c r="F95" i="40"/>
  <c r="D88" i="38"/>
  <c r="F37" i="40"/>
  <c r="D30" i="38"/>
  <c r="F55" i="31"/>
  <c r="G55" i="31" s="1"/>
  <c r="D48" i="38"/>
  <c r="F71" i="40"/>
  <c r="D64" i="38"/>
  <c r="F77" i="35"/>
  <c r="G77" i="35" s="1"/>
  <c r="F77" i="36"/>
  <c r="G77" i="36" s="1"/>
  <c r="F88" i="18"/>
  <c r="F94" i="34"/>
  <c r="F30" i="33"/>
  <c r="F70" i="36"/>
  <c r="H70" i="36" s="1"/>
  <c r="F74" i="40"/>
  <c r="D67" i="38"/>
  <c r="F60" i="31"/>
  <c r="H60" i="31" s="1"/>
  <c r="F78" i="35"/>
  <c r="F56" i="40"/>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F78" i="33"/>
  <c r="F92" i="33"/>
  <c r="F94" i="33"/>
  <c r="T90" i="34"/>
  <c r="S90" i="34"/>
  <c r="T28" i="31"/>
  <c r="S28" i="31"/>
  <c r="S54" i="33"/>
  <c r="T54" i="33"/>
  <c r="F59" i="37"/>
  <c r="F67" i="40"/>
  <c r="D60" i="38"/>
  <c r="T79" i="33"/>
  <c r="S79" i="33"/>
  <c r="F75" i="36"/>
  <c r="G75" i="36" s="1"/>
  <c r="F57" i="40"/>
  <c r="F42" i="36"/>
  <c r="G42" i="36" s="1"/>
  <c r="H42" i="35"/>
  <c r="G42" i="35"/>
  <c r="F21" i="40"/>
  <c r="D14" i="38"/>
  <c r="F29" i="34"/>
  <c r="G29" i="34" s="1"/>
  <c r="F87" i="18"/>
  <c r="G87" i="18" s="1"/>
  <c r="F47" i="18"/>
  <c r="H47" i="18" s="1"/>
  <c r="F45" i="40"/>
  <c r="E38" i="38"/>
  <c r="F43" i="35"/>
  <c r="F41" i="40"/>
  <c r="F41" i="36"/>
  <c r="H41" i="36" s="1"/>
  <c r="F55" i="33"/>
  <c r="F55" i="34"/>
  <c r="H55" i="34" s="1"/>
  <c r="F55" i="36"/>
  <c r="G55" i="36" s="1"/>
  <c r="F71" i="35"/>
  <c r="H71" i="35" s="1"/>
  <c r="F77" i="40"/>
  <c r="E70" i="38"/>
  <c r="T44" i="18"/>
  <c r="S57" i="33"/>
  <c r="T65" i="33"/>
  <c r="T75" i="35"/>
  <c r="E39" i="38"/>
  <c r="S70" i="35"/>
  <c r="T77" i="37"/>
  <c r="S29" i="36"/>
  <c r="F37" i="36"/>
  <c r="G37" i="36" s="1"/>
  <c r="F49" i="36"/>
  <c r="H49" i="36" s="1"/>
  <c r="F25" i="35"/>
  <c r="H25" i="35" s="1"/>
  <c r="S59" i="37"/>
  <c r="T59" i="37"/>
  <c r="F81" i="31"/>
  <c r="F73" i="35"/>
  <c r="F67" i="35"/>
  <c r="G67" i="35" s="1"/>
  <c r="F79" i="40"/>
  <c r="D72" i="38"/>
  <c r="T57" i="37"/>
  <c r="S57" i="37"/>
  <c r="F48" i="18"/>
  <c r="G48" i="18" s="1"/>
  <c r="F44" i="34"/>
  <c r="H44" i="34" s="1"/>
  <c r="F42" i="18"/>
  <c r="H42" i="18" s="1"/>
  <c r="F39" i="35"/>
  <c r="H39" i="35" s="1"/>
  <c r="F23" i="40"/>
  <c r="E16" i="38"/>
  <c r="F95" i="18"/>
  <c r="H95" i="18" s="1"/>
  <c r="F97" i="40"/>
  <c r="D90" i="38"/>
  <c r="F97" i="35"/>
  <c r="G97" i="35" s="1"/>
  <c r="F97" i="36"/>
  <c r="G97" i="36" s="1"/>
  <c r="F29" i="40"/>
  <c r="D22" i="38"/>
  <c r="F29" i="35"/>
  <c r="G29" i="35" s="1"/>
  <c r="F63" i="36"/>
  <c r="G63" i="36" s="1"/>
  <c r="F73" i="36"/>
  <c r="H73" i="36" s="1"/>
  <c r="F33" i="36"/>
  <c r="H33" i="36" s="1"/>
  <c r="R87" i="31"/>
  <c r="S87" i="31" s="1"/>
  <c r="F63" i="31"/>
  <c r="H63" i="31" s="1"/>
  <c r="F37" i="18"/>
  <c r="H37" i="18" s="1"/>
  <c r="F91" i="37"/>
  <c r="H91" i="37" s="1"/>
  <c r="F91" i="36"/>
  <c r="G91" i="36" s="1"/>
  <c r="F65" i="40"/>
  <c r="D58" i="38"/>
  <c r="E58" i="38"/>
  <c r="F43" i="40"/>
  <c r="D36" i="38"/>
  <c r="F79" i="31"/>
  <c r="H79" i="31" s="1"/>
  <c r="F37" i="37"/>
  <c r="H37" i="37" s="1"/>
  <c r="F55" i="37"/>
  <c r="H55" i="37" s="1"/>
  <c r="F89" i="36"/>
  <c r="G89" i="36" s="1"/>
  <c r="F77" i="37"/>
  <c r="F93" i="40"/>
  <c r="F93" i="35"/>
  <c r="H93" i="35" s="1"/>
  <c r="F93" i="36"/>
  <c r="H93" i="36" s="1"/>
  <c r="R91" i="31"/>
  <c r="T91" i="31" s="1"/>
  <c r="R49" i="31"/>
  <c r="S49" i="31" s="1"/>
  <c r="R95" i="31"/>
  <c r="T95" i="31" s="1"/>
  <c r="F28" i="35"/>
  <c r="F54" i="37"/>
  <c r="H86" i="34"/>
  <c r="G86" i="34"/>
  <c r="F86" i="33"/>
  <c r="T55" i="33"/>
  <c r="T45" i="35"/>
  <c r="H53" i="37"/>
  <c r="G90" i="34"/>
  <c r="T39" i="36"/>
  <c r="S46" i="35"/>
  <c r="E24" i="38"/>
  <c r="E36" i="38"/>
  <c r="F23" i="37"/>
  <c r="H23" i="37" s="1"/>
  <c r="F23" i="36"/>
  <c r="G23" i="36" s="1"/>
  <c r="F29" i="36"/>
  <c r="G29" i="36" s="1"/>
  <c r="D29" i="38"/>
  <c r="F91" i="34"/>
  <c r="G91" i="34" s="1"/>
  <c r="F54" i="32"/>
  <c r="R51" i="31"/>
  <c r="T51" i="31" s="1"/>
  <c r="T36" i="37"/>
  <c r="S36" i="37"/>
  <c r="F47" i="31"/>
  <c r="F25" i="31"/>
  <c r="H25" i="31" s="1"/>
  <c r="F71" i="18"/>
  <c r="G71" i="18" s="1"/>
  <c r="F46" i="31"/>
  <c r="G46" i="31" s="1"/>
  <c r="F54" i="35"/>
  <c r="S66" i="35"/>
  <c r="T66" i="35"/>
  <c r="F28" i="36"/>
  <c r="F28" i="33"/>
  <c r="D79" i="38"/>
  <c r="F86" i="31"/>
  <c r="G35" i="35"/>
  <c r="H35" i="35"/>
  <c r="F81" i="37"/>
  <c r="G81" i="37" s="1"/>
  <c r="F81" i="36"/>
  <c r="G81" i="36" s="1"/>
  <c r="F67" i="36"/>
  <c r="G67" i="36" s="1"/>
  <c r="F57" i="37"/>
  <c r="F73" i="37"/>
  <c r="D89" i="38"/>
  <c r="D38" i="38"/>
  <c r="D50" i="38"/>
  <c r="S31" i="33"/>
  <c r="E14" i="38"/>
  <c r="S71" i="37"/>
  <c r="F21" i="36"/>
  <c r="G21" i="36" s="1"/>
  <c r="F85" i="37"/>
  <c r="T81" i="35"/>
  <c r="S81" i="35"/>
  <c r="F46" i="37"/>
  <c r="H46" i="37" s="1"/>
  <c r="F31" i="18"/>
  <c r="G31" i="18" s="1"/>
  <c r="F85" i="40"/>
  <c r="E78" i="38"/>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H67" i="31"/>
  <c r="H84" i="31"/>
  <c r="F49" i="31"/>
  <c r="F89" i="31"/>
  <c r="F23" i="35"/>
  <c r="H23" i="35" s="1"/>
  <c r="F95" i="35"/>
  <c r="G95" i="35" s="1"/>
  <c r="G76" i="18"/>
  <c r="R25" i="18"/>
  <c r="S25" i="18" s="1"/>
  <c r="T28" i="35"/>
  <c r="T24" i="35"/>
  <c r="H21" i="35"/>
  <c r="T48" i="33"/>
  <c r="S48" i="33"/>
  <c r="S29" i="33"/>
  <c r="T29" i="33"/>
  <c r="T45" i="33"/>
  <c r="G33" i="35"/>
  <c r="T79" i="37"/>
  <c r="S79" i="37"/>
  <c r="R46" i="18"/>
  <c r="T46" i="18" s="1"/>
  <c r="T81" i="33"/>
  <c r="S70" i="34"/>
  <c r="T67" i="35"/>
  <c r="H68" i="37"/>
  <c r="G68" i="37"/>
  <c r="T97" i="37"/>
  <c r="S41" i="37"/>
  <c r="G56" i="31"/>
  <c r="H56" i="31"/>
  <c r="G27" i="34"/>
  <c r="H27" i="34"/>
  <c r="T43" i="33"/>
  <c r="G53" i="31"/>
  <c r="T67" i="37"/>
  <c r="R75" i="18"/>
  <c r="S75" i="18" s="1"/>
  <c r="S41" i="35"/>
  <c r="T78" i="35"/>
  <c r="G96" i="31"/>
  <c r="T37" i="33"/>
  <c r="S81"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S32" i="33"/>
  <c r="S33" i="37"/>
  <c r="S29" i="37"/>
  <c r="H35" i="31"/>
  <c r="G36" i="35"/>
  <c r="H19" i="35"/>
  <c r="J19" i="35" s="1"/>
  <c r="K19" i="35" s="1"/>
  <c r="E17" i="17" s="1"/>
  <c r="H20" i="31"/>
  <c r="G58" i="31"/>
  <c r="G36" i="36"/>
  <c r="G96" i="37"/>
  <c r="H36" i="37"/>
  <c r="G35" i="37"/>
  <c r="O24" i="18"/>
  <c r="B24" i="34"/>
  <c r="O24" i="36"/>
  <c r="B24" i="37"/>
  <c r="B24" i="35"/>
  <c r="O24" i="31"/>
  <c r="O24" i="35"/>
  <c r="B24" i="40"/>
  <c r="B24" i="33"/>
  <c r="O24" i="33"/>
  <c r="B24" i="18"/>
  <c r="O24" i="37"/>
  <c r="B24" i="32"/>
  <c r="B24" i="36"/>
  <c r="O24" i="40"/>
  <c r="B24" i="31"/>
  <c r="O24" i="32"/>
  <c r="B20" i="7"/>
  <c r="O24" i="34"/>
  <c r="S33" i="31"/>
  <c r="T33" i="31"/>
  <c r="S31" i="31"/>
  <c r="T31" i="31"/>
  <c r="G93" i="34"/>
  <c r="H93" i="34"/>
  <c r="T59" i="31"/>
  <c r="S59" i="31"/>
  <c r="T81" i="31"/>
  <c r="G57" i="35"/>
  <c r="H85" i="34"/>
  <c r="G85" i="34"/>
  <c r="S41" i="31"/>
  <c r="T41" i="31"/>
  <c r="S86" i="31"/>
  <c r="T78" i="31"/>
  <c r="R63" i="32"/>
  <c r="R93" i="32"/>
  <c r="R74" i="32"/>
  <c r="T74" i="32" s="1"/>
  <c r="T56" i="36"/>
  <c r="S78" i="36"/>
  <c r="S64" i="36"/>
  <c r="S34" i="36"/>
  <c r="T46" i="36"/>
  <c r="R96" i="32"/>
  <c r="R90" i="32"/>
  <c r="R68" i="32"/>
  <c r="R85" i="32"/>
  <c r="R49" i="32"/>
  <c r="T32" i="36"/>
  <c r="T50" i="36"/>
  <c r="S89" i="36"/>
  <c r="H84" i="34"/>
  <c r="G84" i="34"/>
  <c r="F25" i="33"/>
  <c r="F59" i="40"/>
  <c r="F59" i="18"/>
  <c r="F81" i="33"/>
  <c r="H67" i="34"/>
  <c r="G67" i="34"/>
  <c r="F79" i="33"/>
  <c r="F75" i="18"/>
  <c r="S48" i="37"/>
  <c r="T48" i="37"/>
  <c r="H42" i="34"/>
  <c r="G42" i="34"/>
  <c r="F42" i="37"/>
  <c r="F42" i="33"/>
  <c r="R46" i="33"/>
  <c r="F29" i="33"/>
  <c r="G73" i="34"/>
  <c r="H73" i="34"/>
  <c r="F97" i="18"/>
  <c r="R97" i="33"/>
  <c r="G58" i="34"/>
  <c r="H58" i="34"/>
  <c r="F75" i="35"/>
  <c r="R75" i="33"/>
  <c r="R67" i="33"/>
  <c r="R57" i="18"/>
  <c r="G33" i="34"/>
  <c r="H33" i="34"/>
  <c r="F51" i="33"/>
  <c r="F51" i="18"/>
  <c r="H51" i="18" s="1"/>
  <c r="R85" i="33"/>
  <c r="F49" i="33"/>
  <c r="F45" i="33"/>
  <c r="H45" i="34"/>
  <c r="G45" i="34"/>
  <c r="F43" i="18"/>
  <c r="G43" i="18" s="1"/>
  <c r="F41" i="33"/>
  <c r="F41" i="18"/>
  <c r="G41" i="18" s="1"/>
  <c r="F31" i="37"/>
  <c r="F95" i="33"/>
  <c r="F37" i="33"/>
  <c r="G89" i="34"/>
  <c r="H89" i="34"/>
  <c r="F77" i="33"/>
  <c r="F93" i="33"/>
  <c r="D66" i="38"/>
  <c r="D54" i="38"/>
  <c r="T38" i="36"/>
  <c r="S82" i="36"/>
  <c r="T29" i="36"/>
  <c r="F59" i="33"/>
  <c r="H79" i="34"/>
  <c r="G79" i="34"/>
  <c r="G57" i="34"/>
  <c r="H57" i="34"/>
  <c r="F57" i="33"/>
  <c r="F48" i="37"/>
  <c r="F48" i="33"/>
  <c r="D39" i="38"/>
  <c r="F46" i="40"/>
  <c r="F44" i="33"/>
  <c r="F42" i="40"/>
  <c r="D35" i="38"/>
  <c r="H39" i="34"/>
  <c r="G39" i="34"/>
  <c r="F23" i="33"/>
  <c r="F39" i="33"/>
  <c r="F46" i="33"/>
  <c r="F21" i="33"/>
  <c r="F29" i="37"/>
  <c r="G63" i="34"/>
  <c r="H63" i="34"/>
  <c r="F73" i="33"/>
  <c r="F97" i="33"/>
  <c r="F75" i="33"/>
  <c r="F59" i="32"/>
  <c r="F59" i="34"/>
  <c r="F67" i="33"/>
  <c r="F81" i="18"/>
  <c r="F33" i="33"/>
  <c r="F85" i="33"/>
  <c r="F63" i="35"/>
  <c r="F91" i="33"/>
  <c r="F65" i="37"/>
  <c r="F65" i="33"/>
  <c r="F49" i="18"/>
  <c r="F47" i="33"/>
  <c r="F31" i="33"/>
  <c r="F79" i="35"/>
  <c r="F65" i="35"/>
  <c r="H55" i="35"/>
  <c r="G55" i="35"/>
  <c r="F71" i="33"/>
  <c r="F71" i="37"/>
  <c r="F89" i="33"/>
  <c r="S98" i="35"/>
  <c r="T98" i="35"/>
  <c r="T83" i="31"/>
  <c r="S83" i="31"/>
  <c r="S61" i="31"/>
  <c r="T61" i="31"/>
  <c r="T63" i="31"/>
  <c r="S63" i="31"/>
  <c r="H87" i="36"/>
  <c r="G87"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T60" i="18"/>
  <c r="S59" i="18"/>
  <c r="T89" i="18"/>
  <c r="T59" i="18"/>
  <c r="S86" i="18"/>
  <c r="T55" i="18"/>
  <c r="T86" i="18"/>
  <c r="S97" i="18"/>
  <c r="S55" i="18"/>
  <c r="G48" i="36"/>
  <c r="G59" i="36"/>
  <c r="G86" i="36"/>
  <c r="H19" i="36"/>
  <c r="J19" i="36" s="1"/>
  <c r="K19" i="36" s="1"/>
  <c r="I17" i="17" s="1"/>
  <c r="S43" i="35"/>
  <c r="T43" i="35"/>
  <c r="T97" i="35"/>
  <c r="S97" i="35"/>
  <c r="T40" i="35"/>
  <c r="S40" i="35"/>
  <c r="G61" i="18"/>
  <c r="G66" i="18"/>
  <c r="H66" i="18"/>
  <c r="T79" i="31"/>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8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82" i="18"/>
  <c r="H82" i="18"/>
  <c r="G34" i="37"/>
  <c r="H34" i="37"/>
  <c r="S91" i="35"/>
  <c r="S76" i="35"/>
  <c r="T73" i="35"/>
  <c r="S59" i="35"/>
  <c r="D40" i="38"/>
  <c r="H82" i="37"/>
  <c r="S79" i="18"/>
  <c r="T67" i="18"/>
  <c r="T73" i="18"/>
  <c r="T87" i="18"/>
  <c r="S76" i="18"/>
  <c r="T25" i="35"/>
  <c r="T96" i="18"/>
  <c r="T81" i="18"/>
  <c r="S91" i="18"/>
  <c r="S82" i="18"/>
  <c r="T52" i="18"/>
  <c r="T56" i="35"/>
  <c r="G80" i="31"/>
  <c r="T88" i="18"/>
  <c r="G36" i="18"/>
  <c r="S84" i="18"/>
  <c r="S29" i="18"/>
  <c r="T68" i="18"/>
  <c r="S72" i="18"/>
  <c r="G54" i="31"/>
  <c r="H52" i="31"/>
  <c r="G76" i="31"/>
  <c r="E90" i="38"/>
  <c r="E45" i="38"/>
  <c r="T49" i="35"/>
  <c r="S50" i="35"/>
  <c r="S36" i="18"/>
  <c r="T61" i="18"/>
  <c r="S51" i="18"/>
  <c r="S56" i="36"/>
  <c r="T78" i="36"/>
  <c r="T64" i="36"/>
  <c r="T34" i="36"/>
  <c r="T74" i="36"/>
  <c r="T33" i="36"/>
  <c r="D20" i="38"/>
  <c r="D25" i="38"/>
  <c r="D28" i="38"/>
  <c r="D13" i="38"/>
  <c r="D70" i="38"/>
  <c r="S38" i="36"/>
  <c r="S50" i="36"/>
  <c r="T89" i="36"/>
  <c r="T74" i="35"/>
  <c r="S74" i="35"/>
  <c r="T35" i="31"/>
  <c r="S35" i="31"/>
  <c r="T21" i="31"/>
  <c r="S21" i="31"/>
  <c r="S69" i="31"/>
  <c r="T69" i="31"/>
  <c r="G96" i="36"/>
  <c r="H96" i="36"/>
  <c r="G99" i="36"/>
  <c r="H99" i="36"/>
  <c r="T82" i="35"/>
  <c r="S82" i="35"/>
  <c r="S65" i="35"/>
  <c r="T65" i="35"/>
  <c r="S38" i="35"/>
  <c r="T38" i="35"/>
  <c r="T39" i="35"/>
  <c r="S39" i="35"/>
  <c r="W10" i="40"/>
  <c r="W12" i="40"/>
  <c r="T24" i="40" s="1"/>
  <c r="W9" i="40"/>
  <c r="T58" i="31"/>
  <c r="S58" i="31"/>
  <c r="C84" i="38"/>
  <c r="C72" i="38"/>
  <c r="C62" i="38"/>
  <c r="C52" i="38"/>
  <c r="C40" i="38"/>
  <c r="C30" i="38"/>
  <c r="C20" i="38"/>
  <c r="C37" i="38"/>
  <c r="C15" i="38"/>
  <c r="C86" i="38"/>
  <c r="C76" i="38"/>
  <c r="C64" i="38"/>
  <c r="C54" i="38"/>
  <c r="C44" i="38"/>
  <c r="C32" i="38"/>
  <c r="C22" i="38"/>
  <c r="C41" i="38"/>
  <c r="C51" i="38"/>
  <c r="C69" i="38"/>
  <c r="C31" i="38"/>
  <c r="C80" i="38"/>
  <c r="C60" i="38"/>
  <c r="C38" i="38"/>
  <c r="C16" i="38"/>
  <c r="C17" i="38"/>
  <c r="C43" i="38"/>
  <c r="C63" i="38"/>
  <c r="C87" i="38"/>
  <c r="C65" i="38"/>
  <c r="C85" i="38"/>
  <c r="C88" i="38"/>
  <c r="C68" i="38"/>
  <c r="C46" i="38"/>
  <c r="C24" i="38"/>
  <c r="C89" i="38"/>
  <c r="C23" i="38"/>
  <c r="C27" i="38"/>
  <c r="C59" i="38"/>
  <c r="C83" i="38"/>
  <c r="C25" i="38"/>
  <c r="C61" i="38"/>
  <c r="C56" i="38"/>
  <c r="C14" i="38"/>
  <c r="C73" i="38"/>
  <c r="C91" i="38"/>
  <c r="C53" i="38"/>
  <c r="C70" i="38"/>
  <c r="C28" i="38"/>
  <c r="C79" i="38"/>
  <c r="C49" i="38"/>
  <c r="C36" i="38"/>
  <c r="C81" i="38"/>
  <c r="C78" i="38"/>
  <c r="C47" i="38"/>
  <c r="C21" i="38"/>
  <c r="C48" i="38"/>
  <c r="C92" i="38"/>
  <c r="C77" i="38"/>
  <c r="C35" i="38"/>
  <c r="C67" i="38"/>
  <c r="C34" i="38"/>
  <c r="C75" i="38"/>
  <c r="C90" i="38"/>
  <c r="C26" i="38"/>
  <c r="C33" i="38"/>
  <c r="C66" i="38"/>
  <c r="C12" i="38"/>
  <c r="F12" i="38" s="1"/>
  <c r="C13" i="38"/>
  <c r="G30" i="36"/>
  <c r="H30" i="36"/>
  <c r="G84" i="36"/>
  <c r="T31" i="35"/>
  <c r="S31" i="35"/>
  <c r="S26" i="35"/>
  <c r="T26" i="35"/>
  <c r="S55" i="35"/>
  <c r="T55" i="35"/>
  <c r="S98" i="40"/>
  <c r="S93" i="40"/>
  <c r="T95" i="40"/>
  <c r="T99" i="40"/>
  <c r="G70" i="18"/>
  <c r="H65" i="18"/>
  <c r="T86" i="35"/>
  <c r="S86" i="35"/>
  <c r="S34" i="35"/>
  <c r="T34" i="35"/>
  <c r="S70" i="31"/>
  <c r="T70" i="31"/>
  <c r="S48" i="31"/>
  <c r="T48" i="31"/>
  <c r="S90" i="31"/>
  <c r="T39" i="31"/>
  <c r="S39"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G90" i="36"/>
  <c r="H90" i="36"/>
  <c r="S22" i="35"/>
  <c r="T22" i="35"/>
  <c r="T51" i="35"/>
  <c r="S51" i="35"/>
  <c r="S94" i="35"/>
  <c r="T94" i="35"/>
  <c r="T52" i="35"/>
  <c r="S52" i="35"/>
  <c r="S60" i="35"/>
  <c r="T60" i="35"/>
  <c r="T89" i="35"/>
  <c r="S89" i="35"/>
  <c r="S79" i="35"/>
  <c r="T79" i="35"/>
  <c r="S82" i="40"/>
  <c r="S76" i="40"/>
  <c r="S37" i="40"/>
  <c r="T51" i="40"/>
  <c r="T38" i="40"/>
  <c r="S60" i="40"/>
  <c r="T42" i="40"/>
  <c r="T66" i="40"/>
  <c r="W12" i="32"/>
  <c r="W9" i="32"/>
  <c r="W10" i="32"/>
  <c r="H96" i="18"/>
  <c r="G96" i="18"/>
  <c r="H24" i="18"/>
  <c r="G24" i="18"/>
  <c r="H98" i="18"/>
  <c r="H99" i="18"/>
  <c r="G99" i="18"/>
  <c r="K9" i="40"/>
  <c r="K12" i="40"/>
  <c r="K10" i="40"/>
  <c r="S89" i="18"/>
  <c r="T79" i="18"/>
  <c r="S67" i="18"/>
  <c r="S73" i="18"/>
  <c r="S87" i="18"/>
  <c r="T76" i="18"/>
  <c r="S53" i="18"/>
  <c r="S26" i="18"/>
  <c r="S52" i="18"/>
  <c r="S77" i="18"/>
  <c r="S80" i="18"/>
  <c r="T31" i="18"/>
  <c r="H75" i="31"/>
  <c r="E71" i="38"/>
  <c r="T36" i="18"/>
  <c r="T51" i="18"/>
  <c r="T80" i="36"/>
  <c r="T87" i="36"/>
  <c r="S94" i="36"/>
  <c r="S45" i="36"/>
  <c r="S74" i="36"/>
  <c r="T53" i="31"/>
  <c r="D12" i="38"/>
  <c r="G12" i="38" s="1"/>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S38" i="31" l="1"/>
  <c r="G32" i="35"/>
  <c r="H72" i="34"/>
  <c r="G64" i="35"/>
  <c r="G53" i="36"/>
  <c r="H37" i="36"/>
  <c r="H24" i="36"/>
  <c r="G60" i="37"/>
  <c r="G84" i="37"/>
  <c r="G64" i="37"/>
  <c r="G60" i="18"/>
  <c r="H62" i="37"/>
  <c r="S49" i="33"/>
  <c r="T68" i="31"/>
  <c r="D59" i="38"/>
  <c r="T54" i="18"/>
  <c r="H58" i="18"/>
  <c r="S57" i="31"/>
  <c r="T47" i="33"/>
  <c r="S98" i="18"/>
  <c r="G63" i="18"/>
  <c r="T73" i="33"/>
  <c r="T34" i="33"/>
  <c r="G53" i="34"/>
  <c r="G50" i="34"/>
  <c r="H52" i="18"/>
  <c r="H99" i="34"/>
  <c r="G86" i="18"/>
  <c r="S28" i="18"/>
  <c r="T21" i="37"/>
  <c r="T22" i="37"/>
  <c r="E41" i="38"/>
  <c r="G48" i="34"/>
  <c r="T35" i="18"/>
  <c r="H21" i="34"/>
  <c r="S32" i="37"/>
  <c r="S48" i="18"/>
  <c r="H31" i="34"/>
  <c r="T42" i="18"/>
  <c r="T44" i="33"/>
  <c r="S45" i="18"/>
  <c r="S41" i="33"/>
  <c r="S44" i="31"/>
  <c r="T44" i="37"/>
  <c r="G19" i="34"/>
  <c r="I19" i="34" s="1"/>
  <c r="J20" i="34" s="1"/>
  <c r="L13" i="38" s="1"/>
  <c r="T34" i="31"/>
  <c r="S22" i="31"/>
  <c r="S40" i="37"/>
  <c r="H36" i="31"/>
  <c r="T42" i="31"/>
  <c r="H38" i="37"/>
  <c r="G48" i="31"/>
  <c r="S46" i="31"/>
  <c r="G42" i="31"/>
  <c r="G25" i="34"/>
  <c r="K19" i="34"/>
  <c r="G17" i="17" s="1"/>
  <c r="T27" i="31"/>
  <c r="G24" i="35"/>
  <c r="T21" i="18"/>
  <c r="G20" i="34"/>
  <c r="T20" i="18"/>
  <c r="H26" i="37"/>
  <c r="G28" i="18"/>
  <c r="G43" i="34"/>
  <c r="G40" i="18"/>
  <c r="S45" i="31"/>
  <c r="S42" i="33"/>
  <c r="S32" i="18"/>
  <c r="G48" i="35"/>
  <c r="G22" i="37"/>
  <c r="T27" i="18"/>
  <c r="G27" i="37"/>
  <c r="H22" i="31"/>
  <c r="H22" i="34"/>
  <c r="T20" i="31"/>
  <c r="J20" i="31"/>
  <c r="K20" i="31" s="1"/>
  <c r="D18" i="17" s="1"/>
  <c r="G44" i="35"/>
  <c r="G38" i="35"/>
  <c r="G34" i="18"/>
  <c r="T47" i="37"/>
  <c r="S33" i="33"/>
  <c r="G45" i="35"/>
  <c r="G30" i="37"/>
  <c r="G19" i="37"/>
  <c r="I19" i="37" s="1"/>
  <c r="J20" i="37" s="1"/>
  <c r="K20" i="37" s="1"/>
  <c r="J18" i="17" s="1"/>
  <c r="D16" i="38"/>
  <c r="H20" i="35"/>
  <c r="J20" i="35" s="1"/>
  <c r="K20" i="35" s="1"/>
  <c r="E18" i="17" s="1"/>
  <c r="D87" i="38"/>
  <c r="G78" i="36"/>
  <c r="G83" i="18"/>
  <c r="H40" i="34"/>
  <c r="G55" i="18"/>
  <c r="S19" i="18"/>
  <c r="U19" i="18" s="1"/>
  <c r="H81" i="34"/>
  <c r="S72" i="37"/>
  <c r="G58" i="37"/>
  <c r="H83" i="34"/>
  <c r="G72" i="31"/>
  <c r="G34" i="36"/>
  <c r="H94" i="36"/>
  <c r="H44" i="36"/>
  <c r="G69" i="34"/>
  <c r="G66" i="35"/>
  <c r="T69" i="37"/>
  <c r="H81" i="36"/>
  <c r="T24" i="37"/>
  <c r="T23" i="33"/>
  <c r="E46" i="38"/>
  <c r="H51" i="36"/>
  <c r="T49" i="32"/>
  <c r="T96" i="32"/>
  <c r="H92" i="37"/>
  <c r="H66" i="31"/>
  <c r="T85" i="32"/>
  <c r="H69" i="31"/>
  <c r="D53" i="38"/>
  <c r="H94" i="37"/>
  <c r="S55" i="37"/>
  <c r="T36" i="33"/>
  <c r="T20" i="33"/>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S73" i="31"/>
  <c r="H27" i="36"/>
  <c r="S56" i="18"/>
  <c r="H52" i="36"/>
  <c r="S26" i="31"/>
  <c r="G20" i="37"/>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I21" i="36"/>
  <c r="I22" i="36" s="1"/>
  <c r="H64" i="33"/>
  <c r="G64" i="33"/>
  <c r="H56" i="18"/>
  <c r="H21" i="36"/>
  <c r="J21" i="36" s="1"/>
  <c r="K21" i="36" s="1"/>
  <c r="I19" i="17" s="1"/>
  <c r="G98" i="36"/>
  <c r="G40" i="31"/>
  <c r="H37" i="31"/>
  <c r="G55" i="37"/>
  <c r="G98" i="35"/>
  <c r="H21" i="37"/>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S47" i="31"/>
  <c r="S30" i="18"/>
  <c r="T75" i="18"/>
  <c r="T95" i="18"/>
  <c r="S23" i="18"/>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S49" i="32"/>
  <c r="H78" i="33"/>
  <c r="G78" i="33"/>
  <c r="H74" i="31"/>
  <c r="G74" i="31"/>
  <c r="G78" i="35"/>
  <c r="H78" i="35"/>
  <c r="G94" i="34"/>
  <c r="H94" i="34"/>
  <c r="G90" i="37"/>
  <c r="H90" i="37"/>
  <c r="H55" i="36"/>
  <c r="H71" i="36"/>
  <c r="H87" i="18"/>
  <c r="H31" i="18"/>
  <c r="H87" i="37"/>
  <c r="S63" i="18"/>
  <c r="G57" i="36"/>
  <c r="H37" i="35"/>
  <c r="H81" i="37"/>
  <c r="T56" i="33"/>
  <c r="S56" i="33"/>
  <c r="H70" i="35"/>
  <c r="G70" i="35"/>
  <c r="H88" i="18"/>
  <c r="G88" i="18"/>
  <c r="G60" i="33"/>
  <c r="H60" i="33"/>
  <c r="G57" i="31"/>
  <c r="H57" i="31"/>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T25" i="31"/>
  <c r="H73" i="37"/>
  <c r="G73" i="37"/>
  <c r="G54" i="37"/>
  <c r="H54" i="37"/>
  <c r="G77" i="37"/>
  <c r="H77" i="37"/>
  <c r="H55" i="33"/>
  <c r="G55" i="33"/>
  <c r="H43" i="35"/>
  <c r="G43" i="35"/>
  <c r="S96" i="32"/>
  <c r="H97" i="34"/>
  <c r="G46" i="34"/>
  <c r="T95" i="33"/>
  <c r="T71" i="33"/>
  <c r="S71" i="33"/>
  <c r="H95" i="35"/>
  <c r="G49" i="35"/>
  <c r="H49" i="35"/>
  <c r="J21" i="35"/>
  <c r="K21" i="35" s="1"/>
  <c r="E19" i="17" s="1"/>
  <c r="G23" i="35"/>
  <c r="H49" i="31"/>
  <c r="G49" i="31"/>
  <c r="G51" i="35"/>
  <c r="G89" i="31"/>
  <c r="H89" i="31"/>
  <c r="T71" i="18"/>
  <c r="F13" i="38"/>
  <c r="F14" i="38" s="1"/>
  <c r="F15" i="38" s="1"/>
  <c r="F16" i="38" s="1"/>
  <c r="F17" i="38" s="1"/>
  <c r="H13" i="38"/>
  <c r="H14" i="38" s="1"/>
  <c r="H15" i="38" s="1"/>
  <c r="H16" i="38" s="1"/>
  <c r="H17" i="38" s="1"/>
  <c r="S42" i="37"/>
  <c r="T42" i="37"/>
  <c r="S25" i="37"/>
  <c r="T25" i="37"/>
  <c r="G51" i="18"/>
  <c r="S39" i="18"/>
  <c r="T39" i="18"/>
  <c r="T49" i="37"/>
  <c r="S49" i="37"/>
  <c r="T25" i="33"/>
  <c r="S25" i="33"/>
  <c r="G71" i="31"/>
  <c r="H71" i="31"/>
  <c r="T47" i="18"/>
  <c r="S47" i="18"/>
  <c r="G89" i="35"/>
  <c r="H89" i="35"/>
  <c r="S46" i="18"/>
  <c r="T89" i="37"/>
  <c r="S89" i="37"/>
  <c r="H46" i="35"/>
  <c r="G46" i="35"/>
  <c r="S95" i="37"/>
  <c r="T95" i="37"/>
  <c r="T71" i="31"/>
  <c r="S71" i="31"/>
  <c r="T91" i="33"/>
  <c r="S91" i="33"/>
  <c r="O25" i="18"/>
  <c r="B25" i="33"/>
  <c r="B25" i="32"/>
  <c r="O25" i="34"/>
  <c r="B25" i="35"/>
  <c r="O25" i="31"/>
  <c r="B25" i="36"/>
  <c r="B21" i="7"/>
  <c r="O25" i="36"/>
  <c r="B25" i="40"/>
  <c r="B25" i="37"/>
  <c r="B25" i="34"/>
  <c r="O25" i="33"/>
  <c r="O25" i="35"/>
  <c r="O25" i="40"/>
  <c r="B25" i="31"/>
  <c r="B25" i="18"/>
  <c r="O25" i="32"/>
  <c r="O25" i="37"/>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O18" i="39"/>
  <c r="U21" i="35"/>
  <c r="V22" i="35" s="1"/>
  <c r="W22" i="35" s="1"/>
  <c r="V20" i="17" s="1"/>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C58" i="38"/>
  <c r="C50" i="38"/>
  <c r="T78" i="32"/>
  <c r="S78" i="32"/>
  <c r="T70" i="32"/>
  <c r="S70" i="32"/>
  <c r="S98" i="32"/>
  <c r="T98" i="32"/>
  <c r="S64" i="32"/>
  <c r="T64" i="32"/>
  <c r="S56" i="32"/>
  <c r="T56" i="32"/>
  <c r="S41" i="32"/>
  <c r="T41" i="32"/>
  <c r="T36" i="32"/>
  <c r="S36" i="32"/>
  <c r="S67" i="32"/>
  <c r="T67" i="32"/>
  <c r="C18" i="38"/>
  <c r="C19" i="38"/>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C45" i="38"/>
  <c r="C57" i="38"/>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S42" i="40"/>
  <c r="S38" i="40"/>
  <c r="T37" i="40"/>
  <c r="T82" i="40"/>
  <c r="T22" i="40"/>
  <c r="S79" i="40"/>
  <c r="S46" i="40"/>
  <c r="S88" i="40"/>
  <c r="S84" i="40"/>
  <c r="S25" i="40"/>
  <c r="S28" i="40"/>
  <c r="S31" i="40"/>
  <c r="T72" i="40"/>
  <c r="T59" i="40"/>
  <c r="T87" i="40"/>
  <c r="S57" i="40"/>
  <c r="T62" i="40"/>
  <c r="S54" i="40"/>
  <c r="T80" i="40"/>
  <c r="S20" i="40"/>
  <c r="J20" i="36"/>
  <c r="K20" i="36" s="1"/>
  <c r="I18" i="17" s="1"/>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C42" i="38"/>
  <c r="C29" i="38"/>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C71" i="38"/>
  <c r="C82" i="38"/>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S66" i="40"/>
  <c r="T60" i="40"/>
  <c r="S51" i="40"/>
  <c r="T76" i="40"/>
  <c r="U20" i="36"/>
  <c r="T23" i="40"/>
  <c r="S30" i="40"/>
  <c r="T65" i="40"/>
  <c r="S91" i="40"/>
  <c r="S83" i="40"/>
  <c r="S78" i="40"/>
  <c r="S74" i="40"/>
  <c r="S70" i="40"/>
  <c r="S33" i="40"/>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I20" i="40" l="1"/>
  <c r="J23" i="36"/>
  <c r="K23" i="36" s="1"/>
  <c r="I21" i="17" s="1"/>
  <c r="I20" i="34"/>
  <c r="I21" i="34" s="1"/>
  <c r="I22" i="34" s="1"/>
  <c r="J23" i="34" s="1"/>
  <c r="L16" i="38" s="1"/>
  <c r="K13" i="38"/>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J21" i="34"/>
  <c r="L14" i="38" s="1"/>
  <c r="V20" i="18"/>
  <c r="W20" i="18" s="1"/>
  <c r="T18" i="17" s="1"/>
  <c r="K20" i="34"/>
  <c r="G18" i="17" s="1"/>
  <c r="J22" i="31"/>
  <c r="K15" i="38" s="1"/>
  <c r="U20" i="18"/>
  <c r="V21" i="18" s="1"/>
  <c r="W21" i="18" s="1"/>
  <c r="T19" i="17" s="1"/>
  <c r="I20" i="37"/>
  <c r="I21" i="37" s="1"/>
  <c r="I22" i="37" s="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U20" i="33"/>
  <c r="V20" i="33"/>
  <c r="W20" i="33" s="1"/>
  <c r="Y18" i="17" s="1"/>
  <c r="I23" i="36"/>
  <c r="J24" i="36" s="1"/>
  <c r="K24" i="36" s="1"/>
  <c r="I22" i="17" s="1"/>
  <c r="I20" i="33"/>
  <c r="I21" i="33"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O26" i="18"/>
  <c r="O26" i="31"/>
  <c r="O26" i="37"/>
  <c r="B26" i="40"/>
  <c r="B26" i="35"/>
  <c r="O26" i="40"/>
  <c r="O26" i="33"/>
  <c r="B22" i="7"/>
  <c r="B26" i="18"/>
  <c r="O26" i="36"/>
  <c r="B26" i="33"/>
  <c r="O26" i="34"/>
  <c r="O26" i="35"/>
  <c r="B26" i="32"/>
  <c r="B26" i="31"/>
  <c r="B26" i="36"/>
  <c r="B26" i="34"/>
  <c r="B26" i="37"/>
  <c r="O26" i="32"/>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J22" i="34" l="1"/>
  <c r="L15" i="38" s="1"/>
  <c r="K22" i="31"/>
  <c r="D20" i="17" s="1"/>
  <c r="K21" i="34"/>
  <c r="G19" i="17" s="1"/>
  <c r="K22" i="34"/>
  <c r="G20" i="17" s="1"/>
  <c r="J21" i="37"/>
  <c r="K21" i="37" s="1"/>
  <c r="J19" i="17" s="1"/>
  <c r="K23" i="34"/>
  <c r="G21" i="17" s="1"/>
  <c r="L17" i="17"/>
  <c r="O17" i="17" s="1"/>
  <c r="I23" i="34"/>
  <c r="J24" i="34" s="1"/>
  <c r="K24" i="34" s="1"/>
  <c r="G22" i="17" s="1"/>
  <c r="U21" i="18"/>
  <c r="U22" i="18" s="1"/>
  <c r="U23" i="18" s="1"/>
  <c r="V21" i="37"/>
  <c r="W21" i="37" s="1"/>
  <c r="AA19" i="17" s="1"/>
  <c r="V22" i="37"/>
  <c r="W22" i="37" s="1"/>
  <c r="AA20" i="17" s="1"/>
  <c r="U22" i="37"/>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B27" i="37"/>
  <c r="O27" i="34"/>
  <c r="B27" i="33"/>
  <c r="B23" i="7"/>
  <c r="B27" i="18"/>
  <c r="O27" i="31"/>
  <c r="B27" i="40"/>
  <c r="O27" i="18"/>
  <c r="O27" i="32"/>
  <c r="B27" i="35"/>
  <c r="B27" i="32"/>
  <c r="O27" i="35"/>
  <c r="O27" i="33"/>
  <c r="O27" i="36"/>
  <c r="B27" i="31"/>
  <c r="O27" i="37"/>
  <c r="B27" i="36"/>
  <c r="B27" i="34"/>
  <c r="O27" i="40"/>
  <c r="U21" i="32"/>
  <c r="K21" i="32"/>
  <c r="F19" i="17" s="1"/>
  <c r="J14" i="38"/>
  <c r="J22" i="18"/>
  <c r="K22" i="18" s="1"/>
  <c r="C20" i="17" s="1"/>
  <c r="I22" i="18"/>
  <c r="J13" i="38"/>
  <c r="K20" i="32"/>
  <c r="F18" i="17" s="1"/>
  <c r="L18" i="17" s="1"/>
  <c r="V22" i="36"/>
  <c r="W22" i="36" s="1"/>
  <c r="Z20" i="17" s="1"/>
  <c r="U22" i="36"/>
  <c r="J23" i="35"/>
  <c r="K23" i="35" s="1"/>
  <c r="E21" i="17" s="1"/>
  <c r="I23" i="35"/>
  <c r="I22" i="40"/>
  <c r="I21" i="32"/>
  <c r="J23" i="37"/>
  <c r="K23" i="37" s="1"/>
  <c r="J21" i="17" s="1"/>
  <c r="I23" i="37"/>
  <c r="V23" i="18" l="1"/>
  <c r="W23" i="18" s="1"/>
  <c r="T21" i="17" s="1"/>
  <c r="E12" i="28"/>
  <c r="M12" i="38" s="1"/>
  <c r="L17" i="38"/>
  <c r="I24" i="34"/>
  <c r="J25" i="34" s="1"/>
  <c r="K25" i="34" s="1"/>
  <c r="G23" i="17" s="1"/>
  <c r="V22" i="18"/>
  <c r="W22" i="18" s="1"/>
  <c r="T20" i="17" s="1"/>
  <c r="L19" i="17"/>
  <c r="E14" i="28" s="1"/>
  <c r="M14" i="38" s="1"/>
  <c r="V24" i="35"/>
  <c r="W24" i="35" s="1"/>
  <c r="V22" i="17" s="1"/>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B28" i="18"/>
  <c r="O28" i="36"/>
  <c r="O28" i="34"/>
  <c r="B28" i="37"/>
  <c r="O28" i="40"/>
  <c r="O28" i="37"/>
  <c r="B28" i="35"/>
  <c r="O28" i="18"/>
  <c r="B28" i="34"/>
  <c r="B28" i="40"/>
  <c r="B28" i="31"/>
  <c r="B24" i="7"/>
  <c r="O28" i="35"/>
  <c r="B28" i="32"/>
  <c r="B28" i="36"/>
  <c r="B28" i="33"/>
  <c r="O28" i="31"/>
  <c r="O28" i="33"/>
  <c r="O28" i="32"/>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L18" i="38"/>
  <c r="I23" i="40"/>
  <c r="J23" i="40"/>
  <c r="K23" i="40" s="1"/>
  <c r="K21" i="17" s="1"/>
  <c r="V24" i="34"/>
  <c r="W24" i="34" s="1"/>
  <c r="X22" i="17" s="1"/>
  <c r="U24" i="34"/>
  <c r="J22" i="32"/>
  <c r="I22" i="32"/>
  <c r="V25" i="35"/>
  <c r="W25" i="35" s="1"/>
  <c r="V23" i="17" s="1"/>
  <c r="U25" i="35"/>
  <c r="I24" i="37"/>
  <c r="J24" i="37"/>
  <c r="K24" i="37" s="1"/>
  <c r="J22" i="17" s="1"/>
  <c r="N12" i="38" l="1"/>
  <c r="O12" i="38"/>
  <c r="O19" i="17"/>
  <c r="I25" i="34"/>
  <c r="I26" i="34" s="1"/>
  <c r="J27" i="34" s="1"/>
  <c r="J24" i="33"/>
  <c r="K24" i="33" s="1"/>
  <c r="H22" i="17" s="1"/>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O29" i="40"/>
  <c r="B29" i="36"/>
  <c r="B29" i="18"/>
  <c r="O29" i="35"/>
  <c r="B29" i="34"/>
  <c r="O29" i="33"/>
  <c r="B25" i="7"/>
  <c r="O29" i="18"/>
  <c r="B29" i="33"/>
  <c r="B29" i="32"/>
  <c r="O29" i="32"/>
  <c r="O29" i="37"/>
  <c r="B29" i="35"/>
  <c r="O29" i="36"/>
  <c r="B29" i="37"/>
  <c r="B29" i="40"/>
  <c r="O29" i="31"/>
  <c r="O29" i="34"/>
  <c r="B29" i="3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O14" i="38"/>
  <c r="N14" i="38"/>
  <c r="I25" i="35"/>
  <c r="J25" i="35"/>
  <c r="K25" i="35" s="1"/>
  <c r="E23" i="17" s="1"/>
  <c r="V24" i="36"/>
  <c r="W24" i="36" s="1"/>
  <c r="Z22" i="17" s="1"/>
  <c r="U24" i="36"/>
  <c r="U26" i="35"/>
  <c r="V26" i="35"/>
  <c r="W26" i="35" s="1"/>
  <c r="V24" i="17" s="1"/>
  <c r="J25" i="37"/>
  <c r="K25" i="37" s="1"/>
  <c r="J23" i="17" s="1"/>
  <c r="I25" i="37"/>
  <c r="I27" i="34" l="1"/>
  <c r="J28" i="34" s="1"/>
  <c r="J26" i="34"/>
  <c r="K26" i="34" s="1"/>
  <c r="G24" i="17" s="1"/>
  <c r="U25" i="37"/>
  <c r="V25" i="37"/>
  <c r="W25" i="37" s="1"/>
  <c r="AA23" i="17" s="1"/>
  <c r="I27" i="36"/>
  <c r="J28" i="36" s="1"/>
  <c r="K28" i="36" s="1"/>
  <c r="I26" i="17" s="1"/>
  <c r="AC21" i="17"/>
  <c r="AF21" i="17" s="1"/>
  <c r="V24" i="33"/>
  <c r="W24" i="33" s="1"/>
  <c r="Y22" i="17" s="1"/>
  <c r="U24" i="33"/>
  <c r="V26" i="31"/>
  <c r="W26" i="31" s="1"/>
  <c r="U24" i="17" s="1"/>
  <c r="U26" i="31"/>
  <c r="J26" i="31"/>
  <c r="I26" i="31"/>
  <c r="K18" i="38"/>
  <c r="K25" i="31"/>
  <c r="D23" i="17" s="1"/>
  <c r="O30" i="33"/>
  <c r="B30" i="35"/>
  <c r="B30" i="34"/>
  <c r="B26" i="7"/>
  <c r="O30" i="32"/>
  <c r="B30" i="32"/>
  <c r="B30" i="31"/>
  <c r="B30" i="40"/>
  <c r="O30" i="34"/>
  <c r="O30" i="40"/>
  <c r="O30" i="31"/>
  <c r="B30" i="18"/>
  <c r="B30" i="37"/>
  <c r="O30" i="35"/>
  <c r="O30" i="18"/>
  <c r="O30" i="37"/>
  <c r="B30" i="36"/>
  <c r="B30" i="33"/>
  <c r="O30" i="36"/>
  <c r="U26" i="18"/>
  <c r="V26" i="18"/>
  <c r="W26" i="18" s="1"/>
  <c r="T24" i="17" s="1"/>
  <c r="U24" i="32"/>
  <c r="V24" i="32"/>
  <c r="W24" i="32" s="1"/>
  <c r="W22" i="17" s="1"/>
  <c r="V25" i="36"/>
  <c r="W25" i="36" s="1"/>
  <c r="Z23" i="17" s="1"/>
  <c r="U25" i="36"/>
  <c r="I28" i="34"/>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L19" i="38" l="1"/>
  <c r="V26" i="37"/>
  <c r="W26" i="37" s="1"/>
  <c r="AA24" i="17" s="1"/>
  <c r="U26" i="37"/>
  <c r="I28" i="36"/>
  <c r="I29" i="36" s="1"/>
  <c r="AC22" i="17"/>
  <c r="AF22" i="17" s="1"/>
  <c r="U25" i="33"/>
  <c r="V25" i="33"/>
  <c r="W25" i="33" s="1"/>
  <c r="Y23" i="17" s="1"/>
  <c r="U27" i="31"/>
  <c r="V27" i="31"/>
  <c r="W27" i="31" s="1"/>
  <c r="U25" i="17" s="1"/>
  <c r="J27" i="31"/>
  <c r="I27" i="31"/>
  <c r="K19" i="38"/>
  <c r="K26" i="31"/>
  <c r="D24" i="17" s="1"/>
  <c r="B31" i="36"/>
  <c r="O31" i="40"/>
  <c r="O31" i="31"/>
  <c r="B31" i="40"/>
  <c r="B31" i="18"/>
  <c r="B31" i="35"/>
  <c r="O31" i="18"/>
  <c r="B31" i="34"/>
  <c r="B27" i="7"/>
  <c r="B31" i="31"/>
  <c r="O31" i="34"/>
  <c r="O31" i="35"/>
  <c r="O31" i="32"/>
  <c r="B31" i="37"/>
  <c r="B31" i="33"/>
  <c r="B31" i="32"/>
  <c r="O31" i="33"/>
  <c r="O31" i="36"/>
  <c r="O31" i="37"/>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K28" i="34"/>
  <c r="G26" i="17" s="1"/>
  <c r="L21" i="38"/>
  <c r="J27" i="33"/>
  <c r="K27" i="33" s="1"/>
  <c r="H25" i="17" s="1"/>
  <c r="I27" i="33"/>
  <c r="J25" i="32"/>
  <c r="I25" i="32"/>
  <c r="J29" i="34"/>
  <c r="I29" i="34"/>
  <c r="M15" i="38"/>
  <c r="V28" i="35"/>
  <c r="W28" i="35" s="1"/>
  <c r="V26" i="17" s="1"/>
  <c r="U28" i="35"/>
  <c r="J27" i="37"/>
  <c r="K27" i="37" s="1"/>
  <c r="J25" i="17" s="1"/>
  <c r="I27" i="37"/>
  <c r="J29" i="36"/>
  <c r="K29" i="36" s="1"/>
  <c r="I27" i="17" s="1"/>
  <c r="V27" i="37" l="1"/>
  <c r="W27" i="37" s="1"/>
  <c r="AA25" i="17" s="1"/>
  <c r="U27" i="37"/>
  <c r="AC23" i="17"/>
  <c r="AF23" i="17" s="1"/>
  <c r="U26" i="33"/>
  <c r="V26" i="33"/>
  <c r="W26" i="33" s="1"/>
  <c r="Y24" i="17" s="1"/>
  <c r="V28" i="31"/>
  <c r="W28" i="31" s="1"/>
  <c r="U26" i="17" s="1"/>
  <c r="U28" i="31"/>
  <c r="J28" i="31"/>
  <c r="I28" i="31"/>
  <c r="K20" i="38"/>
  <c r="K27" i="31"/>
  <c r="D25" i="17" s="1"/>
  <c r="B32" i="18"/>
  <c r="O32" i="31"/>
  <c r="B32" i="40"/>
  <c r="B32" i="36"/>
  <c r="B32" i="37"/>
  <c r="O32" i="36"/>
  <c r="O32" i="40"/>
  <c r="B32" i="33"/>
  <c r="O32" i="34"/>
  <c r="B32" i="35"/>
  <c r="O32" i="18"/>
  <c r="B32" i="32"/>
  <c r="B28" i="7"/>
  <c r="O32" i="37"/>
  <c r="O32" i="32"/>
  <c r="B32" i="34"/>
  <c r="O32" i="35"/>
  <c r="O32" i="33"/>
  <c r="B32" i="3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O22" i="17"/>
  <c r="U27" i="36"/>
  <c r="V27" i="36"/>
  <c r="W27" i="36" s="1"/>
  <c r="Z25" i="17" s="1"/>
  <c r="I28" i="35"/>
  <c r="J28" i="35"/>
  <c r="K28" i="35" s="1"/>
  <c r="E26" i="17" s="1"/>
  <c r="J30" i="34"/>
  <c r="I30" i="34"/>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V28" i="37" l="1"/>
  <c r="W28" i="37" s="1"/>
  <c r="AA26" i="17" s="1"/>
  <c r="U28" i="37"/>
  <c r="AC24" i="17"/>
  <c r="AF24" i="17" s="1"/>
  <c r="V27" i="33"/>
  <c r="W27" i="33" s="1"/>
  <c r="Y25" i="17" s="1"/>
  <c r="U27" i="33"/>
  <c r="V29" i="31"/>
  <c r="W29" i="31" s="1"/>
  <c r="U27" i="17" s="1"/>
  <c r="U29" i="31"/>
  <c r="J29" i="31"/>
  <c r="I29" i="31"/>
  <c r="K21" i="38"/>
  <c r="K28" i="31"/>
  <c r="D26" i="17" s="1"/>
  <c r="O33" i="36"/>
  <c r="O33" i="34"/>
  <c r="O33" i="18"/>
  <c r="O33" i="32"/>
  <c r="O33" i="33"/>
  <c r="O33" i="35"/>
  <c r="B33" i="33"/>
  <c r="B33" i="34"/>
  <c r="O33" i="37"/>
  <c r="B33" i="36"/>
  <c r="B29" i="7"/>
  <c r="B33" i="18"/>
  <c r="O33" i="31"/>
  <c r="B33" i="31"/>
  <c r="O33" i="40"/>
  <c r="B33" i="32"/>
  <c r="B33" i="40"/>
  <c r="B33" i="37"/>
  <c r="B33" i="35"/>
  <c r="U27" i="32"/>
  <c r="V27" i="32"/>
  <c r="W27" i="32" s="1"/>
  <c r="W25" i="17" s="1"/>
  <c r="V29" i="18"/>
  <c r="W29" i="18" s="1"/>
  <c r="T27" i="17" s="1"/>
  <c r="U29" i="18"/>
  <c r="U28" i="40"/>
  <c r="V28" i="40"/>
  <c r="W28" i="40" s="1"/>
  <c r="AB26" i="17" s="1"/>
  <c r="L23" i="38"/>
  <c r="K30" i="34"/>
  <c r="G28" i="17" s="1"/>
  <c r="U28" i="36"/>
  <c r="V28" i="36"/>
  <c r="W28" i="36" s="1"/>
  <c r="Z26" i="17" s="1"/>
  <c r="I28" i="40"/>
  <c r="J28" i="40"/>
  <c r="K28" i="40" s="1"/>
  <c r="K26" i="17" s="1"/>
  <c r="J31" i="34"/>
  <c r="I31" i="34"/>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AC25" i="17" l="1"/>
  <c r="AF25" i="17" s="1"/>
  <c r="V29" i="37"/>
  <c r="W29" i="37" s="1"/>
  <c r="AA27" i="17" s="1"/>
  <c r="U29" i="37"/>
  <c r="V28" i="33"/>
  <c r="W28" i="33" s="1"/>
  <c r="Y26" i="17" s="1"/>
  <c r="U28" i="33"/>
  <c r="V30" i="31"/>
  <c r="W30" i="31" s="1"/>
  <c r="U28" i="17" s="1"/>
  <c r="U30" i="31"/>
  <c r="J30" i="31"/>
  <c r="I30" i="31"/>
  <c r="K29" i="31"/>
  <c r="D27" i="17" s="1"/>
  <c r="K22" i="38"/>
  <c r="B34" i="40"/>
  <c r="O34" i="18"/>
  <c r="O34" i="40"/>
  <c r="B34" i="31"/>
  <c r="B34" i="18"/>
  <c r="O34" i="33"/>
  <c r="B34" i="36"/>
  <c r="B30" i="7"/>
  <c r="B34" i="37"/>
  <c r="O34" i="35"/>
  <c r="B34" i="34"/>
  <c r="O34" i="34"/>
  <c r="O34" i="36"/>
  <c r="B34" i="32"/>
  <c r="O34" i="31"/>
  <c r="O34" i="32"/>
  <c r="B34" i="33"/>
  <c r="B34" i="35"/>
  <c r="O34" i="37"/>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K31" i="34"/>
  <c r="G29" i="17" s="1"/>
  <c r="U29" i="36"/>
  <c r="V29" i="36"/>
  <c r="W29" i="36" s="1"/>
  <c r="Z27" i="17" s="1"/>
  <c r="V29" i="40"/>
  <c r="W29" i="40" s="1"/>
  <c r="AB27" i="17" s="1"/>
  <c r="U29" i="40"/>
  <c r="K27" i="32"/>
  <c r="F25" i="17" s="1"/>
  <c r="L25" i="17" s="1"/>
  <c r="J20" i="38"/>
  <c r="I30" i="33"/>
  <c r="J30" i="33"/>
  <c r="K30" i="33" s="1"/>
  <c r="H28" i="17" s="1"/>
  <c r="I32" i="34"/>
  <c r="J32" i="34"/>
  <c r="J30" i="37"/>
  <c r="K30" i="37" s="1"/>
  <c r="J28" i="17" s="1"/>
  <c r="I30" i="37"/>
  <c r="U31" i="35"/>
  <c r="V31" i="35"/>
  <c r="W31" i="35" s="1"/>
  <c r="V29" i="17" s="1"/>
  <c r="J32" i="36"/>
  <c r="K32" i="36" s="1"/>
  <c r="I30" i="17" s="1"/>
  <c r="I32" i="36"/>
  <c r="V30" i="37" l="1"/>
  <c r="W30" i="37" s="1"/>
  <c r="AA28" i="17" s="1"/>
  <c r="U30" i="37"/>
  <c r="AC26" i="17"/>
  <c r="AF26" i="17" s="1"/>
  <c r="U29" i="33"/>
  <c r="V29" i="33"/>
  <c r="W29" i="33" s="1"/>
  <c r="Y27" i="17" s="1"/>
  <c r="U31" i="31"/>
  <c r="V31" i="31"/>
  <c r="W31" i="31" s="1"/>
  <c r="U29" i="17" s="1"/>
  <c r="I31" i="31"/>
  <c r="J31" i="31"/>
  <c r="K23" i="38"/>
  <c r="K30" i="31"/>
  <c r="D28" i="17" s="1"/>
  <c r="O35" i="40"/>
  <c r="B35" i="37"/>
  <c r="B35" i="40"/>
  <c r="B35" i="34"/>
  <c r="O35" i="33"/>
  <c r="O35" i="18"/>
  <c r="B35" i="18"/>
  <c r="B31" i="7"/>
  <c r="O35" i="35"/>
  <c r="B35" i="32"/>
  <c r="O35" i="34"/>
  <c r="B35" i="36"/>
  <c r="O35" i="32"/>
  <c r="O35" i="36"/>
  <c r="B35" i="31"/>
  <c r="B35" i="33"/>
  <c r="B35" i="35"/>
  <c r="O35" i="37"/>
  <c r="O35" i="31"/>
  <c r="V31" i="18"/>
  <c r="W31" i="18" s="1"/>
  <c r="T29" i="17" s="1"/>
  <c r="U31" i="18"/>
  <c r="U29" i="32"/>
  <c r="V29" i="32"/>
  <c r="W29" i="32" s="1"/>
  <c r="W27" i="17" s="1"/>
  <c r="L25" i="38"/>
  <c r="K32" i="34"/>
  <c r="G30"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V31" i="37" l="1"/>
  <c r="W31" i="37" s="1"/>
  <c r="AA29" i="17" s="1"/>
  <c r="U31" i="37"/>
  <c r="AC27" i="17"/>
  <c r="AF27" i="17" s="1"/>
  <c r="V30" i="33"/>
  <c r="W30" i="33" s="1"/>
  <c r="Y28" i="17" s="1"/>
  <c r="U30" i="33"/>
  <c r="V32" i="31"/>
  <c r="W32" i="31" s="1"/>
  <c r="U30" i="17" s="1"/>
  <c r="U32" i="31"/>
  <c r="K24" i="38"/>
  <c r="K31" i="31"/>
  <c r="D29" i="17" s="1"/>
  <c r="I32" i="31"/>
  <c r="J32" i="31"/>
  <c r="O36" i="34"/>
  <c r="B36" i="34"/>
  <c r="O36" i="37"/>
  <c r="O36" i="18"/>
  <c r="B36" i="31"/>
  <c r="B36" i="18"/>
  <c r="O36" i="32"/>
  <c r="O36" i="31"/>
  <c r="B36" i="37"/>
  <c r="B36" i="40"/>
  <c r="B36" i="33"/>
  <c r="O36" i="40"/>
  <c r="B36" i="36"/>
  <c r="O36" i="36"/>
  <c r="O36" i="33"/>
  <c r="B36" i="35"/>
  <c r="B32" i="7"/>
  <c r="O36" i="35"/>
  <c r="B36" i="32"/>
  <c r="U30" i="32"/>
  <c r="V30" i="32"/>
  <c r="W30" i="32" s="1"/>
  <c r="W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AC28" i="17" l="1"/>
  <c r="AF28" i="17" s="1"/>
  <c r="V32" i="37"/>
  <c r="W32" i="37" s="1"/>
  <c r="AA30" i="17" s="1"/>
  <c r="U32" i="37"/>
  <c r="V31" i="33"/>
  <c r="W31" i="33" s="1"/>
  <c r="Y29" i="17" s="1"/>
  <c r="U31" i="33"/>
  <c r="V33" i="31"/>
  <c r="W33" i="31" s="1"/>
  <c r="U31" i="17" s="1"/>
  <c r="U33" i="31"/>
  <c r="I33" i="31"/>
  <c r="J33" i="31"/>
  <c r="K25" i="38"/>
  <c r="K32" i="31"/>
  <c r="D30" i="17" s="1"/>
  <c r="B33" i="7"/>
  <c r="O37" i="40"/>
  <c r="B37" i="37"/>
  <c r="O37" i="33"/>
  <c r="B37" i="31"/>
  <c r="B37" i="34"/>
  <c r="O37" i="35"/>
  <c r="O37" i="37"/>
  <c r="O37" i="31"/>
  <c r="B37" i="18"/>
  <c r="B37" i="40"/>
  <c r="B37" i="32"/>
  <c r="B37" i="33"/>
  <c r="O37" i="34"/>
  <c r="B37" i="36"/>
  <c r="O37" i="18"/>
  <c r="O37" i="32"/>
  <c r="O37" i="36"/>
  <c r="B37" i="35"/>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U33" i="37" l="1"/>
  <c r="V33" i="37"/>
  <c r="W33" i="37" s="1"/>
  <c r="AA31" i="17" s="1"/>
  <c r="AC29" i="17"/>
  <c r="AF29" i="17" s="1"/>
  <c r="V32" i="33"/>
  <c r="W32" i="33" s="1"/>
  <c r="Y30" i="17" s="1"/>
  <c r="U32" i="33"/>
  <c r="V34" i="31"/>
  <c r="W34" i="31" s="1"/>
  <c r="U32" i="17" s="1"/>
  <c r="U34" i="31"/>
  <c r="K26" i="38"/>
  <c r="K33" i="31"/>
  <c r="D31" i="17" s="1"/>
  <c r="J34" i="31"/>
  <c r="I34" i="31"/>
  <c r="O38" i="31"/>
  <c r="B38" i="35"/>
  <c r="O38" i="33"/>
  <c r="O38" i="32"/>
  <c r="B38" i="18"/>
  <c r="B38" i="37"/>
  <c r="O38" i="40"/>
  <c r="O38" i="18"/>
  <c r="O38" i="35"/>
  <c r="B38" i="33"/>
  <c r="O38" i="34"/>
  <c r="O38" i="37"/>
  <c r="B38" i="36"/>
  <c r="B38" i="34"/>
  <c r="B38" i="40"/>
  <c r="B34" i="7"/>
  <c r="B38" i="31"/>
  <c r="O38" i="36"/>
  <c r="B38" i="32"/>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AC30" i="17" l="1"/>
  <c r="AF30" i="17" s="1"/>
  <c r="V34" i="37"/>
  <c r="W34" i="37" s="1"/>
  <c r="AA32" i="17" s="1"/>
  <c r="U34" i="37"/>
  <c r="V33" i="33"/>
  <c r="W33" i="33" s="1"/>
  <c r="Y31" i="17" s="1"/>
  <c r="U33" i="33"/>
  <c r="U35" i="31"/>
  <c r="V35" i="31"/>
  <c r="W35" i="31" s="1"/>
  <c r="U33" i="17" s="1"/>
  <c r="K27" i="38"/>
  <c r="K34" i="31"/>
  <c r="D32" i="17" s="1"/>
  <c r="J35" i="31"/>
  <c r="I35" i="31"/>
  <c r="B39" i="32"/>
  <c r="O39" i="31"/>
  <c r="O39" i="18"/>
  <c r="B39" i="31"/>
  <c r="B39" i="37"/>
  <c r="B35" i="7"/>
  <c r="O39" i="37"/>
  <c r="O39" i="36"/>
  <c r="B39" i="36"/>
  <c r="O39" i="34"/>
  <c r="B39" i="34"/>
  <c r="O39" i="35"/>
  <c r="B39" i="40"/>
  <c r="O39" i="33"/>
  <c r="O39" i="40"/>
  <c r="O39" i="32"/>
  <c r="B39" i="18"/>
  <c r="B39" i="33"/>
  <c r="B39" i="35"/>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V35" i="37" l="1"/>
  <c r="W35" i="37" s="1"/>
  <c r="AA33" i="17" s="1"/>
  <c r="U35" i="37"/>
  <c r="AC31" i="17"/>
  <c r="AF31" i="17" s="1"/>
  <c r="U34" i="33"/>
  <c r="V34" i="33"/>
  <c r="W34" i="33" s="1"/>
  <c r="Y32" i="17" s="1"/>
  <c r="U36" i="31"/>
  <c r="V36" i="31"/>
  <c r="W36" i="31" s="1"/>
  <c r="U34" i="17" s="1"/>
  <c r="I36" i="31"/>
  <c r="J36" i="31"/>
  <c r="K28" i="38"/>
  <c r="K35" i="31"/>
  <c r="D33" i="17" s="1"/>
  <c r="B40" i="31"/>
  <c r="B40" i="18"/>
  <c r="O40" i="35"/>
  <c r="B40" i="32"/>
  <c r="O40" i="37"/>
  <c r="O40" i="18"/>
  <c r="O40" i="40"/>
  <c r="B36" i="7"/>
  <c r="O40" i="31"/>
  <c r="B40" i="37"/>
  <c r="B40" i="34"/>
  <c r="B40" i="33"/>
  <c r="O40" i="32"/>
  <c r="O40" i="34"/>
  <c r="B40" i="40"/>
  <c r="B40" i="36"/>
  <c r="O40" i="33"/>
  <c r="B40" i="35"/>
  <c r="O40" i="36"/>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AC32" i="17" l="1"/>
  <c r="AF32" i="17" s="1"/>
  <c r="U36" i="37"/>
  <c r="V36" i="37"/>
  <c r="W36" i="37" s="1"/>
  <c r="AA34" i="17" s="1"/>
  <c r="U35" i="33"/>
  <c r="V35" i="33"/>
  <c r="W35" i="33" s="1"/>
  <c r="Y33" i="17" s="1"/>
  <c r="V37" i="31"/>
  <c r="W37" i="31" s="1"/>
  <c r="U35" i="17" s="1"/>
  <c r="U37" i="31"/>
  <c r="K36" i="31"/>
  <c r="D34" i="17" s="1"/>
  <c r="K29" i="38"/>
  <c r="I37" i="31"/>
  <c r="J37" i="31"/>
  <c r="O41" i="33"/>
  <c r="B41" i="35"/>
  <c r="O41" i="31"/>
  <c r="O41" i="40"/>
  <c r="O41" i="35"/>
  <c r="B41" i="18"/>
  <c r="B41" i="33"/>
  <c r="O41" i="36"/>
  <c r="B41" i="37"/>
  <c r="B41" i="32"/>
  <c r="B41" i="40"/>
  <c r="O41" i="37"/>
  <c r="B41" i="31"/>
  <c r="O41" i="34"/>
  <c r="B37" i="7"/>
  <c r="O41" i="32"/>
  <c r="O41" i="18"/>
  <c r="B41" i="34"/>
  <c r="B41" i="36"/>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U37" i="37"/>
  <c r="V37" i="37"/>
  <c r="W37" i="37" s="1"/>
  <c r="AA35" i="17" s="1"/>
  <c r="V36" i="33"/>
  <c r="W36" i="33" s="1"/>
  <c r="Y34" i="17" s="1"/>
  <c r="U36" i="33"/>
  <c r="V38" i="31"/>
  <c r="W38" i="31" s="1"/>
  <c r="U36" i="17" s="1"/>
  <c r="U38" i="31"/>
  <c r="K30" i="38"/>
  <c r="K37" i="31"/>
  <c r="D35" i="17" s="1"/>
  <c r="J38" i="31"/>
  <c r="I38" i="31"/>
  <c r="B42" i="31"/>
  <c r="B42" i="37"/>
  <c r="B42" i="18"/>
  <c r="O42" i="40"/>
  <c r="O42" i="34"/>
  <c r="B38" i="7"/>
  <c r="B42" i="35"/>
  <c r="O42" i="32"/>
  <c r="B42" i="34"/>
  <c r="O42" i="31"/>
  <c r="O42" i="35"/>
  <c r="B42" i="32"/>
  <c r="B42" i="40"/>
  <c r="B42" i="33"/>
  <c r="B42" i="36"/>
  <c r="O42" i="36"/>
  <c r="O42" i="33"/>
  <c r="O42" i="18"/>
  <c r="O42" i="37"/>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V38" i="37" l="1"/>
  <c r="W38" i="37" s="1"/>
  <c r="AA36" i="17" s="1"/>
  <c r="U38" i="37"/>
  <c r="AC34" i="17"/>
  <c r="AF34" i="17" s="1"/>
  <c r="V37" i="33"/>
  <c r="W37" i="33" s="1"/>
  <c r="Y35" i="17" s="1"/>
  <c r="U37" i="33"/>
  <c r="V39" i="31"/>
  <c r="W39" i="31" s="1"/>
  <c r="U37" i="17" s="1"/>
  <c r="U39" i="31"/>
  <c r="I39" i="31"/>
  <c r="J39" i="31"/>
  <c r="K38" i="31"/>
  <c r="D36" i="17" s="1"/>
  <c r="K31" i="38"/>
  <c r="O43" i="34"/>
  <c r="O43" i="40"/>
  <c r="O43" i="18"/>
  <c r="O43" i="31"/>
  <c r="O43" i="33"/>
  <c r="B43" i="36"/>
  <c r="B43" i="40"/>
  <c r="B43" i="34"/>
  <c r="B43" i="33"/>
  <c r="B43" i="37"/>
  <c r="B43" i="35"/>
  <c r="O43" i="37"/>
  <c r="O43" i="35"/>
  <c r="O43" i="32"/>
  <c r="B43" i="31"/>
  <c r="B43" i="32"/>
  <c r="O43" i="36"/>
  <c r="B39" i="7"/>
  <c r="B43" i="1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V39" i="37" l="1"/>
  <c r="W39" i="37" s="1"/>
  <c r="AA37" i="17" s="1"/>
  <c r="U39" i="37"/>
  <c r="AC35" i="17"/>
  <c r="AF35" i="17" s="1"/>
  <c r="V38" i="33"/>
  <c r="W38" i="33" s="1"/>
  <c r="Y36" i="17" s="1"/>
  <c r="U38" i="33"/>
  <c r="U40" i="31"/>
  <c r="V40" i="31"/>
  <c r="W40" i="31" s="1"/>
  <c r="U38" i="17" s="1"/>
  <c r="K39" i="31"/>
  <c r="D37" i="17" s="1"/>
  <c r="K32" i="38"/>
  <c r="J40" i="31"/>
  <c r="I40" i="31"/>
  <c r="B44" i="37"/>
  <c r="O44" i="37"/>
  <c r="B44" i="34"/>
  <c r="O44" i="32"/>
  <c r="O44" i="31"/>
  <c r="B44" i="35"/>
  <c r="B44" i="33"/>
  <c r="B40" i="7"/>
  <c r="O44" i="36"/>
  <c r="B44" i="36"/>
  <c r="O44" i="40"/>
  <c r="B44" i="31"/>
  <c r="O44" i="34"/>
  <c r="O44" i="35"/>
  <c r="B44" i="32"/>
  <c r="B44" i="18"/>
  <c r="O44" i="18"/>
  <c r="B44" i="40"/>
  <c r="O44" i="33"/>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O35" i="17" s="1"/>
  <c r="V39" i="40"/>
  <c r="W39" i="40" s="1"/>
  <c r="AB37" i="17" s="1"/>
  <c r="U39" i="40"/>
  <c r="M28" i="38"/>
  <c r="V41" i="35"/>
  <c r="W41" i="35" s="1"/>
  <c r="V39" i="17" s="1"/>
  <c r="U41" i="35"/>
  <c r="J40" i="37"/>
  <c r="K40" i="37" s="1"/>
  <c r="J38" i="17" s="1"/>
  <c r="I40" i="37"/>
  <c r="J42" i="36"/>
  <c r="K42" i="36" s="1"/>
  <c r="I40" i="17" s="1"/>
  <c r="I42" i="36"/>
  <c r="U40" i="37" l="1"/>
  <c r="V40" i="37"/>
  <c r="W40" i="37" s="1"/>
  <c r="AA38" i="17" s="1"/>
  <c r="AC36" i="17"/>
  <c r="AF36" i="17" s="1"/>
  <c r="V39" i="33"/>
  <c r="W39" i="33" s="1"/>
  <c r="Y37" i="17" s="1"/>
  <c r="U39" i="33"/>
  <c r="V41" i="31"/>
  <c r="W41" i="31" s="1"/>
  <c r="U39" i="17" s="1"/>
  <c r="U41" i="31"/>
  <c r="I41" i="31"/>
  <c r="J41" i="31"/>
  <c r="K33" i="38"/>
  <c r="K40" i="31"/>
  <c r="D38" i="17" s="1"/>
  <c r="B45" i="18"/>
  <c r="B45" i="33"/>
  <c r="O45" i="40"/>
  <c r="O45" i="35"/>
  <c r="B45" i="32"/>
  <c r="B45" i="40"/>
  <c r="B45" i="31"/>
  <c r="B45" i="35"/>
  <c r="B45" i="36"/>
  <c r="B45" i="34"/>
  <c r="O45" i="31"/>
  <c r="B41" i="7"/>
  <c r="O45" i="36"/>
  <c r="O45" i="32"/>
  <c r="B45" i="37"/>
  <c r="O45" i="37"/>
  <c r="O45" i="34"/>
  <c r="O45" i="33"/>
  <c r="O45" i="18"/>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AC37" i="17" l="1"/>
  <c r="AF37" i="17" s="1"/>
  <c r="V41" i="37"/>
  <c r="W41" i="37" s="1"/>
  <c r="AA39" i="17" s="1"/>
  <c r="U41" i="37"/>
  <c r="U40" i="33"/>
  <c r="V40" i="33"/>
  <c r="W40" i="33" s="1"/>
  <c r="Y38" i="17" s="1"/>
  <c r="U42" i="31"/>
  <c r="V42" i="31"/>
  <c r="W42" i="31" s="1"/>
  <c r="U40" i="17" s="1"/>
  <c r="K34" i="38"/>
  <c r="K41" i="31"/>
  <c r="D39" i="17" s="1"/>
  <c r="J42" i="31"/>
  <c r="I42" i="31"/>
  <c r="B46" i="37"/>
  <c r="O46" i="18"/>
  <c r="B46" i="35"/>
  <c r="B46" i="31"/>
  <c r="O46" i="40"/>
  <c r="B46" i="32"/>
  <c r="B46" i="33"/>
  <c r="O46" i="36"/>
  <c r="B46" i="40"/>
  <c r="O46" i="33"/>
  <c r="O46" i="31"/>
  <c r="O46" i="34"/>
  <c r="O46" i="35"/>
  <c r="B42" i="7"/>
  <c r="B46" i="36"/>
  <c r="B46" i="34"/>
  <c r="B46" i="18"/>
  <c r="O46" i="37"/>
  <c r="O46" i="32"/>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V42" i="37" l="1"/>
  <c r="W42" i="37" s="1"/>
  <c r="AA40" i="17" s="1"/>
  <c r="U42" i="37"/>
  <c r="AC38" i="17"/>
  <c r="AF38" i="17" s="1"/>
  <c r="V41" i="33"/>
  <c r="W41" i="33" s="1"/>
  <c r="Y39" i="17" s="1"/>
  <c r="U41" i="33"/>
  <c r="V43" i="31"/>
  <c r="W43" i="31" s="1"/>
  <c r="U41" i="17" s="1"/>
  <c r="U43" i="31"/>
  <c r="I43" i="31"/>
  <c r="J43" i="31"/>
  <c r="K42" i="31"/>
  <c r="D40" i="17" s="1"/>
  <c r="K35" i="38"/>
  <c r="O47" i="35"/>
  <c r="B47" i="36"/>
  <c r="B47" i="35"/>
  <c r="B47" i="18"/>
  <c r="B47" i="40"/>
  <c r="B47" i="37"/>
  <c r="O47" i="32"/>
  <c r="O47" i="33"/>
  <c r="O47" i="34"/>
  <c r="B47" i="34"/>
  <c r="O47" i="18"/>
  <c r="B43" i="7"/>
  <c r="B47" i="31"/>
  <c r="O47" i="31"/>
  <c r="B47" i="33"/>
  <c r="O47" i="36"/>
  <c r="O47" i="37"/>
  <c r="O47" i="40"/>
  <c r="B47" i="32"/>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AC39" i="17" l="1"/>
  <c r="AF39" i="17" s="1"/>
  <c r="U43" i="37"/>
  <c r="V43" i="37"/>
  <c r="W43" i="37" s="1"/>
  <c r="AA41" i="17" s="1"/>
  <c r="V42" i="33"/>
  <c r="W42" i="33" s="1"/>
  <c r="Y40" i="17" s="1"/>
  <c r="U42" i="33"/>
  <c r="U44" i="31"/>
  <c r="V44" i="31"/>
  <c r="W44" i="31" s="1"/>
  <c r="U42" i="17" s="1"/>
  <c r="K36" i="38"/>
  <c r="K43" i="31"/>
  <c r="D41" i="17" s="1"/>
  <c r="J44" i="31"/>
  <c r="I44" i="31"/>
  <c r="B48" i="18"/>
  <c r="B48" i="34"/>
  <c r="O48" i="18"/>
  <c r="B48" i="33"/>
  <c r="B44" i="7"/>
  <c r="O48" i="34"/>
  <c r="O48" i="31"/>
  <c r="B48" i="32"/>
  <c r="O48" i="37"/>
  <c r="B48" i="37"/>
  <c r="B48" i="40"/>
  <c r="O48" i="33"/>
  <c r="O48" i="35"/>
  <c r="B48" i="31"/>
  <c r="O48" i="32"/>
  <c r="B48" i="36"/>
  <c r="O48" i="40"/>
  <c r="B48" i="35"/>
  <c r="O48" i="36"/>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V44" i="37" l="1"/>
  <c r="W44" i="37" s="1"/>
  <c r="AA42" i="17" s="1"/>
  <c r="U44" i="37"/>
  <c r="AC40" i="17"/>
  <c r="AF40" i="17" s="1"/>
  <c r="V43" i="33"/>
  <c r="W43" i="33" s="1"/>
  <c r="Y41" i="17" s="1"/>
  <c r="U43" i="33"/>
  <c r="V45" i="31"/>
  <c r="W45" i="31" s="1"/>
  <c r="U43" i="17" s="1"/>
  <c r="U45" i="31"/>
  <c r="J45" i="31"/>
  <c r="I45" i="31"/>
  <c r="K37" i="38"/>
  <c r="K44" i="31"/>
  <c r="D42" i="17" s="1"/>
  <c r="O49" i="32"/>
  <c r="O49" i="40"/>
  <c r="O49" i="31"/>
  <c r="B49" i="37"/>
  <c r="O49" i="37"/>
  <c r="O49" i="18"/>
  <c r="O49" i="35"/>
  <c r="B49" i="31"/>
  <c r="O49" i="33"/>
  <c r="B49" i="40"/>
  <c r="O49" i="34"/>
  <c r="B45" i="7"/>
  <c r="B49" i="34"/>
  <c r="O49" i="36"/>
  <c r="B49" i="35"/>
  <c r="B49" i="36"/>
  <c r="B49" i="32"/>
  <c r="B49" i="18"/>
  <c r="B49" i="33"/>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V45" i="37" l="1"/>
  <c r="W45" i="37" s="1"/>
  <c r="AA43" i="17" s="1"/>
  <c r="U45" i="37"/>
  <c r="AC41" i="17"/>
  <c r="AF41" i="17" s="1"/>
  <c r="U44" i="33"/>
  <c r="V44" i="33"/>
  <c r="W44" i="33" s="1"/>
  <c r="Y42" i="17" s="1"/>
  <c r="U46" i="31"/>
  <c r="V46" i="31"/>
  <c r="W46" i="31" s="1"/>
  <c r="U44" i="17" s="1"/>
  <c r="J46" i="31"/>
  <c r="I46" i="31"/>
  <c r="K38" i="38"/>
  <c r="K45" i="31"/>
  <c r="D43" i="17" s="1"/>
  <c r="O50" i="35"/>
  <c r="B50" i="36"/>
  <c r="B50" i="37"/>
  <c r="O50" i="32"/>
  <c r="B50" i="35"/>
  <c r="O50" i="18"/>
  <c r="B50" i="40"/>
  <c r="O50" i="34"/>
  <c r="B46" i="7"/>
  <c r="O50" i="33"/>
  <c r="B50" i="18"/>
  <c r="O50" i="37"/>
  <c r="B50" i="34"/>
  <c r="O50" i="40"/>
  <c r="B50" i="32"/>
  <c r="O50" i="31"/>
  <c r="O50" i="36"/>
  <c r="B50" i="31"/>
  <c r="B50" i="33"/>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U46" i="37"/>
  <c r="V46" i="37"/>
  <c r="W46" i="37" s="1"/>
  <c r="AA44" i="17" s="1"/>
  <c r="U45" i="33"/>
  <c r="V45" i="33"/>
  <c r="W45" i="33" s="1"/>
  <c r="Y43" i="17" s="1"/>
  <c r="U47" i="31"/>
  <c r="V47" i="31"/>
  <c r="W47" i="31" s="1"/>
  <c r="U45" i="17" s="1"/>
  <c r="J47" i="31"/>
  <c r="I47" i="31"/>
  <c r="K39" i="38"/>
  <c r="K46" i="31"/>
  <c r="D44" i="17" s="1"/>
  <c r="O51" i="40"/>
  <c r="B51" i="31"/>
  <c r="O51" i="18"/>
  <c r="B51" i="37"/>
  <c r="B51" i="34"/>
  <c r="B51" i="36"/>
  <c r="B51" i="32"/>
  <c r="O51" i="36"/>
  <c r="O51" i="32"/>
  <c r="B51" i="18"/>
  <c r="O51" i="35"/>
  <c r="O51" i="37"/>
  <c r="B51" i="33"/>
  <c r="O51" i="31"/>
  <c r="B51" i="35"/>
  <c r="B51" i="40"/>
  <c r="O51" i="34"/>
  <c r="B47" i="7"/>
  <c r="O51" i="33"/>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V47" i="37"/>
  <c r="W47" i="37" s="1"/>
  <c r="AA45" i="17" s="1"/>
  <c r="U47" i="37"/>
  <c r="U46" i="33"/>
  <c r="V46" i="33"/>
  <c r="W46" i="33" s="1"/>
  <c r="Y44" i="17" s="1"/>
  <c r="U48" i="31"/>
  <c r="V48" i="31"/>
  <c r="W48" i="31" s="1"/>
  <c r="U46" i="17" s="1"/>
  <c r="I48" i="31"/>
  <c r="J48" i="31"/>
  <c r="K47" i="31"/>
  <c r="D45" i="17" s="1"/>
  <c r="K40" i="38"/>
  <c r="B52" i="33"/>
  <c r="B52" i="35"/>
  <c r="O52" i="32"/>
  <c r="O52" i="31"/>
  <c r="O52" i="18"/>
  <c r="O52" i="36"/>
  <c r="B52" i="34"/>
  <c r="O52" i="37"/>
  <c r="O52" i="34"/>
  <c r="O52" i="40"/>
  <c r="B52" i="18"/>
  <c r="B52" i="31"/>
  <c r="B52" i="36"/>
  <c r="B52" i="32"/>
  <c r="B48" i="7"/>
  <c r="O52" i="33"/>
  <c r="B52" i="37"/>
  <c r="B52" i="40"/>
  <c r="O52" i="35"/>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AC44" i="17" l="1"/>
  <c r="AF44" i="17" s="1"/>
  <c r="U48" i="37"/>
  <c r="V48" i="37"/>
  <c r="W48" i="37" s="1"/>
  <c r="AA46" i="17" s="1"/>
  <c r="U47" i="33"/>
  <c r="V47" i="33"/>
  <c r="W47" i="33" s="1"/>
  <c r="Y45" i="17" s="1"/>
  <c r="V49" i="31"/>
  <c r="W49" i="31" s="1"/>
  <c r="U47" i="17" s="1"/>
  <c r="U49" i="31"/>
  <c r="K48" i="31"/>
  <c r="D46" i="17" s="1"/>
  <c r="K41" i="38"/>
  <c r="J49" i="31"/>
  <c r="I49" i="31"/>
  <c r="O53" i="31"/>
  <c r="B53" i="40"/>
  <c r="O53" i="33"/>
  <c r="B53" i="36"/>
  <c r="O53" i="36"/>
  <c r="O53" i="32"/>
  <c r="B49" i="7"/>
  <c r="O53" i="40"/>
  <c r="O53" i="37"/>
  <c r="O53" i="34"/>
  <c r="B53" i="35"/>
  <c r="B53" i="32"/>
  <c r="O53" i="35"/>
  <c r="B53" i="37"/>
  <c r="B53" i="31"/>
  <c r="B53" i="34"/>
  <c r="O53" i="18"/>
  <c r="B53" i="18"/>
  <c r="B53" i="33"/>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U49" i="37" l="1"/>
  <c r="V49" i="37"/>
  <c r="W49" i="37" s="1"/>
  <c r="AA47" i="17" s="1"/>
  <c r="AC45" i="17"/>
  <c r="AF45" i="17" s="1"/>
  <c r="U48" i="33"/>
  <c r="V48" i="33"/>
  <c r="W48" i="33" s="1"/>
  <c r="Y46" i="17" s="1"/>
  <c r="V50" i="31"/>
  <c r="W50" i="31" s="1"/>
  <c r="U48" i="17" s="1"/>
  <c r="U50" i="31"/>
  <c r="K49" i="31"/>
  <c r="D47" i="17" s="1"/>
  <c r="K42" i="38"/>
  <c r="I50" i="31"/>
  <c r="J50" i="31"/>
  <c r="B54" i="18"/>
  <c r="O54" i="40"/>
  <c r="B54" i="35"/>
  <c r="B54" i="36"/>
  <c r="O54" i="32"/>
  <c r="O54" i="36"/>
  <c r="O54" i="31"/>
  <c r="B54" i="40"/>
  <c r="B54" i="34"/>
  <c r="B54" i="33"/>
  <c r="O54" i="37"/>
  <c r="B54" i="31"/>
  <c r="O54" i="35"/>
  <c r="B54" i="32"/>
  <c r="O54" i="18"/>
  <c r="O54" i="33"/>
  <c r="B50" i="7"/>
  <c r="O54" i="34"/>
  <c r="B54" i="37"/>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U50" i="37" l="1"/>
  <c r="V50" i="37"/>
  <c r="W50" i="37" s="1"/>
  <c r="AA48" i="17" s="1"/>
  <c r="AC46" i="17"/>
  <c r="AF46" i="17" s="1"/>
  <c r="V49" i="33"/>
  <c r="W49" i="33" s="1"/>
  <c r="Y47" i="17" s="1"/>
  <c r="U49" i="33"/>
  <c r="U51" i="31"/>
  <c r="V51" i="31"/>
  <c r="W51" i="31" s="1"/>
  <c r="U49" i="17" s="1"/>
  <c r="K50" i="31"/>
  <c r="D48" i="17" s="1"/>
  <c r="K43" i="38"/>
  <c r="I51" i="31"/>
  <c r="J51" i="31"/>
  <c r="O55" i="34"/>
  <c r="B55" i="36"/>
  <c r="B55" i="31"/>
  <c r="B51" i="7"/>
  <c r="B55" i="18"/>
  <c r="B55" i="32"/>
  <c r="O55" i="33"/>
  <c r="O55" i="18"/>
  <c r="B55" i="37"/>
  <c r="O55" i="37"/>
  <c r="B55" i="33"/>
  <c r="B55" i="40"/>
  <c r="O55" i="36"/>
  <c r="B55" i="35"/>
  <c r="O55" i="40"/>
  <c r="B55" i="34"/>
  <c r="O55" i="35"/>
  <c r="O55" i="31"/>
  <c r="O55" i="32"/>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U51" i="37" l="1"/>
  <c r="V51" i="37"/>
  <c r="W51" i="37" s="1"/>
  <c r="AA49" i="17" s="1"/>
  <c r="AC47" i="17"/>
  <c r="AF47" i="17" s="1"/>
  <c r="U50" i="33"/>
  <c r="V50" i="33"/>
  <c r="W50" i="33" s="1"/>
  <c r="Y48" i="17" s="1"/>
  <c r="U52" i="31"/>
  <c r="V52" i="31"/>
  <c r="W52" i="31" s="1"/>
  <c r="U50" i="17" s="1"/>
  <c r="J52" i="31"/>
  <c r="I52" i="31"/>
  <c r="K51" i="31"/>
  <c r="D49" i="17" s="1"/>
  <c r="K44" i="38"/>
  <c r="O56" i="18"/>
  <c r="O56" i="31"/>
  <c r="O56" i="35"/>
  <c r="B56" i="33"/>
  <c r="O56" i="40"/>
  <c r="B56" i="31"/>
  <c r="B56" i="35"/>
  <c r="O56" i="33"/>
  <c r="B56" i="36"/>
  <c r="B56" i="37"/>
  <c r="B56" i="18"/>
  <c r="B56" i="40"/>
  <c r="O56" i="34"/>
  <c r="B52" i="7"/>
  <c r="B56" i="34"/>
  <c r="B56" i="32"/>
  <c r="O56" i="37"/>
  <c r="O56" i="36"/>
  <c r="O56" i="32"/>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V52" i="37" l="1"/>
  <c r="W52" i="37" s="1"/>
  <c r="AA50" i="17" s="1"/>
  <c r="U52" i="37"/>
  <c r="AC48" i="17"/>
  <c r="AF48" i="17" s="1"/>
  <c r="V51" i="33"/>
  <c r="W51" i="33" s="1"/>
  <c r="Y49" i="17" s="1"/>
  <c r="U51" i="33"/>
  <c r="V53" i="31"/>
  <c r="W53" i="31" s="1"/>
  <c r="U51" i="17" s="1"/>
  <c r="U53" i="31"/>
  <c r="I53" i="31"/>
  <c r="J53" i="31"/>
  <c r="K52" i="31"/>
  <c r="D50" i="17" s="1"/>
  <c r="K45" i="38"/>
  <c r="O57" i="35"/>
  <c r="B57" i="36"/>
  <c r="O57" i="32"/>
  <c r="O57" i="37"/>
  <c r="B57" i="18"/>
  <c r="O57" i="18"/>
  <c r="O57" i="36"/>
  <c r="B57" i="32"/>
  <c r="O57" i="34"/>
  <c r="O57" i="33"/>
  <c r="B57" i="34"/>
  <c r="O57" i="40"/>
  <c r="O57" i="31"/>
  <c r="B57" i="33"/>
  <c r="B57" i="40"/>
  <c r="B57" i="31"/>
  <c r="B57" i="35"/>
  <c r="B53" i="7"/>
  <c r="B57" i="37"/>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U53" i="37" l="1"/>
  <c r="V53" i="37"/>
  <c r="W53" i="37" s="1"/>
  <c r="AA51" i="17" s="1"/>
  <c r="AC49" i="17"/>
  <c r="AF49" i="17" s="1"/>
  <c r="U52" i="33"/>
  <c r="V52" i="33"/>
  <c r="W52" i="33" s="1"/>
  <c r="Y50" i="17" s="1"/>
  <c r="V54" i="31"/>
  <c r="W54" i="31" s="1"/>
  <c r="U52" i="17" s="1"/>
  <c r="U54" i="31"/>
  <c r="K53" i="31"/>
  <c r="D51" i="17" s="1"/>
  <c r="K46" i="38"/>
  <c r="J54" i="31"/>
  <c r="I54" i="31"/>
  <c r="O58" i="37"/>
  <c r="B58" i="34"/>
  <c r="B58" i="33"/>
  <c r="O58" i="34"/>
  <c r="O58" i="32"/>
  <c r="B58" i="31"/>
  <c r="B58" i="40"/>
  <c r="B58" i="35"/>
  <c r="B58" i="32"/>
  <c r="O58" i="18"/>
  <c r="B58" i="37"/>
  <c r="B58" i="18"/>
  <c r="B58" i="36"/>
  <c r="O58" i="35"/>
  <c r="O58" i="40"/>
  <c r="O58" i="31"/>
  <c r="O58" i="36"/>
  <c r="B54" i="7"/>
  <c r="O58" i="33"/>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U54" i="37"/>
  <c r="V54" i="37"/>
  <c r="W54" i="37" s="1"/>
  <c r="AA52" i="17" s="1"/>
  <c r="V53" i="33"/>
  <c r="W53" i="33" s="1"/>
  <c r="Y51" i="17" s="1"/>
  <c r="U53" i="33"/>
  <c r="U55" i="31"/>
  <c r="V55" i="31"/>
  <c r="W55" i="31" s="1"/>
  <c r="U53" i="17" s="1"/>
  <c r="J55" i="31"/>
  <c r="I55" i="31"/>
  <c r="K54" i="31"/>
  <c r="D52" i="17" s="1"/>
  <c r="K47" i="38"/>
  <c r="B59" i="31"/>
  <c r="O59" i="34"/>
  <c r="B59" i="32"/>
  <c r="B59" i="18"/>
  <c r="O59" i="33"/>
  <c r="B59" i="37"/>
  <c r="B59" i="40"/>
  <c r="B59" i="34"/>
  <c r="O59" i="37"/>
  <c r="B59" i="33"/>
  <c r="B55" i="7"/>
  <c r="O59" i="18"/>
  <c r="O59" i="36"/>
  <c r="O59" i="32"/>
  <c r="B59" i="35"/>
  <c r="O59" i="40"/>
  <c r="O59" i="31"/>
  <c r="B59" i="36"/>
  <c r="O59" i="35"/>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V55" i="37" l="1"/>
  <c r="W55" i="37" s="1"/>
  <c r="AA53" i="17" s="1"/>
  <c r="U55" i="37"/>
  <c r="AC51" i="17"/>
  <c r="AF51" i="17" s="1"/>
  <c r="U54" i="33"/>
  <c r="V54" i="33"/>
  <c r="W54" i="33" s="1"/>
  <c r="Y52" i="17" s="1"/>
  <c r="V56" i="31"/>
  <c r="W56" i="31" s="1"/>
  <c r="U54" i="17" s="1"/>
  <c r="U56" i="31"/>
  <c r="J56" i="31"/>
  <c r="I56" i="31"/>
  <c r="K55" i="31"/>
  <c r="D53" i="17" s="1"/>
  <c r="K48" i="38"/>
  <c r="O60" i="34"/>
  <c r="B60" i="40"/>
  <c r="B60" i="34"/>
  <c r="O60" i="37"/>
  <c r="B60" i="35"/>
  <c r="O60" i="40"/>
  <c r="B60" i="33"/>
  <c r="O60" i="32"/>
  <c r="O60" i="36"/>
  <c r="B60" i="31"/>
  <c r="B60" i="37"/>
  <c r="O60" i="31"/>
  <c r="B60" i="18"/>
  <c r="B56" i="7"/>
  <c r="O60" i="18"/>
  <c r="O60" i="35"/>
  <c r="B60" i="36"/>
  <c r="O60" i="33"/>
  <c r="B60" i="32"/>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U56" i="37" l="1"/>
  <c r="V56" i="37"/>
  <c r="W56" i="37" s="1"/>
  <c r="AA54" i="17" s="1"/>
  <c r="AC52" i="17"/>
  <c r="AF52" i="17" s="1"/>
  <c r="V55" i="33"/>
  <c r="W55" i="33" s="1"/>
  <c r="Y53" i="17" s="1"/>
  <c r="U55" i="33"/>
  <c r="V57" i="31"/>
  <c r="W57" i="31" s="1"/>
  <c r="U55" i="17" s="1"/>
  <c r="U57" i="31"/>
  <c r="J57" i="31"/>
  <c r="I57" i="31"/>
  <c r="K56" i="31"/>
  <c r="D54" i="17" s="1"/>
  <c r="K49" i="38"/>
  <c r="B57" i="7"/>
  <c r="O61" i="40"/>
  <c r="B61" i="33"/>
  <c r="B61" i="31"/>
  <c r="O61" i="18"/>
  <c r="B61" i="18"/>
  <c r="O61" i="32"/>
  <c r="B61" i="32"/>
  <c r="B61" i="40"/>
  <c r="O61" i="37"/>
  <c r="O61" i="34"/>
  <c r="B61" i="35"/>
  <c r="B61" i="37"/>
  <c r="O61" i="31"/>
  <c r="O61" i="36"/>
  <c r="O61" i="33"/>
  <c r="B61" i="34"/>
  <c r="O61" i="35"/>
  <c r="B61" i="36"/>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V57" i="37" l="1"/>
  <c r="W57" i="37" s="1"/>
  <c r="AA55" i="17" s="1"/>
  <c r="U57" i="37"/>
  <c r="AC53" i="17"/>
  <c r="AF53" i="17" s="1"/>
  <c r="U56" i="33"/>
  <c r="V56" i="33"/>
  <c r="W56" i="33" s="1"/>
  <c r="Y54" i="17" s="1"/>
  <c r="V58" i="31"/>
  <c r="W58" i="31" s="1"/>
  <c r="U56" i="17" s="1"/>
  <c r="U58" i="31"/>
  <c r="J58" i="31"/>
  <c r="I58" i="31"/>
  <c r="K57" i="31"/>
  <c r="D55" i="17" s="1"/>
  <c r="K50" i="38"/>
  <c r="B62" i="33"/>
  <c r="O62" i="37"/>
  <c r="O62" i="36"/>
  <c r="O62" i="35"/>
  <c r="B62" i="40"/>
  <c r="O62" i="34"/>
  <c r="O62" i="31"/>
  <c r="B58" i="7"/>
  <c r="B62" i="36"/>
  <c r="O62" i="32"/>
  <c r="O62" i="18"/>
  <c r="B62" i="37"/>
  <c r="O62" i="33"/>
  <c r="B62" i="32"/>
  <c r="B62" i="34"/>
  <c r="O62" i="40"/>
  <c r="B62" i="31"/>
  <c r="B62" i="18"/>
  <c r="B62" i="35"/>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V58" i="37" l="1"/>
  <c r="W58" i="37" s="1"/>
  <c r="AA56" i="17" s="1"/>
  <c r="U58" i="37"/>
  <c r="AC54" i="17"/>
  <c r="AF54" i="17" s="1"/>
  <c r="U57" i="33"/>
  <c r="V57" i="33"/>
  <c r="W57" i="33" s="1"/>
  <c r="Y55" i="17" s="1"/>
  <c r="V59" i="31"/>
  <c r="W59" i="31" s="1"/>
  <c r="U57" i="17" s="1"/>
  <c r="U59" i="31"/>
  <c r="K51" i="38"/>
  <c r="K58" i="31"/>
  <c r="D56" i="17" s="1"/>
  <c r="I59" i="31"/>
  <c r="J59" i="31"/>
  <c r="O63" i="40"/>
  <c r="B63" i="37"/>
  <c r="B63" i="40"/>
  <c r="B63" i="35"/>
  <c r="B63" i="18"/>
  <c r="O63" i="33"/>
  <c r="B63" i="31"/>
  <c r="O63" i="36"/>
  <c r="O63" i="37"/>
  <c r="O63" i="32"/>
  <c r="B63" i="34"/>
  <c r="O63" i="35"/>
  <c r="O63" i="18"/>
  <c r="B63" i="33"/>
  <c r="B63" i="32"/>
  <c r="B59" i="7"/>
  <c r="O63" i="34"/>
  <c r="O63" i="31"/>
  <c r="B63" i="36"/>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U59" i="37"/>
  <c r="V59" i="37"/>
  <c r="W59" i="37" s="1"/>
  <c r="AA57" i="17" s="1"/>
  <c r="U58" i="33"/>
  <c r="V58" i="33"/>
  <c r="W58" i="33" s="1"/>
  <c r="Y56" i="17" s="1"/>
  <c r="V60" i="31"/>
  <c r="W60" i="31" s="1"/>
  <c r="U58" i="17" s="1"/>
  <c r="U60" i="31"/>
  <c r="K52" i="38"/>
  <c r="K59" i="31"/>
  <c r="D57" i="17" s="1"/>
  <c r="J60" i="31"/>
  <c r="I60" i="31"/>
  <c r="O64" i="36"/>
  <c r="B64" i="37"/>
  <c r="B64" i="35"/>
  <c r="O64" i="34"/>
  <c r="O64" i="40"/>
  <c r="B64" i="34"/>
  <c r="B64" i="40"/>
  <c r="B64" i="36"/>
  <c r="O64" i="37"/>
  <c r="B64" i="33"/>
  <c r="O64" i="32"/>
  <c r="B64" i="31"/>
  <c r="B64" i="32"/>
  <c r="O64" i="31"/>
  <c r="B60" i="7"/>
  <c r="B64" i="18"/>
  <c r="O64" i="35"/>
  <c r="O64" i="18"/>
  <c r="O64" i="33"/>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U60" i="37" l="1"/>
  <c r="V60" i="37"/>
  <c r="W60" i="37" s="1"/>
  <c r="AA58" i="17" s="1"/>
  <c r="AC56" i="17"/>
  <c r="AF56" i="17" s="1"/>
  <c r="U59" i="33"/>
  <c r="V59" i="33"/>
  <c r="W59" i="33" s="1"/>
  <c r="Y57" i="17" s="1"/>
  <c r="U61" i="31"/>
  <c r="V61" i="31"/>
  <c r="W61" i="31" s="1"/>
  <c r="U59" i="17" s="1"/>
  <c r="I61" i="31"/>
  <c r="J61" i="31"/>
  <c r="K53" i="38"/>
  <c r="K60" i="31"/>
  <c r="D58" i="17" s="1"/>
  <c r="B65" i="35"/>
  <c r="O65" i="40"/>
  <c r="B65" i="36"/>
  <c r="O65" i="37"/>
  <c r="B65" i="31"/>
  <c r="B65" i="40"/>
  <c r="B65" i="34"/>
  <c r="B61" i="7"/>
  <c r="B65" i="18"/>
  <c r="B65" i="33"/>
  <c r="O65" i="31"/>
  <c r="O65" i="33"/>
  <c r="O65" i="34"/>
  <c r="O65" i="18"/>
  <c r="B65" i="37"/>
  <c r="O65" i="35"/>
  <c r="B65" i="32"/>
  <c r="O65" i="32"/>
  <c r="O65" i="36"/>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V61" i="37"/>
  <c r="W61" i="37" s="1"/>
  <c r="AA59" i="17" s="1"/>
  <c r="U61" i="37"/>
  <c r="U60" i="33"/>
  <c r="V60" i="33"/>
  <c r="W60" i="33" s="1"/>
  <c r="Y58" i="17" s="1"/>
  <c r="V62" i="31"/>
  <c r="W62" i="31" s="1"/>
  <c r="U60" i="17" s="1"/>
  <c r="U62" i="31"/>
  <c r="K61" i="31"/>
  <c r="D59" i="17" s="1"/>
  <c r="K54" i="38"/>
  <c r="I62" i="31"/>
  <c r="J62" i="31"/>
  <c r="B66" i="33"/>
  <c r="O66" i="40"/>
  <c r="B66" i="37"/>
  <c r="B66" i="36"/>
  <c r="O66" i="32"/>
  <c r="O66" i="31"/>
  <c r="B66" i="35"/>
  <c r="B62" i="7"/>
  <c r="O66" i="35"/>
  <c r="B66" i="40"/>
  <c r="O66" i="34"/>
  <c r="B66" i="34"/>
  <c r="O66" i="33"/>
  <c r="O66" i="18"/>
  <c r="O66" i="37"/>
  <c r="O66" i="36"/>
  <c r="B66" i="31"/>
  <c r="B66" i="18"/>
  <c r="B66" i="32"/>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AC58" i="17" l="1"/>
  <c r="AF58" i="17" s="1"/>
  <c r="U62" i="37"/>
  <c r="V62" i="37"/>
  <c r="W62" i="37" s="1"/>
  <c r="AA60" i="17" s="1"/>
  <c r="V61" i="33"/>
  <c r="W61" i="33" s="1"/>
  <c r="Y59" i="17" s="1"/>
  <c r="U61" i="33"/>
  <c r="V63" i="31"/>
  <c r="W63" i="31" s="1"/>
  <c r="U61" i="17" s="1"/>
  <c r="U63" i="31"/>
  <c r="I63" i="31"/>
  <c r="J63" i="31"/>
  <c r="K62" i="31"/>
  <c r="D60" i="17" s="1"/>
  <c r="K55" i="38"/>
  <c r="B67" i="32"/>
  <c r="B67" i="35"/>
  <c r="O67" i="40"/>
  <c r="B67" i="31"/>
  <c r="B67" i="40"/>
  <c r="B67" i="18"/>
  <c r="O67" i="36"/>
  <c r="B63" i="7"/>
  <c r="O67" i="31"/>
  <c r="B67" i="37"/>
  <c r="B67" i="36"/>
  <c r="B67" i="33"/>
  <c r="O67" i="32"/>
  <c r="O67" i="33"/>
  <c r="B67" i="34"/>
  <c r="O67" i="35"/>
  <c r="O67" i="37"/>
  <c r="O67" i="18"/>
  <c r="O67" i="34"/>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U63" i="37" l="1"/>
  <c r="V63" i="37"/>
  <c r="W63" i="37" s="1"/>
  <c r="AA61" i="17" s="1"/>
  <c r="AC59" i="17"/>
  <c r="AF59" i="17" s="1"/>
  <c r="V62" i="33"/>
  <c r="W62" i="33" s="1"/>
  <c r="Y60" i="17" s="1"/>
  <c r="U62" i="33"/>
  <c r="V64" i="31"/>
  <c r="W64" i="31" s="1"/>
  <c r="U62" i="17" s="1"/>
  <c r="U64" i="31"/>
  <c r="K63" i="31"/>
  <c r="D61" i="17" s="1"/>
  <c r="K56" i="38"/>
  <c r="I64" i="31"/>
  <c r="J64" i="31"/>
  <c r="O68" i="40"/>
  <c r="B68" i="32"/>
  <c r="O68" i="31"/>
  <c r="B68" i="37"/>
  <c r="O68" i="18"/>
  <c r="B64" i="7"/>
  <c r="O68" i="32"/>
  <c r="O68" i="35"/>
  <c r="B68" i="33"/>
  <c r="O68" i="36"/>
  <c r="O68" i="37"/>
  <c r="B68" i="35"/>
  <c r="O68" i="34"/>
  <c r="B68" i="31"/>
  <c r="O68" i="33"/>
  <c r="B68" i="40"/>
  <c r="B68" i="34"/>
  <c r="B68" i="36"/>
  <c r="B68" i="18"/>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V64" i="37"/>
  <c r="W64" i="37" s="1"/>
  <c r="AA62" i="17" s="1"/>
  <c r="U64" i="37"/>
  <c r="V63" i="33"/>
  <c r="W63" i="33" s="1"/>
  <c r="Y61" i="17" s="1"/>
  <c r="U63" i="33"/>
  <c r="V65" i="31"/>
  <c r="W65" i="31" s="1"/>
  <c r="U63" i="17" s="1"/>
  <c r="U65" i="31"/>
  <c r="K64" i="31"/>
  <c r="D62" i="17" s="1"/>
  <c r="K57" i="38"/>
  <c r="J65" i="31"/>
  <c r="I65" i="31"/>
  <c r="B69" i="32"/>
  <c r="O69" i="36"/>
  <c r="O69" i="18"/>
  <c r="O69" i="33"/>
  <c r="O69" i="37"/>
  <c r="O69" i="34"/>
  <c r="O69" i="32"/>
  <c r="B69" i="40"/>
  <c r="B65" i="7"/>
  <c r="O69" i="40"/>
  <c r="O69" i="35"/>
  <c r="B69" i="36"/>
  <c r="B69" i="35"/>
  <c r="B69" i="37"/>
  <c r="B69" i="18"/>
  <c r="O69" i="31"/>
  <c r="B69" i="31"/>
  <c r="B69" i="34"/>
  <c r="B69" i="33"/>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V65" i="37" l="1"/>
  <c r="W65" i="37" s="1"/>
  <c r="AA63" i="17" s="1"/>
  <c r="U65" i="37"/>
  <c r="AC61" i="17"/>
  <c r="AF61" i="17" s="1"/>
  <c r="V64" i="33"/>
  <c r="W64" i="33" s="1"/>
  <c r="Y62" i="17" s="1"/>
  <c r="U64" i="33"/>
  <c r="V66" i="31"/>
  <c r="W66" i="31" s="1"/>
  <c r="U64" i="17" s="1"/>
  <c r="U66" i="31"/>
  <c r="K65" i="31"/>
  <c r="D63" i="17" s="1"/>
  <c r="K58" i="38"/>
  <c r="I66" i="31"/>
  <c r="J66" i="31"/>
  <c r="B70" i="34"/>
  <c r="O70" i="37"/>
  <c r="O70" i="35"/>
  <c r="O70" i="33"/>
  <c r="B70" i="35"/>
  <c r="O70" i="32"/>
  <c r="B70" i="32"/>
  <c r="B70" i="37"/>
  <c r="B70" i="31"/>
  <c r="B70" i="36"/>
  <c r="B70" i="40"/>
  <c r="O70" i="34"/>
  <c r="O70" i="40"/>
  <c r="B70" i="33"/>
  <c r="B70" i="18"/>
  <c r="B66" i="7"/>
  <c r="O70" i="31"/>
  <c r="O70" i="18"/>
  <c r="O70" i="36"/>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V66" i="37"/>
  <c r="W66" i="37" s="1"/>
  <c r="AA64" i="17" s="1"/>
  <c r="U66" i="37"/>
  <c r="V65" i="33"/>
  <c r="W65" i="33" s="1"/>
  <c r="Y63" i="17" s="1"/>
  <c r="U65" i="33"/>
  <c r="V67" i="31"/>
  <c r="W67" i="31" s="1"/>
  <c r="U65" i="17" s="1"/>
  <c r="U67" i="31"/>
  <c r="K66" i="31"/>
  <c r="D64" i="17" s="1"/>
  <c r="K59" i="38"/>
  <c r="J67" i="31"/>
  <c r="I67" i="31"/>
  <c r="B67" i="7"/>
  <c r="B71" i="40"/>
  <c r="B71" i="35"/>
  <c r="B71" i="37"/>
  <c r="B71" i="18"/>
  <c r="O71" i="40"/>
  <c r="B71" i="36"/>
  <c r="O71" i="33"/>
  <c r="O71" i="36"/>
  <c r="B71" i="34"/>
  <c r="B71" i="32"/>
  <c r="O71" i="18"/>
  <c r="O71" i="37"/>
  <c r="O71" i="32"/>
  <c r="O71" i="31"/>
  <c r="O71" i="35"/>
  <c r="B71" i="31"/>
  <c r="O71" i="34"/>
  <c r="B71" i="33"/>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V67" i="37"/>
  <c r="W67" i="37" s="1"/>
  <c r="AA65" i="17" s="1"/>
  <c r="U67" i="37"/>
  <c r="V66" i="33"/>
  <c r="W66" i="33" s="1"/>
  <c r="Y64" i="17" s="1"/>
  <c r="U66" i="33"/>
  <c r="V68" i="31"/>
  <c r="W68" i="31" s="1"/>
  <c r="U66" i="17" s="1"/>
  <c r="U68" i="31"/>
  <c r="I68" i="31"/>
  <c r="J68" i="31"/>
  <c r="K67" i="31"/>
  <c r="D65" i="17" s="1"/>
  <c r="K60" i="38"/>
  <c r="O72" i="31"/>
  <c r="O72" i="36"/>
  <c r="O72" i="40"/>
  <c r="B72" i="36"/>
  <c r="O72" i="32"/>
  <c r="B72" i="33"/>
  <c r="B72" i="34"/>
  <c r="B72" i="37"/>
  <c r="B72" i="40"/>
  <c r="B72" i="31"/>
  <c r="O72" i="34"/>
  <c r="O72" i="35"/>
  <c r="B72" i="32"/>
  <c r="O72" i="33"/>
  <c r="B72" i="18"/>
  <c r="B68" i="7"/>
  <c r="O72" i="18"/>
  <c r="O72" i="37"/>
  <c r="B72" i="35"/>
  <c r="U68" i="18"/>
  <c r="V68" i="18"/>
  <c r="W68" i="18" s="1"/>
  <c r="T66" i="17" s="1"/>
  <c r="U66" i="32"/>
  <c r="V66" i="32"/>
  <c r="W66" i="32" s="1"/>
  <c r="W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U68" i="37" l="1"/>
  <c r="V68" i="37"/>
  <c r="W68" i="37" s="1"/>
  <c r="AA66" i="17" s="1"/>
  <c r="AC64" i="17"/>
  <c r="AF64" i="17" s="1"/>
  <c r="V67" i="33"/>
  <c r="W67" i="33" s="1"/>
  <c r="Y65" i="17" s="1"/>
  <c r="U67" i="33"/>
  <c r="V69" i="31"/>
  <c r="W69" i="31" s="1"/>
  <c r="U67" i="17" s="1"/>
  <c r="U69" i="31"/>
  <c r="K61" i="38"/>
  <c r="K68" i="31"/>
  <c r="D66" i="17" s="1"/>
  <c r="I69" i="31"/>
  <c r="J69" i="31"/>
  <c r="O73" i="40"/>
  <c r="O73" i="35"/>
  <c r="O73" i="31"/>
  <c r="O73" i="37"/>
  <c r="B73" i="18"/>
  <c r="O73" i="36"/>
  <c r="B73" i="33"/>
  <c r="B73" i="32"/>
  <c r="B73" i="35"/>
  <c r="O73" i="32"/>
  <c r="O73" i="34"/>
  <c r="O73" i="18"/>
  <c r="B69" i="7"/>
  <c r="B73" i="31"/>
  <c r="B73" i="34"/>
  <c r="B73" i="36"/>
  <c r="O73" i="33"/>
  <c r="B73" i="40"/>
  <c r="B73" i="37"/>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AC65" i="17" l="1"/>
  <c r="AF65" i="17" s="1"/>
  <c r="U69" i="37"/>
  <c r="V69" i="37"/>
  <c r="W69" i="37" s="1"/>
  <c r="AA67" i="17" s="1"/>
  <c r="V68" i="33"/>
  <c r="W68" i="33" s="1"/>
  <c r="Y66" i="17" s="1"/>
  <c r="U68" i="33"/>
  <c r="U70" i="31"/>
  <c r="V70" i="31"/>
  <c r="W70" i="31" s="1"/>
  <c r="U68" i="17" s="1"/>
  <c r="K62" i="38"/>
  <c r="K69" i="31"/>
  <c r="D67" i="17" s="1"/>
  <c r="I70" i="31"/>
  <c r="J70" i="31"/>
  <c r="O74" i="36"/>
  <c r="O74" i="31"/>
  <c r="O74" i="18"/>
  <c r="B74" i="18"/>
  <c r="B70" i="7"/>
  <c r="O74" i="32"/>
  <c r="B74" i="37"/>
  <c r="B74" i="35"/>
  <c r="B74" i="31"/>
  <c r="B74" i="34"/>
  <c r="O74" i="40"/>
  <c r="B74" i="32"/>
  <c r="O74" i="35"/>
  <c r="O74" i="37"/>
  <c r="B74" i="36"/>
  <c r="O74" i="34"/>
  <c r="B74" i="33"/>
  <c r="O74" i="33"/>
  <c r="B74" i="40"/>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V70" i="37" l="1"/>
  <c r="W70" i="37" s="1"/>
  <c r="AA68" i="17" s="1"/>
  <c r="U70" i="37"/>
  <c r="AC66" i="17"/>
  <c r="AF66" i="17" s="1"/>
  <c r="U69" i="33"/>
  <c r="V69" i="33"/>
  <c r="W69" i="33" s="1"/>
  <c r="Y67" i="17" s="1"/>
  <c r="V71" i="31"/>
  <c r="W71" i="31" s="1"/>
  <c r="U69" i="17" s="1"/>
  <c r="U71" i="31"/>
  <c r="K63" i="38"/>
  <c r="K70" i="31"/>
  <c r="D68" i="17" s="1"/>
  <c r="I71" i="31"/>
  <c r="J71" i="31"/>
  <c r="O75" i="40"/>
  <c r="B75" i="33"/>
  <c r="B75" i="32"/>
  <c r="B75" i="37"/>
  <c r="B75" i="35"/>
  <c r="B75" i="36"/>
  <c r="O75" i="31"/>
  <c r="O75" i="35"/>
  <c r="O75" i="34"/>
  <c r="B75" i="34"/>
  <c r="O75" i="18"/>
  <c r="O75" i="33"/>
  <c r="O75" i="32"/>
  <c r="B75" i="18"/>
  <c r="B71" i="7"/>
  <c r="B75" i="40"/>
  <c r="O75" i="37"/>
  <c r="B75" i="31"/>
  <c r="O75" i="36"/>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U71" i="37" l="1"/>
  <c r="V71" i="37"/>
  <c r="W71" i="37" s="1"/>
  <c r="AA69" i="17" s="1"/>
  <c r="AC67" i="17"/>
  <c r="AF67" i="17" s="1"/>
  <c r="U70" i="33"/>
  <c r="V70" i="33"/>
  <c r="W70" i="33" s="1"/>
  <c r="Y68" i="17" s="1"/>
  <c r="V72" i="31"/>
  <c r="W72" i="31" s="1"/>
  <c r="U70" i="17" s="1"/>
  <c r="U72" i="31"/>
  <c r="I72" i="31"/>
  <c r="J72" i="31"/>
  <c r="K71" i="31"/>
  <c r="D69" i="17" s="1"/>
  <c r="K64" i="38"/>
  <c r="O76" i="34"/>
  <c r="B76" i="34"/>
  <c r="O76" i="32"/>
  <c r="B76" i="37"/>
  <c r="B72" i="7"/>
  <c r="B76" i="32"/>
  <c r="O76" i="33"/>
  <c r="B76" i="36"/>
  <c r="O76" i="37"/>
  <c r="B76" i="33"/>
  <c r="B76" i="40"/>
  <c r="O76" i="18"/>
  <c r="O76" i="40"/>
  <c r="O76" i="31"/>
  <c r="O76" i="36"/>
  <c r="B76" i="18"/>
  <c r="O76" i="35"/>
  <c r="B76" i="35"/>
  <c r="B76" i="31"/>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V72" i="37"/>
  <c r="W72" i="37" s="1"/>
  <c r="AA70" i="17" s="1"/>
  <c r="U72" i="37"/>
  <c r="V71" i="33"/>
  <c r="W71" i="33" s="1"/>
  <c r="Y69" i="17" s="1"/>
  <c r="U71" i="33"/>
  <c r="V73" i="31"/>
  <c r="W73" i="31" s="1"/>
  <c r="U71" i="17" s="1"/>
  <c r="U73" i="31"/>
  <c r="K72" i="31"/>
  <c r="D70" i="17" s="1"/>
  <c r="K65" i="38"/>
  <c r="J73" i="31"/>
  <c r="I73" i="31"/>
  <c r="B77" i="36"/>
  <c r="B77" i="33"/>
  <c r="O77" i="37"/>
  <c r="B77" i="31"/>
  <c r="O77" i="33"/>
  <c r="O77" i="34"/>
  <c r="O77" i="31"/>
  <c r="O77" i="32"/>
  <c r="B77" i="18"/>
  <c r="B77" i="34"/>
  <c r="O77" i="40"/>
  <c r="B77" i="35"/>
  <c r="B73" i="7"/>
  <c r="O77" i="35"/>
  <c r="O77" i="18"/>
  <c r="B77" i="37"/>
  <c r="O77" i="36"/>
  <c r="B77" i="32"/>
  <c r="B77" i="40"/>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U73" i="37" l="1"/>
  <c r="V73" i="37"/>
  <c r="W73" i="37" s="1"/>
  <c r="AA71" i="17" s="1"/>
  <c r="AC69" i="17"/>
  <c r="AF69" i="17" s="1"/>
  <c r="V72" i="33"/>
  <c r="W72" i="33" s="1"/>
  <c r="Y70" i="17" s="1"/>
  <c r="U72" i="33"/>
  <c r="U74" i="31"/>
  <c r="V74" i="31"/>
  <c r="W74" i="31" s="1"/>
  <c r="U72" i="17" s="1"/>
  <c r="J74" i="31"/>
  <c r="I74" i="31"/>
  <c r="K66" i="38"/>
  <c r="K73" i="31"/>
  <c r="D71" i="17" s="1"/>
  <c r="O78" i="33"/>
  <c r="O78" i="35"/>
  <c r="B78" i="34"/>
  <c r="O78" i="34"/>
  <c r="B78" i="31"/>
  <c r="B78" i="18"/>
  <c r="B78" i="32"/>
  <c r="B78" i="40"/>
  <c r="O78" i="36"/>
  <c r="B78" i="37"/>
  <c r="B78" i="36"/>
  <c r="O78" i="40"/>
  <c r="B78" i="33"/>
  <c r="O78" i="37"/>
  <c r="B74" i="7"/>
  <c r="O78" i="31"/>
  <c r="O78" i="32"/>
  <c r="O78" i="18"/>
  <c r="B78" i="35"/>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AC70" i="17" l="1"/>
  <c r="AF70" i="17" s="1"/>
  <c r="V74" i="37"/>
  <c r="W74" i="37" s="1"/>
  <c r="AA72" i="17" s="1"/>
  <c r="U74" i="37"/>
  <c r="V73" i="33"/>
  <c r="W73" i="33" s="1"/>
  <c r="Y71" i="17" s="1"/>
  <c r="U73" i="33"/>
  <c r="V75" i="31"/>
  <c r="W75" i="31" s="1"/>
  <c r="U73" i="17" s="1"/>
  <c r="U75" i="31"/>
  <c r="I75" i="31"/>
  <c r="J75" i="31"/>
  <c r="K74" i="31"/>
  <c r="D72" i="17" s="1"/>
  <c r="K67" i="38"/>
  <c r="O79" i="33"/>
  <c r="O79" i="31"/>
  <c r="O79" i="37"/>
  <c r="O79" i="32"/>
  <c r="O79" i="35"/>
  <c r="B79" i="34"/>
  <c r="B79" i="31"/>
  <c r="B79" i="40"/>
  <c r="B75" i="7"/>
  <c r="O79" i="40"/>
  <c r="O79" i="18"/>
  <c r="B79" i="35"/>
  <c r="B79" i="32"/>
  <c r="O79" i="36"/>
  <c r="B79" i="37"/>
  <c r="O79" i="34"/>
  <c r="B79" i="33"/>
  <c r="B79" i="18"/>
  <c r="B79" i="36"/>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V75" i="37" l="1"/>
  <c r="W75" i="37" s="1"/>
  <c r="AA73" i="17" s="1"/>
  <c r="U75" i="37"/>
  <c r="AC71" i="17"/>
  <c r="AF71" i="17" s="1"/>
  <c r="U74" i="33"/>
  <c r="V74" i="33"/>
  <c r="W74" i="33" s="1"/>
  <c r="Y72" i="17" s="1"/>
  <c r="U76" i="31"/>
  <c r="V76" i="31"/>
  <c r="W76" i="31" s="1"/>
  <c r="U74" i="17" s="1"/>
  <c r="I76" i="31"/>
  <c r="J76" i="31"/>
  <c r="K68" i="38"/>
  <c r="K75" i="31"/>
  <c r="D73" i="17" s="1"/>
  <c r="O80" i="33"/>
  <c r="O80" i="37"/>
  <c r="O80" i="32"/>
  <c r="B80" i="37"/>
  <c r="B80" i="40"/>
  <c r="B80" i="32"/>
  <c r="B76" i="7"/>
  <c r="O80" i="35"/>
  <c r="B80" i="35"/>
  <c r="B80" i="33"/>
  <c r="O80" i="18"/>
  <c r="B80" i="18"/>
  <c r="B80" i="36"/>
  <c r="O80" i="34"/>
  <c r="O80" i="31"/>
  <c r="O80" i="40"/>
  <c r="B80" i="34"/>
  <c r="B80" i="31"/>
  <c r="O80" i="36"/>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U76" i="37" l="1"/>
  <c r="V76" i="37"/>
  <c r="W76" i="37" s="1"/>
  <c r="AA74" i="17" s="1"/>
  <c r="AC72" i="17"/>
  <c r="AF72" i="17" s="1"/>
  <c r="U75" i="33"/>
  <c r="V75" i="33"/>
  <c r="W75" i="33" s="1"/>
  <c r="Y73" i="17" s="1"/>
  <c r="V77" i="31"/>
  <c r="W77" i="31" s="1"/>
  <c r="U75" i="17" s="1"/>
  <c r="U77" i="31"/>
  <c r="K69" i="38"/>
  <c r="K76" i="31"/>
  <c r="D74" i="17" s="1"/>
  <c r="J77" i="31"/>
  <c r="I77" i="31"/>
  <c r="B81" i="36"/>
  <c r="O81" i="40"/>
  <c r="O81" i="18"/>
  <c r="O81" i="35"/>
  <c r="B81" i="33"/>
  <c r="B81" i="34"/>
  <c r="O81" i="33"/>
  <c r="O81" i="32"/>
  <c r="B81" i="35"/>
  <c r="O81" i="36"/>
  <c r="B81" i="31"/>
  <c r="O81" i="37"/>
  <c r="O81" i="31"/>
  <c r="B81" i="18"/>
  <c r="O81" i="34"/>
  <c r="B81" i="32"/>
  <c r="B81" i="40"/>
  <c r="B81" i="37"/>
  <c r="B77" i="7"/>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V77" i="37" l="1"/>
  <c r="W77" i="37" s="1"/>
  <c r="AA75" i="17" s="1"/>
  <c r="U77" i="37"/>
  <c r="AC73" i="17"/>
  <c r="AF73" i="17" s="1"/>
  <c r="U76" i="33"/>
  <c r="V76" i="33"/>
  <c r="W76" i="33" s="1"/>
  <c r="Y74" i="17" s="1"/>
  <c r="U78" i="31"/>
  <c r="V78" i="31"/>
  <c r="W78" i="31" s="1"/>
  <c r="U76" i="17" s="1"/>
  <c r="J78" i="31"/>
  <c r="I78" i="31"/>
  <c r="K77" i="31"/>
  <c r="D75" i="17" s="1"/>
  <c r="K70" i="38"/>
  <c r="B78" i="7"/>
  <c r="O82" i="34"/>
  <c r="B82" i="37"/>
  <c r="B82" i="31"/>
  <c r="O82" i="40"/>
  <c r="O82" i="36"/>
  <c r="B82" i="40"/>
  <c r="B82" i="32"/>
  <c r="O82" i="32"/>
  <c r="B82" i="35"/>
  <c r="O82" i="33"/>
  <c r="O82" i="31"/>
  <c r="B82" i="36"/>
  <c r="B82" i="34"/>
  <c r="O82" i="35"/>
  <c r="O82" i="37"/>
  <c r="B82" i="33"/>
  <c r="B82" i="18"/>
  <c r="O82" i="1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V78" i="37" l="1"/>
  <c r="W78" i="37" s="1"/>
  <c r="AA76" i="17" s="1"/>
  <c r="U78" i="37"/>
  <c r="AC74" i="17"/>
  <c r="AF74" i="17" s="1"/>
  <c r="U77" i="33"/>
  <c r="V77" i="33"/>
  <c r="W77" i="33" s="1"/>
  <c r="Y75" i="17" s="1"/>
  <c r="V79" i="31"/>
  <c r="W79" i="31" s="1"/>
  <c r="U77" i="17" s="1"/>
  <c r="U79" i="31"/>
  <c r="I79" i="31"/>
  <c r="J79" i="31"/>
  <c r="K71" i="38"/>
  <c r="K78" i="31"/>
  <c r="D76" i="17" s="1"/>
  <c r="O83" i="18"/>
  <c r="O83" i="33"/>
  <c r="B83" i="33"/>
  <c r="O83" i="31"/>
  <c r="B83" i="18"/>
  <c r="O83" i="35"/>
  <c r="O83" i="40"/>
  <c r="B83" i="31"/>
  <c r="B83" i="34"/>
  <c r="O83" i="37"/>
  <c r="B79" i="7"/>
  <c r="O83" i="36"/>
  <c r="B83" i="36"/>
  <c r="O83" i="32"/>
  <c r="B83" i="40"/>
  <c r="B83" i="37"/>
  <c r="O83" i="34"/>
  <c r="B83" i="32"/>
  <c r="B83" i="35"/>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V79" i="37" l="1"/>
  <c r="W79" i="37" s="1"/>
  <c r="AA77" i="17" s="1"/>
  <c r="U79" i="37"/>
  <c r="AC75" i="17"/>
  <c r="AF75" i="17" s="1"/>
  <c r="U78" i="33"/>
  <c r="V78" i="33"/>
  <c r="W78" i="33" s="1"/>
  <c r="Y76" i="17" s="1"/>
  <c r="V80" i="31"/>
  <c r="W80" i="31" s="1"/>
  <c r="U78" i="17" s="1"/>
  <c r="U80" i="31"/>
  <c r="K72" i="38"/>
  <c r="K79" i="31"/>
  <c r="D77" i="17" s="1"/>
  <c r="J80" i="31"/>
  <c r="I80" i="31"/>
  <c r="O84" i="40"/>
  <c r="O84" i="33"/>
  <c r="B84" i="32"/>
  <c r="O84" i="18"/>
  <c r="O84" i="31"/>
  <c r="O84" i="35"/>
  <c r="O84" i="37"/>
  <c r="B84" i="37"/>
  <c r="B80" i="7"/>
  <c r="B84" i="35"/>
  <c r="B84" i="18"/>
  <c r="O84" i="34"/>
  <c r="B84" i="36"/>
  <c r="B84" i="31"/>
  <c r="B84" i="34"/>
  <c r="O84" i="36"/>
  <c r="B84" i="33"/>
  <c r="B84" i="40"/>
  <c r="O84" i="32"/>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V80" i="37" l="1"/>
  <c r="W80" i="37" s="1"/>
  <c r="AA78" i="17" s="1"/>
  <c r="U80" i="37"/>
  <c r="AC76" i="17"/>
  <c r="AF76" i="17" s="1"/>
  <c r="V79" i="33"/>
  <c r="W79" i="33" s="1"/>
  <c r="Y77" i="17" s="1"/>
  <c r="U79" i="33"/>
  <c r="V81" i="31"/>
  <c r="W81" i="31" s="1"/>
  <c r="U79" i="17" s="1"/>
  <c r="U81" i="31"/>
  <c r="J81" i="31"/>
  <c r="I81" i="31"/>
  <c r="K80" i="31"/>
  <c r="D78" i="17" s="1"/>
  <c r="K73" i="38"/>
  <c r="B85" i="31"/>
  <c r="B85" i="37"/>
  <c r="B81" i="7"/>
  <c r="O85" i="36"/>
  <c r="O85" i="31"/>
  <c r="O85" i="40"/>
  <c r="B85" i="32"/>
  <c r="O85" i="34"/>
  <c r="O85" i="32"/>
  <c r="B85" i="34"/>
  <c r="B85" i="35"/>
  <c r="O85" i="37"/>
  <c r="O85" i="18"/>
  <c r="O85" i="33"/>
  <c r="B85" i="36"/>
  <c r="B85" i="18"/>
  <c r="B85" i="33"/>
  <c r="B85" i="40"/>
  <c r="O85" i="35"/>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V81" i="37"/>
  <c r="W81" i="37" s="1"/>
  <c r="AA79" i="17" s="1"/>
  <c r="U81" i="37"/>
  <c r="V80" i="33"/>
  <c r="W80" i="33" s="1"/>
  <c r="Y78" i="17" s="1"/>
  <c r="U80" i="33"/>
  <c r="V82" i="31"/>
  <c r="W82" i="31" s="1"/>
  <c r="U80" i="17" s="1"/>
  <c r="U82" i="31"/>
  <c r="I82" i="31"/>
  <c r="J82" i="31"/>
  <c r="K81" i="31"/>
  <c r="D79" i="17" s="1"/>
  <c r="K74" i="38"/>
  <c r="O86" i="37"/>
  <c r="B86" i="33"/>
  <c r="B86" i="40"/>
  <c r="B86" i="37"/>
  <c r="O86" i="35"/>
  <c r="O86" i="36"/>
  <c r="O86" i="18"/>
  <c r="B86" i="31"/>
  <c r="B86" i="35"/>
  <c r="O86" i="32"/>
  <c r="B82" i="7"/>
  <c r="O86" i="40"/>
  <c r="B86" i="36"/>
  <c r="O86" i="34"/>
  <c r="B86" i="34"/>
  <c r="O86" i="31"/>
  <c r="B86" i="32"/>
  <c r="O86" i="33"/>
  <c r="B86" i="1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U82" i="37" l="1"/>
  <c r="V82" i="37"/>
  <c r="W82" i="37" s="1"/>
  <c r="AA80" i="17" s="1"/>
  <c r="AC78" i="17"/>
  <c r="AF78" i="17" s="1"/>
  <c r="V81" i="33"/>
  <c r="W81" i="33" s="1"/>
  <c r="Y79" i="17" s="1"/>
  <c r="U81" i="33"/>
  <c r="V83" i="31"/>
  <c r="W83" i="31" s="1"/>
  <c r="U81" i="17" s="1"/>
  <c r="U83" i="31"/>
  <c r="K75" i="38"/>
  <c r="K82" i="31"/>
  <c r="D80" i="17" s="1"/>
  <c r="J83" i="31"/>
  <c r="I83" i="31"/>
  <c r="B87" i="34"/>
  <c r="B83" i="7"/>
  <c r="O87" i="32"/>
  <c r="B87" i="31"/>
  <c r="O87" i="36"/>
  <c r="B87" i="40"/>
  <c r="B87" i="18"/>
  <c r="O87" i="34"/>
  <c r="O87" i="31"/>
  <c r="O87" i="33"/>
  <c r="O87" i="18"/>
  <c r="B87" i="32"/>
  <c r="O87" i="37"/>
  <c r="B87" i="37"/>
  <c r="B87" i="33"/>
  <c r="O87" i="35"/>
  <c r="O87" i="40"/>
  <c r="B87" i="35"/>
  <c r="B87" i="36"/>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U83" i="37" l="1"/>
  <c r="V83" i="37"/>
  <c r="W83" i="37" s="1"/>
  <c r="AA81" i="17" s="1"/>
  <c r="AC79" i="17"/>
  <c r="AF79" i="17" s="1"/>
  <c r="U82" i="33"/>
  <c r="V82" i="33"/>
  <c r="W82" i="33" s="1"/>
  <c r="Y80" i="17" s="1"/>
  <c r="V84" i="31"/>
  <c r="W84" i="31" s="1"/>
  <c r="U82" i="17" s="1"/>
  <c r="U84" i="31"/>
  <c r="I84" i="31"/>
  <c r="J84" i="31"/>
  <c r="K76" i="38"/>
  <c r="K83" i="31"/>
  <c r="D81" i="17" s="1"/>
  <c r="O88" i="37"/>
  <c r="B88" i="33"/>
  <c r="B88" i="34"/>
  <c r="O88" i="36"/>
  <c r="B88" i="32"/>
  <c r="B88" i="35"/>
  <c r="O88" i="33"/>
  <c r="O88" i="31"/>
  <c r="O88" i="40"/>
  <c r="O88" i="32"/>
  <c r="B88" i="18"/>
  <c r="O88" i="34"/>
  <c r="O88" i="35"/>
  <c r="O88" i="18"/>
  <c r="B88" i="31"/>
  <c r="B84" i="7"/>
  <c r="B88" i="40"/>
  <c r="B88" i="36"/>
  <c r="B88" i="37"/>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V84" i="37" l="1"/>
  <c r="W84" i="37" s="1"/>
  <c r="AA82" i="17" s="1"/>
  <c r="U84" i="37"/>
  <c r="AC80" i="17"/>
  <c r="AF80" i="17" s="1"/>
  <c r="V83" i="33"/>
  <c r="W83" i="33" s="1"/>
  <c r="Y81" i="17" s="1"/>
  <c r="U83" i="33"/>
  <c r="V85" i="31"/>
  <c r="W85" i="31" s="1"/>
  <c r="U83" i="17" s="1"/>
  <c r="U85" i="31"/>
  <c r="K84" i="31"/>
  <c r="D82" i="17" s="1"/>
  <c r="K77" i="38"/>
  <c r="J85" i="31"/>
  <c r="I85" i="31"/>
  <c r="O89" i="35"/>
  <c r="B89" i="31"/>
  <c r="B85" i="7"/>
  <c r="B89" i="36"/>
  <c r="B89" i="33"/>
  <c r="O89" i="31"/>
  <c r="O89" i="34"/>
  <c r="O89" i="36"/>
  <c r="O89" i="40"/>
  <c r="B89" i="37"/>
  <c r="B89" i="40"/>
  <c r="O89" i="33"/>
  <c r="O89" i="32"/>
  <c r="B89" i="34"/>
  <c r="B89" i="32"/>
  <c r="B89" i="35"/>
  <c r="O89" i="18"/>
  <c r="O89" i="37"/>
  <c r="B89" i="18"/>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V85" i="37"/>
  <c r="W85" i="37" s="1"/>
  <c r="AA83" i="17" s="1"/>
  <c r="U85" i="37"/>
  <c r="V84" i="33"/>
  <c r="W84" i="33" s="1"/>
  <c r="Y82" i="17" s="1"/>
  <c r="U84" i="33"/>
  <c r="V86" i="31"/>
  <c r="W86" i="31" s="1"/>
  <c r="U84" i="17" s="1"/>
  <c r="U86" i="31"/>
  <c r="I86" i="31"/>
  <c r="J86" i="31"/>
  <c r="K85" i="31"/>
  <c r="D83" i="17" s="1"/>
  <c r="K78" i="38"/>
  <c r="B90" i="34"/>
  <c r="B90" i="40"/>
  <c r="O90" i="37"/>
  <c r="O90" i="31"/>
  <c r="O90" i="36"/>
  <c r="B90" i="32"/>
  <c r="B90" i="33"/>
  <c r="O90" i="18"/>
  <c r="O90" i="33"/>
  <c r="B86" i="7"/>
  <c r="O90" i="32"/>
  <c r="O90" i="40"/>
  <c r="B90" i="36"/>
  <c r="B90" i="18"/>
  <c r="B90" i="31"/>
  <c r="O90" i="34"/>
  <c r="B90" i="37"/>
  <c r="B90" i="35"/>
  <c r="O90" i="35"/>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V86" i="37" l="1"/>
  <c r="W86" i="37" s="1"/>
  <c r="AA84" i="17" s="1"/>
  <c r="U86" i="37"/>
  <c r="AC82" i="17"/>
  <c r="AF82" i="17" s="1"/>
  <c r="V85" i="33"/>
  <c r="W85" i="33" s="1"/>
  <c r="Y83" i="17" s="1"/>
  <c r="U85" i="33"/>
  <c r="V87" i="31"/>
  <c r="W87" i="31" s="1"/>
  <c r="U85" i="17" s="1"/>
  <c r="U87" i="31"/>
  <c r="K79" i="38"/>
  <c r="K86" i="31"/>
  <c r="D84" i="17" s="1"/>
  <c r="J87" i="31"/>
  <c r="I87" i="31"/>
  <c r="O91" i="32"/>
  <c r="O91" i="18"/>
  <c r="B91" i="35"/>
  <c r="B91" i="33"/>
  <c r="O91" i="34"/>
  <c r="B91" i="32"/>
  <c r="O91" i="33"/>
  <c r="O91" i="35"/>
  <c r="B91" i="37"/>
  <c r="B91" i="18"/>
  <c r="B87" i="7"/>
  <c r="B91" i="31"/>
  <c r="O91" i="31"/>
  <c r="B91" i="36"/>
  <c r="O91" i="40"/>
  <c r="O91" i="37"/>
  <c r="B91" i="40"/>
  <c r="B91" i="34"/>
  <c r="O91" i="36"/>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U87" i="37" l="1"/>
  <c r="V87" i="37"/>
  <c r="W87" i="37" s="1"/>
  <c r="AA85" i="17" s="1"/>
  <c r="AC83" i="17"/>
  <c r="AF83" i="17" s="1"/>
  <c r="V86" i="33"/>
  <c r="W86" i="33" s="1"/>
  <c r="Y84" i="17" s="1"/>
  <c r="U86" i="33"/>
  <c r="V88" i="31"/>
  <c r="W88" i="31" s="1"/>
  <c r="U86" i="17" s="1"/>
  <c r="U88" i="31"/>
  <c r="J88" i="31"/>
  <c r="I88" i="31"/>
  <c r="K80" i="38"/>
  <c r="K87" i="31"/>
  <c r="D85" i="17" s="1"/>
  <c r="B92" i="32"/>
  <c r="O92" i="36"/>
  <c r="O92" i="33"/>
  <c r="O92" i="18"/>
  <c r="O92" i="40"/>
  <c r="B92" i="18"/>
  <c r="B92" i="33"/>
  <c r="O92" i="35"/>
  <c r="B92" i="40"/>
  <c r="O92" i="37"/>
  <c r="B88" i="7"/>
  <c r="B92" i="36"/>
  <c r="B92" i="35"/>
  <c r="O92" i="32"/>
  <c r="O92" i="31"/>
  <c r="B92" i="31"/>
  <c r="B92" i="34"/>
  <c r="O92" i="34"/>
  <c r="B92" i="37"/>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AC84" i="17" l="1"/>
  <c r="AF84" i="17" s="1"/>
  <c r="U88" i="37"/>
  <c r="V88" i="37"/>
  <c r="W88" i="37" s="1"/>
  <c r="AA86" i="17" s="1"/>
  <c r="U87" i="33"/>
  <c r="V87" i="33"/>
  <c r="W87" i="33" s="1"/>
  <c r="Y85" i="17" s="1"/>
  <c r="V89" i="31"/>
  <c r="W89" i="31" s="1"/>
  <c r="U87" i="17" s="1"/>
  <c r="U89" i="31"/>
  <c r="J89" i="31"/>
  <c r="I89" i="31"/>
  <c r="K88" i="31"/>
  <c r="D86" i="17" s="1"/>
  <c r="K81" i="38"/>
  <c r="O93" i="18"/>
  <c r="B93" i="32"/>
  <c r="B89" i="7"/>
  <c r="B93" i="18"/>
  <c r="B93" i="33"/>
  <c r="B93" i="40"/>
  <c r="O93" i="33"/>
  <c r="O93" i="37"/>
  <c r="O93" i="34"/>
  <c r="B93" i="31"/>
  <c r="O93" i="35"/>
  <c r="B93" i="37"/>
  <c r="O93" i="40"/>
  <c r="B93" i="34"/>
  <c r="B93" i="35"/>
  <c r="O93" i="31"/>
  <c r="O93" i="36"/>
  <c r="O93" i="32"/>
  <c r="B93" i="36"/>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V89" i="37" l="1"/>
  <c r="W89" i="37" s="1"/>
  <c r="AA87" i="17" s="1"/>
  <c r="U89" i="37"/>
  <c r="AC85" i="17"/>
  <c r="AF85" i="17" s="1"/>
  <c r="U88" i="33"/>
  <c r="V88" i="33"/>
  <c r="W88" i="33" s="1"/>
  <c r="Y86" i="17" s="1"/>
  <c r="U90" i="31"/>
  <c r="V90" i="31"/>
  <c r="W90" i="31" s="1"/>
  <c r="U88" i="17" s="1"/>
  <c r="J90" i="31"/>
  <c r="I90" i="31"/>
  <c r="K89" i="31"/>
  <c r="D87" i="17" s="1"/>
  <c r="K82" i="38"/>
  <c r="O94" i="40"/>
  <c r="O94" i="31"/>
  <c r="B94" i="34"/>
  <c r="O94" i="37"/>
  <c r="B94" i="37"/>
  <c r="B94" i="32"/>
  <c r="O94" i="18"/>
  <c r="O94" i="35"/>
  <c r="O94" i="33"/>
  <c r="B94" i="40"/>
  <c r="B94" i="33"/>
  <c r="O94" i="32"/>
  <c r="B94" i="31"/>
  <c r="B94" i="36"/>
  <c r="O94" i="36"/>
  <c r="O94" i="34"/>
  <c r="B90" i="7"/>
  <c r="B94" i="18"/>
  <c r="B94" i="35"/>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U90" i="37"/>
  <c r="V90" i="37"/>
  <c r="W90" i="37" s="1"/>
  <c r="AA88" i="17" s="1"/>
  <c r="V89" i="33"/>
  <c r="W89" i="33" s="1"/>
  <c r="Y87" i="17" s="1"/>
  <c r="U89" i="33"/>
  <c r="U91" i="31"/>
  <c r="V91" i="31"/>
  <c r="W91" i="31" s="1"/>
  <c r="U89" i="17" s="1"/>
  <c r="J91" i="31"/>
  <c r="I91" i="31"/>
  <c r="K90" i="31"/>
  <c r="D88" i="17" s="1"/>
  <c r="K83" i="38"/>
  <c r="B95" i="34"/>
  <c r="B91" i="7"/>
  <c r="B95" i="18"/>
  <c r="O95" i="31"/>
  <c r="O95" i="40"/>
  <c r="O95" i="32"/>
  <c r="B95" i="36"/>
  <c r="B95" i="40"/>
  <c r="O95" i="35"/>
  <c r="O95" i="34"/>
  <c r="O95" i="36"/>
  <c r="B95" i="33"/>
  <c r="O95" i="18"/>
  <c r="B95" i="35"/>
  <c r="B95" i="37"/>
  <c r="B95" i="31"/>
  <c r="O95" i="37"/>
  <c r="B95" i="32"/>
  <c r="O95" i="33"/>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AC87" i="17" l="1"/>
  <c r="AF87" i="17" s="1"/>
  <c r="U91" i="37"/>
  <c r="V91" i="37"/>
  <c r="W91" i="37" s="1"/>
  <c r="AA89" i="17" s="1"/>
  <c r="U90" i="33"/>
  <c r="V90" i="33"/>
  <c r="W90" i="33" s="1"/>
  <c r="Y88" i="17" s="1"/>
  <c r="V92" i="31"/>
  <c r="W92" i="31" s="1"/>
  <c r="U90" i="17" s="1"/>
  <c r="U92" i="31"/>
  <c r="J92" i="31"/>
  <c r="I92" i="31"/>
  <c r="K84" i="38"/>
  <c r="K91" i="31"/>
  <c r="D89" i="17" s="1"/>
  <c r="B96" i="18"/>
  <c r="O96" i="18"/>
  <c r="B92" i="7"/>
  <c r="O96" i="40"/>
  <c r="B96" i="33"/>
  <c r="O96" i="37"/>
  <c r="B96" i="36"/>
  <c r="O96" i="32"/>
  <c r="O96" i="36"/>
  <c r="O96" i="34"/>
  <c r="B96" i="35"/>
  <c r="B96" i="40"/>
  <c r="B96" i="31"/>
  <c r="O96" i="31"/>
  <c r="B96" i="32"/>
  <c r="O96" i="33"/>
  <c r="O96" i="35"/>
  <c r="B96" i="34"/>
  <c r="B96" i="37"/>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AC88" i="17" l="1"/>
  <c r="AF88" i="17" s="1"/>
  <c r="V92" i="37"/>
  <c r="W92" i="37" s="1"/>
  <c r="AA90" i="17" s="1"/>
  <c r="U92" i="37"/>
  <c r="U91" i="33"/>
  <c r="V91" i="33"/>
  <c r="W91" i="33" s="1"/>
  <c r="Y89" i="17" s="1"/>
  <c r="V93" i="31"/>
  <c r="W93" i="31" s="1"/>
  <c r="U91" i="17" s="1"/>
  <c r="U93" i="31"/>
  <c r="I93" i="31"/>
  <c r="J93" i="31"/>
  <c r="K92" i="31"/>
  <c r="D90" i="17" s="1"/>
  <c r="K85" i="38"/>
  <c r="B97" i="35"/>
  <c r="B93" i="7"/>
  <c r="B97" i="32"/>
  <c r="B97" i="18"/>
  <c r="O97" i="40"/>
  <c r="O97" i="36"/>
  <c r="O97" i="35"/>
  <c r="B97" i="37"/>
  <c r="B97" i="36"/>
  <c r="B97" i="33"/>
  <c r="O97" i="31"/>
  <c r="O97" i="34"/>
  <c r="B97" i="40"/>
  <c r="O97" i="33"/>
  <c r="B97" i="31"/>
  <c r="O97" i="32"/>
  <c r="O97" i="37"/>
  <c r="B97" i="34"/>
  <c r="O97" i="1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V93" i="37" l="1"/>
  <c r="W93" i="37" s="1"/>
  <c r="AA91" i="17" s="1"/>
  <c r="U93" i="37"/>
  <c r="AC89" i="17"/>
  <c r="AF89" i="17" s="1"/>
  <c r="U92" i="33"/>
  <c r="V92" i="33"/>
  <c r="W92" i="33" s="1"/>
  <c r="Y90" i="17" s="1"/>
  <c r="U94" i="31"/>
  <c r="V94" i="31"/>
  <c r="W94" i="31" s="1"/>
  <c r="U92" i="17" s="1"/>
  <c r="K93" i="31"/>
  <c r="D91" i="17" s="1"/>
  <c r="K86" i="38"/>
  <c r="I94" i="31"/>
  <c r="J94" i="31"/>
  <c r="B98" i="37"/>
  <c r="B98" i="35"/>
  <c r="O98" i="40"/>
  <c r="B98" i="31"/>
  <c r="O98" i="34"/>
  <c r="B98" i="18"/>
  <c r="O98" i="33"/>
  <c r="O98" i="36"/>
  <c r="B98" i="33"/>
  <c r="B98" i="34"/>
  <c r="O98" i="18"/>
  <c r="O98" i="35"/>
  <c r="B98" i="32"/>
  <c r="B98" i="36"/>
  <c r="B98" i="40"/>
  <c r="O98" i="31"/>
  <c r="O98" i="32"/>
  <c r="B94" i="7"/>
  <c r="O98" i="37"/>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U94" i="37" l="1"/>
  <c r="V94" i="37"/>
  <c r="W94" i="37" s="1"/>
  <c r="AA92" i="17" s="1"/>
  <c r="V93" i="33"/>
  <c r="W93" i="33" s="1"/>
  <c r="Y91" i="17" s="1"/>
  <c r="U93" i="33"/>
  <c r="AC90" i="17"/>
  <c r="AF90" i="17" s="1"/>
  <c r="U95" i="31"/>
  <c r="V95" i="31"/>
  <c r="W95" i="31" s="1"/>
  <c r="U93" i="17" s="1"/>
  <c r="K87" i="38"/>
  <c r="K94" i="31"/>
  <c r="D92" i="17" s="1"/>
  <c r="J95" i="31"/>
  <c r="I95" i="31"/>
  <c r="O99" i="40"/>
  <c r="O99" i="33"/>
  <c r="B99" i="33"/>
  <c r="B99" i="31"/>
  <c r="O99" i="36"/>
  <c r="O99" i="18"/>
  <c r="O99" i="35"/>
  <c r="B99" i="32"/>
  <c r="O99" i="37"/>
  <c r="O99" i="34"/>
  <c r="B99" i="18"/>
  <c r="B99" i="37"/>
  <c r="O99" i="31"/>
  <c r="B99" i="35"/>
  <c r="B99" i="36"/>
  <c r="B99" i="34"/>
  <c r="B99" i="40"/>
  <c r="O99" i="32"/>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V95" i="37" l="1"/>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U96" i="37" l="1"/>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AC93" i="17" l="1"/>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AC95" i="17" l="1"/>
  <c r="AF95" i="17" s="1"/>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<sst xmlns="http://schemas.openxmlformats.org/spreadsheetml/2006/main" count="1446" uniqueCount="339">
  <si>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</si>
  <si>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</si>
  <si>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</si>
  <si>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</si>
  <si>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</si>
  <si>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</si>
  <si>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</si>
  <si>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</si>
  <si>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</si>
  <si>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</si>
  <si>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</si>
  <si>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</si>
  <si>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</si>
  <si>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</si>
  <si>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</si>
  <si>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</si>
  <si>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</si>
  <si>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</si>
  <si>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</si>
  <si>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</si>
  <si>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</si>
  <si>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</si>
  <si>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</si>
  <si>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</si>
  <si>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</si>
  <si>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</si>
  <si>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</si>
  <si>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</si>
  <si>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</si>
  <si>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</si>
  <si>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</si>
  <si>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</si>
  <si>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</si>
  <si>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</si>
  <si>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</si>
  <si>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</si>
  <si>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</si>
  <si>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</si>
  <si>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</si>
  <si>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</si>
  <si>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</si>
  <si>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</si>
  <si>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</si>
  <si>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</si>
  <si>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</si>
  <si>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</si>
  <si>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</si>
  <si>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</si>
  <si>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</si>
  <si>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</si>
  <si>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</si>
  <si>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</si>
  <si>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</si>
  <si>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</si>
  <si>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</si>
  <si>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</si>
  <si>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</si>
  <si>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</si>
  <si>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</si>
  <si>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</si>
  <si>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</si>
  <si>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</si>
  <si>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</si>
  <si>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</si>
  <si>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</si>
  <si>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</si>
  <si>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</si>
  <si>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</si>
  <si>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</si>
  <si>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</si>
  <si>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</si>
  <si>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</si>
  <si>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</si>
  <si>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</si>
  <si>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</si>
  <si>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</si>
  <si>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</si>
  <si>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</si>
  <si>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</si>
  <si>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</si>
  <si>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</si>
  <si>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</si>
  <si>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</si>
  <si>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</si>
  <si>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</si>
  <si>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</si>
  <si>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</si>
  <si>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</si>
  <si>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</si>
  <si>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</si>
  <si>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</si>
  <si>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</si>
  <si>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</si>
  <si>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</si>
  <si>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</si>
  <si>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</si>
  <si>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</si>
  <si>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</si>
  <si>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</si>
  <si>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</si>
  <si>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</si>
  <si>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</si>
  <si>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</si>
  <si>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</si>
  <si>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</si>
  <si>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</si>
  <si>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</si>
  <si>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</si>
  <si>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</si>
  <si>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</si>
  <si>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</si>
  <si>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</si>
  <si>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</si>
  <si>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</si>
  <si>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</si>
  <si>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</si>
  <si>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</si>
  <si>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</si>
  <si>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</si>
  <si>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</si>
  <si>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</si>
  <si>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</si>
  <si>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</si>
  <si>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</si>
  <si>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</si>
  <si>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</si>
  <si>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</si>
  <si>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</si>
  <si>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</si>
  <si>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</si>
  <si>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</si>
  <si>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</si>
  <si>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</si>
  <si>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</si>
  <si>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</si>
  <si>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</si>
  <si>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</si>
  <si>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</si>
  <si>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</si>
  <si>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</si>
  <si>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</si>
  <si>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</si>
  <si>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</si>
  <si>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</si>
  <si>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</si>
  <si>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</si>
  <si>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</si>
  <si>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</si>
  <si>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</si>
  <si>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</si>
  <si>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</si>
  <si>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</si>
  <si>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</si>
  <si>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</si>
  <si>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</si>
  <si>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</si>
  <si>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</si>
  <si>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</si>
  <si>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</si>
  <si>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</si>
  <si>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</si>
  <si>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</si>
  <si>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</si>
  <si>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</si>
  <si>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</si>
  <si>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</si>
  <si>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</si>
  <si>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</si>
  <si>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</si>
  <si>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</si>
  <si>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</si>
  <si>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</si>
  <si>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</si>
  <si>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</si>
  <si>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</si>
  <si>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</si>
  <si>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</si>
  <si>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</si>
  <si>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</si>
  <si>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</si>
  <si>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</si>
  <si>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</si>
  <si>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</si>
  <si>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</si>
  <si>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</si>
  <si>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</si>
  <si>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</si>
  <si>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</si>
  <si>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</si>
  <si>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</si>
  <si>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</si>
  <si>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</si>
  <si>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</si>
  <si>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</si>
  <si>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</si>
  <si>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</si>
  <si>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</si>
  <si>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</si>
  <si>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</si>
  <si>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</si>
  <si>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</si>
  <si>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</si>
  <si>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</si>
  <si>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</si>
  <si>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</si>
  <si>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</si>
  <si>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</si>
  <si>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</si>
  <si>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</si>
  <si>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</si>
  <si>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</si>
  <si>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</si>
  <si>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</si>
  <si>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</si>
  <si>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</si>
  <si>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</si>
  <si>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</si>
  <si>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</si>
  <si>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</si>
  <si>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</si>
  <si>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</si>
  <si>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</si>
  <si>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</si>
  <si>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</si>
  <si>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</si>
  <si>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</si>
  <si>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</si>
  <si>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</si>
  <si>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</si>
  <si>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</si>
  <si>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</si>
  <si>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</si>
  <si>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</si>
  <si>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</si>
  <si>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</si>
  <si>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</si>
  <si>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</si>
  <si>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</si>
  <si>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</si>
  <si>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</si>
  <si>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</si>
  <si>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</si>
  <si>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</si>
  <si>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</si>
  <si>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</si>
  <si>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</si>
  <si>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</si>
  <si>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</si>
  <si>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</si>
  <si>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</si>
  <si>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</si>
  <si>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</si>
  <si>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</si>
  <si>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</si>
  <si>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</si>
  <si>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</si>
  <si>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</si>
  <si>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</si>
  <si>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</si>
  <si>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</si>
  <si>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</si>
  <si>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</si>
  <si>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</si>
  <si>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</si>
  <si>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</si>
  <si>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</si>
  <si>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</si>
  <si>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</si>
  <si>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</si>
  <si>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</si>
  <si>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</si>
  <si>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</si>
  <si>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</si>
  <si>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</si>
  <si>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</si>
  <si>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</si>
  <si>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</si>
  <si>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</si>
  <si>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</si>
  <si>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</si>
  <si>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</si>
  <si>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</si>
  <si>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</si>
  <si>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</si>
  <si>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</si>
  <si>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</si>
  <si>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</si>
  <si>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</si>
  <si>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</si>
  <si>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</si>
  <si>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</si>
  <si>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</si>
  <si>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</si>
  <si>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</si>
  <si>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</si>
  <si>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</si>
  <si>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</si>
  <si>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</si>
  <si>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</si>
  <si>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</si>
  <si>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</si>
  <si>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</si>
  <si>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</si>
  <si>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</si>
  <si>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</si>
  <si>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</si>
  <si>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</si>
  <si>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</si>
  <si>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</si>
  <si>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</si>
  <si>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</si>
  <si>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</si>
  <si>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</si>
  <si>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</si>
  <si>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</si>
  <si>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</si>
  <si>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</si>
  <si>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</si>
  <si>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</si>
  <si>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</si>
  <si>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</si>
  <si>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</si>
  <si>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</si>
  <si>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</si>
  <si>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</si>
  <si>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</si>
  <si>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</si>
  <si>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</si>
  <si>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</si>
  <si>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</si>
  <si>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</si>
  <si>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</si>
  <si>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</si>
  <si>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</si>
  <si>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</si>
  <si>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</si>
  <si>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</si>
  <si>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</si>
  <si>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Paser</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</si>
</sst>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 #,##0.00_-;_-* &quot;-&quot;??_-;_-@_-"/>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6">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Arial"/>
      <family val="2"/>
    </font>
    <font>
      <sz val="10"/>
      <name val="Arial"/>
    </font>
  </fonts>
  <fills count="25">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
      <patternFill patternType="solid">
        <fgColor theme="8" tint="0.39997558519241921"/>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5">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xf numFmtId="43" fontId="35" fillId="0" borderId="0" applyFont="0" applyFill="0" applyBorder="0" applyAlignment="0" applyProtection="0"/>
  </cellStyleXfs>
  <cellXfs count="974">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0" fontId="2" fillId="7" borderId="0" xfId="0" applyFont="1" applyFill="1" applyAlignment="1">
      <alignment vertical="center" wrapText="1"/>
    </xf>
    <xf numFmtId="3" fontId="2" fillId="11" borderId="0" xfId="0" applyNumberFormat="1" applyFont="1" applyFill="1" applyBorder="1" applyAlignment="1">
      <alignment vertical="center"/>
    </xf>
    <xf numFmtId="1" fontId="1" fillId="0" borderId="25" xfId="0" applyNumberFormat="1" applyFont="1" applyFill="1" applyBorder="1" applyAlignment="1" applyProtection="1">
      <alignment horizontal="center" vertical="center"/>
      <protection locked="0"/>
    </xf>
    <xf numFmtId="1" fontId="1" fillId="0" borderId="1" xfId="0" applyNumberFormat="1" applyFont="1" applyBorder="1" applyAlignment="1">
      <alignment horizontal="center" vertical="center"/>
    </xf>
    <xf numFmtId="1" fontId="1" fillId="0" borderId="20" xfId="0" applyNumberFormat="1" applyFont="1" applyBorder="1" applyAlignment="1">
      <alignment horizontal="center" vertical="center"/>
    </xf>
    <xf numFmtId="0" fontId="1" fillId="7" borderId="0" xfId="0" applyFont="1" applyFill="1" applyBorder="1" applyAlignment="1">
      <alignment vertical="center"/>
    </xf>
    <xf numFmtId="3" fontId="1" fillId="7" borderId="0" xfId="0" applyNumberFormat="1" applyFont="1" applyFill="1" applyAlignment="1">
      <alignment vertical="center"/>
    </xf>
    <xf numFmtId="170" fontId="1" fillId="7" borderId="0" xfId="0" applyNumberFormat="1" applyFont="1" applyFill="1" applyAlignment="1">
      <alignment vertical="center"/>
    </xf>
    <xf numFmtId="3" fontId="1" fillId="7" borderId="0" xfId="0" applyNumberFormat="1" applyFont="1" applyFill="1" applyBorder="1" applyAlignment="1">
      <alignment vertical="center"/>
    </xf>
    <xf numFmtId="3" fontId="1" fillId="14" borderId="0" xfId="0" applyNumberFormat="1" applyFont="1" applyFill="1" applyAlignment="1">
      <alignment vertical="center"/>
    </xf>
    <xf numFmtId="0" fontId="1" fillId="7" borderId="0" xfId="0" applyFont="1" applyFill="1" applyAlignment="1">
      <alignment vertical="center"/>
    </xf>
    <xf numFmtId="3" fontId="1" fillId="11" borderId="0" xfId="0" applyNumberFormat="1" applyFont="1" applyFill="1" applyBorder="1" applyAlignment="1">
      <alignment vertical="center"/>
    </xf>
    <xf numFmtId="0" fontId="1" fillId="14" borderId="0" xfId="0" applyFont="1" applyFill="1" applyAlignment="1">
      <alignment vertical="center"/>
    </xf>
    <xf numFmtId="0" fontId="1" fillId="7" borderId="0" xfId="0" applyFont="1" applyFill="1" applyAlignment="1">
      <alignment vertical="center" wrapText="1"/>
    </xf>
    <xf numFmtId="3" fontId="1" fillId="0" borderId="0" xfId="0" applyNumberFormat="1" applyFont="1" applyAlignment="1">
      <alignment vertical="center"/>
    </xf>
    <xf numFmtId="170" fontId="1" fillId="11" borderId="0" xfId="0" applyNumberFormat="1" applyFont="1" applyFill="1" applyBorder="1" applyAlignment="1">
      <alignment horizontal="center" vertical="center"/>
    </xf>
    <xf numFmtId="3" fontId="1" fillId="11" borderId="0" xfId="0" applyNumberFormat="1" applyFont="1" applyFill="1" applyBorder="1" applyAlignment="1">
      <alignment horizontal="center" vertical="center"/>
    </xf>
    <xf numFmtId="3" fontId="1" fillId="2" borderId="49" xfId="0" applyNumberFormat="1" applyFont="1" applyFill="1" applyBorder="1" applyAlignment="1">
      <alignment horizontal="center" vertical="center" wrapText="1"/>
    </xf>
    <xf numFmtId="3" fontId="1" fillId="2" borderId="7" xfId="0" applyNumberFormat="1" applyFont="1" applyFill="1" applyBorder="1" applyAlignment="1">
      <alignment horizontal="center" vertical="center" wrapText="1"/>
    </xf>
    <xf numFmtId="3" fontId="1" fillId="2" borderId="12"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2" borderId="22" xfId="0" applyNumberFormat="1" applyFont="1" applyFill="1" applyBorder="1" applyAlignment="1">
      <alignment horizontal="center" vertical="center" wrapText="1"/>
    </xf>
    <xf numFmtId="3" fontId="1" fillId="2" borderId="0" xfId="0" applyNumberFormat="1" applyFont="1" applyFill="1" applyBorder="1" applyAlignment="1">
      <alignment horizontal="center" vertical="center" wrapText="1"/>
    </xf>
    <xf numFmtId="3" fontId="1" fillId="11" borderId="0" xfId="0" applyNumberFormat="1" applyFont="1" applyFill="1" applyBorder="1" applyAlignment="1">
      <alignment horizontal="center" vertical="center" wrapText="1"/>
    </xf>
    <xf numFmtId="170" fontId="1" fillId="8" borderId="26" xfId="0" applyNumberFormat="1" applyFont="1" applyFill="1" applyBorder="1" applyAlignment="1">
      <alignment horizontal="center" vertical="center" wrapText="1"/>
    </xf>
    <xf numFmtId="3" fontId="1" fillId="8" borderId="26" xfId="0" applyNumberFormat="1" applyFont="1" applyFill="1" applyBorder="1" applyAlignment="1">
      <alignment horizontal="center" vertical="center" wrapText="1"/>
    </xf>
    <xf numFmtId="3" fontId="1" fillId="2" borderId="8" xfId="0" applyNumberFormat="1" applyFont="1" applyFill="1" applyBorder="1" applyAlignment="1">
      <alignment horizontal="center" vertical="center" wrapText="1"/>
    </xf>
    <xf numFmtId="3" fontId="1" fillId="2" borderId="5" xfId="0" applyNumberFormat="1" applyFont="1" applyFill="1" applyBorder="1" applyAlignment="1">
      <alignment horizontal="center" vertical="center" wrapText="1"/>
    </xf>
    <xf numFmtId="3" fontId="1" fillId="2" borderId="6" xfId="0" applyNumberFormat="1" applyFont="1" applyFill="1" applyBorder="1" applyAlignment="1">
      <alignment horizontal="center" vertical="center" wrapText="1"/>
    </xf>
    <xf numFmtId="3" fontId="1" fillId="2" borderId="20" xfId="0" applyNumberFormat="1" applyFont="1" applyFill="1" applyBorder="1" applyAlignment="1">
      <alignment horizontal="center" vertical="center" wrapText="1"/>
    </xf>
    <xf numFmtId="3" fontId="1" fillId="2" borderId="62" xfId="0" applyNumberFormat="1" applyFont="1" applyFill="1" applyBorder="1" applyAlignment="1">
      <alignment horizontal="center" vertical="center" wrapText="1"/>
    </xf>
    <xf numFmtId="3" fontId="1" fillId="0" borderId="35" xfId="0" applyNumberFormat="1" applyFont="1" applyBorder="1" applyAlignment="1">
      <alignment vertical="center" wrapText="1"/>
    </xf>
    <xf numFmtId="3" fontId="1" fillId="0" borderId="27" xfId="0" applyNumberFormat="1" applyFont="1" applyBorder="1" applyAlignment="1">
      <alignment vertical="center" wrapText="1"/>
    </xf>
    <xf numFmtId="3" fontId="1" fillId="0" borderId="28" xfId="0" applyNumberFormat="1" applyFont="1" applyBorder="1" applyAlignment="1">
      <alignment vertical="center" wrapText="1"/>
    </xf>
    <xf numFmtId="3" fontId="1" fillId="0" borderId="26" xfId="0" applyNumberFormat="1" applyFont="1" applyBorder="1" applyAlignment="1">
      <alignment vertical="center" wrapText="1"/>
    </xf>
    <xf numFmtId="3" fontId="1" fillId="0" borderId="52" xfId="0" applyNumberFormat="1" applyFont="1" applyBorder="1" applyAlignment="1">
      <alignment vertical="center" wrapText="1"/>
    </xf>
    <xf numFmtId="3" fontId="1" fillId="0" borderId="36" xfId="0" applyNumberFormat="1" applyFont="1" applyBorder="1" applyAlignment="1">
      <alignment vertical="center" wrapText="1"/>
    </xf>
    <xf numFmtId="3" fontId="1" fillId="11" borderId="0" xfId="0" applyNumberFormat="1" applyFont="1" applyFill="1" applyBorder="1" applyAlignment="1">
      <alignment vertical="center" wrapText="1"/>
    </xf>
    <xf numFmtId="170" fontId="1" fillId="0" borderId="22" xfId="0" applyNumberFormat="1" applyFont="1" applyFill="1" applyBorder="1" applyAlignment="1">
      <alignment vertical="center" wrapText="1"/>
    </xf>
    <xf numFmtId="3" fontId="1" fillId="0" borderId="22" xfId="0" applyNumberFormat="1" applyFont="1" applyFill="1" applyBorder="1" applyAlignment="1">
      <alignment vertical="center" wrapText="1"/>
    </xf>
    <xf numFmtId="3" fontId="1" fillId="0" borderId="56" xfId="0" applyNumberFormat="1" applyFont="1" applyFill="1" applyBorder="1" applyAlignment="1">
      <alignment vertical="center"/>
    </xf>
    <xf numFmtId="3" fontId="1" fillId="0" borderId="51" xfId="0" applyNumberFormat="1" applyFont="1" applyFill="1" applyBorder="1" applyAlignment="1">
      <alignment vertical="center"/>
    </xf>
    <xf numFmtId="3" fontId="1" fillId="0" borderId="25" xfId="0" applyNumberFormat="1" applyFont="1" applyFill="1" applyBorder="1" applyAlignment="1">
      <alignment vertical="center"/>
    </xf>
    <xf numFmtId="3" fontId="1" fillId="0" borderId="3" xfId="0" applyNumberFormat="1" applyFont="1" applyFill="1" applyBorder="1" applyAlignment="1">
      <alignment vertical="center"/>
    </xf>
    <xf numFmtId="3" fontId="1" fillId="0" borderId="47" xfId="0" applyNumberFormat="1" applyFont="1" applyFill="1" applyBorder="1" applyAlignment="1">
      <alignment vertical="center"/>
    </xf>
    <xf numFmtId="3" fontId="1" fillId="0" borderId="25" xfId="0" applyNumberFormat="1" applyFont="1" applyFill="1" applyBorder="1" applyAlignment="1" applyProtection="1">
      <alignment vertical="center"/>
    </xf>
    <xf numFmtId="1" fontId="1" fillId="0" borderId="25" xfId="0" applyNumberFormat="1" applyFont="1" applyFill="1" applyBorder="1" applyAlignment="1" applyProtection="1">
      <alignment vertical="center"/>
      <protection locked="0"/>
    </xf>
    <xf numFmtId="3" fontId="1" fillId="8" borderId="25" xfId="0" applyNumberFormat="1" applyFont="1" applyFill="1" applyBorder="1" applyAlignment="1">
      <alignment vertical="center"/>
    </xf>
    <xf numFmtId="3" fontId="1" fillId="0" borderId="43" xfId="0" applyNumberFormat="1" applyFont="1" applyFill="1" applyBorder="1" applyAlignment="1">
      <alignment vertical="center"/>
    </xf>
    <xf numFmtId="3" fontId="1" fillId="0" borderId="30" xfId="0" applyNumberFormat="1" applyFont="1" applyFill="1" applyBorder="1" applyAlignment="1">
      <alignment vertical="center"/>
    </xf>
    <xf numFmtId="3" fontId="1" fillId="0" borderId="1" xfId="0" applyNumberFormat="1" applyFont="1" applyFill="1" applyBorder="1" applyAlignment="1">
      <alignment vertical="center"/>
    </xf>
    <xf numFmtId="3" fontId="1" fillId="0" borderId="48" xfId="0" applyNumberFormat="1" applyFont="1" applyFill="1" applyBorder="1" applyAlignment="1">
      <alignment vertical="center"/>
    </xf>
    <xf numFmtId="3" fontId="1" fillId="0" borderId="1" xfId="0" applyNumberFormat="1" applyFont="1" applyFill="1" applyBorder="1" applyAlignment="1" applyProtection="1">
      <alignment vertical="center"/>
    </xf>
    <xf numFmtId="170" fontId="1" fillId="8" borderId="1" xfId="0" applyNumberFormat="1" applyFont="1" applyFill="1" applyBorder="1" applyAlignment="1">
      <alignment vertical="center"/>
    </xf>
    <xf numFmtId="1" fontId="1" fillId="0" borderId="1" xfId="0" applyNumberFormat="1" applyFont="1" applyBorder="1" applyAlignment="1">
      <alignment vertical="center"/>
    </xf>
    <xf numFmtId="3" fontId="1" fillId="8" borderId="1" xfId="0" applyNumberFormat="1" applyFont="1" applyFill="1" applyBorder="1" applyAlignment="1">
      <alignment vertical="center"/>
    </xf>
    <xf numFmtId="3" fontId="1" fillId="0" borderId="63" xfId="0" applyNumberFormat="1" applyFont="1" applyFill="1" applyBorder="1" applyAlignment="1">
      <alignment vertical="center"/>
    </xf>
    <xf numFmtId="3" fontId="1" fillId="0" borderId="6" xfId="0" applyNumberFormat="1" applyFont="1" applyFill="1" applyBorder="1" applyAlignment="1">
      <alignment vertical="center"/>
    </xf>
    <xf numFmtId="3" fontId="1" fillId="0" borderId="20" xfId="0" applyNumberFormat="1" applyFont="1" applyFill="1" applyBorder="1" applyAlignment="1">
      <alignment vertical="center"/>
    </xf>
    <xf numFmtId="3" fontId="1" fillId="0" borderId="20" xfId="0" applyNumberFormat="1" applyFont="1" applyFill="1" applyBorder="1" applyAlignment="1" applyProtection="1">
      <alignment vertical="center"/>
    </xf>
    <xf numFmtId="170" fontId="1" fillId="8" borderId="20" xfId="0" applyNumberFormat="1" applyFont="1" applyFill="1" applyBorder="1" applyAlignment="1">
      <alignment vertical="center"/>
    </xf>
    <xf numFmtId="1" fontId="1" fillId="0" borderId="20" xfId="0" applyNumberFormat="1" applyFont="1" applyBorder="1" applyAlignment="1">
      <alignment vertical="center"/>
    </xf>
    <xf numFmtId="3" fontId="1" fillId="0" borderId="64" xfId="0" applyNumberFormat="1" applyFont="1" applyFill="1" applyBorder="1" applyAlignment="1">
      <alignment vertical="center"/>
    </xf>
    <xf numFmtId="3" fontId="1" fillId="8" borderId="20" xfId="0" applyNumberFormat="1" applyFont="1" applyFill="1" applyBorder="1" applyAlignment="1">
      <alignment vertical="center"/>
    </xf>
    <xf numFmtId="0" fontId="0" fillId="0" borderId="0" xfId="0" applyAlignment="1">
      <alignment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0" fontId="0" fillId="5" borderId="3" xfId="0" applyFill="1" applyBorder="1" applyAlignment="1" applyProtection="1">
      <alignment vertical="center"/>
      <protection locked="0"/>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0" fontId="0" fillId="5" borderId="20" xfId="0" applyFill="1" applyBorder="1" applyAlignment="1" applyProtection="1">
      <alignment vertical="center"/>
      <protection locked="0"/>
    </xf>
    <xf numFmtId="2" fontId="0" fillId="0" borderId="20" xfId="0" applyNumberFormat="1" applyFill="1" applyBorder="1" applyAlignment="1">
      <alignment vertical="center"/>
    </xf>
    <xf numFmtId="0" fontId="0" fillId="0" borderId="0" xfId="0" applyFill="1" applyAlignment="1">
      <alignment vertical="center"/>
    </xf>
    <xf numFmtId="0" fontId="1" fillId="0" borderId="0" xfId="0" applyFont="1" applyAlignment="1">
      <alignment vertical="center"/>
    </xf>
    <xf numFmtId="0" fontId="2" fillId="0" borderId="0" xfId="0" applyFont="1" applyBorder="1" applyAlignment="1">
      <alignment vertical="center"/>
    </xf>
    <xf numFmtId="0" fontId="1" fillId="0" borderId="0" xfId="0" applyFont="1" applyBorder="1" applyAlignment="1">
      <alignment vertical="center"/>
    </xf>
    <xf numFmtId="0" fontId="2" fillId="0" borderId="0" xfId="0" applyFont="1" applyFill="1" applyBorder="1" applyAlignment="1">
      <alignment horizontal="left" vertical="center"/>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9" fontId="1" fillId="0" borderId="26" xfId="2" applyFont="1" applyBorder="1" applyAlignment="1">
      <alignment vertical="center"/>
    </xf>
    <xf numFmtId="0" fontId="1" fillId="0" borderId="74" xfId="0" applyFont="1" applyBorder="1" applyAlignment="1">
      <alignment vertical="center"/>
    </xf>
    <xf numFmtId="0" fontId="1" fillId="0" borderId="74" xfId="0" applyFont="1" applyFill="1" applyBorder="1" applyAlignment="1">
      <alignment vertical="center"/>
    </xf>
    <xf numFmtId="0" fontId="1" fillId="17" borderId="26" xfId="0" applyFont="1" applyFill="1" applyBorder="1" applyAlignment="1">
      <alignment vertical="center"/>
    </xf>
    <xf numFmtId="0" fontId="1" fillId="6" borderId="34" xfId="0" applyFont="1"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1" fillId="2" borderId="40"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72" xfId="0" applyFont="1" applyFill="1" applyBorder="1" applyAlignment="1">
      <alignment horizontal="center" vertical="center" wrapText="1"/>
    </xf>
    <xf numFmtId="0" fontId="1" fillId="2" borderId="73" xfId="0" applyFont="1" applyFill="1" applyBorder="1" applyAlignment="1">
      <alignment horizontal="center" vertical="center" wrapText="1"/>
    </xf>
    <xf numFmtId="0" fontId="1" fillId="2" borderId="75" xfId="0" applyFont="1" applyFill="1" applyBorder="1" applyAlignment="1">
      <alignment horizontal="center" vertical="center" wrapText="1"/>
    </xf>
    <xf numFmtId="0" fontId="1" fillId="2" borderId="70" xfId="0" applyFont="1" applyFill="1" applyBorder="1" applyAlignment="1">
      <alignment horizontal="center" vertical="center" wrapText="1"/>
    </xf>
    <xf numFmtId="0" fontId="1" fillId="0" borderId="0" xfId="0" applyFont="1" applyAlignment="1">
      <alignment horizontal="center" vertical="center" wrapText="1"/>
    </xf>
    <xf numFmtId="0" fontId="1" fillId="2" borderId="8"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1" fillId="0" borderId="11" xfId="0" applyFont="1" applyFill="1" applyBorder="1" applyAlignment="1">
      <alignment vertical="center"/>
    </xf>
    <xf numFmtId="2" fontId="1" fillId="14" borderId="30" xfId="0" applyNumberFormat="1" applyFont="1" applyFill="1" applyBorder="1" applyAlignment="1">
      <alignment vertical="center"/>
    </xf>
    <xf numFmtId="9" fontId="1" fillId="16" borderId="61" xfId="2" applyFont="1" applyFill="1" applyBorder="1" applyAlignment="1" applyProtection="1">
      <alignment vertical="center"/>
      <protection locked="0"/>
    </xf>
    <xf numFmtId="9" fontId="1" fillId="5" borderId="11" xfId="2" applyFont="1" applyFill="1" applyBorder="1" applyAlignment="1" applyProtection="1">
      <alignment vertical="center"/>
      <protection locked="0"/>
    </xf>
    <xf numFmtId="9" fontId="1" fillId="0" borderId="25" xfId="2" applyFont="1" applyBorder="1" applyAlignment="1">
      <alignment vertical="center"/>
    </xf>
    <xf numFmtId="0" fontId="1" fillId="5" borderId="25" xfId="0" applyFont="1" applyFill="1" applyBorder="1" applyAlignment="1" applyProtection="1">
      <alignment vertical="center"/>
      <protection locked="0"/>
    </xf>
    <xf numFmtId="0" fontId="1" fillId="0" borderId="39" xfId="0" applyFont="1" applyFill="1" applyBorder="1" applyAlignment="1">
      <alignment vertical="center"/>
    </xf>
    <xf numFmtId="9" fontId="1" fillId="5" borderId="39" xfId="0" applyNumberFormat="1" applyFont="1" applyFill="1" applyBorder="1" applyAlignment="1" applyProtection="1">
      <alignment vertical="center"/>
      <protection locked="0"/>
    </xf>
    <xf numFmtId="0" fontId="1" fillId="0" borderId="25" xfId="0" applyFont="1" applyBorder="1" applyAlignment="1">
      <alignment vertical="center"/>
    </xf>
    <xf numFmtId="0" fontId="1" fillId="0" borderId="2" xfId="0" applyFont="1" applyBorder="1" applyAlignment="1">
      <alignment vertical="center"/>
    </xf>
    <xf numFmtId="9" fontId="1" fillId="0" borderId="1" xfId="2" applyFont="1" applyBorder="1" applyAlignment="1">
      <alignment vertical="center"/>
    </xf>
    <xf numFmtId="0" fontId="1" fillId="5" borderId="3" xfId="0" applyFont="1" applyFill="1" applyBorder="1" applyAlignment="1" applyProtection="1">
      <alignment vertical="center"/>
      <protection locked="0"/>
    </xf>
    <xf numFmtId="0" fontId="1" fillId="0" borderId="2" xfId="0" applyFont="1" applyFill="1" applyBorder="1" applyAlignment="1">
      <alignment vertical="center"/>
    </xf>
    <xf numFmtId="9" fontId="1" fillId="5" borderId="2" xfId="0" applyNumberFormat="1" applyFont="1" applyFill="1" applyBorder="1" applyAlignment="1" applyProtection="1">
      <alignment vertical="center"/>
      <protection locked="0"/>
    </xf>
    <xf numFmtId="0" fontId="1" fillId="0" borderId="1" xfId="0" applyFont="1" applyBorder="1" applyAlignment="1">
      <alignment vertical="center"/>
    </xf>
    <xf numFmtId="0" fontId="1" fillId="14" borderId="1" xfId="0" applyFont="1" applyFill="1" applyBorder="1" applyAlignment="1">
      <alignment vertical="center"/>
    </xf>
    <xf numFmtId="0" fontId="1" fillId="0" borderId="8" xfId="0" applyFont="1" applyBorder="1" applyAlignment="1">
      <alignment vertical="center"/>
    </xf>
    <xf numFmtId="0" fontId="1" fillId="14" borderId="20" xfId="0" applyFont="1" applyFill="1" applyBorder="1" applyAlignment="1">
      <alignment vertical="center"/>
    </xf>
    <xf numFmtId="9" fontId="1" fillId="5" borderId="8" xfId="2" applyFont="1" applyFill="1" applyBorder="1" applyAlignment="1" applyProtection="1">
      <alignment vertical="center"/>
      <protection locked="0"/>
    </xf>
    <xf numFmtId="9" fontId="1" fillId="5" borderId="20" xfId="2" applyFont="1" applyFill="1" applyBorder="1" applyAlignment="1" applyProtection="1">
      <alignment vertical="center"/>
      <protection locked="0"/>
    </xf>
    <xf numFmtId="9" fontId="1" fillId="0" borderId="20" xfId="2" applyFont="1" applyBorder="1" applyAlignment="1">
      <alignment vertical="center"/>
    </xf>
    <xf numFmtId="0" fontId="1" fillId="5" borderId="20" xfId="0" applyFont="1" applyFill="1" applyBorder="1" applyAlignment="1" applyProtection="1">
      <alignment vertical="center"/>
      <protection locked="0"/>
    </xf>
    <xf numFmtId="0" fontId="1" fillId="5" borderId="70" xfId="0" applyFont="1" applyFill="1" applyBorder="1" applyAlignment="1" applyProtection="1">
      <alignment vertical="center"/>
      <protection locked="0"/>
    </xf>
    <xf numFmtId="0" fontId="1" fillId="0" borderId="8" xfId="0" applyFont="1" applyFill="1" applyBorder="1" applyAlignment="1">
      <alignment vertical="center"/>
    </xf>
    <xf numFmtId="9" fontId="1" fillId="5" borderId="8" xfId="0" applyNumberFormat="1" applyFont="1" applyFill="1" applyBorder="1" applyAlignment="1" applyProtection="1">
      <alignment vertical="center"/>
      <protection locked="0"/>
    </xf>
    <xf numFmtId="0" fontId="1" fillId="0" borderId="20" xfId="0" applyFont="1" applyBorder="1" applyAlignment="1">
      <alignment vertical="center"/>
    </xf>
    <xf numFmtId="10" fontId="34" fillId="14" borderId="30" xfId="0" applyNumberFormat="1" applyFont="1" applyFill="1" applyBorder="1" applyAlignment="1">
      <alignment horizontal="center" vertical="center" wrapText="1"/>
    </xf>
    <xf numFmtId="0" fontId="0" fillId="0" borderId="0" xfId="0" applyBorder="1" applyAlignment="1" applyProtection="1">
      <alignment vertical="center"/>
    </xf>
    <xf numFmtId="0" fontId="9" fillId="0" borderId="0" xfId="0" applyFont="1" applyAlignment="1" applyProtection="1">
      <alignment vertical="center"/>
    </xf>
    <xf numFmtId="0" fontId="5" fillId="0" borderId="0" xfId="0" applyFont="1" applyBorder="1" applyAlignment="1" applyProtection="1">
      <alignment vertical="center"/>
    </xf>
    <xf numFmtId="2" fontId="5" fillId="0" borderId="0" xfId="0" applyNumberFormat="1" applyFont="1" applyBorder="1" applyAlignment="1" applyProtection="1">
      <alignment vertical="center"/>
    </xf>
    <xf numFmtId="3" fontId="5" fillId="0" borderId="0" xfId="0" applyNumberFormat="1" applyFont="1" applyBorder="1" applyAlignment="1" applyProtection="1">
      <alignment vertical="center"/>
    </xf>
    <xf numFmtId="0" fontId="0" fillId="0" borderId="0" xfId="0" applyBorder="1" applyAlignment="1">
      <alignment vertical="center"/>
    </xf>
    <xf numFmtId="0" fontId="0" fillId="14" borderId="0" xfId="0" applyFill="1" applyBorder="1" applyAlignment="1">
      <alignment vertical="center"/>
    </xf>
    <xf numFmtId="0" fontId="15" fillId="0" borderId="0" xfId="0" applyFont="1" applyFill="1" applyAlignment="1">
      <alignment vertical="center"/>
    </xf>
    <xf numFmtId="0" fontId="4" fillId="0" borderId="0" xfId="0" applyFont="1" applyBorder="1" applyAlignment="1" applyProtection="1">
      <alignment vertical="center"/>
    </xf>
    <xf numFmtId="0" fontId="2" fillId="0" borderId="0" xfId="0" applyFont="1" applyBorder="1" applyAlignment="1" applyProtection="1">
      <alignment vertical="center"/>
    </xf>
    <xf numFmtId="2" fontId="2" fillId="0" borderId="0" xfId="0" applyNumberFormat="1" applyFont="1" applyBorder="1" applyAlignment="1" applyProtection="1">
      <alignment vertical="center"/>
      <protection locked="0"/>
    </xf>
    <xf numFmtId="3" fontId="2" fillId="0" borderId="0" xfId="0" applyNumberFormat="1" applyFont="1" applyBorder="1" applyAlignment="1" applyProtection="1">
      <alignment vertical="center"/>
    </xf>
    <xf numFmtId="0" fontId="2" fillId="0" borderId="0" xfId="0" applyFont="1" applyBorder="1" applyAlignment="1" applyProtection="1">
      <alignment vertical="center" wrapText="1"/>
    </xf>
    <xf numFmtId="0" fontId="0" fillId="0" borderId="0" xfId="0" applyBorder="1" applyAlignment="1" applyProtection="1">
      <alignment vertical="center" wrapText="1"/>
    </xf>
    <xf numFmtId="2" fontId="0" fillId="0" borderId="0" xfId="0" applyNumberFormat="1" applyBorder="1" applyAlignment="1" applyProtection="1">
      <alignment vertical="center"/>
    </xf>
    <xf numFmtId="2" fontId="0" fillId="0" borderId="0" xfId="0" applyNumberFormat="1" applyBorder="1" applyAlignment="1" applyProtection="1">
      <alignment vertical="center" wrapText="1"/>
    </xf>
    <xf numFmtId="3" fontId="0" fillId="0" borderId="0" xfId="0" applyNumberFormat="1" applyBorder="1" applyAlignment="1" applyProtection="1">
      <alignment vertical="center" wrapText="1"/>
    </xf>
    <xf numFmtId="3" fontId="0" fillId="2" borderId="26" xfId="0" applyNumberFormat="1" applyFill="1" applyBorder="1" applyAlignment="1" applyProtection="1">
      <alignment horizontal="center" vertical="center" wrapText="1"/>
    </xf>
    <xf numFmtId="0" fontId="0" fillId="2" borderId="39" xfId="0" applyFill="1" applyBorder="1" applyAlignment="1" applyProtection="1">
      <alignment horizontal="left" vertical="center"/>
    </xf>
    <xf numFmtId="0" fontId="0" fillId="2" borderId="41" xfId="0" applyFill="1" applyBorder="1" applyAlignment="1" applyProtection="1">
      <alignment horizontal="left" vertical="center"/>
    </xf>
    <xf numFmtId="0" fontId="0" fillId="2" borderId="44" xfId="0" applyFill="1" applyBorder="1" applyAlignment="1" applyProtection="1">
      <alignment horizontal="left" vertical="center"/>
    </xf>
    <xf numFmtId="0" fontId="13" fillId="2" borderId="47" xfId="0" applyFont="1" applyFill="1" applyBorder="1" applyAlignment="1" applyProtection="1">
      <alignment horizontal="left" vertical="center"/>
    </xf>
    <xf numFmtId="0" fontId="1" fillId="0" borderId="52" xfId="0" applyFont="1" applyFill="1" applyBorder="1" applyAlignment="1">
      <alignment horizontal="center" vertical="center"/>
    </xf>
    <xf numFmtId="0" fontId="0" fillId="2" borderId="8" xfId="0" applyFill="1" applyBorder="1" applyAlignment="1" applyProtection="1">
      <alignment horizontal="left" vertical="center"/>
    </xf>
    <xf numFmtId="0" fontId="0" fillId="2" borderId="62" xfId="0" applyFill="1" applyBorder="1" applyAlignment="1" applyProtection="1">
      <alignment horizontal="left" vertical="center"/>
    </xf>
    <xf numFmtId="0" fontId="0" fillId="2" borderId="63" xfId="0" applyFill="1" applyBorder="1" applyAlignment="1" applyProtection="1">
      <alignment horizontal="left" vertical="center"/>
    </xf>
    <xf numFmtId="0" fontId="13" fillId="2" borderId="64" xfId="0" applyFont="1" applyFill="1" applyBorder="1" applyAlignment="1" applyProtection="1">
      <alignment horizontal="left" vertical="center"/>
    </xf>
    <xf numFmtId="166" fontId="0" fillId="0" borderId="20" xfId="0" applyNumberFormat="1" applyBorder="1" applyAlignment="1" applyProtection="1">
      <alignment horizontal="center" vertical="center"/>
    </xf>
    <xf numFmtId="166" fontId="0" fillId="0" borderId="3" xfId="0" applyNumberFormat="1" applyBorder="1" applyAlignment="1" applyProtection="1">
      <alignment horizontal="center" vertical="center"/>
    </xf>
    <xf numFmtId="0" fontId="0" fillId="2" borderId="11" xfId="0" applyFill="1" applyBorder="1" applyAlignment="1" applyProtection="1">
      <alignment horizontal="left" vertical="center"/>
    </xf>
    <xf numFmtId="0" fontId="0" fillId="2" borderId="61" xfId="0" applyFill="1" applyBorder="1" applyAlignment="1" applyProtection="1">
      <alignment horizontal="left" vertical="center"/>
    </xf>
    <xf numFmtId="0" fontId="0" fillId="2" borderId="56" xfId="0" applyFill="1" applyBorder="1" applyAlignment="1" applyProtection="1">
      <alignment horizontal="left" vertical="center"/>
    </xf>
    <xf numFmtId="0" fontId="13" fillId="2" borderId="55" xfId="0" applyFont="1" applyFill="1" applyBorder="1" applyAlignment="1" applyProtection="1">
      <alignment horizontal="left" vertical="center"/>
    </xf>
    <xf numFmtId="165" fontId="0" fillId="0" borderId="1" xfId="0" applyNumberFormat="1" applyBorder="1" applyAlignment="1" applyProtection="1">
      <alignment horizontal="center" vertical="center"/>
    </xf>
    <xf numFmtId="0" fontId="0" fillId="2" borderId="2" xfId="0" applyFill="1" applyBorder="1" applyAlignment="1" applyProtection="1">
      <alignment horizontal="left" vertical="center"/>
    </xf>
    <xf numFmtId="0" fontId="0" fillId="2" borderId="42" xfId="0" applyFill="1" applyBorder="1" applyAlignment="1" applyProtection="1">
      <alignment horizontal="left" vertical="center"/>
    </xf>
    <xf numFmtId="0" fontId="0" fillId="2" borderId="43" xfId="0" applyFill="1" applyBorder="1" applyAlignment="1" applyProtection="1">
      <alignment horizontal="left" vertical="center"/>
    </xf>
    <xf numFmtId="0" fontId="13" fillId="2" borderId="48" xfId="0" applyFont="1" applyFill="1" applyBorder="1" applyAlignment="1" applyProtection="1">
      <alignment horizontal="left" vertical="center"/>
    </xf>
    <xf numFmtId="2" fontId="0" fillId="0" borderId="1" xfId="0" applyNumberFormat="1" applyBorder="1" applyAlignment="1" applyProtection="1">
      <alignment horizontal="center" vertical="center"/>
    </xf>
    <xf numFmtId="0" fontId="0" fillId="2" borderId="57" xfId="0" applyFill="1" applyBorder="1" applyAlignment="1" applyProtection="1">
      <alignment horizontal="left" vertical="center"/>
    </xf>
    <xf numFmtId="0" fontId="0" fillId="2" borderId="58" xfId="0" applyFill="1" applyBorder="1" applyAlignment="1" applyProtection="1">
      <alignment horizontal="left" vertical="center"/>
    </xf>
    <xf numFmtId="0" fontId="0" fillId="2" borderId="59" xfId="0" applyFill="1" applyBorder="1" applyAlignment="1" applyProtection="1">
      <alignment horizontal="left" vertical="center"/>
    </xf>
    <xf numFmtId="0" fontId="13" fillId="2" borderId="60" xfId="0" applyFont="1" applyFill="1" applyBorder="1" applyAlignment="1" applyProtection="1">
      <alignment horizontal="left" vertical="center"/>
    </xf>
    <xf numFmtId="2" fontId="0" fillId="0" borderId="53" xfId="0" applyNumberFormat="1" applyBorder="1" applyAlignment="1" applyProtection="1">
      <alignment horizontal="center" vertical="center"/>
    </xf>
    <xf numFmtId="0" fontId="0" fillId="0" borderId="0" xfId="0" applyBorder="1" applyAlignment="1" applyProtection="1">
      <alignment horizontal="left" vertical="center"/>
    </xf>
    <xf numFmtId="0" fontId="0" fillId="2" borderId="45" xfId="0" applyFill="1" applyBorder="1" applyAlignment="1" applyProtection="1">
      <alignment horizontal="left" vertical="center"/>
    </xf>
    <xf numFmtId="0" fontId="0" fillId="2" borderId="46" xfId="0" applyFill="1" applyBorder="1" applyAlignment="1" applyProtection="1">
      <alignment horizontal="left" vertical="center"/>
    </xf>
    <xf numFmtId="0" fontId="0" fillId="2" borderId="24" xfId="0" applyFill="1" applyBorder="1" applyAlignment="1" applyProtection="1">
      <alignment horizontal="left" vertical="center"/>
    </xf>
    <xf numFmtId="0" fontId="13" fillId="2" borderId="34" xfId="0" applyFont="1" applyFill="1" applyBorder="1" applyAlignment="1" applyProtection="1">
      <alignment horizontal="left" vertical="center"/>
    </xf>
    <xf numFmtId="166" fontId="0" fillId="0" borderId="26" xfId="0" applyNumberFormat="1" applyBorder="1" applyAlignment="1" applyProtection="1">
      <alignment horizontal="center" vertical="center"/>
    </xf>
    <xf numFmtId="3" fontId="0" fillId="0" borderId="0" xfId="0" applyNumberFormat="1" applyBorder="1" applyAlignment="1" applyProtection="1">
      <alignment vertical="center"/>
    </xf>
    <xf numFmtId="0" fontId="0" fillId="2" borderId="31" xfId="0" applyFill="1" applyBorder="1" applyAlignment="1" applyProtection="1">
      <alignment horizontal="center" vertical="center" wrapText="1"/>
    </xf>
    <xf numFmtId="0" fontId="0" fillId="2" borderId="32" xfId="0" applyFill="1" applyBorder="1" applyAlignment="1" applyProtection="1">
      <alignment horizontal="center" vertical="center" wrapText="1"/>
    </xf>
    <xf numFmtId="0" fontId="24" fillId="2" borderId="32" xfId="0" applyFont="1" applyFill="1" applyBorder="1" applyAlignment="1" applyProtection="1">
      <alignment horizontal="center" vertical="center" wrapText="1"/>
    </xf>
    <xf numFmtId="2" fontId="0" fillId="2" borderId="32" xfId="0" applyNumberFormat="1" applyFill="1" applyBorder="1" applyAlignment="1" applyProtection="1">
      <alignment horizontal="center" vertical="center" wrapText="1"/>
    </xf>
    <xf numFmtId="3" fontId="0" fillId="2" borderId="32" xfId="0" applyNumberFormat="1" applyFill="1" applyBorder="1" applyAlignment="1" applyProtection="1">
      <alignment horizontal="center" vertical="center" wrapText="1"/>
    </xf>
    <xf numFmtId="3" fontId="17" fillId="2" borderId="33" xfId="0" applyNumberFormat="1" applyFont="1" applyFill="1" applyBorder="1" applyAlignment="1" applyProtection="1">
      <alignment horizontal="center" vertical="center" wrapText="1"/>
    </xf>
    <xf numFmtId="0" fontId="13" fillId="0" borderId="0" xfId="0" applyFont="1" applyBorder="1" applyAlignment="1" applyProtection="1">
      <alignment vertical="center"/>
    </xf>
    <xf numFmtId="0" fontId="13" fillId="2" borderId="7"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2" fontId="13" fillId="2" borderId="12" xfId="0" applyNumberFormat="1" applyFont="1" applyFill="1" applyBorder="1" applyAlignment="1" applyProtection="1">
      <alignment horizontal="center" vertical="center" wrapText="1"/>
    </xf>
    <xf numFmtId="3" fontId="13" fillId="2" borderId="12" xfId="0" applyNumberFormat="1" applyFont="1" applyFill="1" applyBorder="1" applyAlignment="1" applyProtection="1">
      <alignment horizontal="center" vertical="center" wrapText="1"/>
    </xf>
    <xf numFmtId="3" fontId="13" fillId="2" borderId="23" xfId="0" applyNumberFormat="1" applyFont="1" applyFill="1" applyBorder="1" applyAlignment="1" applyProtection="1">
      <alignment horizontal="center" vertical="center" wrapText="1"/>
    </xf>
    <xf numFmtId="0" fontId="0" fillId="2" borderId="5" xfId="0" applyFill="1" applyBorder="1" applyAlignment="1" applyProtection="1">
      <alignment horizontal="center" vertical="center" wrapText="1"/>
    </xf>
    <xf numFmtId="0" fontId="0" fillId="2" borderId="6" xfId="0" applyFill="1" applyBorder="1" applyAlignment="1" applyProtection="1">
      <alignment horizontal="center" vertical="center" wrapText="1"/>
    </xf>
    <xf numFmtId="2" fontId="0" fillId="2" borderId="6" xfId="0" applyNumberFormat="1" applyFill="1" applyBorder="1" applyAlignment="1" applyProtection="1">
      <alignment horizontal="center" vertical="center" wrapText="1"/>
    </xf>
    <xf numFmtId="3" fontId="0" fillId="2" borderId="6" xfId="0" applyNumberFormat="1" applyFill="1" applyBorder="1" applyAlignment="1" applyProtection="1">
      <alignment horizontal="center" vertical="center" wrapText="1"/>
    </xf>
    <xf numFmtId="3" fontId="0" fillId="2" borderId="18" xfId="0" applyNumberFormat="1" applyFill="1" applyBorder="1" applyAlignment="1" applyProtection="1">
      <alignment horizontal="center" vertical="center" wrapText="1"/>
    </xf>
    <xf numFmtId="0" fontId="0" fillId="0" borderId="7" xfId="0" applyBorder="1" applyAlignment="1" applyProtection="1">
      <alignment vertical="center"/>
    </xf>
    <xf numFmtId="0" fontId="0" fillId="0" borderId="12" xfId="0" applyBorder="1" applyAlignment="1" applyProtection="1">
      <alignment vertical="center"/>
    </xf>
    <xf numFmtId="2" fontId="0" fillId="0" borderId="12" xfId="0" applyNumberFormat="1" applyBorder="1" applyAlignment="1" applyProtection="1">
      <alignment vertical="center"/>
    </xf>
    <xf numFmtId="3" fontId="0" fillId="0" borderId="28" xfId="0" applyNumberFormat="1" applyBorder="1" applyAlignment="1" applyProtection="1">
      <alignment vertical="center"/>
    </xf>
    <xf numFmtId="3" fontId="0" fillId="0" borderId="12" xfId="0" applyNumberFormat="1" applyBorder="1" applyAlignment="1" applyProtection="1">
      <alignment vertical="center"/>
    </xf>
    <xf numFmtId="3" fontId="0" fillId="0" borderId="23" xfId="0" applyNumberFormat="1" applyBorder="1" applyAlignment="1" applyProtection="1">
      <alignment vertical="center"/>
    </xf>
    <xf numFmtId="0" fontId="0" fillId="4" borderId="39" xfId="0" applyFill="1" applyBorder="1" applyAlignment="1" applyProtection="1">
      <alignment vertical="center"/>
    </xf>
    <xf numFmtId="3" fontId="0" fillId="0" borderId="31" xfId="0" applyNumberFormat="1" applyBorder="1" applyAlignment="1" applyProtection="1">
      <alignment vertical="center"/>
    </xf>
    <xf numFmtId="4" fontId="0" fillId="0" borderId="54" xfId="0" applyNumberFormat="1" applyBorder="1" applyAlignment="1" applyProtection="1">
      <alignment vertical="center"/>
    </xf>
    <xf numFmtId="2" fontId="0" fillId="9" borderId="32" xfId="0" applyNumberFormat="1" applyFill="1" applyBorder="1" applyAlignment="1" applyProtection="1">
      <alignment vertical="center"/>
      <protection locked="0"/>
    </xf>
    <xf numFmtId="3" fontId="0" fillId="0" borderId="51" xfId="0" applyNumberFormat="1" applyBorder="1" applyAlignment="1" applyProtection="1">
      <alignment vertical="center"/>
    </xf>
    <xf numFmtId="3" fontId="0" fillId="0" borderId="32" xfId="0" applyNumberFormat="1" applyBorder="1" applyAlignment="1" applyProtection="1">
      <alignment vertical="center"/>
    </xf>
    <xf numFmtId="3" fontId="0" fillId="0" borderId="33" xfId="0" applyNumberFormat="1" applyBorder="1" applyAlignment="1" applyProtection="1">
      <alignment vertical="center"/>
    </xf>
    <xf numFmtId="0" fontId="0" fillId="4" borderId="11" xfId="0" applyFill="1" applyBorder="1" applyAlignment="1" applyProtection="1">
      <alignment vertical="center"/>
    </xf>
    <xf numFmtId="3" fontId="0" fillId="0" borderId="29" xfId="0" applyNumberFormat="1" applyBorder="1" applyAlignment="1" applyProtection="1">
      <alignment vertical="center"/>
    </xf>
    <xf numFmtId="4" fontId="0" fillId="0" borderId="30" xfId="0" applyNumberFormat="1" applyBorder="1" applyAlignment="1" applyProtection="1">
      <alignment vertical="center"/>
    </xf>
    <xf numFmtId="2" fontId="0" fillId="9" borderId="30" xfId="0" applyNumberFormat="1" applyFill="1" applyBorder="1" applyAlignment="1" applyProtection="1">
      <alignment vertical="center"/>
      <protection locked="0"/>
    </xf>
    <xf numFmtId="3" fontId="0" fillId="0" borderId="30" xfId="0" applyNumberFormat="1" applyBorder="1" applyAlignment="1" applyProtection="1">
      <alignment vertical="center"/>
    </xf>
    <xf numFmtId="3" fontId="0" fillId="0" borderId="9" xfId="0" applyNumberFormat="1" applyBorder="1" applyAlignment="1" applyProtection="1">
      <alignment vertical="center"/>
    </xf>
    <xf numFmtId="3" fontId="0" fillId="14" borderId="0" xfId="0" applyNumberFormat="1" applyFill="1" applyBorder="1" applyAlignment="1">
      <alignment vertical="center"/>
    </xf>
    <xf numFmtId="0" fontId="0" fillId="0" borderId="0" xfId="0" applyFill="1" applyBorder="1" applyAlignment="1">
      <alignment vertical="center"/>
    </xf>
    <xf numFmtId="0" fontId="0" fillId="4" borderId="40" xfId="0" applyFill="1" applyBorder="1" applyAlignment="1" applyProtection="1">
      <alignment vertical="center"/>
    </xf>
    <xf numFmtId="4" fontId="0" fillId="0" borderId="6" xfId="0" applyNumberFormat="1" applyBorder="1" applyAlignment="1" applyProtection="1">
      <alignment vertical="center"/>
    </xf>
    <xf numFmtId="2" fontId="0" fillId="9" borderId="6" xfId="0" applyNumberFormat="1" applyFill="1" applyBorder="1" applyAlignment="1" applyProtection="1">
      <alignment vertical="center"/>
      <protection locked="0"/>
    </xf>
    <xf numFmtId="3" fontId="0" fillId="0" borderId="6" xfId="0" applyNumberFormat="1" applyBorder="1" applyAlignment="1" applyProtection="1">
      <alignment vertical="center"/>
    </xf>
    <xf numFmtId="3" fontId="0" fillId="0" borderId="18" xfId="0" applyNumberFormat="1" applyBorder="1" applyAlignment="1" applyProtection="1">
      <alignment vertical="center"/>
    </xf>
    <xf numFmtId="2" fontId="1" fillId="14" borderId="1" xfId="0" applyNumberFormat="1" applyFont="1" applyFill="1" applyBorder="1" applyAlignment="1">
      <alignment vertical="center"/>
    </xf>
    <xf numFmtId="10" fontId="1" fillId="14" borderId="0" xfId="2" applyNumberFormat="1" applyFont="1" applyFill="1" applyAlignment="1">
      <alignment vertical="center"/>
    </xf>
    <xf numFmtId="9" fontId="2" fillId="24" borderId="29" xfId="2" applyFont="1" applyFill="1" applyBorder="1" applyAlignment="1" applyProtection="1">
      <alignment horizontal="center" vertical="center" wrapText="1"/>
      <protection locked="0"/>
    </xf>
    <xf numFmtId="9" fontId="2" fillId="24" borderId="30" xfId="2" applyFont="1" applyFill="1" applyBorder="1" applyAlignment="1" applyProtection="1">
      <alignment horizontal="center" vertical="center" wrapText="1"/>
      <protection locked="0"/>
    </xf>
    <xf numFmtId="43" fontId="1" fillId="0" borderId="56" xfId="4" applyFont="1" applyFill="1" applyBorder="1" applyAlignment="1">
      <alignment vertical="center"/>
    </xf>
    <xf numFmtId="43" fontId="1" fillId="0" borderId="51" xfId="4" applyFont="1" applyFill="1" applyBorder="1" applyAlignment="1">
      <alignment vertical="center"/>
    </xf>
    <xf numFmtId="43" fontId="1" fillId="0" borderId="25" xfId="4" applyFont="1" applyFill="1" applyBorder="1" applyAlignment="1">
      <alignment vertical="center"/>
    </xf>
    <xf numFmtId="43" fontId="1" fillId="0" borderId="3" xfId="4" applyFont="1" applyFill="1" applyBorder="1" applyAlignment="1">
      <alignment vertical="center"/>
    </xf>
    <xf numFmtId="43" fontId="1" fillId="0" borderId="47" xfId="4" applyFont="1" applyFill="1" applyBorder="1" applyAlignment="1">
      <alignment vertical="center"/>
    </xf>
    <xf numFmtId="43" fontId="1" fillId="0" borderId="25" xfId="4" applyFont="1" applyFill="1" applyBorder="1" applyAlignment="1" applyProtection="1">
      <alignment vertical="center"/>
    </xf>
    <xf numFmtId="43" fontId="1" fillId="11" borderId="0" xfId="4" applyFont="1" applyFill="1" applyBorder="1" applyAlignment="1">
      <alignment vertical="center"/>
    </xf>
    <xf numFmtId="43" fontId="1" fillId="8" borderId="25" xfId="4" applyFont="1" applyFill="1" applyBorder="1" applyAlignment="1">
      <alignment vertical="center"/>
    </xf>
    <xf numFmtId="43" fontId="1" fillId="0" borderId="43" xfId="4" applyFont="1" applyFill="1" applyBorder="1" applyAlignment="1">
      <alignment vertical="center"/>
    </xf>
    <xf numFmtId="43" fontId="1" fillId="0" borderId="30" xfId="4" applyFont="1" applyFill="1" applyBorder="1" applyAlignment="1">
      <alignment vertical="center"/>
    </xf>
    <xf numFmtId="43" fontId="1" fillId="0" borderId="1" xfId="4" applyFont="1" applyFill="1" applyBorder="1" applyAlignment="1">
      <alignment vertical="center"/>
    </xf>
    <xf numFmtId="43" fontId="1" fillId="0" borderId="48" xfId="4" applyFont="1" applyFill="1" applyBorder="1" applyAlignment="1">
      <alignment vertical="center"/>
    </xf>
    <xf numFmtId="43" fontId="1" fillId="0" borderId="1" xfId="4" applyFont="1" applyFill="1" applyBorder="1" applyAlignment="1" applyProtection="1">
      <alignment vertical="center"/>
    </xf>
    <xf numFmtId="43" fontId="1" fillId="8" borderId="1" xfId="4" applyFont="1" applyFill="1" applyBorder="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cellXfs>
  <cellStyles count="5">
    <cellStyle name="Comma" xfId="4" builtinId="3"/>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a16="http://schemas.microsoft.com/office/drawing/2014/main" xmlns=""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a16="http://schemas.microsoft.com/office/drawing/2014/main" xmlns=""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a16="http://schemas.microsoft.com/office/drawing/2014/main" xmlns=""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a16="http://schemas.microsoft.com/office/drawing/2014/main" xmlns=""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a16="http://schemas.microsoft.com/office/drawing/2014/main" xmlns=""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a16="http://schemas.microsoft.com/office/drawing/2014/main" xmlns=""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a16="http://schemas.microsoft.com/office/drawing/2014/main" xmlns=""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a16="http://schemas.microsoft.com/office/drawing/2014/main" xmlns=""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a16="http://schemas.microsoft.com/office/drawing/2014/main" xmlns=""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Paser/PASER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ASER_Hitungan%20Mitiga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F30">
            <v>0</v>
          </cell>
        </row>
        <row r="31">
          <cell r="F31">
            <v>0</v>
          </cell>
        </row>
        <row r="32">
          <cell r="F32">
            <v>0</v>
          </cell>
        </row>
        <row r="33">
          <cell r="F33">
            <v>0</v>
          </cell>
        </row>
        <row r="34">
          <cell r="F34">
            <v>0</v>
          </cell>
        </row>
        <row r="35">
          <cell r="F35">
            <v>0</v>
          </cell>
        </row>
        <row r="36">
          <cell r="F36">
            <v>0</v>
          </cell>
        </row>
        <row r="37">
          <cell r="F37">
            <v>0</v>
          </cell>
        </row>
        <row r="38">
          <cell r="F38">
            <v>0</v>
          </cell>
        </row>
        <row r="39">
          <cell r="F39">
            <v>0</v>
          </cell>
        </row>
        <row r="40">
          <cell r="F40">
            <v>0</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29">
          <cell r="F29">
            <v>0</v>
          </cell>
        </row>
        <row r="30">
          <cell r="F30">
            <v>0</v>
          </cell>
        </row>
        <row r="31">
          <cell r="F31">
            <v>0</v>
          </cell>
        </row>
        <row r="32">
          <cell r="F32">
            <v>0</v>
          </cell>
        </row>
        <row r="33">
          <cell r="F33">
            <v>0</v>
          </cell>
        </row>
        <row r="34">
          <cell r="F34">
            <v>0</v>
          </cell>
        </row>
        <row r="35">
          <cell r="F35">
            <v>1.1069840000000002</v>
          </cell>
        </row>
        <row r="36">
          <cell r="F36">
            <v>1.222958188</v>
          </cell>
        </row>
        <row r="37">
          <cell r="F37">
            <v>1.3499654897119999</v>
          </cell>
        </row>
        <row r="38">
          <cell r="F38">
            <v>1.4889987132900999</v>
          </cell>
        </row>
        <row r="39">
          <cell r="F39">
            <v>1.6411368214159272</v>
          </cell>
        </row>
        <row r="40">
          <cell r="F40">
            <v>1.8075522191850022</v>
          </cell>
        </row>
        <row r="41">
          <cell r="F41">
            <v>1.9895186469070369</v>
          </cell>
        </row>
        <row r="42">
          <cell r="F42">
            <v>2.1884197273004515</v>
          </cell>
        </row>
        <row r="43">
          <cell r="F43">
            <v>2.4057582205619372</v>
          </cell>
        </row>
        <row r="44">
          <cell r="F44">
            <v>2.6431660451128161</v>
          </cell>
        </row>
        <row r="45">
          <cell r="F45">
            <v>2.9024151264907476</v>
          </cell>
        </row>
        <row r="46">
          <cell r="F46">
            <v>3.1854291418954523</v>
          </cell>
        </row>
        <row r="47">
          <cell r="F47">
            <v>3.4942962333401746</v>
          </cell>
        </row>
        <row r="48">
          <cell r="F48">
            <v>3.8325499999999999</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topLeftCell="A53" zoomScale="130" zoomScaleNormal="130"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876" t="s">
        <v>212</v>
      </c>
      <c r="C7" s="876"/>
      <c r="D7" s="876"/>
      <c r="E7" s="876"/>
      <c r="F7" s="876"/>
      <c r="G7" s="876"/>
      <c r="H7" s="876"/>
      <c r="I7" s="876"/>
      <c r="J7" s="360"/>
      <c r="K7" s="360"/>
    </row>
    <row r="8" spans="2:11" s="9" customFormat="1">
      <c r="B8" s="10"/>
      <c r="C8" s="10"/>
      <c r="D8" s="10"/>
      <c r="E8" s="10"/>
      <c r="F8" s="10"/>
      <c r="G8" s="10"/>
      <c r="H8" s="10"/>
      <c r="I8" s="10"/>
      <c r="J8" s="10"/>
      <c r="K8" s="10"/>
    </row>
    <row r="9" spans="2:11" ht="44.1" customHeight="1">
      <c r="B9" s="877" t="s">
        <v>227</v>
      </c>
      <c r="C9" s="877"/>
      <c r="D9" s="877"/>
      <c r="E9" s="877"/>
      <c r="F9" s="877"/>
      <c r="G9" s="877"/>
      <c r="H9" s="877"/>
      <c r="I9" s="877"/>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pane xSplit="2" ySplit="16" topLeftCell="C68" activePane="bottomRight" state="frozen"/>
      <selection pane="topRight" activeCell="C1" sqref="C1"/>
      <selection pane="bottomLeft" activeCell="A17" sqref="A17"/>
      <selection pane="bottomRight" activeCell="C68" sqref="C68"/>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940" t="str">
        <f>city</f>
        <v>Paser</v>
      </c>
      <c r="E2" s="941"/>
      <c r="F2" s="942"/>
    </row>
    <row r="3" spans="2:15" ht="13.5" thickBot="1">
      <c r="C3" s="490" t="s">
        <v>276</v>
      </c>
      <c r="D3" s="940" t="str">
        <f>province</f>
        <v>Kalimantan Timur</v>
      </c>
      <c r="E3" s="941"/>
      <c r="F3" s="942"/>
    </row>
    <row r="4" spans="2:15" ht="13.5" thickBot="1">
      <c r="B4" s="489"/>
      <c r="C4" s="490" t="s">
        <v>30</v>
      </c>
      <c r="D4" s="940">
        <v>0</v>
      </c>
      <c r="E4" s="941"/>
      <c r="F4" s="942"/>
      <c r="H4" s="943"/>
      <c r="I4" s="943"/>
      <c r="J4" s="943"/>
      <c r="K4" s="943"/>
    </row>
    <row r="5" spans="2:15">
      <c r="B5" s="489"/>
      <c r="H5" s="944"/>
      <c r="I5" s="944"/>
      <c r="J5" s="944"/>
      <c r="K5" s="944"/>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v>1950</v>
      </c>
      <c r="C18" s="533">
        <v>0</v>
      </c>
      <c r="D18" s="534">
        <v>7.1661520853999988E-2</v>
      </c>
      <c r="E18" s="535">
        <v>0</v>
      </c>
      <c r="F18" s="535">
        <v>5.6670260169600008E-2</v>
      </c>
      <c r="G18" s="535">
        <v>4.675296463992E-2</v>
      </c>
      <c r="H18" s="535">
        <v>7.1167303468799995E-3</v>
      </c>
      <c r="I18" s="536">
        <v>0</v>
      </c>
      <c r="J18" s="537">
        <v>0</v>
      </c>
      <c r="K18" s="538">
        <v>0</v>
      </c>
      <c r="L18" s="535">
        <v>0</v>
      </c>
      <c r="M18" s="536">
        <v>0</v>
      </c>
      <c r="N18" s="471">
        <v>0.18220147601040002</v>
      </c>
      <c r="O18" s="473">
        <f t="shared" ref="O18:O81" si="0">O17+N18</f>
        <v>0.18220147601040002</v>
      </c>
    </row>
    <row r="19" spans="2:15">
      <c r="B19" s="470">
        <f>B18+1</f>
        <v>1951</v>
      </c>
      <c r="C19" s="533">
        <v>0</v>
      </c>
      <c r="D19" s="534">
        <v>7.3141766106749995E-2</v>
      </c>
      <c r="E19" s="535">
        <v>0</v>
      </c>
      <c r="F19" s="535">
        <v>5.7840844921200001E-2</v>
      </c>
      <c r="G19" s="535">
        <v>4.7718697059990003E-2</v>
      </c>
      <c r="H19" s="535">
        <v>7.2637340133599997E-3</v>
      </c>
      <c r="I19" s="536">
        <v>0</v>
      </c>
      <c r="J19" s="537">
        <v>0</v>
      </c>
      <c r="K19" s="538">
        <v>0</v>
      </c>
      <c r="L19" s="535">
        <v>0</v>
      </c>
      <c r="M19" s="536">
        <v>0</v>
      </c>
      <c r="N19" s="471">
        <v>0.18596504210129999</v>
      </c>
      <c r="O19" s="473">
        <f t="shared" si="0"/>
        <v>0.36816651811169998</v>
      </c>
    </row>
    <row r="20" spans="2:15">
      <c r="B20" s="470">
        <f t="shared" ref="B20:B83" si="1">B19+1</f>
        <v>1952</v>
      </c>
      <c r="C20" s="533">
        <v>0</v>
      </c>
      <c r="D20" s="534">
        <v>4.5445535011800008E-2</v>
      </c>
      <c r="E20" s="535">
        <v>0</v>
      </c>
      <c r="F20" s="535">
        <v>3.5938538032320007E-2</v>
      </c>
      <c r="G20" s="535">
        <v>2.9649293876664002E-2</v>
      </c>
      <c r="H20" s="535">
        <v>4.5132117528960004E-3</v>
      </c>
      <c r="I20" s="536">
        <v>0</v>
      </c>
      <c r="J20" s="537">
        <v>0</v>
      </c>
      <c r="K20" s="538">
        <v>0</v>
      </c>
      <c r="L20" s="535">
        <v>0</v>
      </c>
      <c r="M20" s="536">
        <v>0</v>
      </c>
      <c r="N20" s="471">
        <v>0.11554657867368001</v>
      </c>
      <c r="O20" s="473">
        <f t="shared" si="0"/>
        <v>0.48371309678537999</v>
      </c>
    </row>
    <row r="21" spans="2:15">
      <c r="B21" s="470">
        <f t="shared" si="1"/>
        <v>1953</v>
      </c>
      <c r="C21" s="533">
        <v>0</v>
      </c>
      <c r="D21" s="534">
        <v>4.6224569234250001E-2</v>
      </c>
      <c r="E21" s="535">
        <v>0</v>
      </c>
      <c r="F21" s="535">
        <v>3.6554601877200006E-2</v>
      </c>
      <c r="G21" s="535">
        <v>3.0157546548690004E-2</v>
      </c>
      <c r="H21" s="535">
        <v>4.5905779101600005E-3</v>
      </c>
      <c r="I21" s="536">
        <v>0</v>
      </c>
      <c r="J21" s="537">
        <v>0</v>
      </c>
      <c r="K21" s="538">
        <v>0</v>
      </c>
      <c r="L21" s="535">
        <v>0</v>
      </c>
      <c r="M21" s="536">
        <v>0</v>
      </c>
      <c r="N21" s="471">
        <v>0.11752729557030001</v>
      </c>
      <c r="O21" s="473">
        <f t="shared" si="0"/>
        <v>0.60124039235567994</v>
      </c>
    </row>
    <row r="22" spans="2:15">
      <c r="B22" s="470">
        <f t="shared" si="1"/>
        <v>1954</v>
      </c>
      <c r="C22" s="533">
        <v>0</v>
      </c>
      <c r="D22" s="534">
        <v>4.5937880361449988E-2</v>
      </c>
      <c r="E22" s="535">
        <v>0</v>
      </c>
      <c r="F22" s="535">
        <v>3.6327886998479997E-2</v>
      </c>
      <c r="G22" s="535">
        <v>2.9970506773745995E-2</v>
      </c>
      <c r="H22" s="535">
        <v>4.562106739343999E-3</v>
      </c>
      <c r="I22" s="536">
        <v>0</v>
      </c>
      <c r="J22" s="537">
        <v>0</v>
      </c>
      <c r="K22" s="538">
        <v>0</v>
      </c>
      <c r="L22" s="535">
        <v>0</v>
      </c>
      <c r="M22" s="536">
        <v>0</v>
      </c>
      <c r="N22" s="471">
        <v>0.11679838087301998</v>
      </c>
      <c r="O22" s="473">
        <f t="shared" si="0"/>
        <v>0.71803877322869991</v>
      </c>
    </row>
    <row r="23" spans="2:15">
      <c r="B23" s="470">
        <f t="shared" si="1"/>
        <v>1955</v>
      </c>
      <c r="C23" s="533">
        <v>0</v>
      </c>
      <c r="D23" s="534">
        <v>4.7404753931699996E-2</v>
      </c>
      <c r="E23" s="535">
        <v>0</v>
      </c>
      <c r="F23" s="535">
        <v>3.7487897362080004E-2</v>
      </c>
      <c r="G23" s="535">
        <v>3.0927515323716001E-2</v>
      </c>
      <c r="H23" s="535">
        <v>4.7077824594240003E-3</v>
      </c>
      <c r="I23" s="536">
        <v>0</v>
      </c>
      <c r="J23" s="537">
        <v>0</v>
      </c>
      <c r="K23" s="538">
        <v>0</v>
      </c>
      <c r="L23" s="535">
        <v>0</v>
      </c>
      <c r="M23" s="536">
        <v>0</v>
      </c>
      <c r="N23" s="471">
        <v>0.12052794907692001</v>
      </c>
      <c r="O23" s="473">
        <f t="shared" si="0"/>
        <v>0.8385667223056199</v>
      </c>
    </row>
    <row r="24" spans="2:15">
      <c r="B24" s="470">
        <f t="shared" si="1"/>
        <v>1956</v>
      </c>
      <c r="C24" s="533">
        <v>0</v>
      </c>
      <c r="D24" s="534">
        <v>4.7910738397500006E-2</v>
      </c>
      <c r="E24" s="535">
        <v>0</v>
      </c>
      <c r="F24" s="535">
        <v>3.7888032203999999E-2</v>
      </c>
      <c r="G24" s="535">
        <v>3.1257626568300001E-2</v>
      </c>
      <c r="H24" s="535">
        <v>4.7580319512000001E-3</v>
      </c>
      <c r="I24" s="536">
        <v>0</v>
      </c>
      <c r="J24" s="537">
        <v>0</v>
      </c>
      <c r="K24" s="538">
        <v>0</v>
      </c>
      <c r="L24" s="535">
        <v>0</v>
      </c>
      <c r="M24" s="536">
        <v>0</v>
      </c>
      <c r="N24" s="471">
        <v>0.12181442912100002</v>
      </c>
      <c r="O24" s="473">
        <f t="shared" si="0"/>
        <v>0.96038115142661995</v>
      </c>
    </row>
    <row r="25" spans="2:15">
      <c r="B25" s="470">
        <f t="shared" si="1"/>
        <v>1957</v>
      </c>
      <c r="C25" s="533">
        <v>0</v>
      </c>
      <c r="D25" s="534">
        <v>4.84017465789E-2</v>
      </c>
      <c r="E25" s="535">
        <v>0</v>
      </c>
      <c r="F25" s="535">
        <v>3.8276323731359994E-2</v>
      </c>
      <c r="G25" s="535">
        <v>3.1577967078371995E-2</v>
      </c>
      <c r="H25" s="535">
        <v>4.8067941430079983E-3</v>
      </c>
      <c r="I25" s="536">
        <v>0</v>
      </c>
      <c r="J25" s="537">
        <v>0</v>
      </c>
      <c r="K25" s="538">
        <v>0</v>
      </c>
      <c r="L25" s="535">
        <v>0</v>
      </c>
      <c r="M25" s="536">
        <v>0</v>
      </c>
      <c r="N25" s="471">
        <v>0.12306283153163999</v>
      </c>
      <c r="O25" s="473">
        <f t="shared" si="0"/>
        <v>1.0834439829582601</v>
      </c>
    </row>
    <row r="26" spans="2:15">
      <c r="B26" s="470">
        <f t="shared" si="1"/>
        <v>1958</v>
      </c>
      <c r="C26" s="533">
        <v>0</v>
      </c>
      <c r="D26" s="534">
        <v>4.8872162369249995E-2</v>
      </c>
      <c r="E26" s="535">
        <v>0</v>
      </c>
      <c r="F26" s="535">
        <v>3.8648330701200009E-2</v>
      </c>
      <c r="G26" s="535">
        <v>3.188487282849E-2</v>
      </c>
      <c r="H26" s="535">
        <v>4.8535112973599999E-3</v>
      </c>
      <c r="I26" s="536">
        <v>0</v>
      </c>
      <c r="J26" s="537">
        <v>0</v>
      </c>
      <c r="K26" s="538">
        <v>0</v>
      </c>
      <c r="L26" s="535">
        <v>0</v>
      </c>
      <c r="M26" s="536">
        <v>0</v>
      </c>
      <c r="N26" s="471">
        <v>0.12425887719630002</v>
      </c>
      <c r="O26" s="473">
        <f t="shared" si="0"/>
        <v>1.2077028601545601</v>
      </c>
    </row>
    <row r="27" spans="2:15">
      <c r="B27" s="470">
        <f t="shared" si="1"/>
        <v>1959</v>
      </c>
      <c r="C27" s="533">
        <v>0</v>
      </c>
      <c r="D27" s="534">
        <v>4.9315299927300001E-2</v>
      </c>
      <c r="E27" s="535">
        <v>0</v>
      </c>
      <c r="F27" s="535">
        <v>3.8998765919520013E-2</v>
      </c>
      <c r="G27" s="535">
        <v>3.2173981883604007E-2</v>
      </c>
      <c r="H27" s="535">
        <v>4.8975194410560002E-3</v>
      </c>
      <c r="I27" s="536">
        <v>0</v>
      </c>
      <c r="J27" s="537">
        <v>0</v>
      </c>
      <c r="K27" s="538">
        <v>0</v>
      </c>
      <c r="L27" s="535">
        <v>0</v>
      </c>
      <c r="M27" s="536">
        <v>0</v>
      </c>
      <c r="N27" s="471">
        <v>0.12538556717148003</v>
      </c>
      <c r="O27" s="473">
        <f t="shared" si="0"/>
        <v>1.3330884273260402</v>
      </c>
    </row>
    <row r="28" spans="2:15">
      <c r="B28" s="470">
        <f t="shared" si="1"/>
        <v>1960</v>
      </c>
      <c r="C28" s="533">
        <v>0</v>
      </c>
      <c r="D28" s="534">
        <v>6.1594248533399995E-2</v>
      </c>
      <c r="E28" s="535">
        <v>0</v>
      </c>
      <c r="F28" s="535">
        <v>4.8709014932159997E-2</v>
      </c>
      <c r="G28" s="535">
        <v>4.0184937319031992E-2</v>
      </c>
      <c r="H28" s="535">
        <v>6.1169460612479987E-3</v>
      </c>
      <c r="I28" s="536">
        <v>0</v>
      </c>
      <c r="J28" s="537">
        <v>0</v>
      </c>
      <c r="K28" s="538">
        <v>0</v>
      </c>
      <c r="L28" s="535">
        <v>0</v>
      </c>
      <c r="M28" s="536">
        <v>0</v>
      </c>
      <c r="N28" s="471">
        <v>0.15660514684583998</v>
      </c>
      <c r="O28" s="473">
        <f t="shared" si="0"/>
        <v>1.4896935741718802</v>
      </c>
    </row>
    <row r="29" spans="2:15">
      <c r="B29" s="470">
        <f t="shared" si="1"/>
        <v>1961</v>
      </c>
      <c r="C29" s="533">
        <v>0</v>
      </c>
      <c r="D29" s="534">
        <v>5.7810159634500001E-2</v>
      </c>
      <c r="E29" s="535">
        <v>0</v>
      </c>
      <c r="F29" s="535">
        <v>4.5716540032800013E-2</v>
      </c>
      <c r="G29" s="535">
        <v>3.7716145527060006E-2</v>
      </c>
      <c r="H29" s="535">
        <v>5.7411468878400002E-3</v>
      </c>
      <c r="I29" s="536">
        <v>0</v>
      </c>
      <c r="J29" s="537">
        <v>0</v>
      </c>
      <c r="K29" s="538">
        <v>0</v>
      </c>
      <c r="L29" s="535">
        <v>0</v>
      </c>
      <c r="M29" s="536">
        <v>0</v>
      </c>
      <c r="N29" s="471">
        <v>0.14698399208220003</v>
      </c>
      <c r="O29" s="473">
        <f t="shared" si="0"/>
        <v>1.6366775662540802</v>
      </c>
    </row>
    <row r="30" spans="2:15">
      <c r="B30" s="470">
        <f t="shared" si="1"/>
        <v>1962</v>
      </c>
      <c r="C30" s="533">
        <v>0</v>
      </c>
      <c r="D30" s="534">
        <v>5.9348632486499998E-2</v>
      </c>
      <c r="E30" s="535">
        <v>0</v>
      </c>
      <c r="F30" s="535">
        <v>4.6933171437600014E-2</v>
      </c>
      <c r="G30" s="535">
        <v>3.8719866436020003E-2</v>
      </c>
      <c r="H30" s="535">
        <v>5.8939331572800003E-3</v>
      </c>
      <c r="I30" s="536">
        <v>0</v>
      </c>
      <c r="J30" s="537">
        <v>0</v>
      </c>
      <c r="K30" s="538">
        <v>0</v>
      </c>
      <c r="L30" s="535">
        <v>0</v>
      </c>
      <c r="M30" s="536">
        <v>0</v>
      </c>
      <c r="N30" s="471">
        <v>0.15089560351740003</v>
      </c>
      <c r="O30" s="473">
        <f t="shared" si="0"/>
        <v>1.7875731697714803</v>
      </c>
    </row>
    <row r="31" spans="2:15">
      <c r="B31" s="470">
        <f t="shared" si="1"/>
        <v>1963</v>
      </c>
      <c r="C31" s="533">
        <v>0</v>
      </c>
      <c r="D31" s="534">
        <v>6.0778186906500005E-2</v>
      </c>
      <c r="E31" s="535">
        <v>0</v>
      </c>
      <c r="F31" s="535">
        <v>4.8063669645600007E-2</v>
      </c>
      <c r="G31" s="535">
        <v>3.9652527457620004E-2</v>
      </c>
      <c r="H31" s="535">
        <v>6.0359026996800007E-3</v>
      </c>
      <c r="I31" s="536">
        <v>0</v>
      </c>
      <c r="J31" s="537">
        <v>0</v>
      </c>
      <c r="K31" s="538">
        <v>0</v>
      </c>
      <c r="L31" s="535">
        <v>0</v>
      </c>
      <c r="M31" s="536">
        <v>0</v>
      </c>
      <c r="N31" s="471">
        <v>0.15453028670940003</v>
      </c>
      <c r="O31" s="473">
        <f t="shared" si="0"/>
        <v>1.9421034564808803</v>
      </c>
    </row>
    <row r="32" spans="2:15">
      <c r="B32" s="470">
        <f t="shared" si="1"/>
        <v>1964</v>
      </c>
      <c r="C32" s="533">
        <v>0</v>
      </c>
      <c r="D32" s="534">
        <v>6.2281650262500002E-2</v>
      </c>
      <c r="E32" s="535">
        <v>0</v>
      </c>
      <c r="F32" s="535">
        <v>4.925261538000001E-2</v>
      </c>
      <c r="G32" s="535">
        <v>4.063340768850001E-2</v>
      </c>
      <c r="H32" s="535">
        <v>6.185212164E-3</v>
      </c>
      <c r="I32" s="536">
        <v>0</v>
      </c>
      <c r="J32" s="537">
        <v>0</v>
      </c>
      <c r="K32" s="538">
        <v>0</v>
      </c>
      <c r="L32" s="535">
        <v>0</v>
      </c>
      <c r="M32" s="536">
        <v>0</v>
      </c>
      <c r="N32" s="471">
        <v>0.15835288549500004</v>
      </c>
      <c r="O32" s="473">
        <f t="shared" si="0"/>
        <v>2.1004563419758804</v>
      </c>
    </row>
    <row r="33" spans="2:15">
      <c r="B33" s="470">
        <f t="shared" si="1"/>
        <v>1965</v>
      </c>
      <c r="C33" s="533">
        <v>0</v>
      </c>
      <c r="D33" s="534">
        <v>6.3771012571500002E-2</v>
      </c>
      <c r="E33" s="535">
        <v>0</v>
      </c>
      <c r="F33" s="535">
        <v>5.0430409941600016E-2</v>
      </c>
      <c r="G33" s="535">
        <v>4.160508820182001E-2</v>
      </c>
      <c r="H33" s="535">
        <v>6.333121248480001E-3</v>
      </c>
      <c r="I33" s="536">
        <v>0</v>
      </c>
      <c r="J33" s="537">
        <v>0</v>
      </c>
      <c r="K33" s="538">
        <v>0</v>
      </c>
      <c r="L33" s="535">
        <v>0</v>
      </c>
      <c r="M33" s="536">
        <v>0</v>
      </c>
      <c r="N33" s="471">
        <v>0.16213963196340003</v>
      </c>
      <c r="O33" s="473">
        <f t="shared" si="0"/>
        <v>2.2625959739392805</v>
      </c>
    </row>
    <row r="34" spans="2:15">
      <c r="B34" s="470">
        <f t="shared" si="1"/>
        <v>1966</v>
      </c>
      <c r="C34" s="533">
        <v>0</v>
      </c>
      <c r="D34" s="534">
        <v>6.5220016711500003E-2</v>
      </c>
      <c r="E34" s="535">
        <v>0</v>
      </c>
      <c r="F34" s="535">
        <v>5.1576289077600014E-2</v>
      </c>
      <c r="G34" s="535">
        <v>4.2550438489020008E-2</v>
      </c>
      <c r="H34" s="535">
        <v>6.4770223492800006E-3</v>
      </c>
      <c r="I34" s="536">
        <v>0</v>
      </c>
      <c r="J34" s="537">
        <v>0</v>
      </c>
      <c r="K34" s="538">
        <v>0</v>
      </c>
      <c r="L34" s="535">
        <v>0</v>
      </c>
      <c r="M34" s="536">
        <v>0</v>
      </c>
      <c r="N34" s="471">
        <v>0.16582376662740003</v>
      </c>
      <c r="O34" s="473">
        <f t="shared" si="0"/>
        <v>2.4284197405666803</v>
      </c>
    </row>
    <row r="35" spans="2:15">
      <c r="B35" s="470">
        <f t="shared" si="1"/>
        <v>1967</v>
      </c>
      <c r="C35" s="533">
        <v>0</v>
      </c>
      <c r="D35" s="534">
        <v>6.6246745938359414E-2</v>
      </c>
      <c r="E35" s="535">
        <v>0</v>
      </c>
      <c r="F35" s="535">
        <v>5.2388231270794568E-2</v>
      </c>
      <c r="G35" s="535">
        <v>4.3220290798405517E-2</v>
      </c>
      <c r="H35" s="535">
        <v>6.5789871828439679E-3</v>
      </c>
      <c r="I35" s="536">
        <v>0</v>
      </c>
      <c r="J35" s="537">
        <v>0</v>
      </c>
      <c r="K35" s="538">
        <v>0</v>
      </c>
      <c r="L35" s="535">
        <v>0</v>
      </c>
      <c r="M35" s="536">
        <v>0</v>
      </c>
      <c r="N35" s="471">
        <v>0.16843425519040348</v>
      </c>
      <c r="O35" s="473">
        <f t="shared" si="0"/>
        <v>2.5968539957570838</v>
      </c>
    </row>
    <row r="36" spans="2:15">
      <c r="B36" s="470">
        <f t="shared" si="1"/>
        <v>1968</v>
      </c>
      <c r="C36" s="533">
        <v>0</v>
      </c>
      <c r="D36" s="534">
        <v>6.7157562549051711E-2</v>
      </c>
      <c r="E36" s="535">
        <v>0</v>
      </c>
      <c r="F36" s="535">
        <v>5.3108509234192622E-2</v>
      </c>
      <c r="G36" s="535">
        <v>4.3814520118208918E-2</v>
      </c>
      <c r="H36" s="535">
        <v>6.6694406945265149E-3</v>
      </c>
      <c r="I36" s="536">
        <v>0</v>
      </c>
      <c r="J36" s="537">
        <v>0</v>
      </c>
      <c r="K36" s="538">
        <v>0</v>
      </c>
      <c r="L36" s="535">
        <v>0</v>
      </c>
      <c r="M36" s="536">
        <v>0</v>
      </c>
      <c r="N36" s="471">
        <v>0.17075003259597976</v>
      </c>
      <c r="O36" s="473">
        <f t="shared" si="0"/>
        <v>2.7676040283530634</v>
      </c>
    </row>
    <row r="37" spans="2:15">
      <c r="B37" s="470">
        <f t="shared" si="1"/>
        <v>1969</v>
      </c>
      <c r="C37" s="533">
        <v>0</v>
      </c>
      <c r="D37" s="534">
        <v>6.8024614929867958E-2</v>
      </c>
      <c r="E37" s="535">
        <v>0</v>
      </c>
      <c r="F37" s="535">
        <v>5.3794178243389841E-2</v>
      </c>
      <c r="G37" s="535">
        <v>4.438019705079662E-2</v>
      </c>
      <c r="H37" s="535">
        <v>6.7555479654489558E-3</v>
      </c>
      <c r="I37" s="536">
        <v>0</v>
      </c>
      <c r="J37" s="537">
        <v>0</v>
      </c>
      <c r="K37" s="538">
        <v>0</v>
      </c>
      <c r="L37" s="535">
        <v>0</v>
      </c>
      <c r="M37" s="536">
        <v>0</v>
      </c>
      <c r="N37" s="471">
        <v>0.17295453818950338</v>
      </c>
      <c r="O37" s="473">
        <f t="shared" si="0"/>
        <v>2.9405585665425669</v>
      </c>
    </row>
    <row r="38" spans="2:15">
      <c r="B38" s="470">
        <f t="shared" si="1"/>
        <v>1970</v>
      </c>
      <c r="C38" s="533">
        <v>0</v>
      </c>
      <c r="D38" s="534">
        <v>6.8849035009820925E-2</v>
      </c>
      <c r="E38" s="535">
        <v>0</v>
      </c>
      <c r="F38" s="535">
        <v>5.4446133433053795E-2</v>
      </c>
      <c r="G38" s="535">
        <v>4.4918060082269375E-2</v>
      </c>
      <c r="H38" s="535">
        <v>6.8374214078718706E-3</v>
      </c>
      <c r="I38" s="536">
        <v>0</v>
      </c>
      <c r="J38" s="537">
        <v>0</v>
      </c>
      <c r="K38" s="538">
        <v>0</v>
      </c>
      <c r="L38" s="535">
        <v>0</v>
      </c>
      <c r="M38" s="536">
        <v>0</v>
      </c>
      <c r="N38" s="471">
        <v>0.17505064993301594</v>
      </c>
      <c r="O38" s="473">
        <f t="shared" si="0"/>
        <v>3.1156092164755829</v>
      </c>
    </row>
    <row r="39" spans="2:15">
      <c r="B39" s="470">
        <f t="shared" si="1"/>
        <v>1971</v>
      </c>
      <c r="C39" s="533">
        <v>0</v>
      </c>
      <c r="D39" s="534">
        <v>6.9631930233634579E-2</v>
      </c>
      <c r="E39" s="535">
        <v>0</v>
      </c>
      <c r="F39" s="535">
        <v>5.5065250575563912E-2</v>
      </c>
      <c r="G39" s="535">
        <v>4.5428831724840218E-2</v>
      </c>
      <c r="H39" s="535">
        <v>6.9151710025126762E-3</v>
      </c>
      <c r="I39" s="536">
        <v>0</v>
      </c>
      <c r="J39" s="537">
        <v>0</v>
      </c>
      <c r="K39" s="538">
        <v>0</v>
      </c>
      <c r="L39" s="535">
        <v>0</v>
      </c>
      <c r="M39" s="536">
        <v>0</v>
      </c>
      <c r="N39" s="471">
        <v>0.17704118353655138</v>
      </c>
      <c r="O39" s="473">
        <f t="shared" si="0"/>
        <v>3.2926504000121342</v>
      </c>
    </row>
    <row r="40" spans="2:15">
      <c r="B40" s="470">
        <f t="shared" si="1"/>
        <v>1972</v>
      </c>
      <c r="C40" s="533">
        <v>0</v>
      </c>
      <c r="D40" s="534">
        <v>7.0374384047411837E-2</v>
      </c>
      <c r="E40" s="535">
        <v>0</v>
      </c>
      <c r="F40" s="535">
        <v>5.5652386465079716E-2</v>
      </c>
      <c r="G40" s="535">
        <v>4.5913218833690761E-2</v>
      </c>
      <c r="H40" s="535">
        <v>6.988904346777452E-3</v>
      </c>
      <c r="I40" s="536">
        <v>0</v>
      </c>
      <c r="J40" s="537">
        <v>0</v>
      </c>
      <c r="K40" s="538">
        <v>0</v>
      </c>
      <c r="L40" s="535">
        <v>0</v>
      </c>
      <c r="M40" s="536">
        <v>0</v>
      </c>
      <c r="N40" s="471">
        <v>0.17892889369295978</v>
      </c>
      <c r="O40" s="473">
        <f t="shared" si="0"/>
        <v>3.4715792937050938</v>
      </c>
    </row>
    <row r="41" spans="2:15">
      <c r="B41" s="470">
        <f t="shared" si="1"/>
        <v>1973</v>
      </c>
      <c r="C41" s="533">
        <v>0</v>
      </c>
      <c r="D41" s="534">
        <v>7.1077456375150561E-2</v>
      </c>
      <c r="E41" s="535">
        <v>0</v>
      </c>
      <c r="F41" s="535">
        <v>5.6208379294371946E-2</v>
      </c>
      <c r="G41" s="535">
        <v>4.6371912917856861E-2</v>
      </c>
      <c r="H41" s="535">
        <v>7.0587267020839183E-3</v>
      </c>
      <c r="I41" s="536">
        <v>0</v>
      </c>
      <c r="J41" s="537">
        <v>0</v>
      </c>
      <c r="K41" s="538">
        <v>0</v>
      </c>
      <c r="L41" s="535">
        <v>0</v>
      </c>
      <c r="M41" s="536">
        <v>0</v>
      </c>
      <c r="N41" s="471">
        <v>0.18071647528946327</v>
      </c>
      <c r="O41" s="473">
        <f t="shared" si="0"/>
        <v>3.652295768994557</v>
      </c>
    </row>
    <row r="42" spans="2:15">
      <c r="B42" s="470">
        <f t="shared" si="1"/>
        <v>1974</v>
      </c>
      <c r="C42" s="533">
        <v>0</v>
      </c>
      <c r="D42" s="534">
        <v>7.1742184086274238E-2</v>
      </c>
      <c r="E42" s="535">
        <v>0</v>
      </c>
      <c r="F42" s="535">
        <v>5.6734049024547914E-2</v>
      </c>
      <c r="G42" s="535">
        <v>4.6805590445252031E-2</v>
      </c>
      <c r="H42" s="535">
        <v>7.1247410402920635E-3</v>
      </c>
      <c r="I42" s="536">
        <v>0</v>
      </c>
      <c r="J42" s="537">
        <v>0</v>
      </c>
      <c r="K42" s="538">
        <v>0</v>
      </c>
      <c r="L42" s="535">
        <v>0</v>
      </c>
      <c r="M42" s="536">
        <v>0</v>
      </c>
      <c r="N42" s="471">
        <v>0.18240656459636626</v>
      </c>
      <c r="O42" s="473">
        <f t="shared" si="0"/>
        <v>3.8347023335909234</v>
      </c>
    </row>
    <row r="43" spans="2:15">
      <c r="B43" s="470">
        <f t="shared" si="1"/>
        <v>1975</v>
      </c>
      <c r="C43" s="533">
        <v>0</v>
      </c>
      <c r="D43" s="534">
        <v>7.2369581454341386E-2</v>
      </c>
      <c r="E43" s="535">
        <v>0</v>
      </c>
      <c r="F43" s="535">
        <v>5.7230197747801005E-2</v>
      </c>
      <c r="G43" s="535">
        <v>4.7214913141935828E-2</v>
      </c>
      <c r="H43" s="535">
        <v>7.1870480892587303E-3</v>
      </c>
      <c r="I43" s="536">
        <v>0</v>
      </c>
      <c r="J43" s="537">
        <v>0</v>
      </c>
      <c r="K43" s="538">
        <v>0</v>
      </c>
      <c r="L43" s="535">
        <v>0</v>
      </c>
      <c r="M43" s="536">
        <v>0</v>
      </c>
      <c r="N43" s="471">
        <v>0.18400174043333695</v>
      </c>
      <c r="O43" s="473">
        <f t="shared" si="0"/>
        <v>4.0187040740242601</v>
      </c>
    </row>
    <row r="44" spans="2:15">
      <c r="B44" s="470">
        <f t="shared" si="1"/>
        <v>1976</v>
      </c>
      <c r="C44" s="533">
        <v>0</v>
      </c>
      <c r="D44" s="534">
        <v>7.296064060709416E-2</v>
      </c>
      <c r="E44" s="535">
        <v>0</v>
      </c>
      <c r="F44" s="535">
        <v>5.7697610043311254E-2</v>
      </c>
      <c r="G44" s="535">
        <v>4.7600528285731782E-2</v>
      </c>
      <c r="H44" s="535">
        <v>7.2457463775321106E-3</v>
      </c>
      <c r="I44" s="536">
        <v>0</v>
      </c>
      <c r="J44" s="537">
        <v>0</v>
      </c>
      <c r="K44" s="538">
        <v>0</v>
      </c>
      <c r="L44" s="535">
        <v>0</v>
      </c>
      <c r="M44" s="536">
        <v>0</v>
      </c>
      <c r="N44" s="471">
        <v>0.18550452531366932</v>
      </c>
      <c r="O44" s="473">
        <f t="shared" si="0"/>
        <v>4.204208599337929</v>
      </c>
    </row>
    <row r="45" spans="2:15">
      <c r="B45" s="470">
        <f t="shared" si="1"/>
        <v>1977</v>
      </c>
      <c r="C45" s="533">
        <v>0</v>
      </c>
      <c r="D45" s="534">
        <v>7.3516331968004417E-2</v>
      </c>
      <c r="E45" s="535">
        <v>0</v>
      </c>
      <c r="F45" s="535">
        <v>5.8137053326421897E-2</v>
      </c>
      <c r="G45" s="535">
        <v>4.7963068994298065E-2</v>
      </c>
      <c r="H45" s="535">
        <v>7.3009322782018188E-3</v>
      </c>
      <c r="I45" s="536">
        <v>0</v>
      </c>
      <c r="J45" s="537">
        <v>0</v>
      </c>
      <c r="K45" s="538">
        <v>0</v>
      </c>
      <c r="L45" s="535">
        <v>0</v>
      </c>
      <c r="M45" s="536">
        <v>0</v>
      </c>
      <c r="N45" s="471">
        <v>0.18691738656692619</v>
      </c>
      <c r="O45" s="473">
        <f t="shared" si="0"/>
        <v>4.3911259859048553</v>
      </c>
    </row>
    <row r="46" spans="2:15">
      <c r="B46" s="470">
        <f t="shared" si="1"/>
        <v>1978</v>
      </c>
      <c r="C46" s="533">
        <v>0</v>
      </c>
      <c r="D46" s="534">
        <v>7.4037604689472292E-2</v>
      </c>
      <c r="E46" s="535">
        <v>0</v>
      </c>
      <c r="F46" s="535">
        <v>5.8549278191214874E-2</v>
      </c>
      <c r="G46" s="535">
        <v>4.8303154507752272E-2</v>
      </c>
      <c r="H46" s="535">
        <v>7.3527000519200076E-3</v>
      </c>
      <c r="I46" s="536">
        <v>0</v>
      </c>
      <c r="J46" s="537">
        <v>0</v>
      </c>
      <c r="K46" s="538">
        <v>0</v>
      </c>
      <c r="L46" s="535">
        <v>0</v>
      </c>
      <c r="M46" s="536">
        <v>0</v>
      </c>
      <c r="N46" s="471">
        <v>0.18824273744035944</v>
      </c>
      <c r="O46" s="473">
        <f t="shared" si="0"/>
        <v>4.5793687233452145</v>
      </c>
    </row>
    <row r="47" spans="2:15">
      <c r="B47" s="470">
        <f t="shared" si="1"/>
        <v>1979</v>
      </c>
      <c r="C47" s="533">
        <v>0</v>
      </c>
      <c r="D47" s="534">
        <v>7.4525387077829422E-2</v>
      </c>
      <c r="E47" s="535">
        <v>0</v>
      </c>
      <c r="F47" s="535">
        <v>5.8935018746605339E-2</v>
      </c>
      <c r="G47" s="535">
        <v>4.8621390465949405E-2</v>
      </c>
      <c r="H47" s="535">
        <v>7.4011418891085767E-3</v>
      </c>
      <c r="I47" s="536">
        <v>0</v>
      </c>
      <c r="J47" s="537">
        <v>0</v>
      </c>
      <c r="K47" s="538">
        <v>0</v>
      </c>
      <c r="L47" s="535">
        <v>0</v>
      </c>
      <c r="M47" s="536">
        <v>0</v>
      </c>
      <c r="N47" s="471">
        <v>0.18948293817949272</v>
      </c>
      <c r="O47" s="473">
        <f t="shared" si="0"/>
        <v>4.7688516615247076</v>
      </c>
    </row>
    <row r="48" spans="2:15">
      <c r="B48" s="470">
        <f t="shared" si="1"/>
        <v>1980</v>
      </c>
      <c r="C48" s="533">
        <v>0</v>
      </c>
      <c r="D48" s="534">
        <v>7.5022166249999994E-2</v>
      </c>
      <c r="E48" s="535">
        <v>0</v>
      </c>
      <c r="F48" s="535">
        <v>5.9327874000000003E-2</v>
      </c>
      <c r="G48" s="535">
        <v>4.8945496049999995E-2</v>
      </c>
      <c r="H48" s="535">
        <v>7.4504771999999988E-3</v>
      </c>
      <c r="I48" s="536">
        <v>0</v>
      </c>
      <c r="J48" s="537">
        <v>0</v>
      </c>
      <c r="K48" s="538">
        <v>0</v>
      </c>
      <c r="L48" s="535">
        <v>0</v>
      </c>
      <c r="M48" s="536">
        <v>0</v>
      </c>
      <c r="N48" s="471">
        <v>0.19074601350000001</v>
      </c>
      <c r="O48" s="473">
        <f t="shared" si="0"/>
        <v>4.9595976750247077</v>
      </c>
    </row>
    <row r="49" spans="2:15">
      <c r="B49" s="470">
        <f t="shared" si="1"/>
        <v>1981</v>
      </c>
      <c r="C49" s="533">
        <v>0</v>
      </c>
      <c r="D49" s="534">
        <v>0</v>
      </c>
      <c r="E49" s="535">
        <v>0</v>
      </c>
      <c r="F49" s="535">
        <v>0</v>
      </c>
      <c r="G49" s="535">
        <v>0</v>
      </c>
      <c r="H49" s="535">
        <v>0</v>
      </c>
      <c r="I49" s="536">
        <v>0</v>
      </c>
      <c r="J49" s="537">
        <v>0</v>
      </c>
      <c r="K49" s="538">
        <v>0</v>
      </c>
      <c r="L49" s="535">
        <v>0</v>
      </c>
      <c r="M49" s="536">
        <v>0</v>
      </c>
      <c r="N49" s="471">
        <v>0</v>
      </c>
      <c r="O49" s="473">
        <f t="shared" si="0"/>
        <v>4.9595976750247077</v>
      </c>
    </row>
    <row r="50" spans="2:15">
      <c r="B50" s="470">
        <f t="shared" si="1"/>
        <v>1982</v>
      </c>
      <c r="C50" s="533">
        <v>0</v>
      </c>
      <c r="D50" s="534">
        <v>0</v>
      </c>
      <c r="E50" s="535">
        <v>0</v>
      </c>
      <c r="F50" s="535">
        <v>0</v>
      </c>
      <c r="G50" s="535">
        <v>0</v>
      </c>
      <c r="H50" s="535">
        <v>0</v>
      </c>
      <c r="I50" s="536">
        <v>0</v>
      </c>
      <c r="J50" s="537">
        <v>0</v>
      </c>
      <c r="K50" s="538">
        <v>0</v>
      </c>
      <c r="L50" s="535">
        <v>0</v>
      </c>
      <c r="M50" s="536">
        <v>0</v>
      </c>
      <c r="N50" s="471">
        <v>0</v>
      </c>
      <c r="O50" s="473">
        <f t="shared" si="0"/>
        <v>4.9595976750247077</v>
      </c>
    </row>
    <row r="51" spans="2:15">
      <c r="B51" s="470">
        <f t="shared" si="1"/>
        <v>1983</v>
      </c>
      <c r="C51" s="533">
        <v>0</v>
      </c>
      <c r="D51" s="534">
        <v>0</v>
      </c>
      <c r="E51" s="535">
        <v>0</v>
      </c>
      <c r="F51" s="535">
        <v>0</v>
      </c>
      <c r="G51" s="535">
        <v>0</v>
      </c>
      <c r="H51" s="535">
        <v>0</v>
      </c>
      <c r="I51" s="536">
        <v>0</v>
      </c>
      <c r="J51" s="537">
        <v>0</v>
      </c>
      <c r="K51" s="538">
        <v>0</v>
      </c>
      <c r="L51" s="535">
        <v>0</v>
      </c>
      <c r="M51" s="536">
        <v>0</v>
      </c>
      <c r="N51" s="471">
        <v>0</v>
      </c>
      <c r="O51" s="473">
        <f t="shared" si="0"/>
        <v>4.9595976750247077</v>
      </c>
    </row>
    <row r="52" spans="2:15">
      <c r="B52" s="470">
        <f t="shared" si="1"/>
        <v>1984</v>
      </c>
      <c r="C52" s="533">
        <v>0</v>
      </c>
      <c r="D52" s="534">
        <v>0</v>
      </c>
      <c r="E52" s="535">
        <v>0</v>
      </c>
      <c r="F52" s="535">
        <v>0</v>
      </c>
      <c r="G52" s="535">
        <v>0</v>
      </c>
      <c r="H52" s="535">
        <v>0</v>
      </c>
      <c r="I52" s="536">
        <v>0</v>
      </c>
      <c r="J52" s="537">
        <v>0</v>
      </c>
      <c r="K52" s="538">
        <v>0</v>
      </c>
      <c r="L52" s="535">
        <v>0</v>
      </c>
      <c r="M52" s="536">
        <v>0</v>
      </c>
      <c r="N52" s="471">
        <v>0</v>
      </c>
      <c r="O52" s="473">
        <f t="shared" si="0"/>
        <v>4.9595976750247077</v>
      </c>
    </row>
    <row r="53" spans="2:15">
      <c r="B53" s="470">
        <f t="shared" si="1"/>
        <v>1985</v>
      </c>
      <c r="C53" s="533">
        <v>0</v>
      </c>
      <c r="D53" s="534">
        <v>0</v>
      </c>
      <c r="E53" s="535">
        <v>0</v>
      </c>
      <c r="F53" s="535">
        <v>0</v>
      </c>
      <c r="G53" s="535">
        <v>0</v>
      </c>
      <c r="H53" s="535">
        <v>0</v>
      </c>
      <c r="I53" s="536">
        <v>0</v>
      </c>
      <c r="J53" s="537">
        <v>0</v>
      </c>
      <c r="K53" s="538">
        <v>0</v>
      </c>
      <c r="L53" s="535">
        <v>0</v>
      </c>
      <c r="M53" s="536">
        <v>0</v>
      </c>
      <c r="N53" s="471">
        <v>0</v>
      </c>
      <c r="O53" s="473">
        <f t="shared" si="0"/>
        <v>4.9595976750247077</v>
      </c>
    </row>
    <row r="54" spans="2:15">
      <c r="B54" s="470">
        <f t="shared" si="1"/>
        <v>1986</v>
      </c>
      <c r="C54" s="533">
        <v>0</v>
      </c>
      <c r="D54" s="534">
        <v>0</v>
      </c>
      <c r="E54" s="535">
        <v>0</v>
      </c>
      <c r="F54" s="535">
        <v>0</v>
      </c>
      <c r="G54" s="535">
        <v>0</v>
      </c>
      <c r="H54" s="535">
        <v>0</v>
      </c>
      <c r="I54" s="536">
        <v>0</v>
      </c>
      <c r="J54" s="537">
        <v>0</v>
      </c>
      <c r="K54" s="538">
        <v>0</v>
      </c>
      <c r="L54" s="535">
        <v>0</v>
      </c>
      <c r="M54" s="536">
        <v>0</v>
      </c>
      <c r="N54" s="471">
        <v>0</v>
      </c>
      <c r="O54" s="473">
        <f t="shared" si="0"/>
        <v>4.9595976750247077</v>
      </c>
    </row>
    <row r="55" spans="2:15">
      <c r="B55" s="470">
        <f t="shared" si="1"/>
        <v>1987</v>
      </c>
      <c r="C55" s="533">
        <v>0</v>
      </c>
      <c r="D55" s="534">
        <v>0</v>
      </c>
      <c r="E55" s="535">
        <v>0</v>
      </c>
      <c r="F55" s="535">
        <v>0</v>
      </c>
      <c r="G55" s="535">
        <v>0</v>
      </c>
      <c r="H55" s="535">
        <v>0</v>
      </c>
      <c r="I55" s="536">
        <v>0</v>
      </c>
      <c r="J55" s="537">
        <v>0</v>
      </c>
      <c r="K55" s="538">
        <v>0</v>
      </c>
      <c r="L55" s="535">
        <v>0</v>
      </c>
      <c r="M55" s="536">
        <v>0</v>
      </c>
      <c r="N55" s="471">
        <v>0</v>
      </c>
      <c r="O55" s="473">
        <f t="shared" si="0"/>
        <v>4.9595976750247077</v>
      </c>
    </row>
    <row r="56" spans="2:15">
      <c r="B56" s="470">
        <f t="shared" si="1"/>
        <v>1988</v>
      </c>
      <c r="C56" s="533">
        <v>0</v>
      </c>
      <c r="D56" s="534">
        <v>0</v>
      </c>
      <c r="E56" s="535">
        <v>0</v>
      </c>
      <c r="F56" s="535">
        <v>0</v>
      </c>
      <c r="G56" s="535">
        <v>0</v>
      </c>
      <c r="H56" s="535">
        <v>0</v>
      </c>
      <c r="I56" s="536">
        <v>0</v>
      </c>
      <c r="J56" s="537">
        <v>0</v>
      </c>
      <c r="K56" s="538">
        <v>0</v>
      </c>
      <c r="L56" s="535">
        <v>0</v>
      </c>
      <c r="M56" s="536">
        <v>0</v>
      </c>
      <c r="N56" s="471">
        <v>0</v>
      </c>
      <c r="O56" s="473">
        <f t="shared" si="0"/>
        <v>4.9595976750247077</v>
      </c>
    </row>
    <row r="57" spans="2:15">
      <c r="B57" s="470">
        <f t="shared" si="1"/>
        <v>1989</v>
      </c>
      <c r="C57" s="533">
        <v>0</v>
      </c>
      <c r="D57" s="534">
        <v>0</v>
      </c>
      <c r="E57" s="535">
        <v>0</v>
      </c>
      <c r="F57" s="535">
        <v>0</v>
      </c>
      <c r="G57" s="535">
        <v>0</v>
      </c>
      <c r="H57" s="535">
        <v>0</v>
      </c>
      <c r="I57" s="536">
        <v>0</v>
      </c>
      <c r="J57" s="537">
        <v>0</v>
      </c>
      <c r="K57" s="538">
        <v>0</v>
      </c>
      <c r="L57" s="535">
        <v>0</v>
      </c>
      <c r="M57" s="536">
        <v>0</v>
      </c>
      <c r="N57" s="471">
        <v>0</v>
      </c>
      <c r="O57" s="473">
        <f t="shared" si="0"/>
        <v>4.9595976750247077</v>
      </c>
    </row>
    <row r="58" spans="2:15">
      <c r="B58" s="470">
        <f t="shared" si="1"/>
        <v>1990</v>
      </c>
      <c r="C58" s="533">
        <v>0</v>
      </c>
      <c r="D58" s="534">
        <v>0</v>
      </c>
      <c r="E58" s="535">
        <v>0</v>
      </c>
      <c r="F58" s="535">
        <v>0</v>
      </c>
      <c r="G58" s="535">
        <v>0</v>
      </c>
      <c r="H58" s="535">
        <v>0</v>
      </c>
      <c r="I58" s="536">
        <v>0</v>
      </c>
      <c r="J58" s="537">
        <v>0</v>
      </c>
      <c r="K58" s="538">
        <v>0</v>
      </c>
      <c r="L58" s="535">
        <v>0</v>
      </c>
      <c r="M58" s="536">
        <v>0</v>
      </c>
      <c r="N58" s="471">
        <v>0</v>
      </c>
      <c r="O58" s="473">
        <f t="shared" si="0"/>
        <v>4.9595976750247077</v>
      </c>
    </row>
    <row r="59" spans="2:15">
      <c r="B59" s="470">
        <f t="shared" si="1"/>
        <v>1991</v>
      </c>
      <c r="C59" s="533">
        <v>0</v>
      </c>
      <c r="D59" s="534">
        <v>0</v>
      </c>
      <c r="E59" s="535">
        <v>0</v>
      </c>
      <c r="F59" s="535">
        <v>0</v>
      </c>
      <c r="G59" s="535">
        <v>0</v>
      </c>
      <c r="H59" s="535">
        <v>0</v>
      </c>
      <c r="I59" s="536">
        <v>0</v>
      </c>
      <c r="J59" s="537">
        <v>0</v>
      </c>
      <c r="K59" s="538">
        <v>0</v>
      </c>
      <c r="L59" s="535">
        <v>0</v>
      </c>
      <c r="M59" s="536">
        <v>0</v>
      </c>
      <c r="N59" s="471">
        <v>0</v>
      </c>
      <c r="O59" s="473">
        <f t="shared" si="0"/>
        <v>4.9595976750247077</v>
      </c>
    </row>
    <row r="60" spans="2:15">
      <c r="B60" s="470">
        <f t="shared" si="1"/>
        <v>1992</v>
      </c>
      <c r="C60" s="533">
        <v>0</v>
      </c>
      <c r="D60" s="534">
        <v>0</v>
      </c>
      <c r="E60" s="535">
        <v>0</v>
      </c>
      <c r="F60" s="535">
        <v>0</v>
      </c>
      <c r="G60" s="535">
        <v>0</v>
      </c>
      <c r="H60" s="535">
        <v>0</v>
      </c>
      <c r="I60" s="536">
        <v>0</v>
      </c>
      <c r="J60" s="537">
        <v>0</v>
      </c>
      <c r="K60" s="538">
        <v>0</v>
      </c>
      <c r="L60" s="535">
        <v>0</v>
      </c>
      <c r="M60" s="536">
        <v>0</v>
      </c>
      <c r="N60" s="471">
        <v>0</v>
      </c>
      <c r="O60" s="473">
        <f t="shared" si="0"/>
        <v>4.9595976750247077</v>
      </c>
    </row>
    <row r="61" spans="2:15">
      <c r="B61" s="470">
        <f t="shared" si="1"/>
        <v>1993</v>
      </c>
      <c r="C61" s="533">
        <v>0</v>
      </c>
      <c r="D61" s="534">
        <v>0</v>
      </c>
      <c r="E61" s="535">
        <v>0</v>
      </c>
      <c r="F61" s="535">
        <v>0</v>
      </c>
      <c r="G61" s="535">
        <v>0</v>
      </c>
      <c r="H61" s="535">
        <v>0</v>
      </c>
      <c r="I61" s="536">
        <v>0</v>
      </c>
      <c r="J61" s="537">
        <v>0</v>
      </c>
      <c r="K61" s="538">
        <v>0</v>
      </c>
      <c r="L61" s="535">
        <v>0</v>
      </c>
      <c r="M61" s="536">
        <v>0</v>
      </c>
      <c r="N61" s="471">
        <v>0</v>
      </c>
      <c r="O61" s="473">
        <f t="shared" si="0"/>
        <v>4.9595976750247077</v>
      </c>
    </row>
    <row r="62" spans="2:15">
      <c r="B62" s="470">
        <f t="shared" si="1"/>
        <v>1994</v>
      </c>
      <c r="C62" s="533">
        <v>0</v>
      </c>
      <c r="D62" s="534">
        <v>0</v>
      </c>
      <c r="E62" s="535">
        <v>0</v>
      </c>
      <c r="F62" s="535">
        <v>0</v>
      </c>
      <c r="G62" s="535">
        <v>0</v>
      </c>
      <c r="H62" s="535">
        <v>0</v>
      </c>
      <c r="I62" s="536">
        <v>0</v>
      </c>
      <c r="J62" s="537">
        <v>0</v>
      </c>
      <c r="K62" s="538">
        <v>0</v>
      </c>
      <c r="L62" s="535">
        <v>0</v>
      </c>
      <c r="M62" s="536">
        <v>0</v>
      </c>
      <c r="N62" s="471">
        <v>0</v>
      </c>
      <c r="O62" s="473">
        <f t="shared" si="0"/>
        <v>4.9595976750247077</v>
      </c>
    </row>
    <row r="63" spans="2:15">
      <c r="B63" s="470">
        <f t="shared" si="1"/>
        <v>1995</v>
      </c>
      <c r="C63" s="533">
        <v>0</v>
      </c>
      <c r="D63" s="534">
        <v>0</v>
      </c>
      <c r="E63" s="535">
        <v>0</v>
      </c>
      <c r="F63" s="535">
        <v>0</v>
      </c>
      <c r="G63" s="535">
        <v>0</v>
      </c>
      <c r="H63" s="535">
        <v>0</v>
      </c>
      <c r="I63" s="536">
        <v>0</v>
      </c>
      <c r="J63" s="537">
        <v>0</v>
      </c>
      <c r="K63" s="538">
        <v>0</v>
      </c>
      <c r="L63" s="535">
        <v>0</v>
      </c>
      <c r="M63" s="536">
        <v>0</v>
      </c>
      <c r="N63" s="471">
        <v>0</v>
      </c>
      <c r="O63" s="473">
        <f t="shared" si="0"/>
        <v>4.9595976750247077</v>
      </c>
    </row>
    <row r="64" spans="2:15">
      <c r="B64" s="470">
        <f t="shared" si="1"/>
        <v>1996</v>
      </c>
      <c r="C64" s="533">
        <v>0</v>
      </c>
      <c r="D64" s="534">
        <v>0</v>
      </c>
      <c r="E64" s="535">
        <v>0</v>
      </c>
      <c r="F64" s="535">
        <v>0</v>
      </c>
      <c r="G64" s="535">
        <v>0</v>
      </c>
      <c r="H64" s="535">
        <v>0</v>
      </c>
      <c r="I64" s="536">
        <v>0</v>
      </c>
      <c r="J64" s="537">
        <v>0</v>
      </c>
      <c r="K64" s="538">
        <v>0</v>
      </c>
      <c r="L64" s="535">
        <v>0</v>
      </c>
      <c r="M64" s="536">
        <v>0</v>
      </c>
      <c r="N64" s="471">
        <v>0</v>
      </c>
      <c r="O64" s="473">
        <f t="shared" si="0"/>
        <v>4.9595976750247077</v>
      </c>
    </row>
    <row r="65" spans="2:15">
      <c r="B65" s="470">
        <f t="shared" si="1"/>
        <v>1997</v>
      </c>
      <c r="C65" s="533">
        <v>0</v>
      </c>
      <c r="D65" s="534">
        <v>0</v>
      </c>
      <c r="E65" s="535">
        <v>0</v>
      </c>
      <c r="F65" s="535">
        <v>0</v>
      </c>
      <c r="G65" s="535">
        <v>0</v>
      </c>
      <c r="H65" s="535">
        <v>0</v>
      </c>
      <c r="I65" s="536">
        <v>0</v>
      </c>
      <c r="J65" s="537">
        <v>0</v>
      </c>
      <c r="K65" s="538">
        <v>0</v>
      </c>
      <c r="L65" s="535">
        <v>0</v>
      </c>
      <c r="M65" s="536">
        <v>0</v>
      </c>
      <c r="N65" s="471">
        <v>0</v>
      </c>
      <c r="O65" s="473">
        <f t="shared" si="0"/>
        <v>4.9595976750247077</v>
      </c>
    </row>
    <row r="66" spans="2:15">
      <c r="B66" s="470">
        <f t="shared" si="1"/>
        <v>1998</v>
      </c>
      <c r="C66" s="533">
        <v>0</v>
      </c>
      <c r="D66" s="534">
        <v>0</v>
      </c>
      <c r="E66" s="535">
        <v>0</v>
      </c>
      <c r="F66" s="535">
        <v>0</v>
      </c>
      <c r="G66" s="535">
        <v>0</v>
      </c>
      <c r="H66" s="535">
        <v>0</v>
      </c>
      <c r="I66" s="536">
        <v>0</v>
      </c>
      <c r="J66" s="537">
        <v>0</v>
      </c>
      <c r="K66" s="538">
        <v>0</v>
      </c>
      <c r="L66" s="535">
        <v>0</v>
      </c>
      <c r="M66" s="536">
        <v>0</v>
      </c>
      <c r="N66" s="471">
        <v>0</v>
      </c>
      <c r="O66" s="473">
        <f t="shared" si="0"/>
        <v>4.9595976750247077</v>
      </c>
    </row>
    <row r="67" spans="2:15">
      <c r="B67" s="470">
        <f t="shared" si="1"/>
        <v>1999</v>
      </c>
      <c r="C67" s="533">
        <v>0</v>
      </c>
      <c r="D67" s="534">
        <v>0</v>
      </c>
      <c r="E67" s="535">
        <v>0</v>
      </c>
      <c r="F67" s="535">
        <v>0</v>
      </c>
      <c r="G67" s="535">
        <v>0</v>
      </c>
      <c r="H67" s="535">
        <v>0</v>
      </c>
      <c r="I67" s="536">
        <v>0</v>
      </c>
      <c r="J67" s="537">
        <v>0</v>
      </c>
      <c r="K67" s="538">
        <v>0</v>
      </c>
      <c r="L67" s="535">
        <v>0</v>
      </c>
      <c r="M67" s="536">
        <v>0</v>
      </c>
      <c r="N67" s="471">
        <v>0</v>
      </c>
      <c r="O67" s="473">
        <f t="shared" si="0"/>
        <v>4.9595976750247077</v>
      </c>
    </row>
    <row r="68" spans="2:15">
      <c r="B68" s="470">
        <f t="shared" si="1"/>
        <v>2000</v>
      </c>
      <c r="C68" s="533">
        <v>0</v>
      </c>
      <c r="D68" s="534">
        <v>0</v>
      </c>
      <c r="E68" s="535">
        <v>0</v>
      </c>
      <c r="F68" s="535">
        <v>0</v>
      </c>
      <c r="G68" s="535">
        <v>0</v>
      </c>
      <c r="H68" s="535">
        <v>0</v>
      </c>
      <c r="I68" s="536">
        <v>0</v>
      </c>
      <c r="J68" s="537">
        <v>0</v>
      </c>
      <c r="K68" s="538">
        <v>0</v>
      </c>
      <c r="L68" s="535">
        <v>0</v>
      </c>
      <c r="M68" s="536">
        <v>0</v>
      </c>
      <c r="N68" s="471">
        <v>0</v>
      </c>
      <c r="O68" s="473">
        <f t="shared" si="0"/>
        <v>4.9595976750247077</v>
      </c>
    </row>
    <row r="69" spans="2:15">
      <c r="B69" s="470">
        <f t="shared" si="1"/>
        <v>2001</v>
      </c>
      <c r="C69" s="533">
        <v>0</v>
      </c>
      <c r="D69" s="534">
        <v>0</v>
      </c>
      <c r="E69" s="535">
        <v>0</v>
      </c>
      <c r="F69" s="535">
        <v>0</v>
      </c>
      <c r="G69" s="535">
        <v>0</v>
      </c>
      <c r="H69" s="535">
        <v>0</v>
      </c>
      <c r="I69" s="536">
        <v>0</v>
      </c>
      <c r="J69" s="537">
        <v>0</v>
      </c>
      <c r="K69" s="538">
        <v>0</v>
      </c>
      <c r="L69" s="535">
        <v>0</v>
      </c>
      <c r="M69" s="536">
        <v>0</v>
      </c>
      <c r="N69" s="471">
        <v>0</v>
      </c>
      <c r="O69" s="473">
        <f t="shared" si="0"/>
        <v>4.9595976750247077</v>
      </c>
    </row>
    <row r="70" spans="2:15">
      <c r="B70" s="470">
        <f t="shared" si="1"/>
        <v>2002</v>
      </c>
      <c r="C70" s="533">
        <v>0</v>
      </c>
      <c r="D70" s="534">
        <v>0</v>
      </c>
      <c r="E70" s="535">
        <v>0</v>
      </c>
      <c r="F70" s="535">
        <v>0</v>
      </c>
      <c r="G70" s="535">
        <v>0</v>
      </c>
      <c r="H70" s="535">
        <v>0</v>
      </c>
      <c r="I70" s="536">
        <v>0</v>
      </c>
      <c r="J70" s="537">
        <v>0</v>
      </c>
      <c r="K70" s="538">
        <v>0</v>
      </c>
      <c r="L70" s="535">
        <v>0</v>
      </c>
      <c r="M70" s="536">
        <v>0</v>
      </c>
      <c r="N70" s="471">
        <v>0</v>
      </c>
      <c r="O70" s="473">
        <f t="shared" si="0"/>
        <v>4.9595976750247077</v>
      </c>
    </row>
    <row r="71" spans="2:15">
      <c r="B71" s="470">
        <f t="shared" si="1"/>
        <v>2003</v>
      </c>
      <c r="C71" s="533">
        <v>0</v>
      </c>
      <c r="D71" s="534">
        <v>0</v>
      </c>
      <c r="E71" s="535">
        <v>0</v>
      </c>
      <c r="F71" s="535">
        <v>0</v>
      </c>
      <c r="G71" s="535">
        <v>0</v>
      </c>
      <c r="H71" s="535">
        <v>0</v>
      </c>
      <c r="I71" s="536">
        <v>0</v>
      </c>
      <c r="J71" s="537">
        <v>0</v>
      </c>
      <c r="K71" s="538">
        <v>0</v>
      </c>
      <c r="L71" s="535">
        <v>0</v>
      </c>
      <c r="M71" s="536">
        <v>0</v>
      </c>
      <c r="N71" s="471">
        <v>0</v>
      </c>
      <c r="O71" s="473">
        <f t="shared" si="0"/>
        <v>4.9595976750247077</v>
      </c>
    </row>
    <row r="72" spans="2:15">
      <c r="B72" s="470">
        <f t="shared" si="1"/>
        <v>2004</v>
      </c>
      <c r="C72" s="533">
        <v>0</v>
      </c>
      <c r="D72" s="534">
        <v>0</v>
      </c>
      <c r="E72" s="535">
        <v>0</v>
      </c>
      <c r="F72" s="535">
        <v>0</v>
      </c>
      <c r="G72" s="535">
        <v>0</v>
      </c>
      <c r="H72" s="535">
        <v>0</v>
      </c>
      <c r="I72" s="536">
        <v>0</v>
      </c>
      <c r="J72" s="537">
        <v>0</v>
      </c>
      <c r="K72" s="538">
        <v>0</v>
      </c>
      <c r="L72" s="535">
        <v>0</v>
      </c>
      <c r="M72" s="536">
        <v>0</v>
      </c>
      <c r="N72" s="471">
        <v>0</v>
      </c>
      <c r="O72" s="473">
        <f t="shared" si="0"/>
        <v>4.9595976750247077</v>
      </c>
    </row>
    <row r="73" spans="2:15">
      <c r="B73" s="470">
        <f t="shared" si="1"/>
        <v>2005</v>
      </c>
      <c r="C73" s="533">
        <v>0</v>
      </c>
      <c r="D73" s="534">
        <v>0</v>
      </c>
      <c r="E73" s="535">
        <v>0</v>
      </c>
      <c r="F73" s="535">
        <v>0</v>
      </c>
      <c r="G73" s="535">
        <v>0</v>
      </c>
      <c r="H73" s="535">
        <v>0</v>
      </c>
      <c r="I73" s="536">
        <v>0</v>
      </c>
      <c r="J73" s="537">
        <v>0</v>
      </c>
      <c r="K73" s="538">
        <v>0</v>
      </c>
      <c r="L73" s="535">
        <v>0</v>
      </c>
      <c r="M73" s="536">
        <v>0</v>
      </c>
      <c r="N73" s="471">
        <v>0</v>
      </c>
      <c r="O73" s="473">
        <f t="shared" si="0"/>
        <v>4.9595976750247077</v>
      </c>
    </row>
    <row r="74" spans="2:15">
      <c r="B74" s="470">
        <f t="shared" si="1"/>
        <v>2006</v>
      </c>
      <c r="C74" s="533">
        <v>0</v>
      </c>
      <c r="D74" s="534">
        <v>0</v>
      </c>
      <c r="E74" s="535">
        <v>0</v>
      </c>
      <c r="F74" s="535">
        <v>0</v>
      </c>
      <c r="G74" s="535">
        <v>0</v>
      </c>
      <c r="H74" s="535">
        <v>0</v>
      </c>
      <c r="I74" s="536">
        <v>0</v>
      </c>
      <c r="J74" s="537">
        <v>0</v>
      </c>
      <c r="K74" s="538">
        <v>0</v>
      </c>
      <c r="L74" s="535">
        <v>0</v>
      </c>
      <c r="M74" s="536">
        <v>0</v>
      </c>
      <c r="N74" s="471">
        <v>0</v>
      </c>
      <c r="O74" s="473">
        <f t="shared" si="0"/>
        <v>4.9595976750247077</v>
      </c>
    </row>
    <row r="75" spans="2:15">
      <c r="B75" s="470">
        <f t="shared" si="1"/>
        <v>2007</v>
      </c>
      <c r="C75" s="533">
        <v>0</v>
      </c>
      <c r="D75" s="534">
        <v>0</v>
      </c>
      <c r="E75" s="535">
        <v>0</v>
      </c>
      <c r="F75" s="535">
        <v>0</v>
      </c>
      <c r="G75" s="535">
        <v>0</v>
      </c>
      <c r="H75" s="535">
        <v>0</v>
      </c>
      <c r="I75" s="536">
        <v>0</v>
      </c>
      <c r="J75" s="537">
        <v>0</v>
      </c>
      <c r="K75" s="538">
        <v>0</v>
      </c>
      <c r="L75" s="535">
        <v>0</v>
      </c>
      <c r="M75" s="536">
        <v>0</v>
      </c>
      <c r="N75" s="471">
        <v>0</v>
      </c>
      <c r="O75" s="473">
        <f t="shared" si="0"/>
        <v>4.9595976750247077</v>
      </c>
    </row>
    <row r="76" spans="2:15">
      <c r="B76" s="470">
        <f t="shared" si="1"/>
        <v>2008</v>
      </c>
      <c r="C76" s="533">
        <v>0</v>
      </c>
      <c r="D76" s="534">
        <v>0</v>
      </c>
      <c r="E76" s="535">
        <v>0</v>
      </c>
      <c r="F76" s="535">
        <v>0</v>
      </c>
      <c r="G76" s="535">
        <v>0</v>
      </c>
      <c r="H76" s="535">
        <v>0</v>
      </c>
      <c r="I76" s="536">
        <v>0</v>
      </c>
      <c r="J76" s="537">
        <v>0</v>
      </c>
      <c r="K76" s="538">
        <v>0</v>
      </c>
      <c r="L76" s="535">
        <v>0</v>
      </c>
      <c r="M76" s="536">
        <v>0</v>
      </c>
      <c r="N76" s="471">
        <v>0</v>
      </c>
      <c r="O76" s="473">
        <f t="shared" si="0"/>
        <v>4.9595976750247077</v>
      </c>
    </row>
    <row r="77" spans="2:15">
      <c r="B77" s="470">
        <f t="shared" si="1"/>
        <v>2009</v>
      </c>
      <c r="C77" s="533">
        <v>0</v>
      </c>
      <c r="D77" s="534">
        <v>0</v>
      </c>
      <c r="E77" s="535">
        <v>0</v>
      </c>
      <c r="F77" s="535">
        <v>0</v>
      </c>
      <c r="G77" s="535">
        <v>0</v>
      </c>
      <c r="H77" s="535">
        <v>0</v>
      </c>
      <c r="I77" s="536">
        <v>0</v>
      </c>
      <c r="J77" s="537">
        <v>0</v>
      </c>
      <c r="K77" s="538">
        <v>0</v>
      </c>
      <c r="L77" s="535">
        <v>0</v>
      </c>
      <c r="M77" s="536">
        <v>0</v>
      </c>
      <c r="N77" s="471">
        <v>0</v>
      </c>
      <c r="O77" s="473">
        <f t="shared" si="0"/>
        <v>4.9595976750247077</v>
      </c>
    </row>
    <row r="78" spans="2:15">
      <c r="B78" s="470">
        <f t="shared" si="1"/>
        <v>2010</v>
      </c>
      <c r="C78" s="533">
        <v>0</v>
      </c>
      <c r="D78" s="534">
        <v>0</v>
      </c>
      <c r="E78" s="535">
        <v>0</v>
      </c>
      <c r="F78" s="535">
        <v>0</v>
      </c>
      <c r="G78" s="535">
        <v>0</v>
      </c>
      <c r="H78" s="535">
        <v>0</v>
      </c>
      <c r="I78" s="536">
        <v>0</v>
      </c>
      <c r="J78" s="537">
        <v>0</v>
      </c>
      <c r="K78" s="538">
        <v>0</v>
      </c>
      <c r="L78" s="535">
        <v>0</v>
      </c>
      <c r="M78" s="536">
        <v>0</v>
      </c>
      <c r="N78" s="471">
        <v>0</v>
      </c>
      <c r="O78" s="473">
        <f t="shared" si="0"/>
        <v>4.9595976750247077</v>
      </c>
    </row>
    <row r="79" spans="2:15">
      <c r="B79" s="470">
        <f t="shared" si="1"/>
        <v>2011</v>
      </c>
      <c r="C79" s="533">
        <v>0</v>
      </c>
      <c r="D79" s="534">
        <v>0</v>
      </c>
      <c r="E79" s="535">
        <v>0</v>
      </c>
      <c r="F79" s="535">
        <v>0</v>
      </c>
      <c r="G79" s="535">
        <v>0</v>
      </c>
      <c r="H79" s="535">
        <v>0</v>
      </c>
      <c r="I79" s="536">
        <v>0</v>
      </c>
      <c r="J79" s="537">
        <v>0</v>
      </c>
      <c r="K79" s="538">
        <v>0</v>
      </c>
      <c r="L79" s="535">
        <v>0</v>
      </c>
      <c r="M79" s="536">
        <v>0</v>
      </c>
      <c r="N79" s="471">
        <v>0</v>
      </c>
      <c r="O79" s="473">
        <f t="shared" si="0"/>
        <v>4.9595976750247077</v>
      </c>
    </row>
    <row r="80" spans="2:15">
      <c r="B80" s="470">
        <f t="shared" si="1"/>
        <v>2012</v>
      </c>
      <c r="C80" s="533">
        <v>0</v>
      </c>
      <c r="D80" s="534">
        <v>0</v>
      </c>
      <c r="E80" s="535">
        <v>0</v>
      </c>
      <c r="F80" s="535">
        <v>0</v>
      </c>
      <c r="G80" s="535">
        <v>0</v>
      </c>
      <c r="H80" s="535">
        <v>0</v>
      </c>
      <c r="I80" s="536">
        <v>0</v>
      </c>
      <c r="J80" s="537">
        <v>0</v>
      </c>
      <c r="K80" s="538">
        <v>0</v>
      </c>
      <c r="L80" s="535">
        <v>0</v>
      </c>
      <c r="M80" s="536">
        <v>0</v>
      </c>
      <c r="N80" s="471">
        <v>0</v>
      </c>
      <c r="O80" s="473">
        <f t="shared" si="0"/>
        <v>4.9595976750247077</v>
      </c>
    </row>
    <row r="81" spans="2:15">
      <c r="B81" s="470">
        <f t="shared" si="1"/>
        <v>2013</v>
      </c>
      <c r="C81" s="533">
        <v>0</v>
      </c>
      <c r="D81" s="534">
        <v>0</v>
      </c>
      <c r="E81" s="535">
        <v>0</v>
      </c>
      <c r="F81" s="535">
        <v>0</v>
      </c>
      <c r="G81" s="535">
        <v>0</v>
      </c>
      <c r="H81" s="535">
        <v>0</v>
      </c>
      <c r="I81" s="536">
        <v>0</v>
      </c>
      <c r="J81" s="537">
        <v>0</v>
      </c>
      <c r="K81" s="538">
        <v>0</v>
      </c>
      <c r="L81" s="535">
        <v>0</v>
      </c>
      <c r="M81" s="536">
        <v>0</v>
      </c>
      <c r="N81" s="471">
        <v>0</v>
      </c>
      <c r="O81" s="473">
        <f t="shared" si="0"/>
        <v>4.9595976750247077</v>
      </c>
    </row>
    <row r="82" spans="2:15">
      <c r="B82" s="470">
        <f t="shared" si="1"/>
        <v>2014</v>
      </c>
      <c r="C82" s="533">
        <v>0</v>
      </c>
      <c r="D82" s="534">
        <v>0</v>
      </c>
      <c r="E82" s="535">
        <v>0</v>
      </c>
      <c r="F82" s="535">
        <v>0</v>
      </c>
      <c r="G82" s="535">
        <v>0</v>
      </c>
      <c r="H82" s="535">
        <v>0</v>
      </c>
      <c r="I82" s="536">
        <v>0</v>
      </c>
      <c r="J82" s="537">
        <v>0</v>
      </c>
      <c r="K82" s="538">
        <v>0</v>
      </c>
      <c r="L82" s="535">
        <v>0</v>
      </c>
      <c r="M82" s="536">
        <v>0</v>
      </c>
      <c r="N82" s="471">
        <v>0</v>
      </c>
      <c r="O82" s="473">
        <f t="shared" ref="O82:O98" si="2">O81+N82</f>
        <v>4.9595976750247077</v>
      </c>
    </row>
    <row r="83" spans="2:15">
      <c r="B83" s="470">
        <f t="shared" si="1"/>
        <v>2015</v>
      </c>
      <c r="C83" s="533">
        <v>0</v>
      </c>
      <c r="D83" s="534">
        <v>0</v>
      </c>
      <c r="E83" s="535">
        <v>0</v>
      </c>
      <c r="F83" s="535">
        <v>0</v>
      </c>
      <c r="G83" s="535">
        <v>0</v>
      </c>
      <c r="H83" s="535">
        <v>0</v>
      </c>
      <c r="I83" s="536">
        <v>0</v>
      </c>
      <c r="J83" s="537">
        <v>0</v>
      </c>
      <c r="K83" s="538">
        <v>0</v>
      </c>
      <c r="L83" s="535">
        <v>0</v>
      </c>
      <c r="M83" s="536">
        <v>0</v>
      </c>
      <c r="N83" s="471">
        <v>0</v>
      </c>
      <c r="O83" s="473">
        <f t="shared" si="2"/>
        <v>4.9595976750247077</v>
      </c>
    </row>
    <row r="84" spans="2:15">
      <c r="B84" s="470">
        <f t="shared" ref="B84:B98" si="3">B83+1</f>
        <v>2016</v>
      </c>
      <c r="C84" s="533">
        <v>0</v>
      </c>
      <c r="D84" s="534">
        <v>0</v>
      </c>
      <c r="E84" s="535">
        <v>0</v>
      </c>
      <c r="F84" s="535">
        <v>0</v>
      </c>
      <c r="G84" s="535">
        <v>0</v>
      </c>
      <c r="H84" s="535">
        <v>0</v>
      </c>
      <c r="I84" s="536">
        <v>0</v>
      </c>
      <c r="J84" s="537">
        <v>0</v>
      </c>
      <c r="K84" s="538">
        <v>0</v>
      </c>
      <c r="L84" s="535">
        <v>0</v>
      </c>
      <c r="M84" s="536">
        <v>0</v>
      </c>
      <c r="N84" s="471">
        <v>0</v>
      </c>
      <c r="O84" s="473">
        <f t="shared" si="2"/>
        <v>4.9595976750247077</v>
      </c>
    </row>
    <row r="85" spans="2:15">
      <c r="B85" s="470">
        <f t="shared" si="3"/>
        <v>2017</v>
      </c>
      <c r="C85" s="533">
        <v>0</v>
      </c>
      <c r="D85" s="534">
        <v>0</v>
      </c>
      <c r="E85" s="535">
        <v>0</v>
      </c>
      <c r="F85" s="535">
        <v>0</v>
      </c>
      <c r="G85" s="535">
        <v>0</v>
      </c>
      <c r="H85" s="535">
        <v>0</v>
      </c>
      <c r="I85" s="536">
        <v>0</v>
      </c>
      <c r="J85" s="537">
        <v>0</v>
      </c>
      <c r="K85" s="538">
        <v>0</v>
      </c>
      <c r="L85" s="535">
        <v>0</v>
      </c>
      <c r="M85" s="536">
        <v>0</v>
      </c>
      <c r="N85" s="471">
        <v>0</v>
      </c>
      <c r="O85" s="473">
        <f t="shared" si="2"/>
        <v>4.9595976750247077</v>
      </c>
    </row>
    <row r="86" spans="2:15">
      <c r="B86" s="470">
        <f t="shared" si="3"/>
        <v>2018</v>
      </c>
      <c r="C86" s="533">
        <v>0</v>
      </c>
      <c r="D86" s="534">
        <v>0</v>
      </c>
      <c r="E86" s="535">
        <v>0</v>
      </c>
      <c r="F86" s="535">
        <v>0</v>
      </c>
      <c r="G86" s="535">
        <v>0</v>
      </c>
      <c r="H86" s="535">
        <v>0</v>
      </c>
      <c r="I86" s="536">
        <v>0</v>
      </c>
      <c r="J86" s="537">
        <v>0</v>
      </c>
      <c r="K86" s="538">
        <v>0</v>
      </c>
      <c r="L86" s="535">
        <v>0</v>
      </c>
      <c r="M86" s="536">
        <v>0</v>
      </c>
      <c r="N86" s="471">
        <v>0</v>
      </c>
      <c r="O86" s="473">
        <f t="shared" si="2"/>
        <v>4.9595976750247077</v>
      </c>
    </row>
    <row r="87" spans="2:15">
      <c r="B87" s="470">
        <f t="shared" si="3"/>
        <v>2019</v>
      </c>
      <c r="C87" s="533">
        <v>0</v>
      </c>
      <c r="D87" s="534">
        <v>0</v>
      </c>
      <c r="E87" s="535">
        <v>0</v>
      </c>
      <c r="F87" s="535">
        <v>0</v>
      </c>
      <c r="G87" s="535">
        <v>0</v>
      </c>
      <c r="H87" s="535">
        <v>0</v>
      </c>
      <c r="I87" s="536">
        <v>0</v>
      </c>
      <c r="J87" s="537">
        <v>0</v>
      </c>
      <c r="K87" s="538">
        <v>0</v>
      </c>
      <c r="L87" s="535">
        <v>0</v>
      </c>
      <c r="M87" s="536">
        <v>0</v>
      </c>
      <c r="N87" s="471">
        <v>0</v>
      </c>
      <c r="O87" s="473">
        <f t="shared" si="2"/>
        <v>4.9595976750247077</v>
      </c>
    </row>
    <row r="88" spans="2:15">
      <c r="B88" s="470">
        <f t="shared" si="3"/>
        <v>2020</v>
      </c>
      <c r="C88" s="533">
        <v>0</v>
      </c>
      <c r="D88" s="534">
        <v>0</v>
      </c>
      <c r="E88" s="535">
        <v>0</v>
      </c>
      <c r="F88" s="535">
        <v>0</v>
      </c>
      <c r="G88" s="535">
        <v>0</v>
      </c>
      <c r="H88" s="535">
        <v>0</v>
      </c>
      <c r="I88" s="536">
        <v>0</v>
      </c>
      <c r="J88" s="537">
        <v>0</v>
      </c>
      <c r="K88" s="538">
        <v>0</v>
      </c>
      <c r="L88" s="535">
        <v>0</v>
      </c>
      <c r="M88" s="536">
        <v>0</v>
      </c>
      <c r="N88" s="471">
        <v>0</v>
      </c>
      <c r="O88" s="473">
        <f t="shared" si="2"/>
        <v>4.9595976750247077</v>
      </c>
    </row>
    <row r="89" spans="2:15">
      <c r="B89" s="470">
        <f t="shared" si="3"/>
        <v>2021</v>
      </c>
      <c r="C89" s="533">
        <v>0</v>
      </c>
      <c r="D89" s="534">
        <v>0</v>
      </c>
      <c r="E89" s="535">
        <v>0</v>
      </c>
      <c r="F89" s="535">
        <v>0</v>
      </c>
      <c r="G89" s="535">
        <v>0</v>
      </c>
      <c r="H89" s="535">
        <v>0</v>
      </c>
      <c r="I89" s="536">
        <v>0</v>
      </c>
      <c r="J89" s="537">
        <v>0</v>
      </c>
      <c r="K89" s="538">
        <v>0</v>
      </c>
      <c r="L89" s="535">
        <v>0</v>
      </c>
      <c r="M89" s="536">
        <v>0</v>
      </c>
      <c r="N89" s="471">
        <v>0</v>
      </c>
      <c r="O89" s="473">
        <f t="shared" si="2"/>
        <v>4.9595976750247077</v>
      </c>
    </row>
    <row r="90" spans="2:15">
      <c r="B90" s="470">
        <f t="shared" si="3"/>
        <v>2022</v>
      </c>
      <c r="C90" s="533">
        <v>0</v>
      </c>
      <c r="D90" s="534">
        <v>0</v>
      </c>
      <c r="E90" s="535">
        <v>0</v>
      </c>
      <c r="F90" s="535">
        <v>0</v>
      </c>
      <c r="G90" s="535">
        <v>0</v>
      </c>
      <c r="H90" s="535">
        <v>0</v>
      </c>
      <c r="I90" s="536">
        <v>0</v>
      </c>
      <c r="J90" s="537">
        <v>0</v>
      </c>
      <c r="K90" s="538">
        <v>0</v>
      </c>
      <c r="L90" s="535">
        <v>0</v>
      </c>
      <c r="M90" s="536">
        <v>0</v>
      </c>
      <c r="N90" s="471">
        <v>0</v>
      </c>
      <c r="O90" s="473">
        <f t="shared" si="2"/>
        <v>4.9595976750247077</v>
      </c>
    </row>
    <row r="91" spans="2:15">
      <c r="B91" s="470">
        <f t="shared" si="3"/>
        <v>2023</v>
      </c>
      <c r="C91" s="533">
        <v>0</v>
      </c>
      <c r="D91" s="534">
        <v>0</v>
      </c>
      <c r="E91" s="535">
        <v>0</v>
      </c>
      <c r="F91" s="535">
        <v>0</v>
      </c>
      <c r="G91" s="535">
        <v>0</v>
      </c>
      <c r="H91" s="535">
        <v>0</v>
      </c>
      <c r="I91" s="536">
        <v>0</v>
      </c>
      <c r="J91" s="537">
        <v>0</v>
      </c>
      <c r="K91" s="538">
        <v>0</v>
      </c>
      <c r="L91" s="535">
        <v>0</v>
      </c>
      <c r="M91" s="536">
        <v>0</v>
      </c>
      <c r="N91" s="471">
        <v>0</v>
      </c>
      <c r="O91" s="473">
        <f t="shared" si="2"/>
        <v>4.9595976750247077</v>
      </c>
    </row>
    <row r="92" spans="2:15">
      <c r="B92" s="470">
        <f t="shared" si="3"/>
        <v>2024</v>
      </c>
      <c r="C92" s="533">
        <v>0</v>
      </c>
      <c r="D92" s="534">
        <v>0</v>
      </c>
      <c r="E92" s="535">
        <v>0</v>
      </c>
      <c r="F92" s="535">
        <v>0</v>
      </c>
      <c r="G92" s="535">
        <v>0</v>
      </c>
      <c r="H92" s="535">
        <v>0</v>
      </c>
      <c r="I92" s="536">
        <v>0</v>
      </c>
      <c r="J92" s="537">
        <v>0</v>
      </c>
      <c r="K92" s="538">
        <v>0</v>
      </c>
      <c r="L92" s="535">
        <v>0</v>
      </c>
      <c r="M92" s="536">
        <v>0</v>
      </c>
      <c r="N92" s="471">
        <v>0</v>
      </c>
      <c r="O92" s="473">
        <f t="shared" si="2"/>
        <v>4.9595976750247077</v>
      </c>
    </row>
    <row r="93" spans="2:15">
      <c r="B93" s="470">
        <f t="shared" si="3"/>
        <v>2025</v>
      </c>
      <c r="C93" s="533">
        <v>0</v>
      </c>
      <c r="D93" s="534">
        <v>0</v>
      </c>
      <c r="E93" s="535">
        <v>0</v>
      </c>
      <c r="F93" s="535">
        <v>0</v>
      </c>
      <c r="G93" s="535">
        <v>0</v>
      </c>
      <c r="H93" s="535">
        <v>0</v>
      </c>
      <c r="I93" s="536">
        <v>0</v>
      </c>
      <c r="J93" s="537">
        <v>0</v>
      </c>
      <c r="K93" s="538">
        <v>0</v>
      </c>
      <c r="L93" s="535">
        <v>0</v>
      </c>
      <c r="M93" s="536">
        <v>0</v>
      </c>
      <c r="N93" s="471">
        <v>0</v>
      </c>
      <c r="O93" s="473">
        <f t="shared" si="2"/>
        <v>4.9595976750247077</v>
      </c>
    </row>
    <row r="94" spans="2:15">
      <c r="B94" s="470">
        <f t="shared" si="3"/>
        <v>2026</v>
      </c>
      <c r="C94" s="533">
        <v>0</v>
      </c>
      <c r="D94" s="534">
        <v>0</v>
      </c>
      <c r="E94" s="535">
        <v>0</v>
      </c>
      <c r="F94" s="535">
        <v>0</v>
      </c>
      <c r="G94" s="535">
        <v>0</v>
      </c>
      <c r="H94" s="535">
        <v>0</v>
      </c>
      <c r="I94" s="536">
        <v>0</v>
      </c>
      <c r="J94" s="537">
        <v>0</v>
      </c>
      <c r="K94" s="538">
        <v>0</v>
      </c>
      <c r="L94" s="535">
        <v>0</v>
      </c>
      <c r="M94" s="536">
        <v>0</v>
      </c>
      <c r="N94" s="471">
        <v>0</v>
      </c>
      <c r="O94" s="473">
        <f t="shared" si="2"/>
        <v>4.9595976750247077</v>
      </c>
    </row>
    <row r="95" spans="2:15">
      <c r="B95" s="470">
        <f t="shared" si="3"/>
        <v>2027</v>
      </c>
      <c r="C95" s="533">
        <v>0</v>
      </c>
      <c r="D95" s="534">
        <v>0</v>
      </c>
      <c r="E95" s="535">
        <v>0</v>
      </c>
      <c r="F95" s="535">
        <v>0</v>
      </c>
      <c r="G95" s="535">
        <v>0</v>
      </c>
      <c r="H95" s="535">
        <v>0</v>
      </c>
      <c r="I95" s="536">
        <v>0</v>
      </c>
      <c r="J95" s="537">
        <v>0</v>
      </c>
      <c r="K95" s="538">
        <v>0</v>
      </c>
      <c r="L95" s="535">
        <v>0</v>
      </c>
      <c r="M95" s="536">
        <v>0</v>
      </c>
      <c r="N95" s="471">
        <v>0</v>
      </c>
      <c r="O95" s="473">
        <f t="shared" si="2"/>
        <v>4.9595976750247077</v>
      </c>
    </row>
    <row r="96" spans="2:15">
      <c r="B96" s="470">
        <f t="shared" si="3"/>
        <v>2028</v>
      </c>
      <c r="C96" s="533">
        <v>0</v>
      </c>
      <c r="D96" s="534">
        <v>0</v>
      </c>
      <c r="E96" s="535">
        <v>0</v>
      </c>
      <c r="F96" s="535">
        <v>0</v>
      </c>
      <c r="G96" s="535">
        <v>0</v>
      </c>
      <c r="H96" s="535">
        <v>0</v>
      </c>
      <c r="I96" s="536">
        <v>0</v>
      </c>
      <c r="J96" s="537">
        <v>0</v>
      </c>
      <c r="K96" s="538">
        <v>0</v>
      </c>
      <c r="L96" s="535">
        <v>0</v>
      </c>
      <c r="M96" s="536">
        <v>0</v>
      </c>
      <c r="N96" s="471">
        <v>0</v>
      </c>
      <c r="O96" s="473">
        <f t="shared" si="2"/>
        <v>4.9595976750247077</v>
      </c>
    </row>
    <row r="97" spans="2:15">
      <c r="B97" s="470">
        <f t="shared" si="3"/>
        <v>2029</v>
      </c>
      <c r="C97" s="533">
        <v>0</v>
      </c>
      <c r="D97" s="534">
        <v>0</v>
      </c>
      <c r="E97" s="535">
        <v>0</v>
      </c>
      <c r="F97" s="535">
        <v>0</v>
      </c>
      <c r="G97" s="535">
        <v>0</v>
      </c>
      <c r="H97" s="535">
        <v>0</v>
      </c>
      <c r="I97" s="536">
        <v>0</v>
      </c>
      <c r="J97" s="537">
        <v>0</v>
      </c>
      <c r="K97" s="538">
        <v>0</v>
      </c>
      <c r="L97" s="535">
        <v>0</v>
      </c>
      <c r="M97" s="536">
        <v>0</v>
      </c>
      <c r="N97" s="471">
        <v>0</v>
      </c>
      <c r="O97" s="473">
        <f t="shared" si="2"/>
        <v>4.9595976750247077</v>
      </c>
    </row>
    <row r="98" spans="2:15" ht="13.5" thickBot="1">
      <c r="B98" s="479">
        <f t="shared" si="3"/>
        <v>2030</v>
      </c>
      <c r="C98" s="533">
        <v>0</v>
      </c>
      <c r="D98" s="534">
        <v>0</v>
      </c>
      <c r="E98" s="535">
        <v>0</v>
      </c>
      <c r="F98" s="535">
        <v>0</v>
      </c>
      <c r="G98" s="535">
        <v>0</v>
      </c>
      <c r="H98" s="535">
        <v>0</v>
      </c>
      <c r="I98" s="536">
        <v>0</v>
      </c>
      <c r="J98" s="537">
        <v>0</v>
      </c>
      <c r="K98" s="538">
        <v>0</v>
      </c>
      <c r="L98" s="535">
        <v>0</v>
      </c>
      <c r="M98" s="536">
        <v>0</v>
      </c>
      <c r="N98" s="480">
        <v>0</v>
      </c>
      <c r="O98" s="482">
        <f t="shared" si="2"/>
        <v>4.9595976750247077</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962" t="s">
        <v>52</v>
      </c>
      <c r="C2" s="962"/>
      <c r="D2" s="962"/>
      <c r="E2" s="962"/>
      <c r="F2" s="962"/>
      <c r="G2" s="962"/>
      <c r="H2" s="962"/>
    </row>
    <row r="3" spans="1:35" ht="13.5" thickBot="1">
      <c r="B3" s="962"/>
      <c r="C3" s="962"/>
      <c r="D3" s="962"/>
      <c r="E3" s="962"/>
      <c r="F3" s="962"/>
      <c r="G3" s="962"/>
      <c r="H3" s="962"/>
    </row>
    <row r="4" spans="1:35" ht="13.5" thickBot="1">
      <c r="P4" s="945" t="s">
        <v>242</v>
      </c>
      <c r="Q4" s="946"/>
      <c r="R4" s="947" t="s">
        <v>243</v>
      </c>
      <c r="S4" s="948"/>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964" t="s">
        <v>47</v>
      </c>
      <c r="E5" s="965"/>
      <c r="F5" s="965"/>
      <c r="G5" s="954"/>
      <c r="H5" s="965" t="s">
        <v>57</v>
      </c>
      <c r="I5" s="965"/>
      <c r="J5" s="965"/>
      <c r="K5" s="954"/>
      <c r="L5" s="135"/>
      <c r="M5" s="135"/>
      <c r="N5" s="135"/>
      <c r="O5" s="163"/>
      <c r="P5" s="207" t="s">
        <v>116</v>
      </c>
      <c r="Q5" s="208" t="s">
        <v>113</v>
      </c>
      <c r="R5" s="207" t="s">
        <v>116</v>
      </c>
      <c r="S5" s="208" t="s">
        <v>113</v>
      </c>
      <c r="V5" s="305" t="s">
        <v>118</v>
      </c>
      <c r="W5" s="306">
        <v>3</v>
      </c>
      <c r="AF5" s="966" t="s">
        <v>126</v>
      </c>
      <c r="AG5" s="966" t="s">
        <v>129</v>
      </c>
      <c r="AH5" s="966" t="s">
        <v>154</v>
      </c>
      <c r="AI5"/>
    </row>
    <row r="6" spans="1:35" ht="13.5" thickBot="1">
      <c r="B6" s="166"/>
      <c r="C6" s="152"/>
      <c r="D6" s="963" t="s">
        <v>45</v>
      </c>
      <c r="E6" s="963"/>
      <c r="F6" s="963" t="s">
        <v>46</v>
      </c>
      <c r="G6" s="963"/>
      <c r="H6" s="963" t="s">
        <v>45</v>
      </c>
      <c r="I6" s="963"/>
      <c r="J6" s="963" t="s">
        <v>99</v>
      </c>
      <c r="K6" s="963"/>
      <c r="L6" s="135"/>
      <c r="M6" s="135"/>
      <c r="N6" s="135"/>
      <c r="O6" s="203" t="s">
        <v>6</v>
      </c>
      <c r="P6" s="162">
        <v>0.38</v>
      </c>
      <c r="Q6" s="164" t="s">
        <v>234</v>
      </c>
      <c r="R6" s="162">
        <v>0.15</v>
      </c>
      <c r="S6" s="164" t="s">
        <v>244</v>
      </c>
      <c r="W6" s="971" t="s">
        <v>125</v>
      </c>
      <c r="X6" s="973"/>
      <c r="Y6" s="973"/>
      <c r="Z6" s="973"/>
      <c r="AA6" s="973"/>
      <c r="AB6" s="973"/>
      <c r="AC6" s="973"/>
      <c r="AD6" s="973"/>
      <c r="AE6" s="973"/>
      <c r="AF6" s="967"/>
      <c r="AG6" s="967"/>
      <c r="AH6" s="967"/>
      <c r="AI6"/>
    </row>
    <row r="7" spans="1:35" ht="26.25" thickBot="1">
      <c r="B7" s="971" t="s">
        <v>133</v>
      </c>
      <c r="C7" s="972"/>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968"/>
      <c r="AG7" s="968"/>
      <c r="AH7" s="968"/>
      <c r="AI7"/>
    </row>
    <row r="8" spans="1:35" ht="25.5" customHeight="1">
      <c r="B8" s="969"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970"/>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959" t="s">
        <v>264</v>
      </c>
      <c r="P13" s="960"/>
      <c r="Q13" s="960"/>
      <c r="R13" s="960"/>
      <c r="S13" s="961"/>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951" t="s">
        <v>70</v>
      </c>
      <c r="C26" s="951"/>
      <c r="D26" s="951"/>
      <c r="E26" s="951"/>
      <c r="F26" s="951"/>
      <c r="G26" s="951"/>
      <c r="H26" s="951"/>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952"/>
      <c r="C27" s="952"/>
      <c r="D27" s="952"/>
      <c r="E27" s="952"/>
      <c r="F27" s="952"/>
      <c r="G27" s="952"/>
      <c r="H27" s="952"/>
      <c r="O27" s="84"/>
      <c r="P27" s="402"/>
      <c r="Q27" s="84"/>
      <c r="R27" s="84"/>
      <c r="S27" s="84"/>
      <c r="U27" s="171"/>
      <c r="V27" s="173"/>
    </row>
    <row r="28" spans="1:35">
      <c r="B28" s="952"/>
      <c r="C28" s="952"/>
      <c r="D28" s="952"/>
      <c r="E28" s="952"/>
      <c r="F28" s="952"/>
      <c r="G28" s="952"/>
      <c r="H28" s="952"/>
      <c r="O28" s="84"/>
      <c r="P28" s="402"/>
      <c r="Q28" s="84"/>
      <c r="R28" s="84"/>
      <c r="S28" s="84"/>
      <c r="V28" s="173"/>
    </row>
    <row r="29" spans="1:35">
      <c r="B29" s="952"/>
      <c r="C29" s="952"/>
      <c r="D29" s="952"/>
      <c r="E29" s="952"/>
      <c r="F29" s="952"/>
      <c r="G29" s="952"/>
      <c r="H29" s="952"/>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952"/>
      <c r="C30" s="952"/>
      <c r="D30" s="952"/>
      <c r="E30" s="952"/>
      <c r="F30" s="952"/>
      <c r="G30" s="952"/>
      <c r="H30" s="952"/>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953" t="s">
        <v>75</v>
      </c>
      <c r="D38" s="954"/>
      <c r="O38" s="394"/>
      <c r="P38" s="395"/>
      <c r="Q38" s="396"/>
      <c r="R38" s="84"/>
    </row>
    <row r="39" spans="2:18">
      <c r="B39" s="142">
        <v>35</v>
      </c>
      <c r="C39" s="957">
        <f>LN(2)/B39</f>
        <v>1.980420515885558E-2</v>
      </c>
      <c r="D39" s="958"/>
    </row>
    <row r="40" spans="2:18" ht="27">
      <c r="B40" s="364" t="s">
        <v>76</v>
      </c>
      <c r="C40" s="955" t="s">
        <v>77</v>
      </c>
      <c r="D40" s="956"/>
    </row>
    <row r="41" spans="2:18" ht="13.5" thickBot="1">
      <c r="B41" s="143">
        <v>0.05</v>
      </c>
      <c r="C41" s="949">
        <f>LN(2)/B41</f>
        <v>13.862943611198904</v>
      </c>
      <c r="D41" s="950"/>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0.38</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Amnt_Deposited!C14</f>
        <v>0</v>
      </c>
      <c r="D19" s="416">
        <f>Dry_Matter_Content!C6</f>
        <v>0.59</v>
      </c>
      <c r="E19" s="283">
        <f>MCF!R18</f>
        <v>0.6</v>
      </c>
      <c r="F19" s="130">
        <f>C19*D19*$K$6*DOCF*E19</f>
        <v>0</v>
      </c>
      <c r="G19" s="65">
        <f t="shared" ref="G19:G50" si="0">F19*$K$12</f>
        <v>0</v>
      </c>
      <c r="H19" s="65">
        <f t="shared" ref="H19:H50" si="1">F19*(1-$K$12)</f>
        <v>0</v>
      </c>
      <c r="I19" s="65">
        <f t="shared" ref="I19:I50" si="2">G19+I18*$K$10</f>
        <v>0</v>
      </c>
      <c r="J19" s="65">
        <f t="shared" ref="J19:J50" si="3">I18*(1-$K$10)+H19</f>
        <v>0</v>
      </c>
      <c r="K19" s="66">
        <f>J19*CH4_fraction*conv</f>
        <v>0</v>
      </c>
      <c r="O19" s="95">
        <f>Amnt_Deposited!B14</f>
        <v>2000</v>
      </c>
      <c r="P19" s="98">
        <f>Amnt_Deposited!C14</f>
        <v>0</v>
      </c>
      <c r="Q19" s="283">
        <f>MCF!R18</f>
        <v>0.6</v>
      </c>
      <c r="R19" s="130">
        <f t="shared" ref="R19:R50" si="4">P19*$W$6*DOCF*Q19</f>
        <v>0</v>
      </c>
      <c r="S19" s="65">
        <f>R19*$W$12</f>
        <v>0</v>
      </c>
      <c r="T19" s="65">
        <f>R19*(1-$W$12)</f>
        <v>0</v>
      </c>
      <c r="U19" s="65">
        <f>S19+U18*$W$10</f>
        <v>0</v>
      </c>
      <c r="V19" s="65">
        <f>U18*(1-$W$10)+T19</f>
        <v>0</v>
      </c>
      <c r="W19" s="66">
        <f>V19*CH4_fraction*conv</f>
        <v>0</v>
      </c>
    </row>
    <row r="20" spans="2:23">
      <c r="B20" s="96">
        <f>Amnt_Deposited!B15</f>
        <v>2001</v>
      </c>
      <c r="C20" s="99">
        <f>Amnt_Deposited!C15</f>
        <v>0</v>
      </c>
      <c r="D20" s="418">
        <f>Dry_Matter_Content!C7</f>
        <v>0.59</v>
      </c>
      <c r="E20" s="284">
        <f>MCF!R19</f>
        <v>0.6</v>
      </c>
      <c r="F20" s="67">
        <f t="shared" ref="F20:F50" si="5">C20*D20*$K$6*DOCF*E20</f>
        <v>0</v>
      </c>
      <c r="G20" s="67">
        <f t="shared" si="0"/>
        <v>0</v>
      </c>
      <c r="H20" s="67">
        <f t="shared" si="1"/>
        <v>0</v>
      </c>
      <c r="I20" s="67">
        <f t="shared" si="2"/>
        <v>0</v>
      </c>
      <c r="J20" s="67">
        <f t="shared" si="3"/>
        <v>0</v>
      </c>
      <c r="K20" s="100">
        <f>J20*CH4_fraction*conv</f>
        <v>0</v>
      </c>
      <c r="M20" s="393"/>
      <c r="O20" s="96">
        <f>Amnt_Deposited!B15</f>
        <v>2001</v>
      </c>
      <c r="P20" s="99">
        <f>Amnt_Deposited!C15</f>
        <v>0</v>
      </c>
      <c r="Q20" s="284">
        <f>MCF!R19</f>
        <v>0.6</v>
      </c>
      <c r="R20" s="67">
        <f t="shared" si="4"/>
        <v>0</v>
      </c>
      <c r="S20" s="67">
        <f>R20*$W$12</f>
        <v>0</v>
      </c>
      <c r="T20" s="67">
        <f>R20*(1-$W$12)</f>
        <v>0</v>
      </c>
      <c r="U20" s="67">
        <f>S20+U19*$W$10</f>
        <v>0</v>
      </c>
      <c r="V20" s="67">
        <f>U19*(1-$W$10)+T20</f>
        <v>0</v>
      </c>
      <c r="W20" s="100">
        <f>V20*CH4_fraction*conv</f>
        <v>0</v>
      </c>
    </row>
    <row r="21" spans="2:23">
      <c r="B21" s="96">
        <f>Amnt_Deposited!B16</f>
        <v>2002</v>
      </c>
      <c r="C21" s="99">
        <f>Amnt_Deposited!C16</f>
        <v>0</v>
      </c>
      <c r="D21" s="418">
        <f>Dry_Matter_Content!C8</f>
        <v>0.59</v>
      </c>
      <c r="E21" s="284">
        <f>MCF!R20</f>
        <v>0.6</v>
      </c>
      <c r="F21" s="67">
        <f t="shared" si="5"/>
        <v>0</v>
      </c>
      <c r="G21" s="67">
        <f t="shared" si="0"/>
        <v>0</v>
      </c>
      <c r="H21" s="67">
        <f t="shared" si="1"/>
        <v>0</v>
      </c>
      <c r="I21" s="67">
        <f t="shared" si="2"/>
        <v>0</v>
      </c>
      <c r="J21" s="67">
        <f t="shared" si="3"/>
        <v>0</v>
      </c>
      <c r="K21" s="100">
        <f t="shared" ref="K21:K84" si="6">J21*CH4_fraction*conv</f>
        <v>0</v>
      </c>
      <c r="O21" s="96">
        <f>Amnt_Deposited!B16</f>
        <v>2002</v>
      </c>
      <c r="P21" s="99">
        <f>Amnt_Deposited!C16</f>
        <v>0</v>
      </c>
      <c r="Q21" s="284">
        <f>MCF!R20</f>
        <v>0.6</v>
      </c>
      <c r="R21" s="67">
        <f t="shared" si="4"/>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Amnt_Deposited!C17</f>
        <v>0</v>
      </c>
      <c r="D22" s="418">
        <f>Dry_Matter_Content!C9</f>
        <v>0.59</v>
      </c>
      <c r="E22" s="284">
        <f>MCF!R21</f>
        <v>0.6</v>
      </c>
      <c r="F22" s="67">
        <f t="shared" si="5"/>
        <v>0</v>
      </c>
      <c r="G22" s="67">
        <f t="shared" si="0"/>
        <v>0</v>
      </c>
      <c r="H22" s="67">
        <f t="shared" si="1"/>
        <v>0</v>
      </c>
      <c r="I22" s="67">
        <f t="shared" si="2"/>
        <v>0</v>
      </c>
      <c r="J22" s="67">
        <f t="shared" si="3"/>
        <v>0</v>
      </c>
      <c r="K22" s="100">
        <f t="shared" si="6"/>
        <v>0</v>
      </c>
      <c r="N22" s="258"/>
      <c r="O22" s="96">
        <f>Amnt_Deposited!B17</f>
        <v>2003</v>
      </c>
      <c r="P22" s="99">
        <f>Amnt_Deposited!C17</f>
        <v>0</v>
      </c>
      <c r="Q22" s="284">
        <f>MCF!R21</f>
        <v>0.6</v>
      </c>
      <c r="R22" s="67">
        <f t="shared" si="4"/>
        <v>0</v>
      </c>
      <c r="S22" s="67">
        <f t="shared" si="7"/>
        <v>0</v>
      </c>
      <c r="T22" s="67">
        <f t="shared" si="8"/>
        <v>0</v>
      </c>
      <c r="U22" s="67">
        <f t="shared" si="9"/>
        <v>0</v>
      </c>
      <c r="V22" s="67">
        <f t="shared" si="10"/>
        <v>0</v>
      </c>
      <c r="W22" s="100">
        <f t="shared" si="11"/>
        <v>0</v>
      </c>
    </row>
    <row r="23" spans="2:23">
      <c r="B23" s="96">
        <f>Amnt_Deposited!B18</f>
        <v>2004</v>
      </c>
      <c r="C23" s="99">
        <f>Amnt_Deposited!C18</f>
        <v>0</v>
      </c>
      <c r="D23" s="418">
        <f>Dry_Matter_Content!C10</f>
        <v>0.59</v>
      </c>
      <c r="E23" s="284">
        <f>MCF!R22</f>
        <v>0.6</v>
      </c>
      <c r="F23" s="67">
        <f t="shared" si="5"/>
        <v>0</v>
      </c>
      <c r="G23" s="67">
        <f t="shared" si="0"/>
        <v>0</v>
      </c>
      <c r="H23" s="67">
        <f t="shared" si="1"/>
        <v>0</v>
      </c>
      <c r="I23" s="67">
        <f t="shared" si="2"/>
        <v>0</v>
      </c>
      <c r="J23" s="67">
        <f t="shared" si="3"/>
        <v>0</v>
      </c>
      <c r="K23" s="100">
        <f t="shared" si="6"/>
        <v>0</v>
      </c>
      <c r="N23" s="258"/>
      <c r="O23" s="96">
        <f>Amnt_Deposited!B18</f>
        <v>2004</v>
      </c>
      <c r="P23" s="99">
        <f>Amnt_Deposited!C18</f>
        <v>0</v>
      </c>
      <c r="Q23" s="284">
        <f>MCF!R22</f>
        <v>0.6</v>
      </c>
      <c r="R23" s="67">
        <f t="shared" si="4"/>
        <v>0</v>
      </c>
      <c r="S23" s="67">
        <f t="shared" si="7"/>
        <v>0</v>
      </c>
      <c r="T23" s="67">
        <f t="shared" si="8"/>
        <v>0</v>
      </c>
      <c r="U23" s="67">
        <f t="shared" si="9"/>
        <v>0</v>
      </c>
      <c r="V23" s="67">
        <f t="shared" si="10"/>
        <v>0</v>
      </c>
      <c r="W23" s="100">
        <f t="shared" si="11"/>
        <v>0</v>
      </c>
    </row>
    <row r="24" spans="2:23">
      <c r="B24" s="96">
        <f>Amnt_Deposited!B19</f>
        <v>2005</v>
      </c>
      <c r="C24" s="99">
        <f>Amnt_Deposited!C19</f>
        <v>0</v>
      </c>
      <c r="D24" s="418">
        <f>Dry_Matter_Content!C11</f>
        <v>0.59</v>
      </c>
      <c r="E24" s="284">
        <f>MCF!R23</f>
        <v>0.6</v>
      </c>
      <c r="F24" s="67">
        <f t="shared" si="5"/>
        <v>0</v>
      </c>
      <c r="G24" s="67">
        <f t="shared" si="0"/>
        <v>0</v>
      </c>
      <c r="H24" s="67">
        <f t="shared" si="1"/>
        <v>0</v>
      </c>
      <c r="I24" s="67">
        <f t="shared" si="2"/>
        <v>0</v>
      </c>
      <c r="J24" s="67">
        <f t="shared" si="3"/>
        <v>0</v>
      </c>
      <c r="K24" s="100">
        <f t="shared" si="6"/>
        <v>0</v>
      </c>
      <c r="N24" s="258"/>
      <c r="O24" s="96">
        <f>Amnt_Deposited!B19</f>
        <v>2005</v>
      </c>
      <c r="P24" s="99">
        <f>Amnt_Deposited!C19</f>
        <v>0</v>
      </c>
      <c r="Q24" s="284">
        <f>MCF!R23</f>
        <v>0.6</v>
      </c>
      <c r="R24" s="67">
        <f t="shared" si="4"/>
        <v>0</v>
      </c>
      <c r="S24" s="67">
        <f t="shared" si="7"/>
        <v>0</v>
      </c>
      <c r="T24" s="67">
        <f t="shared" si="8"/>
        <v>0</v>
      </c>
      <c r="U24" s="67">
        <f t="shared" si="9"/>
        <v>0</v>
      </c>
      <c r="V24" s="67">
        <f t="shared" si="10"/>
        <v>0</v>
      </c>
      <c r="W24" s="100">
        <f t="shared" si="11"/>
        <v>0</v>
      </c>
    </row>
    <row r="25" spans="2:23">
      <c r="B25" s="96">
        <f>Amnt_Deposited!B20</f>
        <v>2006</v>
      </c>
      <c r="C25" s="99">
        <f>Amnt_Deposited!C20</f>
        <v>0</v>
      </c>
      <c r="D25" s="418">
        <f>Dry_Matter_Content!C12</f>
        <v>0.59</v>
      </c>
      <c r="E25" s="284">
        <f>MCF!R24</f>
        <v>0.6</v>
      </c>
      <c r="F25" s="67">
        <f t="shared" si="5"/>
        <v>0</v>
      </c>
      <c r="G25" s="67">
        <f t="shared" si="0"/>
        <v>0</v>
      </c>
      <c r="H25" s="67">
        <f t="shared" si="1"/>
        <v>0</v>
      </c>
      <c r="I25" s="67">
        <f t="shared" si="2"/>
        <v>0</v>
      </c>
      <c r="J25" s="67">
        <f t="shared" si="3"/>
        <v>0</v>
      </c>
      <c r="K25" s="100">
        <f t="shared" si="6"/>
        <v>0</v>
      </c>
      <c r="N25" s="258"/>
      <c r="O25" s="96">
        <f>Amnt_Deposited!B20</f>
        <v>2006</v>
      </c>
      <c r="P25" s="99">
        <f>Amnt_Deposited!C20</f>
        <v>0</v>
      </c>
      <c r="Q25" s="284">
        <f>MCF!R24</f>
        <v>0.6</v>
      </c>
      <c r="R25" s="67">
        <f t="shared" si="4"/>
        <v>0</v>
      </c>
      <c r="S25" s="67">
        <f t="shared" si="7"/>
        <v>0</v>
      </c>
      <c r="T25" s="67">
        <f t="shared" si="8"/>
        <v>0</v>
      </c>
      <c r="U25" s="67">
        <f t="shared" si="9"/>
        <v>0</v>
      </c>
      <c r="V25" s="67">
        <f t="shared" si="10"/>
        <v>0</v>
      </c>
      <c r="W25" s="100">
        <f t="shared" si="11"/>
        <v>0</v>
      </c>
    </row>
    <row r="26" spans="2:23">
      <c r="B26" s="96">
        <f>Amnt_Deposited!B21</f>
        <v>2007</v>
      </c>
      <c r="C26" s="99">
        <f>Amnt_Deposited!C21</f>
        <v>0</v>
      </c>
      <c r="D26" s="418">
        <f>Dry_Matter_Content!C13</f>
        <v>0.59</v>
      </c>
      <c r="E26" s="284">
        <f>MCF!R25</f>
        <v>0.6</v>
      </c>
      <c r="F26" s="67">
        <f t="shared" si="5"/>
        <v>0</v>
      </c>
      <c r="G26" s="67">
        <f t="shared" si="0"/>
        <v>0</v>
      </c>
      <c r="H26" s="67">
        <f t="shared" si="1"/>
        <v>0</v>
      </c>
      <c r="I26" s="67">
        <f t="shared" si="2"/>
        <v>0</v>
      </c>
      <c r="J26" s="67">
        <f t="shared" si="3"/>
        <v>0</v>
      </c>
      <c r="K26" s="100">
        <f t="shared" si="6"/>
        <v>0</v>
      </c>
      <c r="N26" s="258"/>
      <c r="O26" s="96">
        <f>Amnt_Deposited!B21</f>
        <v>2007</v>
      </c>
      <c r="P26" s="99">
        <f>Amnt_Deposited!C21</f>
        <v>0</v>
      </c>
      <c r="Q26" s="284">
        <f>MCF!R25</f>
        <v>0.6</v>
      </c>
      <c r="R26" s="67">
        <f t="shared" si="4"/>
        <v>0</v>
      </c>
      <c r="S26" s="67">
        <f t="shared" si="7"/>
        <v>0</v>
      </c>
      <c r="T26" s="67">
        <f t="shared" si="8"/>
        <v>0</v>
      </c>
      <c r="U26" s="67">
        <f t="shared" si="9"/>
        <v>0</v>
      </c>
      <c r="V26" s="67">
        <f t="shared" si="10"/>
        <v>0</v>
      </c>
      <c r="W26" s="100">
        <f t="shared" si="11"/>
        <v>0</v>
      </c>
    </row>
    <row r="27" spans="2:23">
      <c r="B27" s="96">
        <f>Amnt_Deposited!B22</f>
        <v>2008</v>
      </c>
      <c r="C27" s="99">
        <f>Amnt_Deposited!C22</f>
        <v>0</v>
      </c>
      <c r="D27" s="418">
        <f>Dry_Matter_Content!C14</f>
        <v>0.59</v>
      </c>
      <c r="E27" s="284">
        <f>MCF!R26</f>
        <v>0.6</v>
      </c>
      <c r="F27" s="67">
        <f t="shared" si="5"/>
        <v>0</v>
      </c>
      <c r="G27" s="67">
        <f t="shared" si="0"/>
        <v>0</v>
      </c>
      <c r="H27" s="67">
        <f t="shared" si="1"/>
        <v>0</v>
      </c>
      <c r="I27" s="67">
        <f t="shared" si="2"/>
        <v>0</v>
      </c>
      <c r="J27" s="67">
        <f t="shared" si="3"/>
        <v>0</v>
      </c>
      <c r="K27" s="100">
        <f t="shared" si="6"/>
        <v>0</v>
      </c>
      <c r="N27" s="258"/>
      <c r="O27" s="96">
        <f>Amnt_Deposited!B22</f>
        <v>2008</v>
      </c>
      <c r="P27" s="99">
        <f>Amnt_Deposited!C22</f>
        <v>0</v>
      </c>
      <c r="Q27" s="284">
        <f>MCF!R26</f>
        <v>0.6</v>
      </c>
      <c r="R27" s="67">
        <f t="shared" si="4"/>
        <v>0</v>
      </c>
      <c r="S27" s="67">
        <f t="shared" si="7"/>
        <v>0</v>
      </c>
      <c r="T27" s="67">
        <f t="shared" si="8"/>
        <v>0</v>
      </c>
      <c r="U27" s="67">
        <f t="shared" si="9"/>
        <v>0</v>
      </c>
      <c r="V27" s="67">
        <f t="shared" si="10"/>
        <v>0</v>
      </c>
      <c r="W27" s="100">
        <f t="shared" si="11"/>
        <v>0</v>
      </c>
    </row>
    <row r="28" spans="2:23">
      <c r="B28" s="96">
        <f>Amnt_Deposited!B23</f>
        <v>2009</v>
      </c>
      <c r="C28" s="99">
        <f>Amnt_Deposited!C23</f>
        <v>0</v>
      </c>
      <c r="D28" s="418">
        <f>Dry_Matter_Content!C15</f>
        <v>0.59</v>
      </c>
      <c r="E28" s="284">
        <f>MCF!R27</f>
        <v>0.6</v>
      </c>
      <c r="F28" s="67">
        <f t="shared" si="5"/>
        <v>0</v>
      </c>
      <c r="G28" s="67">
        <f t="shared" si="0"/>
        <v>0</v>
      </c>
      <c r="H28" s="67">
        <f t="shared" si="1"/>
        <v>0</v>
      </c>
      <c r="I28" s="67">
        <f t="shared" si="2"/>
        <v>0</v>
      </c>
      <c r="J28" s="67">
        <f t="shared" si="3"/>
        <v>0</v>
      </c>
      <c r="K28" s="100">
        <f t="shared" si="6"/>
        <v>0</v>
      </c>
      <c r="N28" s="258"/>
      <c r="O28" s="96">
        <f>Amnt_Deposited!B23</f>
        <v>2009</v>
      </c>
      <c r="P28" s="99">
        <f>Amnt_Deposited!C23</f>
        <v>0</v>
      </c>
      <c r="Q28" s="284">
        <f>MCF!R27</f>
        <v>0.6</v>
      </c>
      <c r="R28" s="67">
        <f t="shared" si="4"/>
        <v>0</v>
      </c>
      <c r="S28" s="67">
        <f t="shared" si="7"/>
        <v>0</v>
      </c>
      <c r="T28" s="67">
        <f t="shared" si="8"/>
        <v>0</v>
      </c>
      <c r="U28" s="67">
        <f t="shared" si="9"/>
        <v>0</v>
      </c>
      <c r="V28" s="67">
        <f t="shared" si="10"/>
        <v>0</v>
      </c>
      <c r="W28" s="100">
        <f t="shared" si="11"/>
        <v>0</v>
      </c>
    </row>
    <row r="29" spans="2:23">
      <c r="B29" s="96">
        <f>Amnt_Deposited!B24</f>
        <v>2010</v>
      </c>
      <c r="C29" s="99">
        <f>Amnt_Deposited!C24</f>
        <v>0</v>
      </c>
      <c r="D29" s="418">
        <f>Dry_Matter_Content!C16</f>
        <v>0.59</v>
      </c>
      <c r="E29" s="284">
        <f>MCF!R28</f>
        <v>0.6</v>
      </c>
      <c r="F29" s="67">
        <f t="shared" si="5"/>
        <v>0</v>
      </c>
      <c r="G29" s="67">
        <f t="shared" si="0"/>
        <v>0</v>
      </c>
      <c r="H29" s="67">
        <f t="shared" si="1"/>
        <v>0</v>
      </c>
      <c r="I29" s="67">
        <f t="shared" si="2"/>
        <v>0</v>
      </c>
      <c r="J29" s="67">
        <f t="shared" si="3"/>
        <v>0</v>
      </c>
      <c r="K29" s="100">
        <f t="shared" si="6"/>
        <v>0</v>
      </c>
      <c r="O29" s="96">
        <f>Amnt_Deposited!B24</f>
        <v>2010</v>
      </c>
      <c r="P29" s="99">
        <f>Amnt_Deposited!C24</f>
        <v>0</v>
      </c>
      <c r="Q29" s="284">
        <f>MCF!R28</f>
        <v>0.6</v>
      </c>
      <c r="R29" s="67">
        <f t="shared" si="4"/>
        <v>0</v>
      </c>
      <c r="S29" s="67">
        <f t="shared" si="7"/>
        <v>0</v>
      </c>
      <c r="T29" s="67">
        <f t="shared" si="8"/>
        <v>0</v>
      </c>
      <c r="U29" s="67">
        <f t="shared" si="9"/>
        <v>0</v>
      </c>
      <c r="V29" s="67">
        <f t="shared" si="10"/>
        <v>0</v>
      </c>
      <c r="W29" s="100">
        <f t="shared" si="11"/>
        <v>0</v>
      </c>
    </row>
    <row r="30" spans="2:23">
      <c r="B30" s="96">
        <f>Amnt_Deposited!B25</f>
        <v>2011</v>
      </c>
      <c r="C30" s="99">
        <f>Amnt_Deposited!C25</f>
        <v>0</v>
      </c>
      <c r="D30" s="418">
        <f>Dry_Matter_Content!C17</f>
        <v>0.59</v>
      </c>
      <c r="E30" s="284">
        <f>MCF!R29</f>
        <v>0.6</v>
      </c>
      <c r="F30" s="67">
        <f t="shared" si="5"/>
        <v>0</v>
      </c>
      <c r="G30" s="67">
        <f t="shared" si="0"/>
        <v>0</v>
      </c>
      <c r="H30" s="67">
        <f t="shared" si="1"/>
        <v>0</v>
      </c>
      <c r="I30" s="67">
        <f t="shared" si="2"/>
        <v>0</v>
      </c>
      <c r="J30" s="67">
        <f t="shared" si="3"/>
        <v>0</v>
      </c>
      <c r="K30" s="100">
        <f t="shared" si="6"/>
        <v>0</v>
      </c>
      <c r="O30" s="96">
        <f>Amnt_Deposited!B25</f>
        <v>2011</v>
      </c>
      <c r="P30" s="99">
        <f>Amnt_Deposited!C25</f>
        <v>0</v>
      </c>
      <c r="Q30" s="284">
        <f>MCF!R29</f>
        <v>0.6</v>
      </c>
      <c r="R30" s="67">
        <f t="shared" si="4"/>
        <v>0</v>
      </c>
      <c r="S30" s="67">
        <f t="shared" si="7"/>
        <v>0</v>
      </c>
      <c r="T30" s="67">
        <f t="shared" si="8"/>
        <v>0</v>
      </c>
      <c r="U30" s="67">
        <f t="shared" si="9"/>
        <v>0</v>
      </c>
      <c r="V30" s="67">
        <f t="shared" si="10"/>
        <v>0</v>
      </c>
      <c r="W30" s="100">
        <f t="shared" si="11"/>
        <v>0</v>
      </c>
    </row>
    <row r="31" spans="2:23">
      <c r="B31" s="96">
        <f>Amnt_Deposited!B26</f>
        <v>2012</v>
      </c>
      <c r="C31" s="99">
        <f>Amnt_Deposited!C26</f>
        <v>0</v>
      </c>
      <c r="D31" s="418">
        <f>Dry_Matter_Content!C18</f>
        <v>0.59</v>
      </c>
      <c r="E31" s="284">
        <f>MCF!R30</f>
        <v>0.6</v>
      </c>
      <c r="F31" s="67">
        <f t="shared" si="5"/>
        <v>0</v>
      </c>
      <c r="G31" s="67">
        <f t="shared" si="0"/>
        <v>0</v>
      </c>
      <c r="H31" s="67">
        <f t="shared" si="1"/>
        <v>0</v>
      </c>
      <c r="I31" s="67">
        <f t="shared" si="2"/>
        <v>0</v>
      </c>
      <c r="J31" s="67">
        <f t="shared" si="3"/>
        <v>0</v>
      </c>
      <c r="K31" s="100">
        <f t="shared" si="6"/>
        <v>0</v>
      </c>
      <c r="O31" s="96">
        <f>Amnt_Deposited!B26</f>
        <v>2012</v>
      </c>
      <c r="P31" s="99">
        <f>Amnt_Deposited!C26</f>
        <v>0</v>
      </c>
      <c r="Q31" s="284">
        <f>MCF!R30</f>
        <v>0.6</v>
      </c>
      <c r="R31" s="67">
        <f t="shared" si="4"/>
        <v>0</v>
      </c>
      <c r="S31" s="67">
        <f t="shared" si="7"/>
        <v>0</v>
      </c>
      <c r="T31" s="67">
        <f t="shared" si="8"/>
        <v>0</v>
      </c>
      <c r="U31" s="67">
        <f t="shared" si="9"/>
        <v>0</v>
      </c>
      <c r="V31" s="67">
        <f t="shared" si="10"/>
        <v>0</v>
      </c>
      <c r="W31" s="100">
        <f t="shared" si="11"/>
        <v>0</v>
      </c>
    </row>
    <row r="32" spans="2:23">
      <c r="B32" s="96">
        <f>Amnt_Deposited!B27</f>
        <v>2013</v>
      </c>
      <c r="C32" s="99">
        <f>Amnt_Deposited!C27</f>
        <v>0</v>
      </c>
      <c r="D32" s="418">
        <f>Dry_Matter_Content!C19</f>
        <v>0.59</v>
      </c>
      <c r="E32" s="284">
        <f>MCF!R31</f>
        <v>0.6</v>
      </c>
      <c r="F32" s="67">
        <f t="shared" si="5"/>
        <v>0</v>
      </c>
      <c r="G32" s="67">
        <f t="shared" si="0"/>
        <v>0</v>
      </c>
      <c r="H32" s="67">
        <f t="shared" si="1"/>
        <v>0</v>
      </c>
      <c r="I32" s="67">
        <f t="shared" si="2"/>
        <v>0</v>
      </c>
      <c r="J32" s="67">
        <f t="shared" si="3"/>
        <v>0</v>
      </c>
      <c r="K32" s="100">
        <f t="shared" si="6"/>
        <v>0</v>
      </c>
      <c r="O32" s="96">
        <f>Amnt_Deposited!B27</f>
        <v>2013</v>
      </c>
      <c r="P32" s="99">
        <f>Amnt_Deposited!C27</f>
        <v>0</v>
      </c>
      <c r="Q32" s="284">
        <f>MCF!R31</f>
        <v>0.6</v>
      </c>
      <c r="R32" s="67">
        <f t="shared" si="4"/>
        <v>0</v>
      </c>
      <c r="S32" s="67">
        <f t="shared" si="7"/>
        <v>0</v>
      </c>
      <c r="T32" s="67">
        <f t="shared" si="8"/>
        <v>0</v>
      </c>
      <c r="U32" s="67">
        <f t="shared" si="9"/>
        <v>0</v>
      </c>
      <c r="V32" s="67">
        <f t="shared" si="10"/>
        <v>0</v>
      </c>
      <c r="W32" s="100">
        <f t="shared" si="11"/>
        <v>0</v>
      </c>
    </row>
    <row r="33" spans="2:23">
      <c r="B33" s="96">
        <f>Amnt_Deposited!B28</f>
        <v>2014</v>
      </c>
      <c r="C33" s="99">
        <f>Amnt_Deposited!C28</f>
        <v>0</v>
      </c>
      <c r="D33" s="418">
        <f>Dry_Matter_Content!C20</f>
        <v>0.59</v>
      </c>
      <c r="E33" s="284">
        <f>MCF!R32</f>
        <v>0.6</v>
      </c>
      <c r="F33" s="67">
        <f t="shared" si="5"/>
        <v>0</v>
      </c>
      <c r="G33" s="67">
        <f t="shared" si="0"/>
        <v>0</v>
      </c>
      <c r="H33" s="67">
        <f t="shared" si="1"/>
        <v>0</v>
      </c>
      <c r="I33" s="67">
        <f t="shared" si="2"/>
        <v>0</v>
      </c>
      <c r="J33" s="67">
        <f t="shared" si="3"/>
        <v>0</v>
      </c>
      <c r="K33" s="100">
        <f t="shared" si="6"/>
        <v>0</v>
      </c>
      <c r="O33" s="96">
        <f>Amnt_Deposited!B28</f>
        <v>2014</v>
      </c>
      <c r="P33" s="99">
        <f>Amnt_Deposited!C28</f>
        <v>0</v>
      </c>
      <c r="Q33" s="284">
        <f>MCF!R32</f>
        <v>0.6</v>
      </c>
      <c r="R33" s="67">
        <f t="shared" si="4"/>
        <v>0</v>
      </c>
      <c r="S33" s="67">
        <f t="shared" si="7"/>
        <v>0</v>
      </c>
      <c r="T33" s="67">
        <f t="shared" si="8"/>
        <v>0</v>
      </c>
      <c r="U33" s="67">
        <f t="shared" si="9"/>
        <v>0</v>
      </c>
      <c r="V33" s="67">
        <f t="shared" si="10"/>
        <v>0</v>
      </c>
      <c r="W33" s="100">
        <f t="shared" si="11"/>
        <v>0</v>
      </c>
    </row>
    <row r="34" spans="2:23">
      <c r="B34" s="96">
        <f>Amnt_Deposited!B29</f>
        <v>2015</v>
      </c>
      <c r="C34" s="99">
        <f>Amnt_Deposited!C29</f>
        <v>0</v>
      </c>
      <c r="D34" s="418">
        <f>Dry_Matter_Content!C21</f>
        <v>0.59</v>
      </c>
      <c r="E34" s="284">
        <f>MCF!R33</f>
        <v>0.6</v>
      </c>
      <c r="F34" s="67">
        <f t="shared" si="5"/>
        <v>0</v>
      </c>
      <c r="G34" s="67">
        <f t="shared" si="0"/>
        <v>0</v>
      </c>
      <c r="H34" s="67">
        <f t="shared" si="1"/>
        <v>0</v>
      </c>
      <c r="I34" s="67">
        <f t="shared" si="2"/>
        <v>0</v>
      </c>
      <c r="J34" s="67">
        <f t="shared" si="3"/>
        <v>0</v>
      </c>
      <c r="K34" s="100">
        <f t="shared" si="6"/>
        <v>0</v>
      </c>
      <c r="O34" s="96">
        <f>Amnt_Deposited!B29</f>
        <v>2015</v>
      </c>
      <c r="P34" s="99">
        <f>Amnt_Deposited!C29</f>
        <v>0</v>
      </c>
      <c r="Q34" s="284">
        <f>MCF!R33</f>
        <v>0.6</v>
      </c>
      <c r="R34" s="67">
        <f t="shared" si="4"/>
        <v>0</v>
      </c>
      <c r="S34" s="67">
        <f t="shared" si="7"/>
        <v>0</v>
      </c>
      <c r="T34" s="67">
        <f t="shared" si="8"/>
        <v>0</v>
      </c>
      <c r="U34" s="67">
        <f t="shared" si="9"/>
        <v>0</v>
      </c>
      <c r="V34" s="67">
        <f t="shared" si="10"/>
        <v>0</v>
      </c>
      <c r="W34" s="100">
        <f t="shared" si="11"/>
        <v>0</v>
      </c>
    </row>
    <row r="35" spans="2:23">
      <c r="B35" s="96">
        <f>Amnt_Deposited!B30</f>
        <v>2016</v>
      </c>
      <c r="C35" s="99">
        <f>Amnt_Deposited!C30</f>
        <v>0</v>
      </c>
      <c r="D35" s="418">
        <f>Dry_Matter_Content!C22</f>
        <v>0.59</v>
      </c>
      <c r="E35" s="284">
        <f>MCF!R34</f>
        <v>0.6</v>
      </c>
      <c r="F35" s="67">
        <f t="shared" si="5"/>
        <v>0</v>
      </c>
      <c r="G35" s="67">
        <f t="shared" si="0"/>
        <v>0</v>
      </c>
      <c r="H35" s="67">
        <f t="shared" si="1"/>
        <v>0</v>
      </c>
      <c r="I35" s="67">
        <f t="shared" si="2"/>
        <v>0</v>
      </c>
      <c r="J35" s="67">
        <f t="shared" si="3"/>
        <v>0</v>
      </c>
      <c r="K35" s="100">
        <f t="shared" si="6"/>
        <v>0</v>
      </c>
      <c r="O35" s="96">
        <f>Amnt_Deposited!B30</f>
        <v>2016</v>
      </c>
      <c r="P35" s="99">
        <f>Amnt_Deposited!C30</f>
        <v>0</v>
      </c>
      <c r="Q35" s="284">
        <f>MCF!R34</f>
        <v>0.6</v>
      </c>
      <c r="R35" s="67">
        <f t="shared" si="4"/>
        <v>0</v>
      </c>
      <c r="S35" s="67">
        <f t="shared" si="7"/>
        <v>0</v>
      </c>
      <c r="T35" s="67">
        <f t="shared" si="8"/>
        <v>0</v>
      </c>
      <c r="U35" s="67">
        <f t="shared" si="9"/>
        <v>0</v>
      </c>
      <c r="V35" s="67">
        <f t="shared" si="10"/>
        <v>0</v>
      </c>
      <c r="W35" s="100">
        <f t="shared" si="11"/>
        <v>0</v>
      </c>
    </row>
    <row r="36" spans="2:23">
      <c r="B36" s="96">
        <f>Amnt_Deposited!B31</f>
        <v>2017</v>
      </c>
      <c r="C36" s="99">
        <f>Amnt_Deposited!C31</f>
        <v>0.48153804000000006</v>
      </c>
      <c r="D36" s="418">
        <f>Dry_Matter_Content!C23</f>
        <v>0.59</v>
      </c>
      <c r="E36" s="284">
        <f>MCF!R35</f>
        <v>0.6</v>
      </c>
      <c r="F36" s="67">
        <f t="shared" si="5"/>
        <v>3.2388248570399999E-2</v>
      </c>
      <c r="G36" s="67">
        <f t="shared" si="0"/>
        <v>3.2388248570399999E-2</v>
      </c>
      <c r="H36" s="67">
        <f t="shared" si="1"/>
        <v>0</v>
      </c>
      <c r="I36" s="67">
        <f t="shared" si="2"/>
        <v>3.2388248570399999E-2</v>
      </c>
      <c r="J36" s="67">
        <f t="shared" si="3"/>
        <v>0</v>
      </c>
      <c r="K36" s="100">
        <f t="shared" si="6"/>
        <v>0</v>
      </c>
      <c r="O36" s="96">
        <f>Amnt_Deposited!B31</f>
        <v>2017</v>
      </c>
      <c r="P36" s="99">
        <f>Amnt_Deposited!C31</f>
        <v>0.48153804000000006</v>
      </c>
      <c r="Q36" s="284">
        <f>MCF!R35</f>
        <v>0.6</v>
      </c>
      <c r="R36" s="67">
        <f t="shared" si="4"/>
        <v>2.1669211800000001E-2</v>
      </c>
      <c r="S36" s="67">
        <f t="shared" si="7"/>
        <v>2.1669211800000001E-2</v>
      </c>
      <c r="T36" s="67">
        <f t="shared" si="8"/>
        <v>0</v>
      </c>
      <c r="U36" s="67">
        <f t="shared" si="9"/>
        <v>2.1669211800000001E-2</v>
      </c>
      <c r="V36" s="67">
        <f t="shared" si="10"/>
        <v>0</v>
      </c>
      <c r="W36" s="100">
        <f t="shared" si="11"/>
        <v>0</v>
      </c>
    </row>
    <row r="37" spans="2:23">
      <c r="B37" s="96">
        <f>Amnt_Deposited!B32</f>
        <v>2018</v>
      </c>
      <c r="C37" s="99">
        <f>Amnt_Deposited!C32</f>
        <v>0.53198681177999996</v>
      </c>
      <c r="D37" s="418">
        <f>Dry_Matter_Content!C24</f>
        <v>0.59</v>
      </c>
      <c r="E37" s="284">
        <f>MCF!R36</f>
        <v>0.6</v>
      </c>
      <c r="F37" s="67">
        <f t="shared" si="5"/>
        <v>3.5781432960322795E-2</v>
      </c>
      <c r="G37" s="67">
        <f t="shared" si="0"/>
        <v>3.5781432960322795E-2</v>
      </c>
      <c r="H37" s="67">
        <f t="shared" si="1"/>
        <v>0</v>
      </c>
      <c r="I37" s="67">
        <f t="shared" si="2"/>
        <v>5.7491925233047053E-2</v>
      </c>
      <c r="J37" s="67">
        <f t="shared" si="3"/>
        <v>1.0677756297675742E-2</v>
      </c>
      <c r="K37" s="100">
        <f t="shared" si="6"/>
        <v>7.1185041984504942E-3</v>
      </c>
      <c r="O37" s="96">
        <f>Amnt_Deposited!B32</f>
        <v>2018</v>
      </c>
      <c r="P37" s="99">
        <f>Amnt_Deposited!C32</f>
        <v>0.53198681177999996</v>
      </c>
      <c r="Q37" s="284">
        <f>MCF!R36</f>
        <v>0.6</v>
      </c>
      <c r="R37" s="67">
        <f t="shared" si="4"/>
        <v>2.3939406530099995E-2</v>
      </c>
      <c r="S37" s="67">
        <f t="shared" si="7"/>
        <v>2.3939406530099995E-2</v>
      </c>
      <c r="T37" s="67">
        <f t="shared" si="8"/>
        <v>0</v>
      </c>
      <c r="U37" s="67">
        <f t="shared" si="9"/>
        <v>3.8464713581432011E-2</v>
      </c>
      <c r="V37" s="67">
        <f t="shared" si="10"/>
        <v>7.1439047486679813E-3</v>
      </c>
      <c r="W37" s="100">
        <f t="shared" si="11"/>
        <v>4.7626031657786536E-3</v>
      </c>
    </row>
    <row r="38" spans="2:23">
      <c r="B38" s="96">
        <f>Amnt_Deposited!B33</f>
        <v>2019</v>
      </c>
      <c r="C38" s="99">
        <f>Amnt_Deposited!C33</f>
        <v>0.58723498802471996</v>
      </c>
      <c r="D38" s="418">
        <f>Dry_Matter_Content!C25</f>
        <v>0.59</v>
      </c>
      <c r="E38" s="284">
        <f>MCF!R37</f>
        <v>0.6</v>
      </c>
      <c r="F38" s="67">
        <f t="shared" si="5"/>
        <v>3.9497425294542657E-2</v>
      </c>
      <c r="G38" s="67">
        <f t="shared" si="0"/>
        <v>3.9497425294542657E-2</v>
      </c>
      <c r="H38" s="67">
        <f t="shared" si="1"/>
        <v>0</v>
      </c>
      <c r="I38" s="67">
        <f t="shared" si="2"/>
        <v>7.8035415263436297E-2</v>
      </c>
      <c r="J38" s="67">
        <f t="shared" si="3"/>
        <v>1.895393526415342E-2</v>
      </c>
      <c r="K38" s="100">
        <f t="shared" si="6"/>
        <v>1.2635956842768945E-2</v>
      </c>
      <c r="O38" s="96">
        <f>Amnt_Deposited!B33</f>
        <v>2019</v>
      </c>
      <c r="P38" s="99">
        <f>Amnt_Deposited!C33</f>
        <v>0.58723498802471996</v>
      </c>
      <c r="Q38" s="284">
        <f>MCF!R37</f>
        <v>0.6</v>
      </c>
      <c r="R38" s="67">
        <f t="shared" si="4"/>
        <v>2.6425574461112395E-2</v>
      </c>
      <c r="S38" s="67">
        <f t="shared" si="7"/>
        <v>2.6425574461112395E-2</v>
      </c>
      <c r="T38" s="67">
        <f t="shared" si="8"/>
        <v>0</v>
      </c>
      <c r="U38" s="67">
        <f t="shared" si="9"/>
        <v>5.2209243039765582E-2</v>
      </c>
      <c r="V38" s="67">
        <f t="shared" si="10"/>
        <v>1.2681045002778824E-2</v>
      </c>
      <c r="W38" s="100">
        <f t="shared" si="11"/>
        <v>8.4540300018525489E-3</v>
      </c>
    </row>
    <row r="39" spans="2:23">
      <c r="B39" s="96">
        <f>Amnt_Deposited!B34</f>
        <v>2020</v>
      </c>
      <c r="C39" s="99">
        <f>Amnt_Deposited!C34</f>
        <v>0.64771444028119352</v>
      </c>
      <c r="D39" s="418">
        <f>Dry_Matter_Content!C26</f>
        <v>0.59</v>
      </c>
      <c r="E39" s="284">
        <f>MCF!R38</f>
        <v>0.6</v>
      </c>
      <c r="F39" s="67">
        <f t="shared" si="5"/>
        <v>4.3565273253313073E-2</v>
      </c>
      <c r="G39" s="67">
        <f t="shared" si="0"/>
        <v>4.3565273253313073E-2</v>
      </c>
      <c r="H39" s="67">
        <f t="shared" si="1"/>
        <v>0</v>
      </c>
      <c r="I39" s="67">
        <f t="shared" si="2"/>
        <v>9.5873976405109917E-2</v>
      </c>
      <c r="J39" s="67">
        <f t="shared" si="3"/>
        <v>2.5726712111639446E-2</v>
      </c>
      <c r="K39" s="100">
        <f t="shared" si="6"/>
        <v>1.715114140775963E-2</v>
      </c>
      <c r="O39" s="96">
        <f>Amnt_Deposited!B34</f>
        <v>2020</v>
      </c>
      <c r="P39" s="99">
        <f>Amnt_Deposited!C34</f>
        <v>0.64771444028119352</v>
      </c>
      <c r="Q39" s="284">
        <f>MCF!R38</f>
        <v>0.6</v>
      </c>
      <c r="R39" s="67">
        <f t="shared" si="4"/>
        <v>2.9147149812653705E-2</v>
      </c>
      <c r="S39" s="67">
        <f t="shared" si="7"/>
        <v>2.9147149812653705E-2</v>
      </c>
      <c r="T39" s="67">
        <f t="shared" si="8"/>
        <v>0</v>
      </c>
      <c r="U39" s="67">
        <f t="shared" si="9"/>
        <v>6.4144052010555258E-2</v>
      </c>
      <c r="V39" s="67">
        <f t="shared" si="10"/>
        <v>1.7212340841864036E-2</v>
      </c>
      <c r="W39" s="100">
        <f t="shared" si="11"/>
        <v>1.1474893894576024E-2</v>
      </c>
    </row>
    <row r="40" spans="2:23">
      <c r="B40" s="96">
        <f>Amnt_Deposited!B35</f>
        <v>2021</v>
      </c>
      <c r="C40" s="99">
        <f>Amnt_Deposited!C35</f>
        <v>0.71389451731592835</v>
      </c>
      <c r="D40" s="418">
        <f>Dry_Matter_Content!C27</f>
        <v>0.59</v>
      </c>
      <c r="E40" s="284">
        <f>MCF!R39</f>
        <v>0.6</v>
      </c>
      <c r="F40" s="67">
        <f t="shared" si="5"/>
        <v>4.8016545234669333E-2</v>
      </c>
      <c r="G40" s="67">
        <f t="shared" si="0"/>
        <v>4.8016545234669333E-2</v>
      </c>
      <c r="H40" s="67">
        <f t="shared" si="1"/>
        <v>0</v>
      </c>
      <c r="I40" s="67">
        <f t="shared" si="2"/>
        <v>0.11228279351216242</v>
      </c>
      <c r="J40" s="67">
        <f t="shared" si="3"/>
        <v>3.1607728127616842E-2</v>
      </c>
      <c r="K40" s="100">
        <f t="shared" si="6"/>
        <v>2.1071818751744562E-2</v>
      </c>
      <c r="O40" s="96">
        <f>Amnt_Deposited!B35</f>
        <v>2021</v>
      </c>
      <c r="P40" s="99">
        <f>Amnt_Deposited!C35</f>
        <v>0.71389451731592835</v>
      </c>
      <c r="Q40" s="284">
        <f>MCF!R39</f>
        <v>0.6</v>
      </c>
      <c r="R40" s="67">
        <f t="shared" si="4"/>
        <v>3.2125253279216774E-2</v>
      </c>
      <c r="S40" s="67">
        <f t="shared" si="7"/>
        <v>3.2125253279216774E-2</v>
      </c>
      <c r="T40" s="67">
        <f t="shared" si="8"/>
        <v>0</v>
      </c>
      <c r="U40" s="67">
        <f t="shared" si="9"/>
        <v>7.5122297175844621E-2</v>
      </c>
      <c r="V40" s="67">
        <f t="shared" si="10"/>
        <v>2.1147008113927415E-2</v>
      </c>
      <c r="W40" s="100">
        <f t="shared" si="11"/>
        <v>1.4098005409284943E-2</v>
      </c>
    </row>
    <row r="41" spans="2:23">
      <c r="B41" s="96">
        <f>Amnt_Deposited!B36</f>
        <v>2022</v>
      </c>
      <c r="C41" s="99">
        <f>Amnt_Deposited!C36</f>
        <v>0.78628521534547591</v>
      </c>
      <c r="D41" s="418">
        <f>Dry_Matter_Content!C28</f>
        <v>0.59</v>
      </c>
      <c r="E41" s="284">
        <f>MCF!R40</f>
        <v>0.6</v>
      </c>
      <c r="F41" s="67">
        <f t="shared" si="5"/>
        <v>5.2885543584136704E-2</v>
      </c>
      <c r="G41" s="67">
        <f t="shared" si="0"/>
        <v>5.2885543584136704E-2</v>
      </c>
      <c r="H41" s="67">
        <f t="shared" si="1"/>
        <v>0</v>
      </c>
      <c r="I41" s="67">
        <f t="shared" si="2"/>
        <v>0.12815095090021961</v>
      </c>
      <c r="J41" s="67">
        <f t="shared" si="3"/>
        <v>3.701738619607952E-2</v>
      </c>
      <c r="K41" s="100">
        <f t="shared" si="6"/>
        <v>2.4678257464053013E-2</v>
      </c>
      <c r="O41" s="96">
        <f>Amnt_Deposited!B36</f>
        <v>2022</v>
      </c>
      <c r="P41" s="99">
        <f>Amnt_Deposited!C36</f>
        <v>0.78628521534547591</v>
      </c>
      <c r="Q41" s="284">
        <f>MCF!R40</f>
        <v>0.6</v>
      </c>
      <c r="R41" s="67">
        <f t="shared" si="4"/>
        <v>3.5382834690546414E-2</v>
      </c>
      <c r="S41" s="67">
        <f t="shared" si="7"/>
        <v>3.5382834690546414E-2</v>
      </c>
      <c r="T41" s="67">
        <f t="shared" si="8"/>
        <v>0</v>
      </c>
      <c r="U41" s="67">
        <f t="shared" si="9"/>
        <v>8.5738816391761563E-2</v>
      </c>
      <c r="V41" s="67">
        <f t="shared" si="10"/>
        <v>2.4766315474629475E-2</v>
      </c>
      <c r="W41" s="100">
        <f t="shared" si="11"/>
        <v>1.6510876983086314E-2</v>
      </c>
    </row>
    <row r="42" spans="2:23">
      <c r="B42" s="96">
        <f>Amnt_Deposited!B37</f>
        <v>2023</v>
      </c>
      <c r="C42" s="99">
        <f>Amnt_Deposited!C37</f>
        <v>0.86544061140456108</v>
      </c>
      <c r="D42" s="418">
        <f>Dry_Matter_Content!C29</f>
        <v>0.59</v>
      </c>
      <c r="E42" s="284">
        <f>MCF!R41</f>
        <v>0.6</v>
      </c>
      <c r="F42" s="67">
        <f t="shared" si="5"/>
        <v>5.8209535523070774E-2</v>
      </c>
      <c r="G42" s="67">
        <f t="shared" si="0"/>
        <v>5.8209535523070774E-2</v>
      </c>
      <c r="H42" s="67">
        <f t="shared" si="1"/>
        <v>0</v>
      </c>
      <c r="I42" s="67">
        <f t="shared" si="2"/>
        <v>0.14411168683001693</v>
      </c>
      <c r="J42" s="67">
        <f t="shared" si="3"/>
        <v>4.2248799593273448E-2</v>
      </c>
      <c r="K42" s="100">
        <f t="shared" si="6"/>
        <v>2.8165866395515632E-2</v>
      </c>
      <c r="O42" s="96">
        <f>Amnt_Deposited!B37</f>
        <v>2023</v>
      </c>
      <c r="P42" s="99">
        <f>Amnt_Deposited!C37</f>
        <v>0.86544061140456108</v>
      </c>
      <c r="Q42" s="284">
        <f>MCF!R41</f>
        <v>0.6</v>
      </c>
      <c r="R42" s="67">
        <f t="shared" si="4"/>
        <v>3.8944827513205243E-2</v>
      </c>
      <c r="S42" s="67">
        <f t="shared" si="7"/>
        <v>3.8944827513205243E-2</v>
      </c>
      <c r="T42" s="67">
        <f t="shared" si="8"/>
        <v>0</v>
      </c>
      <c r="U42" s="67">
        <f t="shared" si="9"/>
        <v>9.6417274863972086E-2</v>
      </c>
      <c r="V42" s="67">
        <f t="shared" si="10"/>
        <v>2.8266369040994724E-2</v>
      </c>
      <c r="W42" s="100">
        <f t="shared" si="11"/>
        <v>1.8844246027329814E-2</v>
      </c>
    </row>
    <row r="43" spans="2:23">
      <c r="B43" s="96">
        <f>Amnt_Deposited!B38</f>
        <v>2024</v>
      </c>
      <c r="C43" s="99">
        <f>Amnt_Deposited!C38</f>
        <v>0.95196258137569645</v>
      </c>
      <c r="D43" s="418">
        <f>Dry_Matter_Content!C30</f>
        <v>0.59</v>
      </c>
      <c r="E43" s="284">
        <f>MCF!R42</f>
        <v>0.6</v>
      </c>
      <c r="F43" s="67">
        <f t="shared" si="5"/>
        <v>6.4029003223329342E-2</v>
      </c>
      <c r="G43" s="67">
        <f t="shared" si="0"/>
        <v>6.4029003223329342E-2</v>
      </c>
      <c r="H43" s="67">
        <f t="shared" si="1"/>
        <v>0</v>
      </c>
      <c r="I43" s="67">
        <f t="shared" si="2"/>
        <v>0.16062995577349992</v>
      </c>
      <c r="J43" s="67">
        <f t="shared" si="3"/>
        <v>4.7510734279846346E-2</v>
      </c>
      <c r="K43" s="100">
        <f t="shared" si="6"/>
        <v>3.1673822853230893E-2</v>
      </c>
      <c r="O43" s="96">
        <f>Amnt_Deposited!B38</f>
        <v>2024</v>
      </c>
      <c r="P43" s="99">
        <f>Amnt_Deposited!C38</f>
        <v>0.95196258137569645</v>
      </c>
      <c r="Q43" s="284">
        <f>MCF!R42</f>
        <v>0.6</v>
      </c>
      <c r="R43" s="67">
        <f t="shared" si="4"/>
        <v>4.2838316161906337E-2</v>
      </c>
      <c r="S43" s="67">
        <f t="shared" si="7"/>
        <v>4.2838316161906337E-2</v>
      </c>
      <c r="T43" s="67">
        <f t="shared" si="8"/>
        <v>0</v>
      </c>
      <c r="U43" s="67">
        <f t="shared" si="9"/>
        <v>0.10746874828735499</v>
      </c>
      <c r="V43" s="67">
        <f t="shared" si="10"/>
        <v>3.1786842738523426E-2</v>
      </c>
      <c r="W43" s="100">
        <f t="shared" si="11"/>
        <v>2.1191228492348949E-2</v>
      </c>
    </row>
    <row r="44" spans="2:23">
      <c r="B44" s="96">
        <f>Amnt_Deposited!B39</f>
        <v>2025</v>
      </c>
      <c r="C44" s="99">
        <f>Amnt_Deposited!C39</f>
        <v>1.0465048259444427</v>
      </c>
      <c r="D44" s="418">
        <f>Dry_Matter_Content!C31</f>
        <v>0.59</v>
      </c>
      <c r="E44" s="284">
        <f>MCF!R43</f>
        <v>0.6</v>
      </c>
      <c r="F44" s="67">
        <f t="shared" si="5"/>
        <v>7.038791459302321E-2</v>
      </c>
      <c r="G44" s="67">
        <f t="shared" si="0"/>
        <v>7.038791459302321E-2</v>
      </c>
      <c r="H44" s="67">
        <f t="shared" si="1"/>
        <v>0</v>
      </c>
      <c r="I44" s="67">
        <f t="shared" si="2"/>
        <v>0.17806139394181839</v>
      </c>
      <c r="J44" s="67">
        <f t="shared" si="3"/>
        <v>5.2956476424704746E-2</v>
      </c>
      <c r="K44" s="100">
        <f t="shared" si="6"/>
        <v>3.5304317616469828E-2</v>
      </c>
      <c r="O44" s="96">
        <f>Amnt_Deposited!B39</f>
        <v>2025</v>
      </c>
      <c r="P44" s="99">
        <f>Amnt_Deposited!C39</f>
        <v>1.0465048259444427</v>
      </c>
      <c r="Q44" s="284">
        <f>MCF!R43</f>
        <v>0.6</v>
      </c>
      <c r="R44" s="67">
        <f t="shared" si="4"/>
        <v>4.7092717167499916E-2</v>
      </c>
      <c r="S44" s="67">
        <f t="shared" si="7"/>
        <v>4.7092717167499916E-2</v>
      </c>
      <c r="T44" s="67">
        <f t="shared" si="8"/>
        <v>0</v>
      </c>
      <c r="U44" s="67">
        <f t="shared" si="9"/>
        <v>0.11913117346687224</v>
      </c>
      <c r="V44" s="67">
        <f t="shared" si="10"/>
        <v>3.5430291987982657E-2</v>
      </c>
      <c r="W44" s="100">
        <f t="shared" si="11"/>
        <v>2.3620194658655103E-2</v>
      </c>
    </row>
    <row r="45" spans="2:23">
      <c r="B45" s="96">
        <f>Amnt_Deposited!B40</f>
        <v>2026</v>
      </c>
      <c r="C45" s="99">
        <f>Amnt_Deposited!C40</f>
        <v>1.1497772296240749</v>
      </c>
      <c r="D45" s="418">
        <f>Dry_Matter_Content!C32</f>
        <v>0.59</v>
      </c>
      <c r="E45" s="284">
        <f>MCF!R44</f>
        <v>0.6</v>
      </c>
      <c r="F45" s="67">
        <f t="shared" si="5"/>
        <v>7.7334016464515265E-2</v>
      </c>
      <c r="G45" s="67">
        <f t="shared" si="0"/>
        <v>7.7334016464515265E-2</v>
      </c>
      <c r="H45" s="67">
        <f t="shared" si="1"/>
        <v>0</v>
      </c>
      <c r="I45" s="67">
        <f t="shared" si="2"/>
        <v>0.19669213824876508</v>
      </c>
      <c r="J45" s="67">
        <f t="shared" si="3"/>
        <v>5.8703272157568577E-2</v>
      </c>
      <c r="K45" s="100">
        <f t="shared" si="6"/>
        <v>3.9135514771712385E-2</v>
      </c>
      <c r="O45" s="96">
        <f>Amnt_Deposited!B40</f>
        <v>2026</v>
      </c>
      <c r="P45" s="99">
        <f>Amnt_Deposited!C40</f>
        <v>1.1497772296240749</v>
      </c>
      <c r="Q45" s="284">
        <f>MCF!R44</f>
        <v>0.6</v>
      </c>
      <c r="R45" s="67">
        <f t="shared" si="4"/>
        <v>5.1739975333083367E-2</v>
      </c>
      <c r="S45" s="67">
        <f t="shared" si="7"/>
        <v>5.1739975333083367E-2</v>
      </c>
      <c r="T45" s="67">
        <f t="shared" si="8"/>
        <v>0</v>
      </c>
      <c r="U45" s="67">
        <f t="shared" si="9"/>
        <v>0.1315959890156769</v>
      </c>
      <c r="V45" s="67">
        <f t="shared" si="10"/>
        <v>3.9275159784278708E-2</v>
      </c>
      <c r="W45" s="100">
        <f t="shared" si="11"/>
        <v>2.6183439856185806E-2</v>
      </c>
    </row>
    <row r="46" spans="2:23">
      <c r="B46" s="96">
        <f>Amnt_Deposited!B41</f>
        <v>2027</v>
      </c>
      <c r="C46" s="99">
        <f>Amnt_Deposited!C41</f>
        <v>1.2625505800234753</v>
      </c>
      <c r="D46" s="418">
        <f>Dry_Matter_Content!C33</f>
        <v>0.59</v>
      </c>
      <c r="E46" s="284">
        <f>MCF!R45</f>
        <v>0.6</v>
      </c>
      <c r="F46" s="67">
        <f t="shared" si="5"/>
        <v>8.4919152012378943E-2</v>
      </c>
      <c r="G46" s="67">
        <f t="shared" si="0"/>
        <v>8.4919152012378943E-2</v>
      </c>
      <c r="H46" s="67">
        <f t="shared" si="1"/>
        <v>0</v>
      </c>
      <c r="I46" s="67">
        <f t="shared" si="2"/>
        <v>0.21676583517813947</v>
      </c>
      <c r="J46" s="67">
        <f t="shared" si="3"/>
        <v>6.484545508300453E-2</v>
      </c>
      <c r="K46" s="100">
        <f t="shared" si="6"/>
        <v>4.3230303388669684E-2</v>
      </c>
      <c r="O46" s="96">
        <f>Amnt_Deposited!B41</f>
        <v>2027</v>
      </c>
      <c r="P46" s="99">
        <f>Amnt_Deposited!C41</f>
        <v>1.2625505800234753</v>
      </c>
      <c r="Q46" s="284">
        <f>MCF!R45</f>
        <v>0.6</v>
      </c>
      <c r="R46" s="67">
        <f t="shared" si="4"/>
        <v>5.6814776101056383E-2</v>
      </c>
      <c r="S46" s="67">
        <f t="shared" si="7"/>
        <v>5.6814776101056383E-2</v>
      </c>
      <c r="T46" s="67">
        <f t="shared" si="8"/>
        <v>0</v>
      </c>
      <c r="U46" s="67">
        <f t="shared" si="9"/>
        <v>0.14502620551615042</v>
      </c>
      <c r="V46" s="67">
        <f t="shared" si="10"/>
        <v>4.3384559600582871E-2</v>
      </c>
      <c r="W46" s="100">
        <f t="shared" si="11"/>
        <v>2.8923039733721914E-2</v>
      </c>
    </row>
    <row r="47" spans="2:23">
      <c r="B47" s="96">
        <f>Amnt_Deposited!B42</f>
        <v>2028</v>
      </c>
      <c r="C47" s="99">
        <f>Amnt_Deposited!C42</f>
        <v>1.3856616767245218</v>
      </c>
      <c r="D47" s="418">
        <f>Dry_Matter_Content!C34</f>
        <v>0.59</v>
      </c>
      <c r="E47" s="284">
        <f>MCF!R46</f>
        <v>0.6</v>
      </c>
      <c r="F47" s="67">
        <f t="shared" si="5"/>
        <v>9.3199604376491343E-2</v>
      </c>
      <c r="G47" s="67">
        <f t="shared" si="0"/>
        <v>9.3199604376491343E-2</v>
      </c>
      <c r="H47" s="67">
        <f t="shared" si="1"/>
        <v>0</v>
      </c>
      <c r="I47" s="67">
        <f t="shared" si="2"/>
        <v>0.23850208899205561</v>
      </c>
      <c r="J47" s="67">
        <f t="shared" si="3"/>
        <v>7.1463350562575217E-2</v>
      </c>
      <c r="K47" s="100">
        <f t="shared" si="6"/>
        <v>4.7642233708383476E-2</v>
      </c>
      <c r="O47" s="96">
        <f>Amnt_Deposited!B42</f>
        <v>2028</v>
      </c>
      <c r="P47" s="99">
        <f>Amnt_Deposited!C42</f>
        <v>1.3856616767245218</v>
      </c>
      <c r="Q47" s="284">
        <f>MCF!R46</f>
        <v>0.6</v>
      </c>
      <c r="R47" s="67">
        <f t="shared" si="4"/>
        <v>6.235477545260347E-2</v>
      </c>
      <c r="S47" s="67">
        <f t="shared" si="7"/>
        <v>6.235477545260347E-2</v>
      </c>
      <c r="T47" s="67">
        <f t="shared" si="8"/>
        <v>0</v>
      </c>
      <c r="U47" s="67">
        <f t="shared" si="9"/>
        <v>0.15956874821056349</v>
      </c>
      <c r="V47" s="67">
        <f t="shared" si="10"/>
        <v>4.7812232758190382E-2</v>
      </c>
      <c r="W47" s="100">
        <f t="shared" si="11"/>
        <v>3.1874821838793588E-2</v>
      </c>
    </row>
    <row r="48" spans="2:23">
      <c r="B48" s="96">
        <f>Amnt_Deposited!B43</f>
        <v>2029</v>
      </c>
      <c r="C48" s="99">
        <f>Amnt_Deposited!C43</f>
        <v>1.5200188615029759</v>
      </c>
      <c r="D48" s="418">
        <f>Dry_Matter_Content!C35</f>
        <v>0.59</v>
      </c>
      <c r="E48" s="284">
        <f>MCF!R47</f>
        <v>0.6</v>
      </c>
      <c r="F48" s="67">
        <f t="shared" si="5"/>
        <v>0.10223646862469016</v>
      </c>
      <c r="G48" s="67">
        <f t="shared" si="0"/>
        <v>0.10223646862469016</v>
      </c>
      <c r="H48" s="67">
        <f t="shared" si="1"/>
        <v>0</v>
      </c>
      <c r="I48" s="67">
        <f t="shared" si="2"/>
        <v>0.26210919989744103</v>
      </c>
      <c r="J48" s="67">
        <f t="shared" si="3"/>
        <v>7.8629357719304738E-2</v>
      </c>
      <c r="K48" s="100">
        <f t="shared" si="6"/>
        <v>5.2419571812869825E-2</v>
      </c>
      <c r="O48" s="96">
        <f>Amnt_Deposited!B43</f>
        <v>2029</v>
      </c>
      <c r="P48" s="99">
        <f>Amnt_Deposited!C43</f>
        <v>1.5200188615029759</v>
      </c>
      <c r="Q48" s="284">
        <f>MCF!R47</f>
        <v>0.6</v>
      </c>
      <c r="R48" s="67">
        <f t="shared" si="4"/>
        <v>6.8400848767633915E-2</v>
      </c>
      <c r="S48" s="67">
        <f t="shared" si="7"/>
        <v>6.8400848767633915E-2</v>
      </c>
      <c r="T48" s="67">
        <f t="shared" si="8"/>
        <v>0</v>
      </c>
      <c r="U48" s="67">
        <f t="shared" si="9"/>
        <v>0.17536297941398818</v>
      </c>
      <c r="V48" s="67">
        <f t="shared" si="10"/>
        <v>5.2606617564209229E-2</v>
      </c>
      <c r="W48" s="100">
        <f t="shared" si="11"/>
        <v>3.5071078376139486E-2</v>
      </c>
    </row>
    <row r="49" spans="2:23">
      <c r="B49" s="96">
        <f>Amnt_Deposited!B44</f>
        <v>2030</v>
      </c>
      <c r="C49" s="99">
        <f>Amnt_Deposited!C44</f>
        <v>1.6671592499999999</v>
      </c>
      <c r="D49" s="418">
        <f>Dry_Matter_Content!C36</f>
        <v>0.59</v>
      </c>
      <c r="E49" s="284">
        <f>MCF!R48</f>
        <v>0.6</v>
      </c>
      <c r="F49" s="67">
        <f t="shared" si="5"/>
        <v>0.11213313115499998</v>
      </c>
      <c r="G49" s="67">
        <f t="shared" si="0"/>
        <v>0.11213313115499998</v>
      </c>
      <c r="H49" s="67">
        <f t="shared" si="1"/>
        <v>0</v>
      </c>
      <c r="I49" s="67">
        <f t="shared" si="2"/>
        <v>0.28783018209661726</v>
      </c>
      <c r="J49" s="67">
        <f t="shared" si="3"/>
        <v>8.6412148955823762E-2</v>
      </c>
      <c r="K49" s="100">
        <f t="shared" si="6"/>
        <v>5.7608099303882505E-2</v>
      </c>
      <c r="O49" s="96">
        <f>Amnt_Deposited!B44</f>
        <v>2030</v>
      </c>
      <c r="P49" s="99">
        <f>Amnt_Deposited!C44</f>
        <v>1.6671592499999999</v>
      </c>
      <c r="Q49" s="284">
        <f>MCF!R48</f>
        <v>0.6</v>
      </c>
      <c r="R49" s="67">
        <f t="shared" si="4"/>
        <v>7.5022166249999994E-2</v>
      </c>
      <c r="S49" s="67">
        <f t="shared" si="7"/>
        <v>7.5022166249999994E-2</v>
      </c>
      <c r="T49" s="67">
        <f t="shared" si="8"/>
        <v>0</v>
      </c>
      <c r="U49" s="67">
        <f t="shared" si="9"/>
        <v>0.19257148668373142</v>
      </c>
      <c r="V49" s="67">
        <f t="shared" si="10"/>
        <v>5.7813658980256755E-2</v>
      </c>
      <c r="W49" s="100">
        <f t="shared" si="11"/>
        <v>3.8542439320171165E-2</v>
      </c>
    </row>
    <row r="50" spans="2:23">
      <c r="B50" s="96">
        <f>Amnt_Deposited!B45</f>
        <v>2031</v>
      </c>
      <c r="C50" s="99">
        <f>Amnt_Deposited!C45</f>
        <v>0</v>
      </c>
      <c r="D50" s="418">
        <f>Dry_Matter_Content!C37</f>
        <v>0.59</v>
      </c>
      <c r="E50" s="284">
        <f>MCF!R49</f>
        <v>0.6</v>
      </c>
      <c r="F50" s="67">
        <f t="shared" si="5"/>
        <v>0</v>
      </c>
      <c r="G50" s="67">
        <f t="shared" si="0"/>
        <v>0</v>
      </c>
      <c r="H50" s="67">
        <f t="shared" si="1"/>
        <v>0</v>
      </c>
      <c r="I50" s="67">
        <f t="shared" si="2"/>
        <v>0.19293834091345094</v>
      </c>
      <c r="J50" s="67">
        <f t="shared" si="3"/>
        <v>9.4891841183166334E-2</v>
      </c>
      <c r="K50" s="100">
        <f t="shared" si="6"/>
        <v>6.3261227455444213E-2</v>
      </c>
      <c r="O50" s="96">
        <f>Amnt_Deposited!B45</f>
        <v>2031</v>
      </c>
      <c r="P50" s="99">
        <f>Amnt_Deposited!C45</f>
        <v>0</v>
      </c>
      <c r="Q50" s="284">
        <f>MCF!R49</f>
        <v>0.6</v>
      </c>
      <c r="R50" s="67">
        <f t="shared" si="4"/>
        <v>0</v>
      </c>
      <c r="S50" s="67">
        <f t="shared" si="7"/>
        <v>0</v>
      </c>
      <c r="T50" s="67">
        <f t="shared" si="8"/>
        <v>0</v>
      </c>
      <c r="U50" s="67">
        <f t="shared" si="9"/>
        <v>0.12908452781899035</v>
      </c>
      <c r="V50" s="67">
        <f t="shared" si="10"/>
        <v>6.3486958864741067E-2</v>
      </c>
      <c r="W50" s="100">
        <f t="shared" si="11"/>
        <v>4.2324639243160711E-2</v>
      </c>
    </row>
    <row r="51" spans="2:23">
      <c r="B51" s="96">
        <f>Amnt_Deposited!B46</f>
        <v>2032</v>
      </c>
      <c r="C51" s="99">
        <f>Amnt_Deposited!C46</f>
        <v>0</v>
      </c>
      <c r="D51" s="418">
        <f>Dry_Matter_Content!C38</f>
        <v>0.59</v>
      </c>
      <c r="E51" s="284">
        <f>MCF!R50</f>
        <v>0.6</v>
      </c>
      <c r="F51" s="67">
        <f t="shared" ref="F51:F82" si="12">C51*D51*$K$6*DOCF*E51</f>
        <v>0</v>
      </c>
      <c r="G51" s="67">
        <f t="shared" ref="G51:G82" si="13">F51*$K$12</f>
        <v>0</v>
      </c>
      <c r="H51" s="67">
        <f t="shared" ref="H51:H82" si="14">F51*(1-$K$12)</f>
        <v>0</v>
      </c>
      <c r="I51" s="67">
        <f t="shared" ref="I51:I82" si="15">G51+I50*$K$10</f>
        <v>0.1293304375631443</v>
      </c>
      <c r="J51" s="67">
        <f t="shared" ref="J51:J82" si="16">I50*(1-$K$10)+H51</f>
        <v>6.3607903350306624E-2</v>
      </c>
      <c r="K51" s="100">
        <f t="shared" si="6"/>
        <v>4.2405268900204414E-2</v>
      </c>
      <c r="O51" s="96">
        <f>Amnt_Deposited!B46</f>
        <v>2032</v>
      </c>
      <c r="P51" s="99">
        <f>Amnt_Deposited!C46</f>
        <v>0</v>
      </c>
      <c r="Q51" s="284">
        <f>MCF!R50</f>
        <v>0.6</v>
      </c>
      <c r="R51" s="67">
        <f t="shared" ref="R51:R82" si="17">P51*$W$6*DOCF*Q51</f>
        <v>0</v>
      </c>
      <c r="S51" s="67">
        <f t="shared" si="7"/>
        <v>0</v>
      </c>
      <c r="T51" s="67">
        <f t="shared" si="8"/>
        <v>0</v>
      </c>
      <c r="U51" s="67">
        <f t="shared" si="9"/>
        <v>8.6527946630114372E-2</v>
      </c>
      <c r="V51" s="67">
        <f t="shared" si="10"/>
        <v>4.2556581188875973E-2</v>
      </c>
      <c r="W51" s="100">
        <f t="shared" si="11"/>
        <v>2.8371054125917314E-2</v>
      </c>
    </row>
    <row r="52" spans="2:23">
      <c r="B52" s="96">
        <f>Amnt_Deposited!B47</f>
        <v>2033</v>
      </c>
      <c r="C52" s="99">
        <f>Amnt_Deposited!C47</f>
        <v>0</v>
      </c>
      <c r="D52" s="418">
        <f>Dry_Matter_Content!C39</f>
        <v>0.59</v>
      </c>
      <c r="E52" s="284">
        <f>MCF!R51</f>
        <v>0.6</v>
      </c>
      <c r="F52" s="67">
        <f t="shared" si="12"/>
        <v>0</v>
      </c>
      <c r="G52" s="67">
        <f t="shared" si="13"/>
        <v>0</v>
      </c>
      <c r="H52" s="67">
        <f t="shared" si="14"/>
        <v>0</v>
      </c>
      <c r="I52" s="67">
        <f t="shared" si="15"/>
        <v>8.6692784861136268E-2</v>
      </c>
      <c r="J52" s="67">
        <f t="shared" si="16"/>
        <v>4.2637652702008033E-2</v>
      </c>
      <c r="K52" s="100">
        <f t="shared" si="6"/>
        <v>2.8425101801338688E-2</v>
      </c>
      <c r="O52" s="96">
        <f>Amnt_Deposited!B47</f>
        <v>2033</v>
      </c>
      <c r="P52" s="99">
        <f>Amnt_Deposited!C47</f>
        <v>0</v>
      </c>
      <c r="Q52" s="284">
        <f>MCF!R51</f>
        <v>0.6</v>
      </c>
      <c r="R52" s="67">
        <f t="shared" si="17"/>
        <v>0</v>
      </c>
      <c r="S52" s="67">
        <f t="shared" si="7"/>
        <v>0</v>
      </c>
      <c r="T52" s="67">
        <f t="shared" si="8"/>
        <v>0</v>
      </c>
      <c r="U52" s="67">
        <f t="shared" si="9"/>
        <v>5.8001417168467607E-2</v>
      </c>
      <c r="V52" s="67">
        <f t="shared" si="10"/>
        <v>2.8526529461646764E-2</v>
      </c>
      <c r="W52" s="100">
        <f t="shared" si="11"/>
        <v>1.9017686307764507E-2</v>
      </c>
    </row>
    <row r="53" spans="2:23">
      <c r="B53" s="96">
        <f>Amnt_Deposited!B48</f>
        <v>2034</v>
      </c>
      <c r="C53" s="99">
        <f>Amnt_Deposited!C48</f>
        <v>0</v>
      </c>
      <c r="D53" s="418">
        <f>Dry_Matter_Content!C40</f>
        <v>0.59</v>
      </c>
      <c r="E53" s="284">
        <f>MCF!R52</f>
        <v>0.6</v>
      </c>
      <c r="F53" s="67">
        <f t="shared" si="12"/>
        <v>0</v>
      </c>
      <c r="G53" s="67">
        <f t="shared" si="13"/>
        <v>0</v>
      </c>
      <c r="H53" s="67">
        <f t="shared" si="14"/>
        <v>0</v>
      </c>
      <c r="I53" s="67">
        <f t="shared" si="15"/>
        <v>5.8111911539074641E-2</v>
      </c>
      <c r="J53" s="67">
        <f t="shared" si="16"/>
        <v>2.8580873322061627E-2</v>
      </c>
      <c r="K53" s="100">
        <f t="shared" si="6"/>
        <v>1.9053915548041082E-2</v>
      </c>
      <c r="O53" s="96">
        <f>Amnt_Deposited!B48</f>
        <v>2034</v>
      </c>
      <c r="P53" s="99">
        <f>Amnt_Deposited!C48</f>
        <v>0</v>
      </c>
      <c r="Q53" s="284">
        <f>MCF!R52</f>
        <v>0.6</v>
      </c>
      <c r="R53" s="67">
        <f t="shared" si="17"/>
        <v>0</v>
      </c>
      <c r="S53" s="67">
        <f t="shared" si="7"/>
        <v>0</v>
      </c>
      <c r="T53" s="67">
        <f t="shared" si="8"/>
        <v>0</v>
      </c>
      <c r="U53" s="67">
        <f t="shared" si="9"/>
        <v>3.8879512626499531E-2</v>
      </c>
      <c r="V53" s="67">
        <f t="shared" si="10"/>
        <v>1.912190454196808E-2</v>
      </c>
      <c r="W53" s="100">
        <f t="shared" si="11"/>
        <v>1.2747936361312053E-2</v>
      </c>
    </row>
    <row r="54" spans="2:23">
      <c r="B54" s="96">
        <f>Amnt_Deposited!B49</f>
        <v>2035</v>
      </c>
      <c r="C54" s="99">
        <f>Amnt_Deposited!C49</f>
        <v>0</v>
      </c>
      <c r="D54" s="418">
        <f>Dry_Matter_Content!C41</f>
        <v>0.59</v>
      </c>
      <c r="E54" s="284">
        <f>MCF!R53</f>
        <v>0.6</v>
      </c>
      <c r="F54" s="67">
        <f t="shared" si="12"/>
        <v>0</v>
      </c>
      <c r="G54" s="67">
        <f t="shared" si="13"/>
        <v>0</v>
      </c>
      <c r="H54" s="67">
        <f t="shared" si="14"/>
        <v>0</v>
      </c>
      <c r="I54" s="67">
        <f t="shared" si="15"/>
        <v>3.8953579218091512E-2</v>
      </c>
      <c r="J54" s="67">
        <f t="shared" si="16"/>
        <v>1.9158332320983129E-2</v>
      </c>
      <c r="K54" s="100">
        <f t="shared" si="6"/>
        <v>1.2772221547322085E-2</v>
      </c>
      <c r="O54" s="96">
        <f>Amnt_Deposited!B49</f>
        <v>2035</v>
      </c>
      <c r="P54" s="99">
        <f>Amnt_Deposited!C49</f>
        <v>0</v>
      </c>
      <c r="Q54" s="284">
        <f>MCF!R53</f>
        <v>0.6</v>
      </c>
      <c r="R54" s="67">
        <f t="shared" si="17"/>
        <v>0</v>
      </c>
      <c r="S54" s="67">
        <f t="shared" si="7"/>
        <v>0</v>
      </c>
      <c r="T54" s="67">
        <f t="shared" si="8"/>
        <v>0</v>
      </c>
      <c r="U54" s="67">
        <f t="shared" si="9"/>
        <v>2.6061716693638385E-2</v>
      </c>
      <c r="V54" s="67">
        <f t="shared" si="10"/>
        <v>1.2817795932861144E-2</v>
      </c>
      <c r="W54" s="100">
        <f t="shared" si="11"/>
        <v>8.5451972885740961E-3</v>
      </c>
    </row>
    <row r="55" spans="2:23">
      <c r="B55" s="96">
        <f>Amnt_Deposited!B50</f>
        <v>2036</v>
      </c>
      <c r="C55" s="99">
        <f>Amnt_Deposited!C50</f>
        <v>0</v>
      </c>
      <c r="D55" s="418">
        <f>Dry_Matter_Content!C42</f>
        <v>0.59</v>
      </c>
      <c r="E55" s="284">
        <f>MCF!R54</f>
        <v>0.6</v>
      </c>
      <c r="F55" s="67">
        <f t="shared" si="12"/>
        <v>0</v>
      </c>
      <c r="G55" s="67">
        <f t="shared" si="13"/>
        <v>0</v>
      </c>
      <c r="H55" s="67">
        <f t="shared" si="14"/>
        <v>0</v>
      </c>
      <c r="I55" s="67">
        <f t="shared" si="15"/>
        <v>2.6111365014724025E-2</v>
      </c>
      <c r="J55" s="67">
        <f t="shared" si="16"/>
        <v>1.2842214203367487E-2</v>
      </c>
      <c r="K55" s="100">
        <f t="shared" si="6"/>
        <v>8.5614761355783248E-3</v>
      </c>
      <c r="O55" s="96">
        <f>Amnt_Deposited!B50</f>
        <v>2036</v>
      </c>
      <c r="P55" s="99">
        <f>Amnt_Deposited!C50</f>
        <v>0</v>
      </c>
      <c r="Q55" s="284">
        <f>MCF!R54</f>
        <v>0.6</v>
      </c>
      <c r="R55" s="67">
        <f t="shared" si="17"/>
        <v>0</v>
      </c>
      <c r="S55" s="67">
        <f t="shared" si="7"/>
        <v>0</v>
      </c>
      <c r="T55" s="67">
        <f t="shared" si="8"/>
        <v>0</v>
      </c>
      <c r="U55" s="67">
        <f t="shared" si="9"/>
        <v>1.7469691133847474E-2</v>
      </c>
      <c r="V55" s="67">
        <f t="shared" si="10"/>
        <v>8.5920255597909129E-3</v>
      </c>
      <c r="W55" s="100">
        <f t="shared" si="11"/>
        <v>5.728017039860608E-3</v>
      </c>
    </row>
    <row r="56" spans="2:23">
      <c r="B56" s="96">
        <f>Amnt_Deposited!B51</f>
        <v>2037</v>
      </c>
      <c r="C56" s="99">
        <f>Amnt_Deposited!C51</f>
        <v>0</v>
      </c>
      <c r="D56" s="418">
        <f>Dry_Matter_Content!C43</f>
        <v>0.59</v>
      </c>
      <c r="E56" s="284">
        <f>MCF!R55</f>
        <v>0.6</v>
      </c>
      <c r="F56" s="67">
        <f t="shared" si="12"/>
        <v>0</v>
      </c>
      <c r="G56" s="67">
        <f t="shared" si="13"/>
        <v>0</v>
      </c>
      <c r="H56" s="67">
        <f t="shared" si="14"/>
        <v>0</v>
      </c>
      <c r="I56" s="67">
        <f t="shared" si="15"/>
        <v>1.7502971398723189E-2</v>
      </c>
      <c r="J56" s="67">
        <f t="shared" si="16"/>
        <v>8.6083936160008343E-3</v>
      </c>
      <c r="K56" s="100">
        <f t="shared" si="6"/>
        <v>5.7389290773338895E-3</v>
      </c>
      <c r="O56" s="96">
        <f>Amnt_Deposited!B51</f>
        <v>2037</v>
      </c>
      <c r="P56" s="99">
        <f>Amnt_Deposited!C51</f>
        <v>0</v>
      </c>
      <c r="Q56" s="284">
        <f>MCF!R55</f>
        <v>0.6</v>
      </c>
      <c r="R56" s="67">
        <f t="shared" si="17"/>
        <v>0</v>
      </c>
      <c r="S56" s="67">
        <f t="shared" si="7"/>
        <v>0</v>
      </c>
      <c r="T56" s="67">
        <f t="shared" si="8"/>
        <v>0</v>
      </c>
      <c r="U56" s="67">
        <f t="shared" si="9"/>
        <v>1.171028416506904E-2</v>
      </c>
      <c r="V56" s="67">
        <f t="shared" si="10"/>
        <v>5.759406968778435E-3</v>
      </c>
      <c r="W56" s="100">
        <f t="shared" si="11"/>
        <v>3.83960464585229E-3</v>
      </c>
    </row>
    <row r="57" spans="2:23">
      <c r="B57" s="96">
        <f>Amnt_Deposited!B52</f>
        <v>2038</v>
      </c>
      <c r="C57" s="99">
        <f>Amnt_Deposited!C52</f>
        <v>0</v>
      </c>
      <c r="D57" s="418">
        <f>Dry_Matter_Content!C44</f>
        <v>0.59</v>
      </c>
      <c r="E57" s="284">
        <f>MCF!R56</f>
        <v>0.6</v>
      </c>
      <c r="F57" s="67">
        <f t="shared" si="12"/>
        <v>0</v>
      </c>
      <c r="G57" s="67">
        <f t="shared" si="13"/>
        <v>0</v>
      </c>
      <c r="H57" s="67">
        <f t="shared" si="14"/>
        <v>0</v>
      </c>
      <c r="I57" s="67">
        <f t="shared" si="15"/>
        <v>1.1732592593752606E-2</v>
      </c>
      <c r="J57" s="67">
        <f t="shared" si="16"/>
        <v>5.7703788049705829E-3</v>
      </c>
      <c r="K57" s="100">
        <f t="shared" si="6"/>
        <v>3.8469192033137216E-3</v>
      </c>
      <c r="O57" s="96">
        <f>Amnt_Deposited!B52</f>
        <v>2038</v>
      </c>
      <c r="P57" s="99">
        <f>Amnt_Deposited!C52</f>
        <v>0</v>
      </c>
      <c r="Q57" s="284">
        <f>MCF!R56</f>
        <v>0.6</v>
      </c>
      <c r="R57" s="67">
        <f t="shared" si="17"/>
        <v>0</v>
      </c>
      <c r="S57" s="67">
        <f t="shared" si="7"/>
        <v>0</v>
      </c>
      <c r="T57" s="67">
        <f t="shared" si="8"/>
        <v>0</v>
      </c>
      <c r="U57" s="67">
        <f t="shared" si="9"/>
        <v>7.8496382206194974E-3</v>
      </c>
      <c r="V57" s="67">
        <f t="shared" si="10"/>
        <v>3.8606459444495427E-3</v>
      </c>
      <c r="W57" s="100">
        <f t="shared" si="11"/>
        <v>2.5737639629663618E-3</v>
      </c>
    </row>
    <row r="58" spans="2:23">
      <c r="B58" s="96">
        <f>Amnt_Deposited!B53</f>
        <v>2039</v>
      </c>
      <c r="C58" s="99">
        <f>Amnt_Deposited!C53</f>
        <v>0</v>
      </c>
      <c r="D58" s="418">
        <f>Dry_Matter_Content!C45</f>
        <v>0.59</v>
      </c>
      <c r="E58" s="284">
        <f>MCF!R57</f>
        <v>0.6</v>
      </c>
      <c r="F58" s="67">
        <f t="shared" si="12"/>
        <v>0</v>
      </c>
      <c r="G58" s="67">
        <f t="shared" si="13"/>
        <v>0</v>
      </c>
      <c r="H58" s="67">
        <f t="shared" si="14"/>
        <v>0</v>
      </c>
      <c r="I58" s="67">
        <f t="shared" si="15"/>
        <v>7.8645920075616476E-3</v>
      </c>
      <c r="J58" s="67">
        <f t="shared" si="16"/>
        <v>3.8680005861909581E-3</v>
      </c>
      <c r="K58" s="100">
        <f t="shared" si="6"/>
        <v>2.5786670574606384E-3</v>
      </c>
      <c r="O58" s="96">
        <f>Amnt_Deposited!B53</f>
        <v>2039</v>
      </c>
      <c r="P58" s="99">
        <f>Amnt_Deposited!C53</f>
        <v>0</v>
      </c>
      <c r="Q58" s="284">
        <f>MCF!R57</f>
        <v>0.6</v>
      </c>
      <c r="R58" s="67">
        <f t="shared" si="17"/>
        <v>0</v>
      </c>
      <c r="S58" s="67">
        <f t="shared" si="7"/>
        <v>0</v>
      </c>
      <c r="T58" s="67">
        <f t="shared" si="8"/>
        <v>0</v>
      </c>
      <c r="U58" s="67">
        <f t="shared" si="9"/>
        <v>5.2617698534087754E-3</v>
      </c>
      <c r="V58" s="67">
        <f t="shared" si="10"/>
        <v>2.587868367210722E-3</v>
      </c>
      <c r="W58" s="100">
        <f t="shared" si="11"/>
        <v>1.7252455781404813E-3</v>
      </c>
    </row>
    <row r="59" spans="2:23">
      <c r="B59" s="96">
        <f>Amnt_Deposited!B54</f>
        <v>2040</v>
      </c>
      <c r="C59" s="99">
        <f>Amnt_Deposited!C54</f>
        <v>0</v>
      </c>
      <c r="D59" s="418">
        <f>Dry_Matter_Content!C46</f>
        <v>0.59</v>
      </c>
      <c r="E59" s="284">
        <f>MCF!R58</f>
        <v>0.6</v>
      </c>
      <c r="F59" s="67">
        <f t="shared" si="12"/>
        <v>0</v>
      </c>
      <c r="G59" s="67">
        <f t="shared" si="13"/>
        <v>0</v>
      </c>
      <c r="H59" s="67">
        <f t="shared" si="14"/>
        <v>0</v>
      </c>
      <c r="I59" s="67">
        <f t="shared" si="15"/>
        <v>5.2717936765602448E-3</v>
      </c>
      <c r="J59" s="67">
        <f t="shared" si="16"/>
        <v>2.5927983310014028E-3</v>
      </c>
      <c r="K59" s="100">
        <f t="shared" si="6"/>
        <v>1.7285322206676019E-3</v>
      </c>
      <c r="O59" s="96">
        <f>Amnt_Deposited!B54</f>
        <v>2040</v>
      </c>
      <c r="P59" s="99">
        <f>Amnt_Deposited!C54</f>
        <v>0</v>
      </c>
      <c r="Q59" s="284">
        <f>MCF!R58</f>
        <v>0.6</v>
      </c>
      <c r="R59" s="67">
        <f t="shared" si="17"/>
        <v>0</v>
      </c>
      <c r="S59" s="67">
        <f t="shared" si="7"/>
        <v>0</v>
      </c>
      <c r="T59" s="67">
        <f t="shared" si="8"/>
        <v>0</v>
      </c>
      <c r="U59" s="67">
        <f t="shared" si="9"/>
        <v>3.5270698103659097E-3</v>
      </c>
      <c r="V59" s="67">
        <f t="shared" si="10"/>
        <v>1.734700043042866E-3</v>
      </c>
      <c r="W59" s="100">
        <f t="shared" si="11"/>
        <v>1.1564666953619105E-3</v>
      </c>
    </row>
    <row r="60" spans="2:23">
      <c r="B60" s="96">
        <f>Amnt_Deposited!B55</f>
        <v>2041</v>
      </c>
      <c r="C60" s="99">
        <f>Amnt_Deposited!C55</f>
        <v>0</v>
      </c>
      <c r="D60" s="418">
        <f>Dry_Matter_Content!C47</f>
        <v>0.59</v>
      </c>
      <c r="E60" s="284">
        <f>MCF!R59</f>
        <v>0.6</v>
      </c>
      <c r="F60" s="67">
        <f t="shared" si="12"/>
        <v>0</v>
      </c>
      <c r="G60" s="67">
        <f t="shared" si="13"/>
        <v>0</v>
      </c>
      <c r="H60" s="67">
        <f t="shared" si="14"/>
        <v>0</v>
      </c>
      <c r="I60" s="67">
        <f t="shared" si="15"/>
        <v>3.5337889799622554E-3</v>
      </c>
      <c r="J60" s="67">
        <f t="shared" si="16"/>
        <v>1.7380046965979892E-3</v>
      </c>
      <c r="K60" s="100">
        <f t="shared" si="6"/>
        <v>1.1586697977319926E-3</v>
      </c>
      <c r="O60" s="96">
        <f>Amnt_Deposited!B55</f>
        <v>2041</v>
      </c>
      <c r="P60" s="99">
        <f>Amnt_Deposited!C55</f>
        <v>0</v>
      </c>
      <c r="Q60" s="284">
        <f>MCF!R59</f>
        <v>0.6</v>
      </c>
      <c r="R60" s="67">
        <f t="shared" si="17"/>
        <v>0</v>
      </c>
      <c r="S60" s="67">
        <f t="shared" si="7"/>
        <v>0</v>
      </c>
      <c r="T60" s="67">
        <f t="shared" si="8"/>
        <v>0</v>
      </c>
      <c r="U60" s="67">
        <f t="shared" si="9"/>
        <v>2.3642655976553904E-3</v>
      </c>
      <c r="V60" s="67">
        <f t="shared" si="10"/>
        <v>1.1628042127105195E-3</v>
      </c>
      <c r="W60" s="100">
        <f t="shared" si="11"/>
        <v>7.7520280847367961E-4</v>
      </c>
    </row>
    <row r="61" spans="2:23">
      <c r="B61" s="96">
        <f>Amnt_Deposited!B56</f>
        <v>2042</v>
      </c>
      <c r="C61" s="99">
        <f>Amnt_Deposited!C56</f>
        <v>0</v>
      </c>
      <c r="D61" s="418">
        <f>Dry_Matter_Content!C48</f>
        <v>0.59</v>
      </c>
      <c r="E61" s="284">
        <f>MCF!R60</f>
        <v>0.6</v>
      </c>
      <c r="F61" s="67">
        <f t="shared" si="12"/>
        <v>0</v>
      </c>
      <c r="G61" s="67">
        <f t="shared" si="13"/>
        <v>0</v>
      </c>
      <c r="H61" s="67">
        <f t="shared" si="14"/>
        <v>0</v>
      </c>
      <c r="I61" s="67">
        <f t="shared" si="15"/>
        <v>2.368769591728534E-3</v>
      </c>
      <c r="J61" s="67">
        <f t="shared" si="16"/>
        <v>1.1650193882337214E-3</v>
      </c>
      <c r="K61" s="100">
        <f t="shared" si="6"/>
        <v>7.7667959215581425E-4</v>
      </c>
      <c r="O61" s="96">
        <f>Amnt_Deposited!B56</f>
        <v>2042</v>
      </c>
      <c r="P61" s="99">
        <f>Amnt_Deposited!C56</f>
        <v>0</v>
      </c>
      <c r="Q61" s="284">
        <f>MCF!R60</f>
        <v>0.6</v>
      </c>
      <c r="R61" s="67">
        <f t="shared" si="17"/>
        <v>0</v>
      </c>
      <c r="S61" s="67">
        <f t="shared" si="7"/>
        <v>0</v>
      </c>
      <c r="T61" s="67">
        <f t="shared" si="8"/>
        <v>0</v>
      </c>
      <c r="U61" s="67">
        <f t="shared" si="9"/>
        <v>1.5848146242608396E-3</v>
      </c>
      <c r="V61" s="67">
        <f t="shared" si="10"/>
        <v>7.7945097339455073E-4</v>
      </c>
      <c r="W61" s="100">
        <f t="shared" si="11"/>
        <v>5.1963398226303375E-4</v>
      </c>
    </row>
    <row r="62" spans="2:23">
      <c r="B62" s="96">
        <f>Amnt_Deposited!B57</f>
        <v>2043</v>
      </c>
      <c r="C62" s="99">
        <f>Amnt_Deposited!C57</f>
        <v>0</v>
      </c>
      <c r="D62" s="418">
        <f>Dry_Matter_Content!C49</f>
        <v>0.59</v>
      </c>
      <c r="E62" s="284">
        <f>MCF!R61</f>
        <v>0.6</v>
      </c>
      <c r="F62" s="67">
        <f t="shared" si="12"/>
        <v>0</v>
      </c>
      <c r="G62" s="67">
        <f t="shared" si="13"/>
        <v>0</v>
      </c>
      <c r="H62" s="67">
        <f t="shared" si="14"/>
        <v>0</v>
      </c>
      <c r="I62" s="67">
        <f t="shared" si="15"/>
        <v>1.5878337417752934E-3</v>
      </c>
      <c r="J62" s="67">
        <f t="shared" si="16"/>
        <v>7.8093584995324046E-4</v>
      </c>
      <c r="K62" s="100">
        <f t="shared" si="6"/>
        <v>5.206238999688269E-4</v>
      </c>
      <c r="O62" s="96">
        <f>Amnt_Deposited!B57</f>
        <v>2043</v>
      </c>
      <c r="P62" s="99">
        <f>Amnt_Deposited!C57</f>
        <v>0</v>
      </c>
      <c r="Q62" s="284">
        <f>MCF!R61</f>
        <v>0.6</v>
      </c>
      <c r="R62" s="67">
        <f t="shared" si="17"/>
        <v>0</v>
      </c>
      <c r="S62" s="67">
        <f t="shared" si="7"/>
        <v>0</v>
      </c>
      <c r="T62" s="67">
        <f t="shared" si="8"/>
        <v>0</v>
      </c>
      <c r="U62" s="67">
        <f t="shared" si="9"/>
        <v>1.0623330118924804E-3</v>
      </c>
      <c r="V62" s="67">
        <f t="shared" si="10"/>
        <v>5.2248161236835913E-4</v>
      </c>
      <c r="W62" s="100">
        <f t="shared" si="11"/>
        <v>3.483210749122394E-4</v>
      </c>
    </row>
    <row r="63" spans="2:23">
      <c r="B63" s="96">
        <f>Amnt_Deposited!B58</f>
        <v>2044</v>
      </c>
      <c r="C63" s="99">
        <f>Amnt_Deposited!C58</f>
        <v>0</v>
      </c>
      <c r="D63" s="418">
        <f>Dry_Matter_Content!C50</f>
        <v>0.59</v>
      </c>
      <c r="E63" s="284">
        <f>MCF!R62</f>
        <v>0.6</v>
      </c>
      <c r="F63" s="67">
        <f t="shared" si="12"/>
        <v>0</v>
      </c>
      <c r="G63" s="67">
        <f t="shared" si="13"/>
        <v>0</v>
      </c>
      <c r="H63" s="67">
        <f t="shared" si="14"/>
        <v>0</v>
      </c>
      <c r="I63" s="67">
        <f t="shared" si="15"/>
        <v>1.0643567868837561E-3</v>
      </c>
      <c r="J63" s="67">
        <f t="shared" si="16"/>
        <v>5.234769548915373E-4</v>
      </c>
      <c r="K63" s="100">
        <f t="shared" si="6"/>
        <v>3.4898463659435817E-4</v>
      </c>
      <c r="O63" s="96">
        <f>Amnt_Deposited!B58</f>
        <v>2044</v>
      </c>
      <c r="P63" s="99">
        <f>Amnt_Deposited!C58</f>
        <v>0</v>
      </c>
      <c r="Q63" s="284">
        <f>MCF!R62</f>
        <v>0.6</v>
      </c>
      <c r="R63" s="67">
        <f t="shared" si="17"/>
        <v>0</v>
      </c>
      <c r="S63" s="67">
        <f t="shared" si="7"/>
        <v>0</v>
      </c>
      <c r="T63" s="67">
        <f t="shared" si="8"/>
        <v>0</v>
      </c>
      <c r="U63" s="67">
        <f t="shared" si="9"/>
        <v>7.1210311343694686E-4</v>
      </c>
      <c r="V63" s="67">
        <f t="shared" si="10"/>
        <v>3.5022989845553357E-4</v>
      </c>
      <c r="W63" s="100">
        <f t="shared" si="11"/>
        <v>2.3348659897035572E-4</v>
      </c>
    </row>
    <row r="64" spans="2:23">
      <c r="B64" s="96">
        <f>Amnt_Deposited!B59</f>
        <v>2045</v>
      </c>
      <c r="C64" s="99">
        <f>Amnt_Deposited!C59</f>
        <v>0</v>
      </c>
      <c r="D64" s="418">
        <f>Dry_Matter_Content!C51</f>
        <v>0.59</v>
      </c>
      <c r="E64" s="284">
        <f>MCF!R63</f>
        <v>0.6</v>
      </c>
      <c r="F64" s="67">
        <f t="shared" si="12"/>
        <v>0</v>
      </c>
      <c r="G64" s="67">
        <f t="shared" si="13"/>
        <v>0</v>
      </c>
      <c r="H64" s="67">
        <f t="shared" si="14"/>
        <v>0</v>
      </c>
      <c r="I64" s="67">
        <f t="shared" si="15"/>
        <v>7.1345969038226454E-4</v>
      </c>
      <c r="J64" s="67">
        <f t="shared" si="16"/>
        <v>3.5089709650149156E-4</v>
      </c>
      <c r="K64" s="100">
        <f t="shared" si="6"/>
        <v>2.3393139766766103E-4</v>
      </c>
      <c r="O64" s="96">
        <f>Amnt_Deposited!B59</f>
        <v>2045</v>
      </c>
      <c r="P64" s="99">
        <f>Amnt_Deposited!C59</f>
        <v>0</v>
      </c>
      <c r="Q64" s="284">
        <f>MCF!R63</f>
        <v>0.6</v>
      </c>
      <c r="R64" s="67">
        <f t="shared" si="17"/>
        <v>0</v>
      </c>
      <c r="S64" s="67">
        <f t="shared" si="7"/>
        <v>0</v>
      </c>
      <c r="T64" s="67">
        <f t="shared" si="8"/>
        <v>0</v>
      </c>
      <c r="U64" s="67">
        <f t="shared" si="9"/>
        <v>4.7733699178117631E-4</v>
      </c>
      <c r="V64" s="67">
        <f t="shared" si="10"/>
        <v>2.3476612165577055E-4</v>
      </c>
      <c r="W64" s="100">
        <f t="shared" si="11"/>
        <v>1.565107477705137E-4</v>
      </c>
    </row>
    <row r="65" spans="2:23">
      <c r="B65" s="96">
        <f>Amnt_Deposited!B60</f>
        <v>2046</v>
      </c>
      <c r="C65" s="99">
        <f>Amnt_Deposited!C60</f>
        <v>0</v>
      </c>
      <c r="D65" s="418">
        <f>Dry_Matter_Content!C52</f>
        <v>0.59</v>
      </c>
      <c r="E65" s="284">
        <f>MCF!R64</f>
        <v>0.6</v>
      </c>
      <c r="F65" s="67">
        <f t="shared" si="12"/>
        <v>0</v>
      </c>
      <c r="G65" s="67">
        <f t="shared" si="13"/>
        <v>0</v>
      </c>
      <c r="H65" s="67">
        <f t="shared" si="14"/>
        <v>0</v>
      </c>
      <c r="I65" s="67">
        <f t="shared" si="15"/>
        <v>4.7824633250161255E-4</v>
      </c>
      <c r="J65" s="67">
        <f t="shared" si="16"/>
        <v>2.3521335788065199E-4</v>
      </c>
      <c r="K65" s="100">
        <f t="shared" si="6"/>
        <v>1.5680890525376798E-4</v>
      </c>
      <c r="O65" s="96">
        <f>Amnt_Deposited!B60</f>
        <v>2046</v>
      </c>
      <c r="P65" s="99">
        <f>Amnt_Deposited!C60</f>
        <v>0</v>
      </c>
      <c r="Q65" s="284">
        <f>MCF!R64</f>
        <v>0.6</v>
      </c>
      <c r="R65" s="67">
        <f t="shared" si="17"/>
        <v>0</v>
      </c>
      <c r="S65" s="67">
        <f t="shared" si="7"/>
        <v>0</v>
      </c>
      <c r="T65" s="67">
        <f t="shared" si="8"/>
        <v>0</v>
      </c>
      <c r="U65" s="67">
        <f t="shared" si="9"/>
        <v>3.1996855430527167E-4</v>
      </c>
      <c r="V65" s="67">
        <f t="shared" si="10"/>
        <v>1.5736843747590461E-4</v>
      </c>
      <c r="W65" s="100">
        <f t="shared" si="11"/>
        <v>1.0491229165060307E-4</v>
      </c>
    </row>
    <row r="66" spans="2:23">
      <c r="B66" s="96">
        <f>Amnt_Deposited!B61</f>
        <v>2047</v>
      </c>
      <c r="C66" s="99">
        <f>Amnt_Deposited!C61</f>
        <v>0</v>
      </c>
      <c r="D66" s="418">
        <f>Dry_Matter_Content!C53</f>
        <v>0.59</v>
      </c>
      <c r="E66" s="284">
        <f>MCF!R65</f>
        <v>0.6</v>
      </c>
      <c r="F66" s="67">
        <f t="shared" si="12"/>
        <v>0</v>
      </c>
      <c r="G66" s="67">
        <f t="shared" si="13"/>
        <v>0</v>
      </c>
      <c r="H66" s="67">
        <f t="shared" si="14"/>
        <v>0</v>
      </c>
      <c r="I66" s="67">
        <f t="shared" si="15"/>
        <v>3.2057810361885657E-4</v>
      </c>
      <c r="J66" s="67">
        <f t="shared" si="16"/>
        <v>1.5766822888275595E-4</v>
      </c>
      <c r="K66" s="100">
        <f t="shared" si="6"/>
        <v>1.0511215258850396E-4</v>
      </c>
      <c r="O66" s="96">
        <f>Amnt_Deposited!B61</f>
        <v>2047</v>
      </c>
      <c r="P66" s="99">
        <f>Amnt_Deposited!C61</f>
        <v>0</v>
      </c>
      <c r="Q66" s="284">
        <f>MCF!R65</f>
        <v>0.6</v>
      </c>
      <c r="R66" s="67">
        <f t="shared" si="17"/>
        <v>0</v>
      </c>
      <c r="S66" s="67">
        <f t="shared" si="7"/>
        <v>0</v>
      </c>
      <c r="T66" s="67">
        <f t="shared" si="8"/>
        <v>0</v>
      </c>
      <c r="U66" s="67">
        <f t="shared" si="9"/>
        <v>2.1448133605186665E-4</v>
      </c>
      <c r="V66" s="67">
        <f t="shared" si="10"/>
        <v>1.05487218253405E-4</v>
      </c>
      <c r="W66" s="100">
        <f t="shared" si="11"/>
        <v>7.0324812168936663E-5</v>
      </c>
    </row>
    <row r="67" spans="2:23">
      <c r="B67" s="96">
        <f>Amnt_Deposited!B62</f>
        <v>2048</v>
      </c>
      <c r="C67" s="99">
        <f>Amnt_Deposited!C62</f>
        <v>0</v>
      </c>
      <c r="D67" s="418">
        <f>Dry_Matter_Content!C54</f>
        <v>0.59</v>
      </c>
      <c r="E67" s="284">
        <f>MCF!R66</f>
        <v>0.6</v>
      </c>
      <c r="F67" s="67">
        <f t="shared" si="12"/>
        <v>0</v>
      </c>
      <c r="G67" s="67">
        <f t="shared" si="13"/>
        <v>0</v>
      </c>
      <c r="H67" s="67">
        <f t="shared" si="14"/>
        <v>0</v>
      </c>
      <c r="I67" s="67">
        <f t="shared" si="15"/>
        <v>2.148899291758099E-4</v>
      </c>
      <c r="J67" s="67">
        <f t="shared" si="16"/>
        <v>1.0568817444304669E-4</v>
      </c>
      <c r="K67" s="100">
        <f t="shared" si="6"/>
        <v>7.0458782962031115E-5</v>
      </c>
      <c r="O67" s="96">
        <f>Amnt_Deposited!B62</f>
        <v>2048</v>
      </c>
      <c r="P67" s="99">
        <f>Amnt_Deposited!C62</f>
        <v>0</v>
      </c>
      <c r="Q67" s="284">
        <f>MCF!R66</f>
        <v>0.6</v>
      </c>
      <c r="R67" s="67">
        <f t="shared" si="17"/>
        <v>0</v>
      </c>
      <c r="S67" s="67">
        <f t="shared" si="7"/>
        <v>0</v>
      </c>
      <c r="T67" s="67">
        <f t="shared" si="8"/>
        <v>0</v>
      </c>
      <c r="U67" s="67">
        <f t="shared" si="9"/>
        <v>1.4377113905607268E-4</v>
      </c>
      <c r="V67" s="67">
        <f t="shared" si="10"/>
        <v>7.0710196995793964E-5</v>
      </c>
      <c r="W67" s="100">
        <f t="shared" si="11"/>
        <v>4.7140131330529309E-5</v>
      </c>
    </row>
    <row r="68" spans="2:23">
      <c r="B68" s="96">
        <f>Amnt_Deposited!B63</f>
        <v>2049</v>
      </c>
      <c r="C68" s="99">
        <f>Amnt_Deposited!C63</f>
        <v>0</v>
      </c>
      <c r="D68" s="418">
        <f>Dry_Matter_Content!C55</f>
        <v>0.59</v>
      </c>
      <c r="E68" s="284">
        <f>MCF!R67</f>
        <v>0.6</v>
      </c>
      <c r="F68" s="67">
        <f t="shared" si="12"/>
        <v>0</v>
      </c>
      <c r="G68" s="67">
        <f t="shared" si="13"/>
        <v>0</v>
      </c>
      <c r="H68" s="67">
        <f t="shared" si="14"/>
        <v>0</v>
      </c>
      <c r="I68" s="67">
        <f t="shared" si="15"/>
        <v>1.4404502721772418E-4</v>
      </c>
      <c r="J68" s="67">
        <f t="shared" si="16"/>
        <v>7.0844901958085735E-5</v>
      </c>
      <c r="K68" s="100">
        <f t="shared" si="6"/>
        <v>4.7229934638723821E-5</v>
      </c>
      <c r="O68" s="96">
        <f>Amnt_Deposited!B63</f>
        <v>2049</v>
      </c>
      <c r="P68" s="99">
        <f>Amnt_Deposited!C63</f>
        <v>0</v>
      </c>
      <c r="Q68" s="284">
        <f>MCF!R67</f>
        <v>0.6</v>
      </c>
      <c r="R68" s="67">
        <f t="shared" si="17"/>
        <v>0</v>
      </c>
      <c r="S68" s="67">
        <f t="shared" si="7"/>
        <v>0</v>
      </c>
      <c r="T68" s="67">
        <f t="shared" si="8"/>
        <v>0</v>
      </c>
      <c r="U68" s="67">
        <f t="shared" si="9"/>
        <v>9.6372676550662937E-5</v>
      </c>
      <c r="V68" s="67">
        <f t="shared" si="10"/>
        <v>4.739846250540974E-5</v>
      </c>
      <c r="W68" s="100">
        <f t="shared" si="11"/>
        <v>3.1598975003606489E-5</v>
      </c>
    </row>
    <row r="69" spans="2:23">
      <c r="B69" s="96">
        <f>Amnt_Deposited!B64</f>
        <v>2050</v>
      </c>
      <c r="C69" s="99">
        <f>Amnt_Deposited!C64</f>
        <v>0</v>
      </c>
      <c r="D69" s="418">
        <f>Dry_Matter_Content!C56</f>
        <v>0.59</v>
      </c>
      <c r="E69" s="284">
        <f>MCF!R68</f>
        <v>0.6</v>
      </c>
      <c r="F69" s="67">
        <f t="shared" si="12"/>
        <v>0</v>
      </c>
      <c r="G69" s="67">
        <f t="shared" si="13"/>
        <v>0</v>
      </c>
      <c r="H69" s="67">
        <f t="shared" si="14"/>
        <v>0</v>
      </c>
      <c r="I69" s="67">
        <f t="shared" si="15"/>
        <v>9.6556269275789792E-5</v>
      </c>
      <c r="J69" s="67">
        <f t="shared" si="16"/>
        <v>4.7488757941934384E-5</v>
      </c>
      <c r="K69" s="100">
        <f t="shared" si="6"/>
        <v>3.1659171961289585E-5</v>
      </c>
      <c r="O69" s="96">
        <f>Amnt_Deposited!B64</f>
        <v>2050</v>
      </c>
      <c r="P69" s="99">
        <f>Amnt_Deposited!C64</f>
        <v>0</v>
      </c>
      <c r="Q69" s="284">
        <f>MCF!R68</f>
        <v>0.6</v>
      </c>
      <c r="R69" s="67">
        <f t="shared" si="17"/>
        <v>0</v>
      </c>
      <c r="S69" s="67">
        <f t="shared" si="7"/>
        <v>0</v>
      </c>
      <c r="T69" s="67">
        <f t="shared" si="8"/>
        <v>0</v>
      </c>
      <c r="U69" s="67">
        <f t="shared" si="9"/>
        <v>6.4600536982018162E-5</v>
      </c>
      <c r="V69" s="67">
        <f t="shared" si="10"/>
        <v>3.1772139568644782E-5</v>
      </c>
      <c r="W69" s="100">
        <f t="shared" si="11"/>
        <v>2.1181426379096519E-5</v>
      </c>
    </row>
    <row r="70" spans="2:23">
      <c r="B70" s="96">
        <f>Amnt_Deposited!B65</f>
        <v>2051</v>
      </c>
      <c r="C70" s="99">
        <f>Amnt_Deposited!C65</f>
        <v>0</v>
      </c>
      <c r="D70" s="418">
        <f>Dry_Matter_Content!C57</f>
        <v>0.59</v>
      </c>
      <c r="E70" s="284">
        <f>MCF!R69</f>
        <v>0.6</v>
      </c>
      <c r="F70" s="67">
        <f t="shared" si="12"/>
        <v>0</v>
      </c>
      <c r="G70" s="67">
        <f t="shared" si="13"/>
        <v>0</v>
      </c>
      <c r="H70" s="67">
        <f t="shared" si="14"/>
        <v>0</v>
      </c>
      <c r="I70" s="67">
        <f t="shared" si="15"/>
        <v>6.4723602865976999E-5</v>
      </c>
      <c r="J70" s="67">
        <f t="shared" si="16"/>
        <v>3.1832666409812793E-5</v>
      </c>
      <c r="K70" s="100">
        <f t="shared" si="6"/>
        <v>2.122177760654186E-5</v>
      </c>
      <c r="O70" s="96">
        <f>Amnt_Deposited!B65</f>
        <v>2051</v>
      </c>
      <c r="P70" s="99">
        <f>Amnt_Deposited!C65</f>
        <v>0</v>
      </c>
      <c r="Q70" s="284">
        <f>MCF!R69</f>
        <v>0.6</v>
      </c>
      <c r="R70" s="67">
        <f t="shared" si="17"/>
        <v>0</v>
      </c>
      <c r="S70" s="67">
        <f t="shared" si="7"/>
        <v>0</v>
      </c>
      <c r="T70" s="67">
        <f t="shared" si="8"/>
        <v>0</v>
      </c>
      <c r="U70" s="67">
        <f t="shared" si="9"/>
        <v>4.3303034923713432E-5</v>
      </c>
      <c r="V70" s="67">
        <f t="shared" si="10"/>
        <v>2.1297502058304726E-5</v>
      </c>
      <c r="W70" s="100">
        <f t="shared" si="11"/>
        <v>1.4198334705536484E-5</v>
      </c>
    </row>
    <row r="71" spans="2:23">
      <c r="B71" s="96">
        <f>Amnt_Deposited!B66</f>
        <v>2052</v>
      </c>
      <c r="C71" s="99">
        <f>Amnt_Deposited!C66</f>
        <v>0</v>
      </c>
      <c r="D71" s="418">
        <f>Dry_Matter_Content!C58</f>
        <v>0.59</v>
      </c>
      <c r="E71" s="284">
        <f>MCF!R70</f>
        <v>0.6</v>
      </c>
      <c r="F71" s="67">
        <f t="shared" si="12"/>
        <v>0</v>
      </c>
      <c r="G71" s="67">
        <f t="shared" si="13"/>
        <v>0</v>
      </c>
      <c r="H71" s="67">
        <f t="shared" si="14"/>
        <v>0</v>
      </c>
      <c r="I71" s="67">
        <f t="shared" si="15"/>
        <v>4.3385528452714136E-5</v>
      </c>
      <c r="J71" s="67">
        <f t="shared" si="16"/>
        <v>2.1338074413262859E-5</v>
      </c>
      <c r="K71" s="100">
        <f t="shared" si="6"/>
        <v>1.4225382942175239E-5</v>
      </c>
      <c r="O71" s="96">
        <f>Amnt_Deposited!B66</f>
        <v>2052</v>
      </c>
      <c r="P71" s="99">
        <f>Amnt_Deposited!C66</f>
        <v>0</v>
      </c>
      <c r="Q71" s="284">
        <f>MCF!R70</f>
        <v>0.6</v>
      </c>
      <c r="R71" s="67">
        <f t="shared" si="17"/>
        <v>0</v>
      </c>
      <c r="S71" s="67">
        <f t="shared" si="7"/>
        <v>0</v>
      </c>
      <c r="T71" s="67">
        <f t="shared" si="8"/>
        <v>0</v>
      </c>
      <c r="U71" s="67">
        <f t="shared" si="9"/>
        <v>2.9026892363546486E-5</v>
      </c>
      <c r="V71" s="67">
        <f t="shared" si="10"/>
        <v>1.4276142560166947E-5</v>
      </c>
      <c r="W71" s="100">
        <f t="shared" si="11"/>
        <v>9.5174283734446305E-6</v>
      </c>
    </row>
    <row r="72" spans="2:23">
      <c r="B72" s="96">
        <f>Amnt_Deposited!B67</f>
        <v>2053</v>
      </c>
      <c r="C72" s="99">
        <f>Amnt_Deposited!C67</f>
        <v>0</v>
      </c>
      <c r="D72" s="418">
        <f>Dry_Matter_Content!C59</f>
        <v>0.59</v>
      </c>
      <c r="E72" s="284">
        <f>MCF!R71</f>
        <v>0.6</v>
      </c>
      <c r="F72" s="67">
        <f t="shared" si="12"/>
        <v>0</v>
      </c>
      <c r="G72" s="67">
        <f t="shared" si="13"/>
        <v>0</v>
      </c>
      <c r="H72" s="67">
        <f t="shared" si="14"/>
        <v>0</v>
      </c>
      <c r="I72" s="67">
        <f t="shared" si="15"/>
        <v>2.9082189429703881E-5</v>
      </c>
      <c r="J72" s="67">
        <f t="shared" si="16"/>
        <v>1.4303339023010257E-5</v>
      </c>
      <c r="K72" s="100">
        <f t="shared" si="6"/>
        <v>9.5355593486735048E-6</v>
      </c>
      <c r="O72" s="96">
        <f>Amnt_Deposited!B67</f>
        <v>2053</v>
      </c>
      <c r="P72" s="99">
        <f>Amnt_Deposited!C67</f>
        <v>0</v>
      </c>
      <c r="Q72" s="284">
        <f>MCF!R71</f>
        <v>0.6</v>
      </c>
      <c r="R72" s="67">
        <f t="shared" si="17"/>
        <v>0</v>
      </c>
      <c r="S72" s="67">
        <f t="shared" si="7"/>
        <v>0</v>
      </c>
      <c r="T72" s="67">
        <f t="shared" si="8"/>
        <v>0</v>
      </c>
      <c r="U72" s="67">
        <f t="shared" si="9"/>
        <v>1.9457307825404029E-5</v>
      </c>
      <c r="V72" s="67">
        <f t="shared" si="10"/>
        <v>9.5695845381424577E-6</v>
      </c>
      <c r="W72" s="100">
        <f t="shared" si="11"/>
        <v>6.3797230254283048E-6</v>
      </c>
    </row>
    <row r="73" spans="2:23">
      <c r="B73" s="96">
        <f>Amnt_Deposited!B68</f>
        <v>2054</v>
      </c>
      <c r="C73" s="99">
        <f>Amnt_Deposited!C68</f>
        <v>0</v>
      </c>
      <c r="D73" s="418">
        <f>Dry_Matter_Content!C60</f>
        <v>0.59</v>
      </c>
      <c r="E73" s="284">
        <f>MCF!R72</f>
        <v>0.6</v>
      </c>
      <c r="F73" s="67">
        <f t="shared" si="12"/>
        <v>0</v>
      </c>
      <c r="G73" s="67">
        <f t="shared" si="13"/>
        <v>0</v>
      </c>
      <c r="H73" s="67">
        <f t="shared" si="14"/>
        <v>0</v>
      </c>
      <c r="I73" s="67">
        <f t="shared" si="15"/>
        <v>1.9494374557336288E-5</v>
      </c>
      <c r="J73" s="67">
        <f t="shared" si="16"/>
        <v>9.5878148723675925E-6</v>
      </c>
      <c r="K73" s="100">
        <f t="shared" si="6"/>
        <v>6.391876581578395E-6</v>
      </c>
      <c r="O73" s="96">
        <f>Amnt_Deposited!B68</f>
        <v>2054</v>
      </c>
      <c r="P73" s="99">
        <f>Amnt_Deposited!C68</f>
        <v>0</v>
      </c>
      <c r="Q73" s="284">
        <f>MCF!R72</f>
        <v>0.6</v>
      </c>
      <c r="R73" s="67">
        <f t="shared" si="17"/>
        <v>0</v>
      </c>
      <c r="S73" s="67">
        <f t="shared" si="7"/>
        <v>0</v>
      </c>
      <c r="T73" s="67">
        <f t="shared" si="8"/>
        <v>0</v>
      </c>
      <c r="U73" s="67">
        <f t="shared" si="9"/>
        <v>1.3042623477254433E-5</v>
      </c>
      <c r="V73" s="67">
        <f t="shared" si="10"/>
        <v>6.4146843481495946E-6</v>
      </c>
      <c r="W73" s="100">
        <f t="shared" si="11"/>
        <v>4.2764562320997298E-6</v>
      </c>
    </row>
    <row r="74" spans="2:23">
      <c r="B74" s="96">
        <f>Amnt_Deposited!B69</f>
        <v>2055</v>
      </c>
      <c r="C74" s="99">
        <f>Amnt_Deposited!C69</f>
        <v>0</v>
      </c>
      <c r="D74" s="418">
        <f>Dry_Matter_Content!C61</f>
        <v>0.59</v>
      </c>
      <c r="E74" s="284">
        <f>MCF!R73</f>
        <v>0.6</v>
      </c>
      <c r="F74" s="67">
        <f t="shared" si="12"/>
        <v>0</v>
      </c>
      <c r="G74" s="67">
        <f t="shared" si="13"/>
        <v>0</v>
      </c>
      <c r="H74" s="67">
        <f t="shared" si="14"/>
        <v>0</v>
      </c>
      <c r="I74" s="67">
        <f t="shared" si="15"/>
        <v>1.3067470050709656E-5</v>
      </c>
      <c r="J74" s="67">
        <f t="shared" si="16"/>
        <v>6.426904506626631E-6</v>
      </c>
      <c r="K74" s="100">
        <f t="shared" si="6"/>
        <v>4.284603004417754E-6</v>
      </c>
      <c r="O74" s="96">
        <f>Amnt_Deposited!B69</f>
        <v>2055</v>
      </c>
      <c r="P74" s="99">
        <f>Amnt_Deposited!C69</f>
        <v>0</v>
      </c>
      <c r="Q74" s="284">
        <f>MCF!R73</f>
        <v>0.6</v>
      </c>
      <c r="R74" s="67">
        <f t="shared" si="17"/>
        <v>0</v>
      </c>
      <c r="S74" s="67">
        <f t="shared" si="7"/>
        <v>0</v>
      </c>
      <c r="T74" s="67">
        <f t="shared" si="8"/>
        <v>0</v>
      </c>
      <c r="U74" s="67">
        <f t="shared" si="9"/>
        <v>8.7427319696987018E-6</v>
      </c>
      <c r="V74" s="67">
        <f t="shared" si="10"/>
        <v>4.2998915075557314E-6</v>
      </c>
      <c r="W74" s="100">
        <f t="shared" si="11"/>
        <v>2.8665943383704873E-6</v>
      </c>
    </row>
    <row r="75" spans="2:23">
      <c r="B75" s="96">
        <f>Amnt_Deposited!B70</f>
        <v>2056</v>
      </c>
      <c r="C75" s="99">
        <f>Amnt_Deposited!C70</f>
        <v>0</v>
      </c>
      <c r="D75" s="418">
        <f>Dry_Matter_Content!C62</f>
        <v>0.59</v>
      </c>
      <c r="E75" s="284">
        <f>MCF!R74</f>
        <v>0.6</v>
      </c>
      <c r="F75" s="67">
        <f t="shared" si="12"/>
        <v>0</v>
      </c>
      <c r="G75" s="67">
        <f t="shared" si="13"/>
        <v>0</v>
      </c>
      <c r="H75" s="67">
        <f t="shared" si="14"/>
        <v>0</v>
      </c>
      <c r="I75" s="67">
        <f t="shared" si="15"/>
        <v>8.7593871259610353E-6</v>
      </c>
      <c r="J75" s="67">
        <f t="shared" si="16"/>
        <v>4.308082924748621E-6</v>
      </c>
      <c r="K75" s="100">
        <f t="shared" si="6"/>
        <v>2.8720552831657471E-6</v>
      </c>
      <c r="O75" s="96">
        <f>Amnt_Deposited!B70</f>
        <v>2056</v>
      </c>
      <c r="P75" s="99">
        <f>Amnt_Deposited!C70</f>
        <v>0</v>
      </c>
      <c r="Q75" s="284">
        <f>MCF!R74</f>
        <v>0.6</v>
      </c>
      <c r="R75" s="67">
        <f t="shared" si="17"/>
        <v>0</v>
      </c>
      <c r="S75" s="67">
        <f t="shared" si="7"/>
        <v>0</v>
      </c>
      <c r="T75" s="67">
        <f t="shared" si="8"/>
        <v>0</v>
      </c>
      <c r="U75" s="67">
        <f t="shared" si="9"/>
        <v>5.8604284964056897E-6</v>
      </c>
      <c r="V75" s="67">
        <f t="shared" si="10"/>
        <v>2.8823034732930121E-6</v>
      </c>
      <c r="W75" s="100">
        <f t="shared" si="11"/>
        <v>1.9215356488620079E-6</v>
      </c>
    </row>
    <row r="76" spans="2:23">
      <c r="B76" s="96">
        <f>Amnt_Deposited!B71</f>
        <v>2057</v>
      </c>
      <c r="C76" s="99">
        <f>Amnt_Deposited!C71</f>
        <v>0</v>
      </c>
      <c r="D76" s="418">
        <f>Dry_Matter_Content!C63</f>
        <v>0.59</v>
      </c>
      <c r="E76" s="284">
        <f>MCF!R75</f>
        <v>0.6</v>
      </c>
      <c r="F76" s="67">
        <f t="shared" si="12"/>
        <v>0</v>
      </c>
      <c r="G76" s="67">
        <f t="shared" si="13"/>
        <v>0</v>
      </c>
      <c r="H76" s="67">
        <f t="shared" si="14"/>
        <v>0</v>
      </c>
      <c r="I76" s="67">
        <f t="shared" si="15"/>
        <v>5.8715927815181874E-6</v>
      </c>
      <c r="J76" s="67">
        <f t="shared" si="16"/>
        <v>2.8877943444428478E-6</v>
      </c>
      <c r="K76" s="100">
        <f t="shared" si="6"/>
        <v>1.9251962296285649E-6</v>
      </c>
      <c r="O76" s="96">
        <f>Amnt_Deposited!B71</f>
        <v>2057</v>
      </c>
      <c r="P76" s="99">
        <f>Amnt_Deposited!C71</f>
        <v>0</v>
      </c>
      <c r="Q76" s="284">
        <f>MCF!R75</f>
        <v>0.6</v>
      </c>
      <c r="R76" s="67">
        <f t="shared" si="17"/>
        <v>0</v>
      </c>
      <c r="S76" s="67">
        <f t="shared" si="7"/>
        <v>0</v>
      </c>
      <c r="T76" s="67">
        <f t="shared" si="8"/>
        <v>0</v>
      </c>
      <c r="U76" s="67">
        <f t="shared" si="9"/>
        <v>3.9283626994992343E-6</v>
      </c>
      <c r="V76" s="67">
        <f t="shared" si="10"/>
        <v>1.9320657969064554E-6</v>
      </c>
      <c r="W76" s="100">
        <f t="shared" si="11"/>
        <v>1.2880438646043035E-6</v>
      </c>
    </row>
    <row r="77" spans="2:23">
      <c r="B77" s="96">
        <f>Amnt_Deposited!B72</f>
        <v>2058</v>
      </c>
      <c r="C77" s="99">
        <f>Amnt_Deposited!C72</f>
        <v>0</v>
      </c>
      <c r="D77" s="418">
        <f>Dry_Matter_Content!C64</f>
        <v>0.59</v>
      </c>
      <c r="E77" s="284">
        <f>MCF!R76</f>
        <v>0.6</v>
      </c>
      <c r="F77" s="67">
        <f t="shared" si="12"/>
        <v>0</v>
      </c>
      <c r="G77" s="67">
        <f t="shared" si="13"/>
        <v>0</v>
      </c>
      <c r="H77" s="67">
        <f t="shared" si="14"/>
        <v>0</v>
      </c>
      <c r="I77" s="67">
        <f t="shared" si="15"/>
        <v>3.9358463436097991E-6</v>
      </c>
      <c r="J77" s="67">
        <f t="shared" si="16"/>
        <v>1.9357464379083884E-6</v>
      </c>
      <c r="K77" s="100">
        <f t="shared" si="6"/>
        <v>1.2904976252722588E-6</v>
      </c>
      <c r="O77" s="96">
        <f>Amnt_Deposited!B72</f>
        <v>2058</v>
      </c>
      <c r="P77" s="99">
        <f>Amnt_Deposited!C72</f>
        <v>0</v>
      </c>
      <c r="Q77" s="284">
        <f>MCF!R76</f>
        <v>0.6</v>
      </c>
      <c r="R77" s="67">
        <f t="shared" si="17"/>
        <v>0</v>
      </c>
      <c r="S77" s="67">
        <f t="shared" si="7"/>
        <v>0</v>
      </c>
      <c r="T77" s="67">
        <f t="shared" si="8"/>
        <v>0</v>
      </c>
      <c r="U77" s="67">
        <f t="shared" si="9"/>
        <v>2.6332602655730153E-6</v>
      </c>
      <c r="V77" s="67">
        <f t="shared" si="10"/>
        <v>1.2951024339262192E-6</v>
      </c>
      <c r="W77" s="100">
        <f t="shared" si="11"/>
        <v>8.6340162261747942E-7</v>
      </c>
    </row>
    <row r="78" spans="2:23">
      <c r="B78" s="96">
        <f>Amnt_Deposited!B73</f>
        <v>2059</v>
      </c>
      <c r="C78" s="99">
        <f>Amnt_Deposited!C73</f>
        <v>0</v>
      </c>
      <c r="D78" s="418">
        <f>Dry_Matter_Content!C65</f>
        <v>0.59</v>
      </c>
      <c r="E78" s="284">
        <f>MCF!R77</f>
        <v>0.6</v>
      </c>
      <c r="F78" s="67">
        <f t="shared" si="12"/>
        <v>0</v>
      </c>
      <c r="G78" s="67">
        <f t="shared" si="13"/>
        <v>0</v>
      </c>
      <c r="H78" s="67">
        <f t="shared" si="14"/>
        <v>0</v>
      </c>
      <c r="I78" s="67">
        <f t="shared" si="15"/>
        <v>2.6382767022377234E-6</v>
      </c>
      <c r="J78" s="67">
        <f t="shared" si="16"/>
        <v>1.2975696413720759E-6</v>
      </c>
      <c r="K78" s="100">
        <f t="shared" si="6"/>
        <v>8.6504642758138387E-7</v>
      </c>
      <c r="O78" s="96">
        <f>Amnt_Deposited!B73</f>
        <v>2059</v>
      </c>
      <c r="P78" s="99">
        <f>Amnt_Deposited!C73</f>
        <v>0</v>
      </c>
      <c r="Q78" s="284">
        <f>MCF!R77</f>
        <v>0.6</v>
      </c>
      <c r="R78" s="67">
        <f t="shared" si="17"/>
        <v>0</v>
      </c>
      <c r="S78" s="67">
        <f t="shared" si="7"/>
        <v>0</v>
      </c>
      <c r="T78" s="67">
        <f t="shared" si="8"/>
        <v>0</v>
      </c>
      <c r="U78" s="67">
        <f t="shared" si="9"/>
        <v>1.7651271424427234E-6</v>
      </c>
      <c r="V78" s="67">
        <f t="shared" si="10"/>
        <v>8.6813312313029186E-7</v>
      </c>
      <c r="W78" s="100">
        <f t="shared" si="11"/>
        <v>5.7875541542019454E-7</v>
      </c>
    </row>
    <row r="79" spans="2:23">
      <c r="B79" s="96">
        <f>Amnt_Deposited!B74</f>
        <v>2060</v>
      </c>
      <c r="C79" s="99">
        <f>Amnt_Deposited!C74</f>
        <v>0</v>
      </c>
      <c r="D79" s="418">
        <f>Dry_Matter_Content!C66</f>
        <v>0.59</v>
      </c>
      <c r="E79" s="284">
        <f>MCF!R78</f>
        <v>0.6</v>
      </c>
      <c r="F79" s="67">
        <f t="shared" si="12"/>
        <v>0</v>
      </c>
      <c r="G79" s="67">
        <f t="shared" si="13"/>
        <v>0</v>
      </c>
      <c r="H79" s="67">
        <f t="shared" si="14"/>
        <v>0</v>
      </c>
      <c r="I79" s="67">
        <f t="shared" si="15"/>
        <v>1.7684897604987455E-6</v>
      </c>
      <c r="J79" s="67">
        <f t="shared" si="16"/>
        <v>8.6978694173897788E-7</v>
      </c>
      <c r="K79" s="100">
        <f t="shared" si="6"/>
        <v>5.7985796115931855E-7</v>
      </c>
      <c r="O79" s="96">
        <f>Amnt_Deposited!B74</f>
        <v>2060</v>
      </c>
      <c r="P79" s="99">
        <f>Amnt_Deposited!C74</f>
        <v>0</v>
      </c>
      <c r="Q79" s="284">
        <f>MCF!R78</f>
        <v>0.6</v>
      </c>
      <c r="R79" s="67">
        <f t="shared" si="17"/>
        <v>0</v>
      </c>
      <c r="S79" s="67">
        <f t="shared" si="7"/>
        <v>0</v>
      </c>
      <c r="T79" s="67">
        <f t="shared" si="8"/>
        <v>0</v>
      </c>
      <c r="U79" s="67">
        <f t="shared" si="9"/>
        <v>1.1832001073809628E-6</v>
      </c>
      <c r="V79" s="67">
        <f t="shared" si="10"/>
        <v>5.8192703506176057E-7</v>
      </c>
      <c r="W79" s="100">
        <f t="shared" si="11"/>
        <v>3.8795135670784037E-7</v>
      </c>
    </row>
    <row r="80" spans="2:23">
      <c r="B80" s="96">
        <f>Amnt_Deposited!B75</f>
        <v>2061</v>
      </c>
      <c r="C80" s="99">
        <f>Amnt_Deposited!C75</f>
        <v>0</v>
      </c>
      <c r="D80" s="418">
        <f>Dry_Matter_Content!C67</f>
        <v>0.59</v>
      </c>
      <c r="E80" s="284">
        <f>MCF!R79</f>
        <v>0.6</v>
      </c>
      <c r="F80" s="67">
        <f t="shared" si="12"/>
        <v>0</v>
      </c>
      <c r="G80" s="67">
        <f t="shared" si="13"/>
        <v>0</v>
      </c>
      <c r="H80" s="67">
        <f t="shared" si="14"/>
        <v>0</v>
      </c>
      <c r="I80" s="67">
        <f t="shared" si="15"/>
        <v>1.1854541376710759E-6</v>
      </c>
      <c r="J80" s="67">
        <f t="shared" si="16"/>
        <v>5.8303562282766968E-7</v>
      </c>
      <c r="K80" s="100">
        <f t="shared" si="6"/>
        <v>3.8869041521844645E-7</v>
      </c>
      <c r="O80" s="96">
        <f>Amnt_Deposited!B75</f>
        <v>2061</v>
      </c>
      <c r="P80" s="99">
        <f>Amnt_Deposited!C75</f>
        <v>0</v>
      </c>
      <c r="Q80" s="284">
        <f>MCF!R79</f>
        <v>0.6</v>
      </c>
      <c r="R80" s="67">
        <f t="shared" si="17"/>
        <v>0</v>
      </c>
      <c r="S80" s="67">
        <f t="shared" si="7"/>
        <v>0</v>
      </c>
      <c r="T80" s="67">
        <f t="shared" si="8"/>
        <v>0</v>
      </c>
      <c r="U80" s="67">
        <f t="shared" si="9"/>
        <v>7.9312275044898042E-7</v>
      </c>
      <c r="V80" s="67">
        <f t="shared" si="10"/>
        <v>3.9007735693198241E-7</v>
      </c>
      <c r="W80" s="100">
        <f t="shared" si="11"/>
        <v>2.6005157128798827E-7</v>
      </c>
    </row>
    <row r="81" spans="2:23">
      <c r="B81" s="96">
        <f>Amnt_Deposited!B76</f>
        <v>2062</v>
      </c>
      <c r="C81" s="99">
        <f>Amnt_Deposited!C76</f>
        <v>0</v>
      </c>
      <c r="D81" s="418">
        <f>Dry_Matter_Content!C68</f>
        <v>0.59</v>
      </c>
      <c r="E81" s="284">
        <f>MCF!R80</f>
        <v>0.6</v>
      </c>
      <c r="F81" s="67">
        <f t="shared" si="12"/>
        <v>0</v>
      </c>
      <c r="G81" s="67">
        <f t="shared" si="13"/>
        <v>0</v>
      </c>
      <c r="H81" s="67">
        <f t="shared" si="14"/>
        <v>0</v>
      </c>
      <c r="I81" s="67">
        <f t="shared" si="15"/>
        <v>7.9463367213681472E-7</v>
      </c>
      <c r="J81" s="67">
        <f t="shared" si="16"/>
        <v>3.9082046553426121E-7</v>
      </c>
      <c r="K81" s="100">
        <f t="shared" si="6"/>
        <v>2.6054697702284081E-7</v>
      </c>
      <c r="O81" s="96">
        <f>Amnt_Deposited!B76</f>
        <v>2062</v>
      </c>
      <c r="P81" s="99">
        <f>Amnt_Deposited!C76</f>
        <v>0</v>
      </c>
      <c r="Q81" s="284">
        <f>MCF!R80</f>
        <v>0.6</v>
      </c>
      <c r="R81" s="67">
        <f t="shared" si="17"/>
        <v>0</v>
      </c>
      <c r="S81" s="67">
        <f t="shared" si="7"/>
        <v>0</v>
      </c>
      <c r="T81" s="67">
        <f t="shared" si="8"/>
        <v>0</v>
      </c>
      <c r="U81" s="67">
        <f t="shared" si="9"/>
        <v>5.3164607859287339E-7</v>
      </c>
      <c r="V81" s="67">
        <f t="shared" si="10"/>
        <v>2.6147667185610698E-7</v>
      </c>
      <c r="W81" s="100">
        <f t="shared" si="11"/>
        <v>1.7431778123740463E-7</v>
      </c>
    </row>
    <row r="82" spans="2:23">
      <c r="B82" s="96">
        <f>Amnt_Deposited!B77</f>
        <v>2063</v>
      </c>
      <c r="C82" s="99">
        <f>Amnt_Deposited!C77</f>
        <v>0</v>
      </c>
      <c r="D82" s="418">
        <f>Dry_Matter_Content!C69</f>
        <v>0.59</v>
      </c>
      <c r="E82" s="284">
        <f>MCF!R81</f>
        <v>0.6</v>
      </c>
      <c r="F82" s="67">
        <f t="shared" si="12"/>
        <v>0</v>
      </c>
      <c r="G82" s="67">
        <f t="shared" si="13"/>
        <v>0</v>
      </c>
      <c r="H82" s="67">
        <f t="shared" si="14"/>
        <v>0</v>
      </c>
      <c r="I82" s="67">
        <f t="shared" si="15"/>
        <v>5.3265887968821873E-7</v>
      </c>
      <c r="J82" s="67">
        <f t="shared" si="16"/>
        <v>2.6197479244859593E-7</v>
      </c>
      <c r="K82" s="100">
        <f t="shared" si="6"/>
        <v>1.7464986163239728E-7</v>
      </c>
      <c r="O82" s="96">
        <f>Amnt_Deposited!B77</f>
        <v>2063</v>
      </c>
      <c r="P82" s="99">
        <f>Amnt_Deposited!C77</f>
        <v>0</v>
      </c>
      <c r="Q82" s="284">
        <f>MCF!R81</f>
        <v>0.6</v>
      </c>
      <c r="R82" s="67">
        <f t="shared" si="17"/>
        <v>0</v>
      </c>
      <c r="S82" s="67">
        <f t="shared" si="7"/>
        <v>0</v>
      </c>
      <c r="T82" s="67">
        <f t="shared" si="8"/>
        <v>0</v>
      </c>
      <c r="U82" s="67">
        <f t="shared" si="9"/>
        <v>3.5637302387704202E-7</v>
      </c>
      <c r="V82" s="67">
        <f t="shared" si="10"/>
        <v>1.7527305471583138E-7</v>
      </c>
      <c r="W82" s="100">
        <f t="shared" si="11"/>
        <v>1.1684870314388758E-7</v>
      </c>
    </row>
    <row r="83" spans="2:23">
      <c r="B83" s="96">
        <f>Amnt_Deposited!B78</f>
        <v>2064</v>
      </c>
      <c r="C83" s="99">
        <f>Amnt_Deposited!C78</f>
        <v>0</v>
      </c>
      <c r="D83" s="418">
        <f>Dry_Matter_Content!C70</f>
        <v>0.59</v>
      </c>
      <c r="E83" s="284">
        <f>MCF!R82</f>
        <v>0.6</v>
      </c>
      <c r="F83" s="67">
        <f t="shared" ref="F83:F99" si="18">C83*D83*$K$6*DOCF*E83</f>
        <v>0</v>
      </c>
      <c r="G83" s="67">
        <f t="shared" ref="G83:G99" si="19">F83*$K$12</f>
        <v>0</v>
      </c>
      <c r="H83" s="67">
        <f t="shared" ref="H83:H99" si="20">F83*(1-$K$12)</f>
        <v>0</v>
      </c>
      <c r="I83" s="67">
        <f t="shared" ref="I83:I99" si="21">G83+I82*$K$10</f>
        <v>3.5705192475389884E-7</v>
      </c>
      <c r="J83" s="67">
        <f t="shared" ref="J83:J99" si="22">I82*(1-$K$10)+H83</f>
        <v>1.7560695493431989E-7</v>
      </c>
      <c r="K83" s="100">
        <f t="shared" si="6"/>
        <v>1.1707130328954658E-7</v>
      </c>
      <c r="O83" s="96">
        <f>Amnt_Deposited!B78</f>
        <v>2064</v>
      </c>
      <c r="P83" s="99">
        <f>Amnt_Deposited!C78</f>
        <v>0</v>
      </c>
      <c r="Q83" s="284">
        <f>MCF!R82</f>
        <v>0.6</v>
      </c>
      <c r="R83" s="67">
        <f t="shared" ref="R83:R99" si="23">P83*$W$6*DOCF*Q83</f>
        <v>0</v>
      </c>
      <c r="S83" s="67">
        <f t="shared" si="7"/>
        <v>0</v>
      </c>
      <c r="T83" s="67">
        <f t="shared" si="8"/>
        <v>0</v>
      </c>
      <c r="U83" s="67">
        <f t="shared" si="9"/>
        <v>2.388839817711188E-7</v>
      </c>
      <c r="V83" s="67">
        <f t="shared" si="10"/>
        <v>1.1748904210592322E-7</v>
      </c>
      <c r="W83" s="100">
        <f t="shared" si="11"/>
        <v>7.8326028070615474E-8</v>
      </c>
    </row>
    <row r="84" spans="2:23">
      <c r="B84" s="96">
        <f>Amnt_Deposited!B79</f>
        <v>2065</v>
      </c>
      <c r="C84" s="99">
        <f>Amnt_Deposited!C79</f>
        <v>0</v>
      </c>
      <c r="D84" s="418">
        <f>Dry_Matter_Content!C71</f>
        <v>0.59</v>
      </c>
      <c r="E84" s="284">
        <f>MCF!R83</f>
        <v>0.6</v>
      </c>
      <c r="F84" s="67">
        <f t="shared" si="18"/>
        <v>0</v>
      </c>
      <c r="G84" s="67">
        <f t="shared" si="19"/>
        <v>0</v>
      </c>
      <c r="H84" s="67">
        <f t="shared" si="20"/>
        <v>0</v>
      </c>
      <c r="I84" s="67">
        <f t="shared" si="21"/>
        <v>2.3933906263814711E-7</v>
      </c>
      <c r="J84" s="67">
        <f t="shared" si="22"/>
        <v>1.1771286211575174E-7</v>
      </c>
      <c r="K84" s="100">
        <f t="shared" si="6"/>
        <v>7.8475241410501158E-8</v>
      </c>
      <c r="O84" s="96">
        <f>Amnt_Deposited!B79</f>
        <v>2065</v>
      </c>
      <c r="P84" s="99">
        <f>Amnt_Deposited!C79</f>
        <v>0</v>
      </c>
      <c r="Q84" s="284">
        <f>MCF!R83</f>
        <v>0.6</v>
      </c>
      <c r="R84" s="67">
        <f t="shared" si="23"/>
        <v>0</v>
      </c>
      <c r="S84" s="67">
        <f t="shared" si="7"/>
        <v>0</v>
      </c>
      <c r="T84" s="67">
        <f t="shared" si="8"/>
        <v>0</v>
      </c>
      <c r="U84" s="67">
        <f t="shared" si="9"/>
        <v>1.6012872165799318E-7</v>
      </c>
      <c r="V84" s="67">
        <f t="shared" si="10"/>
        <v>7.8755260113125627E-8</v>
      </c>
      <c r="W84" s="100">
        <f t="shared" si="11"/>
        <v>5.2503506742083751E-8</v>
      </c>
    </row>
    <row r="85" spans="2:23">
      <c r="B85" s="96">
        <f>Amnt_Deposited!B80</f>
        <v>2066</v>
      </c>
      <c r="C85" s="99">
        <f>Amnt_Deposited!C80</f>
        <v>0</v>
      </c>
      <c r="D85" s="418">
        <f>Dry_Matter_Content!C72</f>
        <v>0.59</v>
      </c>
      <c r="E85" s="284">
        <f>MCF!R84</f>
        <v>0.6</v>
      </c>
      <c r="F85" s="67">
        <f t="shared" si="18"/>
        <v>0</v>
      </c>
      <c r="G85" s="67">
        <f t="shared" si="19"/>
        <v>0</v>
      </c>
      <c r="H85" s="67">
        <f t="shared" si="20"/>
        <v>0</v>
      </c>
      <c r="I85" s="67">
        <f t="shared" si="21"/>
        <v>1.6043377148572954E-7</v>
      </c>
      <c r="J85" s="67">
        <f t="shared" si="22"/>
        <v>7.8905291152417571E-8</v>
      </c>
      <c r="K85" s="100">
        <f t="shared" ref="K85:K99" si="24">J85*CH4_fraction*conv</f>
        <v>5.2603527434945043E-8</v>
      </c>
      <c r="O85" s="96">
        <f>Amnt_Deposited!B80</f>
        <v>2066</v>
      </c>
      <c r="P85" s="99">
        <f>Amnt_Deposited!C80</f>
        <v>0</v>
      </c>
      <c r="Q85" s="284">
        <f>MCF!R84</f>
        <v>0.6</v>
      </c>
      <c r="R85" s="67">
        <f t="shared" si="23"/>
        <v>0</v>
      </c>
      <c r="S85" s="67">
        <f t="shared" ref="S85:S98" si="25">R85*$W$12</f>
        <v>0</v>
      </c>
      <c r="T85" s="67">
        <f t="shared" ref="T85:T98" si="26">R85*(1-$W$12)</f>
        <v>0</v>
      </c>
      <c r="U85" s="67">
        <f t="shared" ref="U85:U98" si="27">S85+U84*$W$10</f>
        <v>1.0733749207341407E-7</v>
      </c>
      <c r="V85" s="67">
        <f t="shared" ref="V85:V98" si="28">U84*(1-$W$10)+T85</f>
        <v>5.2791229584579116E-8</v>
      </c>
      <c r="W85" s="100">
        <f t="shared" ref="W85:W99" si="29">V85*CH4_fraction*conv</f>
        <v>3.5194153056386073E-8</v>
      </c>
    </row>
    <row r="86" spans="2:23">
      <c r="B86" s="96">
        <f>Amnt_Deposited!B81</f>
        <v>2067</v>
      </c>
      <c r="C86" s="99">
        <f>Amnt_Deposited!C81</f>
        <v>0</v>
      </c>
      <c r="D86" s="418">
        <f>Dry_Matter_Content!C73</f>
        <v>0.59</v>
      </c>
      <c r="E86" s="284">
        <f>MCF!R85</f>
        <v>0.6</v>
      </c>
      <c r="F86" s="67">
        <f t="shared" si="18"/>
        <v>0</v>
      </c>
      <c r="G86" s="67">
        <f t="shared" si="19"/>
        <v>0</v>
      </c>
      <c r="H86" s="67">
        <f t="shared" si="20"/>
        <v>0</v>
      </c>
      <c r="I86" s="67">
        <f t="shared" si="21"/>
        <v>1.0754197308798547E-7</v>
      </c>
      <c r="J86" s="67">
        <f t="shared" si="22"/>
        <v>5.2891798397744077E-8</v>
      </c>
      <c r="K86" s="100">
        <f t="shared" si="24"/>
        <v>3.526119893182938E-8</v>
      </c>
      <c r="O86" s="96">
        <f>Amnt_Deposited!B81</f>
        <v>2067</v>
      </c>
      <c r="P86" s="99">
        <f>Amnt_Deposited!C81</f>
        <v>0</v>
      </c>
      <c r="Q86" s="284">
        <f>MCF!R85</f>
        <v>0.6</v>
      </c>
      <c r="R86" s="67">
        <f t="shared" si="23"/>
        <v>0</v>
      </c>
      <c r="S86" s="67">
        <f t="shared" si="25"/>
        <v>0</v>
      </c>
      <c r="T86" s="67">
        <f t="shared" si="26"/>
        <v>0</v>
      </c>
      <c r="U86" s="67">
        <f t="shared" si="27"/>
        <v>7.1950472628000984E-8</v>
      </c>
      <c r="V86" s="67">
        <f t="shared" si="28"/>
        <v>3.5387019445413077E-8</v>
      </c>
      <c r="W86" s="100">
        <f t="shared" si="29"/>
        <v>2.3591346296942051E-8</v>
      </c>
    </row>
    <row r="87" spans="2:23">
      <c r="B87" s="96">
        <f>Amnt_Deposited!B82</f>
        <v>2068</v>
      </c>
      <c r="C87" s="99">
        <f>Amnt_Deposited!C82</f>
        <v>0</v>
      </c>
      <c r="D87" s="418">
        <f>Dry_Matter_Content!C74</f>
        <v>0.59</v>
      </c>
      <c r="E87" s="284">
        <f>MCF!R86</f>
        <v>0.6</v>
      </c>
      <c r="F87" s="67">
        <f t="shared" si="18"/>
        <v>0</v>
      </c>
      <c r="G87" s="67">
        <f t="shared" si="19"/>
        <v>0</v>
      </c>
      <c r="H87" s="67">
        <f t="shared" si="20"/>
        <v>0</v>
      </c>
      <c r="I87" s="67">
        <f t="shared" si="21"/>
        <v>7.2087540351101909E-8</v>
      </c>
      <c r="J87" s="67">
        <f t="shared" si="22"/>
        <v>3.5454432736883565E-8</v>
      </c>
      <c r="K87" s="100">
        <f t="shared" si="24"/>
        <v>2.363628849125571E-8</v>
      </c>
      <c r="O87" s="96">
        <f>Amnt_Deposited!B82</f>
        <v>2068</v>
      </c>
      <c r="P87" s="99">
        <f>Amnt_Deposited!C82</f>
        <v>0</v>
      </c>
      <c r="Q87" s="284">
        <f>MCF!R86</f>
        <v>0.6</v>
      </c>
      <c r="R87" s="67">
        <f t="shared" si="23"/>
        <v>0</v>
      </c>
      <c r="S87" s="67">
        <f t="shared" si="25"/>
        <v>0</v>
      </c>
      <c r="T87" s="67">
        <f t="shared" si="26"/>
        <v>0</v>
      </c>
      <c r="U87" s="67">
        <f t="shared" si="27"/>
        <v>4.8229844124287625E-8</v>
      </c>
      <c r="V87" s="67">
        <f t="shared" si="28"/>
        <v>2.3720628503713356E-8</v>
      </c>
      <c r="W87" s="100">
        <f t="shared" si="29"/>
        <v>1.5813752335808904E-8</v>
      </c>
    </row>
    <row r="88" spans="2:23">
      <c r="B88" s="96">
        <f>Amnt_Deposited!B83</f>
        <v>2069</v>
      </c>
      <c r="C88" s="99">
        <f>Amnt_Deposited!C83</f>
        <v>0</v>
      </c>
      <c r="D88" s="418">
        <f>Dry_Matter_Content!C75</f>
        <v>0.59</v>
      </c>
      <c r="E88" s="284">
        <f>MCF!R87</f>
        <v>0.6</v>
      </c>
      <c r="F88" s="67">
        <f t="shared" si="18"/>
        <v>0</v>
      </c>
      <c r="G88" s="67">
        <f t="shared" si="19"/>
        <v>0</v>
      </c>
      <c r="H88" s="67">
        <f t="shared" si="20"/>
        <v>0</v>
      </c>
      <c r="I88" s="67">
        <f t="shared" si="21"/>
        <v>4.832172336674664E-8</v>
      </c>
      <c r="J88" s="67">
        <f t="shared" si="22"/>
        <v>2.3765816984355269E-8</v>
      </c>
      <c r="K88" s="100">
        <f t="shared" si="24"/>
        <v>1.5843877989570179E-8</v>
      </c>
      <c r="O88" s="96">
        <f>Amnt_Deposited!B83</f>
        <v>2069</v>
      </c>
      <c r="P88" s="99">
        <f>Amnt_Deposited!C83</f>
        <v>0</v>
      </c>
      <c r="Q88" s="284">
        <f>MCF!R87</f>
        <v>0.6</v>
      </c>
      <c r="R88" s="67">
        <f t="shared" si="23"/>
        <v>0</v>
      </c>
      <c r="S88" s="67">
        <f t="shared" si="25"/>
        <v>0</v>
      </c>
      <c r="T88" s="67">
        <f t="shared" si="26"/>
        <v>0</v>
      </c>
      <c r="U88" s="67">
        <f t="shared" si="27"/>
        <v>3.2329431333684189E-8</v>
      </c>
      <c r="V88" s="67">
        <f t="shared" si="28"/>
        <v>1.5900412790603436E-8</v>
      </c>
      <c r="W88" s="100">
        <f t="shared" si="29"/>
        <v>1.0600275193735623E-8</v>
      </c>
    </row>
    <row r="89" spans="2:23">
      <c r="B89" s="96">
        <f>Amnt_Deposited!B84</f>
        <v>2070</v>
      </c>
      <c r="C89" s="99">
        <f>Amnt_Deposited!C84</f>
        <v>0</v>
      </c>
      <c r="D89" s="418">
        <f>Dry_Matter_Content!C76</f>
        <v>0.59</v>
      </c>
      <c r="E89" s="284">
        <f>MCF!R88</f>
        <v>0.6</v>
      </c>
      <c r="F89" s="67">
        <f t="shared" si="18"/>
        <v>0</v>
      </c>
      <c r="G89" s="67">
        <f t="shared" si="19"/>
        <v>0</v>
      </c>
      <c r="H89" s="67">
        <f t="shared" si="20"/>
        <v>0</v>
      </c>
      <c r="I89" s="67">
        <f t="shared" si="21"/>
        <v>3.2391019831719033E-8</v>
      </c>
      <c r="J89" s="67">
        <f t="shared" si="22"/>
        <v>1.5930703535027604E-8</v>
      </c>
      <c r="K89" s="100">
        <f t="shared" si="24"/>
        <v>1.0620469023351735E-8</v>
      </c>
      <c r="O89" s="96">
        <f>Amnt_Deposited!B84</f>
        <v>2070</v>
      </c>
      <c r="P89" s="99">
        <f>Amnt_Deposited!C84</f>
        <v>0</v>
      </c>
      <c r="Q89" s="284">
        <f>MCF!R88</f>
        <v>0.6</v>
      </c>
      <c r="R89" s="67">
        <f t="shared" si="23"/>
        <v>0</v>
      </c>
      <c r="S89" s="67">
        <f t="shared" si="25"/>
        <v>0</v>
      </c>
      <c r="T89" s="67">
        <f t="shared" si="26"/>
        <v>0</v>
      </c>
      <c r="U89" s="67">
        <f t="shared" si="27"/>
        <v>2.1671065899901227E-8</v>
      </c>
      <c r="V89" s="67">
        <f t="shared" si="28"/>
        <v>1.0658365433782962E-8</v>
      </c>
      <c r="W89" s="100">
        <f t="shared" si="29"/>
        <v>7.105576955855308E-9</v>
      </c>
    </row>
    <row r="90" spans="2:23">
      <c r="B90" s="96">
        <f>Amnt_Deposited!B85</f>
        <v>2071</v>
      </c>
      <c r="C90" s="99">
        <f>Amnt_Deposited!C85</f>
        <v>0</v>
      </c>
      <c r="D90" s="418">
        <f>Dry_Matter_Content!C77</f>
        <v>0.59</v>
      </c>
      <c r="E90" s="284">
        <f>MCF!R89</f>
        <v>0.6</v>
      </c>
      <c r="F90" s="67">
        <f t="shared" si="18"/>
        <v>0</v>
      </c>
      <c r="G90" s="67">
        <f t="shared" si="19"/>
        <v>0</v>
      </c>
      <c r="H90" s="67">
        <f t="shared" si="20"/>
        <v>0</v>
      </c>
      <c r="I90" s="67">
        <f t="shared" si="21"/>
        <v>2.1712349904739209E-8</v>
      </c>
      <c r="J90" s="67">
        <f t="shared" si="22"/>
        <v>1.0678669926979824E-8</v>
      </c>
      <c r="K90" s="100">
        <f t="shared" si="24"/>
        <v>7.119113284653216E-9</v>
      </c>
      <c r="O90" s="96">
        <f>Amnt_Deposited!B85</f>
        <v>2071</v>
      </c>
      <c r="P90" s="99">
        <f>Amnt_Deposited!C85</f>
        <v>0</v>
      </c>
      <c r="Q90" s="284">
        <f>MCF!R89</f>
        <v>0.6</v>
      </c>
      <c r="R90" s="67">
        <f t="shared" si="23"/>
        <v>0</v>
      </c>
      <c r="S90" s="67">
        <f t="shared" si="25"/>
        <v>0</v>
      </c>
      <c r="T90" s="67">
        <f t="shared" si="26"/>
        <v>0</v>
      </c>
      <c r="U90" s="67">
        <f t="shared" si="27"/>
        <v>1.4526549891663165E-8</v>
      </c>
      <c r="V90" s="67">
        <f t="shared" si="28"/>
        <v>7.144516008238063E-9</v>
      </c>
      <c r="W90" s="100">
        <f t="shared" si="29"/>
        <v>4.7630106721587081E-9</v>
      </c>
    </row>
    <row r="91" spans="2:23">
      <c r="B91" s="96">
        <f>Amnt_Deposited!B86</f>
        <v>2072</v>
      </c>
      <c r="C91" s="99">
        <f>Amnt_Deposited!C86</f>
        <v>0</v>
      </c>
      <c r="D91" s="418">
        <f>Dry_Matter_Content!C78</f>
        <v>0.59</v>
      </c>
      <c r="E91" s="284">
        <f>MCF!R90</f>
        <v>0.6</v>
      </c>
      <c r="F91" s="67">
        <f t="shared" si="18"/>
        <v>0</v>
      </c>
      <c r="G91" s="67">
        <f t="shared" si="19"/>
        <v>0</v>
      </c>
      <c r="H91" s="67">
        <f t="shared" si="20"/>
        <v>0</v>
      </c>
      <c r="I91" s="67">
        <f t="shared" si="21"/>
        <v>1.4554223387686696E-8</v>
      </c>
      <c r="J91" s="67">
        <f t="shared" si="22"/>
        <v>7.1581265170525129E-9</v>
      </c>
      <c r="K91" s="100">
        <f t="shared" si="24"/>
        <v>4.772084344701675E-9</v>
      </c>
      <c r="O91" s="96">
        <f>Amnt_Deposited!B86</f>
        <v>2072</v>
      </c>
      <c r="P91" s="99">
        <f>Amnt_Deposited!C86</f>
        <v>0</v>
      </c>
      <c r="Q91" s="284">
        <f>MCF!R90</f>
        <v>0.6</v>
      </c>
      <c r="R91" s="67">
        <f t="shared" si="23"/>
        <v>0</v>
      </c>
      <c r="S91" s="67">
        <f t="shared" si="25"/>
        <v>0</v>
      </c>
      <c r="T91" s="67">
        <f t="shared" si="26"/>
        <v>0</v>
      </c>
      <c r="U91" s="67">
        <f t="shared" si="27"/>
        <v>9.7374375921186648E-9</v>
      </c>
      <c r="V91" s="67">
        <f t="shared" si="28"/>
        <v>4.7891122995445007E-9</v>
      </c>
      <c r="W91" s="100">
        <f t="shared" si="29"/>
        <v>3.1927415330296671E-9</v>
      </c>
    </row>
    <row r="92" spans="2:23">
      <c r="B92" s="96">
        <f>Amnt_Deposited!B87</f>
        <v>2073</v>
      </c>
      <c r="C92" s="99">
        <f>Amnt_Deposited!C87</f>
        <v>0</v>
      </c>
      <c r="D92" s="418">
        <f>Dry_Matter_Content!C79</f>
        <v>0.59</v>
      </c>
      <c r="E92" s="284">
        <f>MCF!R91</f>
        <v>0.6</v>
      </c>
      <c r="F92" s="67">
        <f t="shared" si="18"/>
        <v>0</v>
      </c>
      <c r="G92" s="67">
        <f t="shared" si="19"/>
        <v>0</v>
      </c>
      <c r="H92" s="67">
        <f t="shared" si="20"/>
        <v>0</v>
      </c>
      <c r="I92" s="67">
        <f t="shared" si="21"/>
        <v>9.7559876912471247E-9</v>
      </c>
      <c r="J92" s="67">
        <f t="shared" si="22"/>
        <v>4.7982356964395715E-9</v>
      </c>
      <c r="K92" s="100">
        <f t="shared" si="24"/>
        <v>3.1988237976263807E-9</v>
      </c>
      <c r="O92" s="96">
        <f>Amnt_Deposited!B87</f>
        <v>2073</v>
      </c>
      <c r="P92" s="99">
        <f>Amnt_Deposited!C87</f>
        <v>0</v>
      </c>
      <c r="Q92" s="284">
        <f>MCF!R91</f>
        <v>0.6</v>
      </c>
      <c r="R92" s="67">
        <f t="shared" si="23"/>
        <v>0</v>
      </c>
      <c r="S92" s="67">
        <f t="shared" si="25"/>
        <v>0</v>
      </c>
      <c r="T92" s="67">
        <f t="shared" si="26"/>
        <v>0</v>
      </c>
      <c r="U92" s="67">
        <f t="shared" si="27"/>
        <v>6.5271996150181483E-9</v>
      </c>
      <c r="V92" s="67">
        <f t="shared" si="28"/>
        <v>3.2102379771005164E-9</v>
      </c>
      <c r="W92" s="100">
        <f t="shared" si="29"/>
        <v>2.1401586514003442E-9</v>
      </c>
    </row>
    <row r="93" spans="2:23">
      <c r="B93" s="96">
        <f>Amnt_Deposited!B88</f>
        <v>2074</v>
      </c>
      <c r="C93" s="99">
        <f>Amnt_Deposited!C88</f>
        <v>0</v>
      </c>
      <c r="D93" s="418">
        <f>Dry_Matter_Content!C80</f>
        <v>0.59</v>
      </c>
      <c r="E93" s="284">
        <f>MCF!R92</f>
        <v>0.6</v>
      </c>
      <c r="F93" s="67">
        <f t="shared" si="18"/>
        <v>0</v>
      </c>
      <c r="G93" s="67">
        <f t="shared" si="19"/>
        <v>0</v>
      </c>
      <c r="H93" s="67">
        <f t="shared" si="20"/>
        <v>0</v>
      </c>
      <c r="I93" s="67">
        <f t="shared" si="21"/>
        <v>6.5396341183199034E-9</v>
      </c>
      <c r="J93" s="67">
        <f t="shared" si="22"/>
        <v>3.2163535729272213E-9</v>
      </c>
      <c r="K93" s="100">
        <f t="shared" si="24"/>
        <v>2.1442357152848141E-9</v>
      </c>
      <c r="O93" s="96">
        <f>Amnt_Deposited!B88</f>
        <v>2074</v>
      </c>
      <c r="P93" s="99">
        <f>Amnt_Deposited!C88</f>
        <v>0</v>
      </c>
      <c r="Q93" s="284">
        <f>MCF!R92</f>
        <v>0.6</v>
      </c>
      <c r="R93" s="67">
        <f t="shared" si="23"/>
        <v>0</v>
      </c>
      <c r="S93" s="67">
        <f t="shared" si="25"/>
        <v>0</v>
      </c>
      <c r="T93" s="67">
        <f t="shared" si="26"/>
        <v>0</v>
      </c>
      <c r="U93" s="67">
        <f t="shared" si="27"/>
        <v>4.3753127464227721E-9</v>
      </c>
      <c r="V93" s="67">
        <f t="shared" si="28"/>
        <v>2.1518868685953758E-9</v>
      </c>
      <c r="W93" s="100">
        <f t="shared" si="29"/>
        <v>1.4345912457302505E-9</v>
      </c>
    </row>
    <row r="94" spans="2:23">
      <c r="B94" s="96">
        <f>Amnt_Deposited!B89</f>
        <v>2075</v>
      </c>
      <c r="C94" s="99">
        <f>Amnt_Deposited!C89</f>
        <v>0</v>
      </c>
      <c r="D94" s="418">
        <f>Dry_Matter_Content!C81</f>
        <v>0.59</v>
      </c>
      <c r="E94" s="284">
        <f>MCF!R93</f>
        <v>0.6</v>
      </c>
      <c r="F94" s="67">
        <f t="shared" si="18"/>
        <v>0</v>
      </c>
      <c r="G94" s="67">
        <f t="shared" si="19"/>
        <v>0</v>
      </c>
      <c r="H94" s="67">
        <f t="shared" si="20"/>
        <v>0</v>
      </c>
      <c r="I94" s="67">
        <f t="shared" si="21"/>
        <v>4.3836478432484352E-9</v>
      </c>
      <c r="J94" s="67">
        <f t="shared" si="22"/>
        <v>2.1559862750714682E-9</v>
      </c>
      <c r="K94" s="100">
        <f t="shared" si="24"/>
        <v>1.4373241833809787E-9</v>
      </c>
      <c r="O94" s="96">
        <f>Amnt_Deposited!B89</f>
        <v>2075</v>
      </c>
      <c r="P94" s="99">
        <f>Amnt_Deposited!C89</f>
        <v>0</v>
      </c>
      <c r="Q94" s="284">
        <f>MCF!R93</f>
        <v>0.6</v>
      </c>
      <c r="R94" s="67">
        <f t="shared" si="23"/>
        <v>0</v>
      </c>
      <c r="S94" s="67">
        <f t="shared" si="25"/>
        <v>0</v>
      </c>
      <c r="T94" s="67">
        <f t="shared" si="26"/>
        <v>0</v>
      </c>
      <c r="U94" s="67">
        <f t="shared" si="27"/>
        <v>2.9328598416024323E-9</v>
      </c>
      <c r="V94" s="67">
        <f t="shared" si="28"/>
        <v>1.44245290482034E-9</v>
      </c>
      <c r="W94" s="100">
        <f t="shared" si="29"/>
        <v>9.6163526988022654E-10</v>
      </c>
    </row>
    <row r="95" spans="2:23">
      <c r="B95" s="96">
        <f>Amnt_Deposited!B90</f>
        <v>2076</v>
      </c>
      <c r="C95" s="99">
        <f>Amnt_Deposited!C90</f>
        <v>0</v>
      </c>
      <c r="D95" s="418">
        <f>Dry_Matter_Content!C82</f>
        <v>0.59</v>
      </c>
      <c r="E95" s="284">
        <f>MCF!R94</f>
        <v>0.6</v>
      </c>
      <c r="F95" s="67">
        <f t="shared" si="18"/>
        <v>0</v>
      </c>
      <c r="G95" s="67">
        <f t="shared" si="19"/>
        <v>0</v>
      </c>
      <c r="H95" s="67">
        <f t="shared" si="20"/>
        <v>0</v>
      </c>
      <c r="I95" s="67">
        <f t="shared" si="21"/>
        <v>2.938447024090322E-9</v>
      </c>
      <c r="J95" s="67">
        <f t="shared" si="22"/>
        <v>1.445200819158113E-9</v>
      </c>
      <c r="K95" s="100">
        <f t="shared" si="24"/>
        <v>9.6346721277207534E-10</v>
      </c>
      <c r="O95" s="96">
        <f>Amnt_Deposited!B90</f>
        <v>2076</v>
      </c>
      <c r="P95" s="99">
        <f>Amnt_Deposited!C90</f>
        <v>0</v>
      </c>
      <c r="Q95" s="284">
        <f>MCF!R94</f>
        <v>0.6</v>
      </c>
      <c r="R95" s="67">
        <f t="shared" si="23"/>
        <v>0</v>
      </c>
      <c r="S95" s="67">
        <f t="shared" si="25"/>
        <v>0</v>
      </c>
      <c r="T95" s="67">
        <f t="shared" si="26"/>
        <v>0</v>
      </c>
      <c r="U95" s="67">
        <f t="shared" si="27"/>
        <v>1.9659547440390202E-9</v>
      </c>
      <c r="V95" s="67">
        <f t="shared" si="28"/>
        <v>9.6690509756341193E-10</v>
      </c>
      <c r="W95" s="100">
        <f t="shared" si="29"/>
        <v>6.4460339837560792E-10</v>
      </c>
    </row>
    <row r="96" spans="2:23">
      <c r="B96" s="96">
        <f>Amnt_Deposited!B91</f>
        <v>2077</v>
      </c>
      <c r="C96" s="99">
        <f>Amnt_Deposited!C91</f>
        <v>0</v>
      </c>
      <c r="D96" s="418">
        <f>Dry_Matter_Content!C83</f>
        <v>0.59</v>
      </c>
      <c r="E96" s="284">
        <f>MCF!R95</f>
        <v>0.6</v>
      </c>
      <c r="F96" s="67">
        <f t="shared" si="18"/>
        <v>0</v>
      </c>
      <c r="G96" s="67">
        <f t="shared" si="19"/>
        <v>0</v>
      </c>
      <c r="H96" s="67">
        <f t="shared" si="20"/>
        <v>0</v>
      </c>
      <c r="I96" s="67">
        <f t="shared" si="21"/>
        <v>1.969699944461512E-9</v>
      </c>
      <c r="J96" s="67">
        <f t="shared" si="22"/>
        <v>9.6874707962880995E-10</v>
      </c>
      <c r="K96" s="100">
        <f t="shared" si="24"/>
        <v>6.458313864192066E-10</v>
      </c>
      <c r="O96" s="96">
        <f>Amnt_Deposited!B91</f>
        <v>2077</v>
      </c>
      <c r="P96" s="99">
        <f>Amnt_Deposited!C91</f>
        <v>0</v>
      </c>
      <c r="Q96" s="284">
        <f>MCF!R95</f>
        <v>0.6</v>
      </c>
      <c r="R96" s="67">
        <f t="shared" si="23"/>
        <v>0</v>
      </c>
      <c r="S96" s="67">
        <f t="shared" si="25"/>
        <v>0</v>
      </c>
      <c r="T96" s="67">
        <f t="shared" si="26"/>
        <v>0</v>
      </c>
      <c r="U96" s="67">
        <f t="shared" si="27"/>
        <v>1.3178188745282196E-9</v>
      </c>
      <c r="V96" s="67">
        <f t="shared" si="28"/>
        <v>6.4813586951080063E-10</v>
      </c>
      <c r="W96" s="100">
        <f t="shared" si="29"/>
        <v>4.3209057967386709E-10</v>
      </c>
    </row>
    <row r="97" spans="2:23">
      <c r="B97" s="96">
        <f>Amnt_Deposited!B92</f>
        <v>2078</v>
      </c>
      <c r="C97" s="99">
        <f>Amnt_Deposited!C92</f>
        <v>0</v>
      </c>
      <c r="D97" s="418">
        <f>Dry_Matter_Content!C84</f>
        <v>0.59</v>
      </c>
      <c r="E97" s="284">
        <f>MCF!R96</f>
        <v>0.6</v>
      </c>
      <c r="F97" s="67">
        <f t="shared" si="18"/>
        <v>0</v>
      </c>
      <c r="G97" s="67">
        <f t="shared" si="19"/>
        <v>0</v>
      </c>
      <c r="H97" s="67">
        <f t="shared" si="20"/>
        <v>0</v>
      </c>
      <c r="I97" s="67">
        <f t="shared" si="21"/>
        <v>1.320329357447837E-9</v>
      </c>
      <c r="J97" s="67">
        <f t="shared" si="22"/>
        <v>6.4937058701367506E-10</v>
      </c>
      <c r="K97" s="100">
        <f t="shared" si="24"/>
        <v>4.3291372467578336E-10</v>
      </c>
      <c r="O97" s="96">
        <f>Amnt_Deposited!B92</f>
        <v>2078</v>
      </c>
      <c r="P97" s="99">
        <f>Amnt_Deposited!C92</f>
        <v>0</v>
      </c>
      <c r="Q97" s="284">
        <f>MCF!R96</f>
        <v>0.6</v>
      </c>
      <c r="R97" s="67">
        <f t="shared" si="23"/>
        <v>0</v>
      </c>
      <c r="S97" s="67">
        <f t="shared" si="25"/>
        <v>0</v>
      </c>
      <c r="T97" s="67">
        <f t="shared" si="26"/>
        <v>0</v>
      </c>
      <c r="U97" s="67">
        <f t="shared" si="27"/>
        <v>8.8336040864039053E-10</v>
      </c>
      <c r="V97" s="67">
        <f t="shared" si="28"/>
        <v>4.3445846588782903E-10</v>
      </c>
      <c r="W97" s="100">
        <f t="shared" si="29"/>
        <v>2.8963897725855269E-10</v>
      </c>
    </row>
    <row r="98" spans="2:23">
      <c r="B98" s="96">
        <f>Amnt_Deposited!B93</f>
        <v>2079</v>
      </c>
      <c r="C98" s="99">
        <f>Amnt_Deposited!C93</f>
        <v>0</v>
      </c>
      <c r="D98" s="418">
        <f>Dry_Matter_Content!C85</f>
        <v>0.59</v>
      </c>
      <c r="E98" s="284">
        <f>MCF!R97</f>
        <v>0.6</v>
      </c>
      <c r="F98" s="67">
        <f t="shared" si="18"/>
        <v>0</v>
      </c>
      <c r="G98" s="67">
        <f t="shared" si="19"/>
        <v>0</v>
      </c>
      <c r="H98" s="67">
        <f t="shared" si="20"/>
        <v>0</v>
      </c>
      <c r="I98" s="67">
        <f t="shared" si="21"/>
        <v>8.8504323566664017E-10</v>
      </c>
      <c r="J98" s="67">
        <f t="shared" si="22"/>
        <v>4.352861217811968E-10</v>
      </c>
      <c r="K98" s="100">
        <f t="shared" si="24"/>
        <v>2.901907478541312E-10</v>
      </c>
      <c r="O98" s="96">
        <f>Amnt_Deposited!B93</f>
        <v>2079</v>
      </c>
      <c r="P98" s="99">
        <f>Amnt_Deposited!C93</f>
        <v>0</v>
      </c>
      <c r="Q98" s="284">
        <f>MCF!R97</f>
        <v>0.6</v>
      </c>
      <c r="R98" s="67">
        <f t="shared" si="23"/>
        <v>0</v>
      </c>
      <c r="S98" s="67">
        <f t="shared" si="25"/>
        <v>0</v>
      </c>
      <c r="T98" s="67">
        <f t="shared" si="26"/>
        <v>0</v>
      </c>
      <c r="U98" s="67">
        <f t="shared" si="27"/>
        <v>5.9213418978588777E-10</v>
      </c>
      <c r="V98" s="67">
        <f t="shared" si="28"/>
        <v>2.9122621885450276E-10</v>
      </c>
      <c r="W98" s="100">
        <f t="shared" si="29"/>
        <v>1.9415081256966851E-10</v>
      </c>
    </row>
    <row r="99" spans="2:23" ht="13.5" thickBot="1">
      <c r="B99" s="97">
        <f>Amnt_Deposited!B94</f>
        <v>2080</v>
      </c>
      <c r="C99" s="101">
        <f>Amnt_Deposited!C94</f>
        <v>0</v>
      </c>
      <c r="D99" s="419">
        <f>Dry_Matter_Content!C86</f>
        <v>0.59</v>
      </c>
      <c r="E99" s="285">
        <f>MCF!R98</f>
        <v>0.6</v>
      </c>
      <c r="F99" s="68">
        <f t="shared" si="18"/>
        <v>0</v>
      </c>
      <c r="G99" s="68">
        <f t="shared" si="19"/>
        <v>0</v>
      </c>
      <c r="H99" s="68">
        <f t="shared" si="20"/>
        <v>0</v>
      </c>
      <c r="I99" s="68">
        <f t="shared" si="21"/>
        <v>5.9326222247559342E-10</v>
      </c>
      <c r="J99" s="68">
        <f t="shared" si="22"/>
        <v>2.9178101319104675E-10</v>
      </c>
      <c r="K99" s="102">
        <f t="shared" si="24"/>
        <v>1.9452067546069783E-10</v>
      </c>
      <c r="O99" s="97">
        <f>Amnt_Deposited!B94</f>
        <v>2080</v>
      </c>
      <c r="P99" s="101">
        <f>Amnt_Deposited!C94</f>
        <v>0</v>
      </c>
      <c r="Q99" s="285">
        <f>MCF!R98</f>
        <v>0.6</v>
      </c>
      <c r="R99" s="68">
        <f t="shared" si="23"/>
        <v>0</v>
      </c>
      <c r="S99" s="68">
        <f>R99*$W$12</f>
        <v>0</v>
      </c>
      <c r="T99" s="68">
        <f>R99*(1-$W$12)</f>
        <v>0</v>
      </c>
      <c r="U99" s="68">
        <f>S99+U98*$W$10</f>
        <v>3.969194173565523E-10</v>
      </c>
      <c r="V99" s="68">
        <f>U98*(1-$W$10)+T99</f>
        <v>1.9521477242933549E-10</v>
      </c>
      <c r="W99" s="102">
        <f t="shared" si="29"/>
        <v>1.3014318161955698E-10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0.44</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Dry_Matter_Content!D6</f>
        <v>0.44</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Amnt_Deposited!D14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Dry_Matter_Content!D7</f>
        <v>0.44</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Amnt_Deposited!D15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Dry_Matter_Content!D8</f>
        <v>0.44</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Amnt_Deposited!D16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Dry_Matter_Content!D9</f>
        <v>0.44</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Amnt_Deposited!D17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Dry_Matter_Content!D10</f>
        <v>0.44</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Amnt_Deposited!D18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Dry_Matter_Content!D11</f>
        <v>0.44</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Amnt_Deposited!D19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Dry_Matter_Content!D12</f>
        <v>0.44</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Amnt_Deposited!D20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Dry_Matter_Content!D13</f>
        <v>0.44</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Amnt_Deposited!D21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Dry_Matter_Content!D14</f>
        <v>0.44</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Amnt_Deposited!D22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Dry_Matter_Content!D15</f>
        <v>0.44</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Amnt_Deposited!D23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Dry_Matter_Content!D16</f>
        <v>0.44</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Amnt_Deposited!D24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Dry_Matter_Content!D17</f>
        <v>0.44</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Amnt_Deposited!D25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Dry_Matter_Content!D18</f>
        <v>0.44</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Amnt_Deposited!D26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Dry_Matter_Content!D19</f>
        <v>0.44</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Amnt_Deposited!D27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Dry_Matter_Content!D20</f>
        <v>0.44</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Amnt_Deposited!D28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Dry_Matter_Content!D21</f>
        <v>0.44</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Amnt_Deposited!D29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Dry_Matter_Content!D22</f>
        <v>0.44</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Amnt_Deposited!D30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0.14280093600000002</v>
      </c>
      <c r="D36" s="418">
        <f>Dry_Matter_Content!D23</f>
        <v>0.44</v>
      </c>
      <c r="E36" s="284">
        <f>MCF!R35</f>
        <v>0.6</v>
      </c>
      <c r="F36" s="67">
        <f t="shared" si="0"/>
        <v>8.2938783628799997E-3</v>
      </c>
      <c r="G36" s="67">
        <f t="shared" si="1"/>
        <v>8.2938783628799997E-3</v>
      </c>
      <c r="H36" s="67">
        <f t="shared" si="2"/>
        <v>0</v>
      </c>
      <c r="I36" s="67">
        <f t="shared" si="3"/>
        <v>8.2938783628799997E-3</v>
      </c>
      <c r="J36" s="67">
        <f t="shared" si="4"/>
        <v>0</v>
      </c>
      <c r="K36" s="100">
        <f t="shared" si="6"/>
        <v>0</v>
      </c>
      <c r="O36" s="96">
        <f>Amnt_Deposited!B31</f>
        <v>2017</v>
      </c>
      <c r="P36" s="99">
        <f>Amnt_Deposited!D31</f>
        <v>0.14280093600000002</v>
      </c>
      <c r="Q36" s="284">
        <f>MCF!R35</f>
        <v>0.6</v>
      </c>
      <c r="R36" s="67">
        <f t="shared" si="5"/>
        <v>1.7136112320000001E-2</v>
      </c>
      <c r="S36" s="67">
        <f t="shared" si="7"/>
        <v>1.7136112320000001E-2</v>
      </c>
      <c r="T36" s="67">
        <f t="shared" si="8"/>
        <v>0</v>
      </c>
      <c r="U36" s="67">
        <f t="shared" si="9"/>
        <v>1.7136112320000001E-2</v>
      </c>
      <c r="V36" s="67">
        <f t="shared" si="10"/>
        <v>0</v>
      </c>
      <c r="W36" s="100">
        <f t="shared" si="11"/>
        <v>0</v>
      </c>
    </row>
    <row r="37" spans="2:23">
      <c r="B37" s="96">
        <f>Amnt_Deposited!B32</f>
        <v>2018</v>
      </c>
      <c r="C37" s="99">
        <f>Amnt_Deposited!D32</f>
        <v>0.157761606252</v>
      </c>
      <c r="D37" s="418">
        <f>Dry_Matter_Content!D24</f>
        <v>0.44</v>
      </c>
      <c r="E37" s="284">
        <f>MCF!R36</f>
        <v>0.6</v>
      </c>
      <c r="F37" s="67">
        <f t="shared" si="0"/>
        <v>9.1627940911161599E-3</v>
      </c>
      <c r="G37" s="67">
        <f t="shared" si="1"/>
        <v>9.1627940911161599E-3</v>
      </c>
      <c r="H37" s="67">
        <f t="shared" si="2"/>
        <v>0</v>
      </c>
      <c r="I37" s="67">
        <f t="shared" si="3"/>
        <v>1.6895955019717135E-2</v>
      </c>
      <c r="J37" s="67">
        <f t="shared" si="4"/>
        <v>5.6071743427902416E-4</v>
      </c>
      <c r="K37" s="100">
        <f t="shared" si="6"/>
        <v>3.7381162285268278E-4</v>
      </c>
      <c r="O37" s="96">
        <f>Amnt_Deposited!B32</f>
        <v>2018</v>
      </c>
      <c r="P37" s="99">
        <f>Amnt_Deposited!D32</f>
        <v>0.157761606252</v>
      </c>
      <c r="Q37" s="284">
        <f>MCF!R36</f>
        <v>0.6</v>
      </c>
      <c r="R37" s="67">
        <f t="shared" si="5"/>
        <v>1.893139275024E-2</v>
      </c>
      <c r="S37" s="67">
        <f t="shared" si="7"/>
        <v>1.893139275024E-2</v>
      </c>
      <c r="T37" s="67">
        <f t="shared" si="8"/>
        <v>0</v>
      </c>
      <c r="U37" s="67">
        <f t="shared" si="9"/>
        <v>3.4908997974622186E-2</v>
      </c>
      <c r="V37" s="67">
        <f t="shared" si="10"/>
        <v>1.1585070956178186E-3</v>
      </c>
      <c r="W37" s="100">
        <f t="shared" si="11"/>
        <v>7.7233806374521236E-4</v>
      </c>
    </row>
    <row r="38" spans="2:23">
      <c r="B38" s="96">
        <f>Amnt_Deposited!B33</f>
        <v>2019</v>
      </c>
      <c r="C38" s="99">
        <f>Amnt_Deposited!D33</f>
        <v>0.174145548172848</v>
      </c>
      <c r="D38" s="418">
        <f>Dry_Matter_Content!D25</f>
        <v>0.44</v>
      </c>
      <c r="E38" s="284">
        <f>MCF!R37</f>
        <v>0.6</v>
      </c>
      <c r="F38" s="67">
        <f t="shared" si="0"/>
        <v>1.0114373437879012E-2</v>
      </c>
      <c r="G38" s="67">
        <f t="shared" si="1"/>
        <v>1.0114373437879012E-2</v>
      </c>
      <c r="H38" s="67">
        <f t="shared" si="2"/>
        <v>0</v>
      </c>
      <c r="I38" s="67">
        <f t="shared" si="3"/>
        <v>2.5868057479672156E-2</v>
      </c>
      <c r="J38" s="67">
        <f t="shared" si="4"/>
        <v>1.1422709779239939E-3</v>
      </c>
      <c r="K38" s="100">
        <f t="shared" si="6"/>
        <v>7.6151398528266254E-4</v>
      </c>
      <c r="O38" s="96">
        <f>Amnt_Deposited!B33</f>
        <v>2019</v>
      </c>
      <c r="P38" s="99">
        <f>Amnt_Deposited!D33</f>
        <v>0.174145548172848</v>
      </c>
      <c r="Q38" s="284">
        <f>MCF!R37</f>
        <v>0.6</v>
      </c>
      <c r="R38" s="67">
        <f t="shared" si="5"/>
        <v>2.089746578074176E-2</v>
      </c>
      <c r="S38" s="67">
        <f t="shared" si="7"/>
        <v>2.089746578074176E-2</v>
      </c>
      <c r="T38" s="67">
        <f t="shared" si="8"/>
        <v>0</v>
      </c>
      <c r="U38" s="67">
        <f t="shared" si="9"/>
        <v>5.3446399751388748E-2</v>
      </c>
      <c r="V38" s="67">
        <f t="shared" si="10"/>
        <v>2.3600640039751946E-3</v>
      </c>
      <c r="W38" s="100">
        <f t="shared" si="11"/>
        <v>1.5733760026501297E-3</v>
      </c>
    </row>
    <row r="39" spans="2:23">
      <c r="B39" s="96">
        <f>Amnt_Deposited!B34</f>
        <v>2020</v>
      </c>
      <c r="C39" s="99">
        <f>Amnt_Deposited!D34</f>
        <v>0.19208083401442289</v>
      </c>
      <c r="D39" s="418">
        <f>Dry_Matter_Content!D26</f>
        <v>0.44</v>
      </c>
      <c r="E39" s="284">
        <f>MCF!R38</f>
        <v>0.6</v>
      </c>
      <c r="F39" s="67">
        <f t="shared" si="0"/>
        <v>1.1156054839557682E-2</v>
      </c>
      <c r="G39" s="67">
        <f t="shared" si="1"/>
        <v>1.1156054839557682E-2</v>
      </c>
      <c r="H39" s="67">
        <f t="shared" si="2"/>
        <v>0</v>
      </c>
      <c r="I39" s="67">
        <f t="shared" si="3"/>
        <v>3.5275271766575841E-2</v>
      </c>
      <c r="J39" s="67">
        <f t="shared" si="4"/>
        <v>1.7488405526539976E-3</v>
      </c>
      <c r="K39" s="100">
        <f t="shared" si="6"/>
        <v>1.1658937017693318E-3</v>
      </c>
      <c r="O39" s="96">
        <f>Amnt_Deposited!B34</f>
        <v>2020</v>
      </c>
      <c r="P39" s="99">
        <f>Amnt_Deposited!D34</f>
        <v>0.19208083401442289</v>
      </c>
      <c r="Q39" s="284">
        <f>MCF!R38</f>
        <v>0.6</v>
      </c>
      <c r="R39" s="67">
        <f t="shared" si="5"/>
        <v>2.3049700081730747E-2</v>
      </c>
      <c r="S39" s="67">
        <f t="shared" si="7"/>
        <v>2.3049700081730747E-2</v>
      </c>
      <c r="T39" s="67">
        <f t="shared" si="8"/>
        <v>0</v>
      </c>
      <c r="U39" s="67">
        <f t="shared" si="9"/>
        <v>7.2882792906148436E-2</v>
      </c>
      <c r="V39" s="67">
        <f t="shared" si="10"/>
        <v>3.6133069269710691E-3</v>
      </c>
      <c r="W39" s="100">
        <f t="shared" si="11"/>
        <v>2.4088712846473794E-3</v>
      </c>
    </row>
    <row r="40" spans="2:23">
      <c r="B40" s="96">
        <f>Amnt_Deposited!B35</f>
        <v>2021</v>
      </c>
      <c r="C40" s="99">
        <f>Amnt_Deposited!D35</f>
        <v>0.21170664996265462</v>
      </c>
      <c r="D40" s="418">
        <f>Dry_Matter_Content!D27</f>
        <v>0.44</v>
      </c>
      <c r="E40" s="284">
        <f>MCF!R39</f>
        <v>0.6</v>
      </c>
      <c r="F40" s="67">
        <f t="shared" si="0"/>
        <v>1.229592222983098E-2</v>
      </c>
      <c r="G40" s="67">
        <f t="shared" si="1"/>
        <v>1.229592222983098E-2</v>
      </c>
      <c r="H40" s="67">
        <f t="shared" si="2"/>
        <v>0</v>
      </c>
      <c r="I40" s="67">
        <f t="shared" si="3"/>
        <v>4.5186367620489075E-2</v>
      </c>
      <c r="J40" s="67">
        <f t="shared" si="4"/>
        <v>2.3848263759177445E-3</v>
      </c>
      <c r="K40" s="100">
        <f t="shared" si="6"/>
        <v>1.5898842506118296E-3</v>
      </c>
      <c r="O40" s="96">
        <f>Amnt_Deposited!B35</f>
        <v>2021</v>
      </c>
      <c r="P40" s="99">
        <f>Amnt_Deposited!D35</f>
        <v>0.21170664996265462</v>
      </c>
      <c r="Q40" s="284">
        <f>MCF!R39</f>
        <v>0.6</v>
      </c>
      <c r="R40" s="67">
        <f t="shared" si="5"/>
        <v>2.5404797995518556E-2</v>
      </c>
      <c r="S40" s="67">
        <f t="shared" si="7"/>
        <v>2.5404797995518556E-2</v>
      </c>
      <c r="T40" s="67">
        <f t="shared" si="8"/>
        <v>0</v>
      </c>
      <c r="U40" s="67">
        <f t="shared" si="9"/>
        <v>9.3360263678696459E-2</v>
      </c>
      <c r="V40" s="67">
        <f t="shared" si="10"/>
        <v>4.927327222970547E-3</v>
      </c>
      <c r="W40" s="100">
        <f t="shared" si="11"/>
        <v>3.2848848153136977E-3</v>
      </c>
    </row>
    <row r="41" spans="2:23">
      <c r="B41" s="96">
        <f>Amnt_Deposited!B36</f>
        <v>2022</v>
      </c>
      <c r="C41" s="99">
        <f>Amnt_Deposited!D36</f>
        <v>0.23317423627486528</v>
      </c>
      <c r="D41" s="418">
        <f>Dry_Matter_Content!D28</f>
        <v>0.44</v>
      </c>
      <c r="E41" s="284">
        <f>MCF!R40</f>
        <v>0.6</v>
      </c>
      <c r="F41" s="67">
        <f t="shared" si="0"/>
        <v>1.3542759642844175E-2</v>
      </c>
      <c r="G41" s="67">
        <f t="shared" si="1"/>
        <v>1.3542759642844175E-2</v>
      </c>
      <c r="H41" s="67">
        <f t="shared" si="2"/>
        <v>0</v>
      </c>
      <c r="I41" s="67">
        <f t="shared" si="3"/>
        <v>5.5674249556186439E-2</v>
      </c>
      <c r="J41" s="67">
        <f t="shared" si="4"/>
        <v>3.0548777071468121E-3</v>
      </c>
      <c r="K41" s="100">
        <f t="shared" si="6"/>
        <v>2.0365851380978748E-3</v>
      </c>
      <c r="O41" s="96">
        <f>Amnt_Deposited!B36</f>
        <v>2022</v>
      </c>
      <c r="P41" s="99">
        <f>Amnt_Deposited!D36</f>
        <v>0.23317423627486528</v>
      </c>
      <c r="Q41" s="284">
        <f>MCF!R40</f>
        <v>0.6</v>
      </c>
      <c r="R41" s="67">
        <f t="shared" si="5"/>
        <v>2.7980908352983832E-2</v>
      </c>
      <c r="S41" s="67">
        <f t="shared" si="7"/>
        <v>2.7980908352983832E-2</v>
      </c>
      <c r="T41" s="67">
        <f t="shared" si="8"/>
        <v>0</v>
      </c>
      <c r="U41" s="67">
        <f t="shared" si="9"/>
        <v>0.11502944123179018</v>
      </c>
      <c r="V41" s="67">
        <f t="shared" si="10"/>
        <v>6.3117307998901088E-3</v>
      </c>
      <c r="W41" s="100">
        <f t="shared" si="11"/>
        <v>4.2078205332600725E-3</v>
      </c>
    </row>
    <row r="42" spans="2:23">
      <c r="B42" s="96">
        <f>Amnt_Deposited!B37</f>
        <v>2023</v>
      </c>
      <c r="C42" s="99">
        <f>Amnt_Deposited!D37</f>
        <v>0.2566479054510078</v>
      </c>
      <c r="D42" s="418">
        <f>Dry_Matter_Content!D29</f>
        <v>0.44</v>
      </c>
      <c r="E42" s="284">
        <f>MCF!R41</f>
        <v>0.6</v>
      </c>
      <c r="F42" s="67">
        <f t="shared" si="0"/>
        <v>1.4906110348594532E-2</v>
      </c>
      <c r="G42" s="67">
        <f t="shared" si="1"/>
        <v>1.4906110348594532E-2</v>
      </c>
      <c r="H42" s="67">
        <f t="shared" si="2"/>
        <v>0</v>
      </c>
      <c r="I42" s="67">
        <f t="shared" si="3"/>
        <v>6.6816436562684253E-2</v>
      </c>
      <c r="J42" s="67">
        <f t="shared" si="4"/>
        <v>3.7639233420967196E-3</v>
      </c>
      <c r="K42" s="100">
        <f t="shared" si="6"/>
        <v>2.5092822280644795E-3</v>
      </c>
      <c r="O42" s="96">
        <f>Amnt_Deposited!B37</f>
        <v>2023</v>
      </c>
      <c r="P42" s="99">
        <f>Amnt_Deposited!D37</f>
        <v>0.2566479054510078</v>
      </c>
      <c r="Q42" s="284">
        <f>MCF!R41</f>
        <v>0.6</v>
      </c>
      <c r="R42" s="67">
        <f t="shared" si="5"/>
        <v>3.0797748654120934E-2</v>
      </c>
      <c r="S42" s="67">
        <f t="shared" si="7"/>
        <v>3.0797748654120934E-2</v>
      </c>
      <c r="T42" s="67">
        <f t="shared" si="8"/>
        <v>0</v>
      </c>
      <c r="U42" s="67">
        <f t="shared" si="9"/>
        <v>0.13805048876587656</v>
      </c>
      <c r="V42" s="67">
        <f t="shared" si="10"/>
        <v>7.7767011200345461E-3</v>
      </c>
      <c r="W42" s="100">
        <f t="shared" si="11"/>
        <v>5.1844674133563638E-3</v>
      </c>
    </row>
    <row r="43" spans="2:23">
      <c r="B43" s="96">
        <f>Amnt_Deposited!B38</f>
        <v>2024</v>
      </c>
      <c r="C43" s="99">
        <f>Amnt_Deposited!D38</f>
        <v>0.28230614482175825</v>
      </c>
      <c r="D43" s="418">
        <f>Dry_Matter_Content!D30</f>
        <v>0.44</v>
      </c>
      <c r="E43" s="284">
        <f>MCF!R42</f>
        <v>0.6</v>
      </c>
      <c r="F43" s="67">
        <f t="shared" si="0"/>
        <v>1.6396340891247717E-2</v>
      </c>
      <c r="G43" s="67">
        <f t="shared" si="1"/>
        <v>1.6396340891247717E-2</v>
      </c>
      <c r="H43" s="67">
        <f t="shared" si="2"/>
        <v>0</v>
      </c>
      <c r="I43" s="67">
        <f t="shared" si="3"/>
        <v>7.8695573410432346E-2</v>
      </c>
      <c r="J43" s="67">
        <f t="shared" si="4"/>
        <v>4.517204043499614E-3</v>
      </c>
      <c r="K43" s="100">
        <f t="shared" si="6"/>
        <v>3.011469362333076E-3</v>
      </c>
      <c r="O43" s="96">
        <f>Amnt_Deposited!B38</f>
        <v>2024</v>
      </c>
      <c r="P43" s="99">
        <f>Amnt_Deposited!D38</f>
        <v>0.28230614482175825</v>
      </c>
      <c r="Q43" s="284">
        <f>MCF!R42</f>
        <v>0.6</v>
      </c>
      <c r="R43" s="67">
        <f t="shared" si="5"/>
        <v>3.3876737378610994E-2</v>
      </c>
      <c r="S43" s="67">
        <f t="shared" si="7"/>
        <v>3.3876737378610994E-2</v>
      </c>
      <c r="T43" s="67">
        <f t="shared" si="8"/>
        <v>0</v>
      </c>
      <c r="U43" s="67">
        <f t="shared" si="9"/>
        <v>0.16259415993890983</v>
      </c>
      <c r="V43" s="67">
        <f t="shared" si="10"/>
        <v>9.3330662055777155E-3</v>
      </c>
      <c r="W43" s="100">
        <f t="shared" si="11"/>
        <v>6.2220441370518104E-3</v>
      </c>
    </row>
    <row r="44" spans="2:23">
      <c r="B44" s="96">
        <f>Amnt_Deposited!B39</f>
        <v>2025</v>
      </c>
      <c r="C44" s="99">
        <f>Amnt_Deposited!D39</f>
        <v>0.3103428104524899</v>
      </c>
      <c r="D44" s="418">
        <f>Dry_Matter_Content!D31</f>
        <v>0.44</v>
      </c>
      <c r="E44" s="284">
        <f>MCF!R43</f>
        <v>0.6</v>
      </c>
      <c r="F44" s="67">
        <f t="shared" si="0"/>
        <v>1.8024710431080615E-2</v>
      </c>
      <c r="G44" s="67">
        <f t="shared" si="1"/>
        <v>1.8024710431080615E-2</v>
      </c>
      <c r="H44" s="67">
        <f t="shared" si="2"/>
        <v>0</v>
      </c>
      <c r="I44" s="67">
        <f t="shared" si="3"/>
        <v>9.1399976732922605E-2</v>
      </c>
      <c r="J44" s="67">
        <f t="shared" si="4"/>
        <v>5.3203071085903579E-3</v>
      </c>
      <c r="K44" s="100">
        <f t="shared" si="6"/>
        <v>3.5468714057269052E-3</v>
      </c>
      <c r="O44" s="96">
        <f>Amnt_Deposited!B39</f>
        <v>2025</v>
      </c>
      <c r="P44" s="99">
        <f>Amnt_Deposited!D39</f>
        <v>0.3103428104524899</v>
      </c>
      <c r="Q44" s="284">
        <f>MCF!R43</f>
        <v>0.6</v>
      </c>
      <c r="R44" s="67">
        <f t="shared" si="5"/>
        <v>3.7241137254298791E-2</v>
      </c>
      <c r="S44" s="67">
        <f t="shared" si="7"/>
        <v>3.7241137254298791E-2</v>
      </c>
      <c r="T44" s="67">
        <f t="shared" si="8"/>
        <v>0</v>
      </c>
      <c r="U44" s="67">
        <f t="shared" si="9"/>
        <v>0.18884292713413761</v>
      </c>
      <c r="V44" s="67">
        <f t="shared" si="10"/>
        <v>1.0992370059070989E-2</v>
      </c>
      <c r="W44" s="100">
        <f t="shared" si="11"/>
        <v>7.3282467060473257E-3</v>
      </c>
    </row>
    <row r="45" spans="2:23">
      <c r="B45" s="96">
        <f>Amnt_Deposited!B40</f>
        <v>2026</v>
      </c>
      <c r="C45" s="99">
        <f>Amnt_Deposited!D40</f>
        <v>0.34096841981955328</v>
      </c>
      <c r="D45" s="418">
        <f>Dry_Matter_Content!D32</f>
        <v>0.44</v>
      </c>
      <c r="E45" s="284">
        <f>MCF!R44</f>
        <v>0.6</v>
      </c>
      <c r="F45" s="67">
        <f t="shared" si="0"/>
        <v>1.9803445823119655E-2</v>
      </c>
      <c r="G45" s="67">
        <f t="shared" si="1"/>
        <v>1.9803445823119655E-2</v>
      </c>
      <c r="H45" s="67">
        <f t="shared" si="2"/>
        <v>0</v>
      </c>
      <c r="I45" s="67">
        <f t="shared" si="3"/>
        <v>0.10502421926844416</v>
      </c>
      <c r="J45" s="67">
        <f t="shared" si="4"/>
        <v>6.1792032875981036E-3</v>
      </c>
      <c r="K45" s="100">
        <f t="shared" si="6"/>
        <v>4.1194688583987352E-3</v>
      </c>
      <c r="O45" s="96">
        <f>Amnt_Deposited!B40</f>
        <v>2026</v>
      </c>
      <c r="P45" s="99">
        <f>Amnt_Deposited!D40</f>
        <v>0.34096841981955328</v>
      </c>
      <c r="Q45" s="284">
        <f>MCF!R44</f>
        <v>0.6</v>
      </c>
      <c r="R45" s="67">
        <f t="shared" si="5"/>
        <v>4.0916210378346397E-2</v>
      </c>
      <c r="S45" s="67">
        <f t="shared" si="7"/>
        <v>4.0916210378346397E-2</v>
      </c>
      <c r="T45" s="67">
        <f t="shared" si="8"/>
        <v>0</v>
      </c>
      <c r="U45" s="67">
        <f t="shared" si="9"/>
        <v>0.21699218857116562</v>
      </c>
      <c r="V45" s="67">
        <f t="shared" si="10"/>
        <v>1.2766948941318395E-2</v>
      </c>
      <c r="W45" s="100">
        <f t="shared" si="11"/>
        <v>8.5112992942122621E-3</v>
      </c>
    </row>
    <row r="46" spans="2:23">
      <c r="B46" s="96">
        <f>Amnt_Deposited!B41</f>
        <v>2027</v>
      </c>
      <c r="C46" s="99">
        <f>Amnt_Deposited!D41</f>
        <v>0.37441155131730647</v>
      </c>
      <c r="D46" s="418">
        <f>Dry_Matter_Content!D33</f>
        <v>0.44</v>
      </c>
      <c r="E46" s="284">
        <f>MCF!R45</f>
        <v>0.6</v>
      </c>
      <c r="F46" s="67">
        <f t="shared" si="0"/>
        <v>2.1745822900509158E-2</v>
      </c>
      <c r="G46" s="67">
        <f t="shared" si="1"/>
        <v>2.1745822900509158E-2</v>
      </c>
      <c r="H46" s="67">
        <f t="shared" si="2"/>
        <v>0</v>
      </c>
      <c r="I46" s="67">
        <f t="shared" si="3"/>
        <v>0.11966975588685369</v>
      </c>
      <c r="J46" s="67">
        <f t="shared" si="4"/>
        <v>7.1002862820996136E-3</v>
      </c>
      <c r="K46" s="100">
        <f t="shared" si="6"/>
        <v>4.733524188066409E-3</v>
      </c>
      <c r="O46" s="96">
        <f>Amnt_Deposited!B41</f>
        <v>2027</v>
      </c>
      <c r="P46" s="99">
        <f>Amnt_Deposited!D41</f>
        <v>0.37441155131730647</v>
      </c>
      <c r="Q46" s="284">
        <f>MCF!R45</f>
        <v>0.6</v>
      </c>
      <c r="R46" s="67">
        <f t="shared" si="5"/>
        <v>4.4929386158076783E-2</v>
      </c>
      <c r="S46" s="67">
        <f t="shared" si="7"/>
        <v>4.4929386158076783E-2</v>
      </c>
      <c r="T46" s="67">
        <f t="shared" si="8"/>
        <v>0</v>
      </c>
      <c r="U46" s="67">
        <f t="shared" si="9"/>
        <v>0.24725156174969776</v>
      </c>
      <c r="V46" s="67">
        <f t="shared" si="10"/>
        <v>1.4670012979544655E-2</v>
      </c>
      <c r="W46" s="100">
        <f t="shared" si="11"/>
        <v>9.7800086530297689E-3</v>
      </c>
    </row>
    <row r="47" spans="2:23">
      <c r="B47" s="96">
        <f>Amnt_Deposited!B42</f>
        <v>2028</v>
      </c>
      <c r="C47" s="99">
        <f>Amnt_Deposited!D42</f>
        <v>0.41092035930451337</v>
      </c>
      <c r="D47" s="418">
        <f>Dry_Matter_Content!D34</f>
        <v>0.44</v>
      </c>
      <c r="E47" s="284">
        <f>MCF!R46</f>
        <v>0.6</v>
      </c>
      <c r="F47" s="67">
        <f t="shared" si="0"/>
        <v>2.386625446840614E-2</v>
      </c>
      <c r="G47" s="67">
        <f t="shared" si="1"/>
        <v>2.386625446840614E-2</v>
      </c>
      <c r="H47" s="67">
        <f t="shared" si="2"/>
        <v>0</v>
      </c>
      <c r="I47" s="67">
        <f t="shared" si="3"/>
        <v>0.13544559528696198</v>
      </c>
      <c r="J47" s="67">
        <f t="shared" si="4"/>
        <v>8.090415068297838E-3</v>
      </c>
      <c r="K47" s="100">
        <f t="shared" si="6"/>
        <v>5.3936100455318917E-3</v>
      </c>
      <c r="O47" s="96">
        <f>Amnt_Deposited!B42</f>
        <v>2028</v>
      </c>
      <c r="P47" s="99">
        <f>Amnt_Deposited!D42</f>
        <v>0.41092035930451337</v>
      </c>
      <c r="Q47" s="284">
        <f>MCF!R46</f>
        <v>0.6</v>
      </c>
      <c r="R47" s="67">
        <f t="shared" si="5"/>
        <v>4.9310443116541605E-2</v>
      </c>
      <c r="S47" s="67">
        <f t="shared" si="7"/>
        <v>4.9310443116541605E-2</v>
      </c>
      <c r="T47" s="67">
        <f t="shared" si="8"/>
        <v>0</v>
      </c>
      <c r="U47" s="67">
        <f t="shared" si="9"/>
        <v>0.27984627125405376</v>
      </c>
      <c r="V47" s="67">
        <f t="shared" si="10"/>
        <v>1.6715733612185618E-2</v>
      </c>
      <c r="W47" s="100">
        <f t="shared" si="11"/>
        <v>1.1143822408123744E-2</v>
      </c>
    </row>
    <row r="48" spans="2:23">
      <c r="B48" s="96">
        <f>Amnt_Deposited!B43</f>
        <v>2029</v>
      </c>
      <c r="C48" s="99">
        <f>Amnt_Deposited!D43</f>
        <v>0.45076421410088252</v>
      </c>
      <c r="D48" s="418">
        <f>Dry_Matter_Content!D35</f>
        <v>0.44</v>
      </c>
      <c r="E48" s="284">
        <f>MCF!R47</f>
        <v>0.6</v>
      </c>
      <c r="F48" s="67">
        <f t="shared" si="0"/>
        <v>2.6180385554979257E-2</v>
      </c>
      <c r="G48" s="67">
        <f t="shared" si="1"/>
        <v>2.6180385554979257E-2</v>
      </c>
      <c r="H48" s="67">
        <f t="shared" si="2"/>
        <v>0</v>
      </c>
      <c r="I48" s="67">
        <f t="shared" si="3"/>
        <v>0.15246902153402483</v>
      </c>
      <c r="J48" s="67">
        <f t="shared" si="4"/>
        <v>9.1569593079163965E-3</v>
      </c>
      <c r="K48" s="100">
        <f t="shared" si="6"/>
        <v>6.1046395386109304E-3</v>
      </c>
      <c r="O48" s="96">
        <f>Amnt_Deposited!B43</f>
        <v>2029</v>
      </c>
      <c r="P48" s="99">
        <f>Amnt_Deposited!D43</f>
        <v>0.45076421410088252</v>
      </c>
      <c r="Q48" s="284">
        <f>MCF!R47</f>
        <v>0.6</v>
      </c>
      <c r="R48" s="67">
        <f t="shared" si="5"/>
        <v>5.4091705692105904E-2</v>
      </c>
      <c r="S48" s="67">
        <f t="shared" si="7"/>
        <v>5.4091705692105904E-2</v>
      </c>
      <c r="T48" s="67">
        <f t="shared" si="8"/>
        <v>0</v>
      </c>
      <c r="U48" s="67">
        <f t="shared" si="9"/>
        <v>0.31501863953310927</v>
      </c>
      <c r="V48" s="67">
        <f t="shared" si="10"/>
        <v>1.8919337413050408E-2</v>
      </c>
      <c r="W48" s="100">
        <f t="shared" si="11"/>
        <v>1.2612891608700272E-2</v>
      </c>
    </row>
    <row r="49" spans="2:23">
      <c r="B49" s="96">
        <f>Amnt_Deposited!B44</f>
        <v>2030</v>
      </c>
      <c r="C49" s="99">
        <f>Amnt_Deposited!D44</f>
        <v>0.49439895</v>
      </c>
      <c r="D49" s="418">
        <f>Dry_Matter_Content!D36</f>
        <v>0.44</v>
      </c>
      <c r="E49" s="284">
        <f>MCF!R48</f>
        <v>0.6</v>
      </c>
      <c r="F49" s="67">
        <f t="shared" si="0"/>
        <v>2.8714691015999997E-2</v>
      </c>
      <c r="G49" s="67">
        <f t="shared" si="1"/>
        <v>2.8714691015999997E-2</v>
      </c>
      <c r="H49" s="67">
        <f t="shared" si="2"/>
        <v>0</v>
      </c>
      <c r="I49" s="67">
        <f t="shared" si="3"/>
        <v>0.17087586442143168</v>
      </c>
      <c r="J49" s="67">
        <f t="shared" si="4"/>
        <v>1.0307848128593134E-2</v>
      </c>
      <c r="K49" s="100">
        <f t="shared" si="6"/>
        <v>6.8718987523954224E-3</v>
      </c>
      <c r="O49" s="96">
        <f>Amnt_Deposited!B44</f>
        <v>2030</v>
      </c>
      <c r="P49" s="99">
        <f>Amnt_Deposited!D44</f>
        <v>0.49439895</v>
      </c>
      <c r="Q49" s="284">
        <f>MCF!R48</f>
        <v>0.6</v>
      </c>
      <c r="R49" s="67">
        <f t="shared" si="5"/>
        <v>5.9327874000000003E-2</v>
      </c>
      <c r="S49" s="67">
        <f t="shared" si="7"/>
        <v>5.9327874000000003E-2</v>
      </c>
      <c r="T49" s="67">
        <f t="shared" si="8"/>
        <v>0</v>
      </c>
      <c r="U49" s="67">
        <f t="shared" si="9"/>
        <v>0.35304930665585071</v>
      </c>
      <c r="V49" s="67">
        <f t="shared" si="10"/>
        <v>2.129720687725855E-2</v>
      </c>
      <c r="W49" s="100">
        <f t="shared" si="11"/>
        <v>1.4198137918172366E-2</v>
      </c>
    </row>
    <row r="50" spans="2:23">
      <c r="B50" s="96">
        <f>Amnt_Deposited!B45</f>
        <v>2031</v>
      </c>
      <c r="C50" s="99">
        <f>Amnt_Deposited!D45</f>
        <v>0</v>
      </c>
      <c r="D50" s="418">
        <f>Dry_Matter_Content!D37</f>
        <v>0.44</v>
      </c>
      <c r="E50" s="284">
        <f>MCF!R49</f>
        <v>0.6</v>
      </c>
      <c r="F50" s="67">
        <f t="shared" si="0"/>
        <v>0</v>
      </c>
      <c r="G50" s="67">
        <f t="shared" si="1"/>
        <v>0</v>
      </c>
      <c r="H50" s="67">
        <f t="shared" si="2"/>
        <v>0</v>
      </c>
      <c r="I50" s="67">
        <f t="shared" si="3"/>
        <v>0.1593235999576296</v>
      </c>
      <c r="J50" s="67">
        <f t="shared" si="4"/>
        <v>1.1552264463802076E-2</v>
      </c>
      <c r="K50" s="100">
        <f t="shared" si="6"/>
        <v>7.7015096425347169E-3</v>
      </c>
      <c r="O50" s="96">
        <f>Amnt_Deposited!B45</f>
        <v>2031</v>
      </c>
      <c r="P50" s="99">
        <f>Amnt_Deposited!D45</f>
        <v>0</v>
      </c>
      <c r="Q50" s="284">
        <f>MCF!R49</f>
        <v>0.6</v>
      </c>
      <c r="R50" s="67">
        <f t="shared" si="5"/>
        <v>0</v>
      </c>
      <c r="S50" s="67">
        <f t="shared" si="7"/>
        <v>0</v>
      </c>
      <c r="T50" s="67">
        <f t="shared" si="8"/>
        <v>0</v>
      </c>
      <c r="U50" s="67">
        <f t="shared" si="9"/>
        <v>0.32918099164799519</v>
      </c>
      <c r="V50" s="67">
        <f t="shared" si="10"/>
        <v>2.3868315007855537E-2</v>
      </c>
      <c r="W50" s="100">
        <f t="shared" si="11"/>
        <v>1.5912210005237022E-2</v>
      </c>
    </row>
    <row r="51" spans="2:23">
      <c r="B51" s="96">
        <f>Amnt_Deposited!B46</f>
        <v>2032</v>
      </c>
      <c r="C51" s="99">
        <f>Amnt_Deposited!D46</f>
        <v>0</v>
      </c>
      <c r="D51" s="418">
        <f>Dry_Matter_Content!D38</f>
        <v>0.44</v>
      </c>
      <c r="E51" s="284">
        <f>MCF!R50</f>
        <v>0.6</v>
      </c>
      <c r="F51" s="67">
        <f t="shared" ref="F51:F82" si="12">C51*D51*$K$6*DOCF*E51</f>
        <v>0</v>
      </c>
      <c r="G51" s="67">
        <f t="shared" si="1"/>
        <v>0</v>
      </c>
      <c r="H51" s="67">
        <f t="shared" si="2"/>
        <v>0</v>
      </c>
      <c r="I51" s="67">
        <f t="shared" si="3"/>
        <v>0.14855233996566145</v>
      </c>
      <c r="J51" s="67">
        <f t="shared" si="4"/>
        <v>1.0771259991968159E-2</v>
      </c>
      <c r="K51" s="100">
        <f t="shared" si="6"/>
        <v>7.1808399946454386E-3</v>
      </c>
      <c r="O51" s="96">
        <f>Amnt_Deposited!B46</f>
        <v>2032</v>
      </c>
      <c r="P51" s="99">
        <f>Amnt_Deposited!D46</f>
        <v>0</v>
      </c>
      <c r="Q51" s="284">
        <f>MCF!R50</f>
        <v>0.6</v>
      </c>
      <c r="R51" s="67">
        <f t="shared" ref="R51:R82" si="13">P51*$W$6*DOCF*Q51</f>
        <v>0</v>
      </c>
      <c r="S51" s="67">
        <f t="shared" si="7"/>
        <v>0</v>
      </c>
      <c r="T51" s="67">
        <f t="shared" si="8"/>
        <v>0</v>
      </c>
      <c r="U51" s="67">
        <f t="shared" si="9"/>
        <v>0.30692632224310229</v>
      </c>
      <c r="V51" s="67">
        <f t="shared" si="10"/>
        <v>2.2254669404892902E-2</v>
      </c>
      <c r="W51" s="100">
        <f t="shared" si="11"/>
        <v>1.48364462699286E-2</v>
      </c>
    </row>
    <row r="52" spans="2:23">
      <c r="B52" s="96">
        <f>Amnt_Deposited!B47</f>
        <v>2033</v>
      </c>
      <c r="C52" s="99">
        <f>Amnt_Deposited!D47</f>
        <v>0</v>
      </c>
      <c r="D52" s="418">
        <f>Dry_Matter_Content!D39</f>
        <v>0.44</v>
      </c>
      <c r="E52" s="284">
        <f>MCF!R51</f>
        <v>0.6</v>
      </c>
      <c r="F52" s="67">
        <f t="shared" si="12"/>
        <v>0</v>
      </c>
      <c r="G52" s="67">
        <f t="shared" si="1"/>
        <v>0</v>
      </c>
      <c r="H52" s="67">
        <f t="shared" si="2"/>
        <v>0</v>
      </c>
      <c r="I52" s="67">
        <f t="shared" si="3"/>
        <v>0.13850928371655014</v>
      </c>
      <c r="J52" s="67">
        <f t="shared" si="4"/>
        <v>1.0043056249111306E-2</v>
      </c>
      <c r="K52" s="100">
        <f t="shared" si="6"/>
        <v>6.6953708327408702E-3</v>
      </c>
      <c r="O52" s="96">
        <f>Amnt_Deposited!B47</f>
        <v>2033</v>
      </c>
      <c r="P52" s="99">
        <f>Amnt_Deposited!D47</f>
        <v>0</v>
      </c>
      <c r="Q52" s="284">
        <f>MCF!R51</f>
        <v>0.6</v>
      </c>
      <c r="R52" s="67">
        <f t="shared" si="13"/>
        <v>0</v>
      </c>
      <c r="S52" s="67">
        <f t="shared" si="7"/>
        <v>0</v>
      </c>
      <c r="T52" s="67">
        <f t="shared" si="8"/>
        <v>0</v>
      </c>
      <c r="U52" s="67">
        <f t="shared" si="9"/>
        <v>0.28617620602593014</v>
      </c>
      <c r="V52" s="67">
        <f t="shared" si="10"/>
        <v>2.0750116217172127E-2</v>
      </c>
      <c r="W52" s="100">
        <f t="shared" si="11"/>
        <v>1.3833410811448083E-2</v>
      </c>
    </row>
    <row r="53" spans="2:23">
      <c r="B53" s="96">
        <f>Amnt_Deposited!B48</f>
        <v>2034</v>
      </c>
      <c r="C53" s="99">
        <f>Amnt_Deposited!D48</f>
        <v>0</v>
      </c>
      <c r="D53" s="418">
        <f>Dry_Matter_Content!D40</f>
        <v>0.44</v>
      </c>
      <c r="E53" s="284">
        <f>MCF!R52</f>
        <v>0.6</v>
      </c>
      <c r="F53" s="67">
        <f t="shared" si="12"/>
        <v>0</v>
      </c>
      <c r="G53" s="67">
        <f t="shared" si="1"/>
        <v>0</v>
      </c>
      <c r="H53" s="67">
        <f t="shared" si="2"/>
        <v>0</v>
      </c>
      <c r="I53" s="67">
        <f t="shared" si="3"/>
        <v>0.12914520013691094</v>
      </c>
      <c r="J53" s="67">
        <f t="shared" si="4"/>
        <v>9.3640835796391948E-3</v>
      </c>
      <c r="K53" s="100">
        <f t="shared" si="6"/>
        <v>6.2427223864261298E-3</v>
      </c>
      <c r="O53" s="96">
        <f>Amnt_Deposited!B48</f>
        <v>2034</v>
      </c>
      <c r="P53" s="99">
        <f>Amnt_Deposited!D48</f>
        <v>0</v>
      </c>
      <c r="Q53" s="284">
        <f>MCF!R52</f>
        <v>0.6</v>
      </c>
      <c r="R53" s="67">
        <f t="shared" si="13"/>
        <v>0</v>
      </c>
      <c r="S53" s="67">
        <f t="shared" si="7"/>
        <v>0</v>
      </c>
      <c r="T53" s="67">
        <f t="shared" si="8"/>
        <v>0</v>
      </c>
      <c r="U53" s="67">
        <f t="shared" si="9"/>
        <v>0.26682892590270862</v>
      </c>
      <c r="V53" s="67">
        <f t="shared" si="10"/>
        <v>1.9347280123221483E-2</v>
      </c>
      <c r="W53" s="100">
        <f t="shared" si="11"/>
        <v>1.2898186748814322E-2</v>
      </c>
    </row>
    <row r="54" spans="2:23">
      <c r="B54" s="96">
        <f>Amnt_Deposited!B49</f>
        <v>2035</v>
      </c>
      <c r="C54" s="99">
        <f>Amnt_Deposited!D49</f>
        <v>0</v>
      </c>
      <c r="D54" s="418">
        <f>Dry_Matter_Content!D41</f>
        <v>0.44</v>
      </c>
      <c r="E54" s="284">
        <f>MCF!R53</f>
        <v>0.6</v>
      </c>
      <c r="F54" s="67">
        <f t="shared" si="12"/>
        <v>0</v>
      </c>
      <c r="G54" s="67">
        <f t="shared" si="1"/>
        <v>0</v>
      </c>
      <c r="H54" s="67">
        <f t="shared" si="2"/>
        <v>0</v>
      </c>
      <c r="I54" s="67">
        <f t="shared" si="3"/>
        <v>0.12041418647817259</v>
      </c>
      <c r="J54" s="67">
        <f t="shared" si="4"/>
        <v>8.7310136587383548E-3</v>
      </c>
      <c r="K54" s="100">
        <f t="shared" si="6"/>
        <v>5.820675772492236E-3</v>
      </c>
      <c r="O54" s="96">
        <f>Amnt_Deposited!B49</f>
        <v>2035</v>
      </c>
      <c r="P54" s="99">
        <f>Amnt_Deposited!D49</f>
        <v>0</v>
      </c>
      <c r="Q54" s="284">
        <f>MCF!R53</f>
        <v>0.6</v>
      </c>
      <c r="R54" s="67">
        <f t="shared" si="13"/>
        <v>0</v>
      </c>
      <c r="S54" s="67">
        <f t="shared" si="7"/>
        <v>0</v>
      </c>
      <c r="T54" s="67">
        <f t="shared" si="8"/>
        <v>0</v>
      </c>
      <c r="U54" s="67">
        <f t="shared" si="9"/>
        <v>0.24878964148382773</v>
      </c>
      <c r="V54" s="67">
        <f t="shared" si="10"/>
        <v>1.8039284418880901E-2</v>
      </c>
      <c r="W54" s="100">
        <f t="shared" si="11"/>
        <v>1.2026189612587267E-2</v>
      </c>
    </row>
    <row r="55" spans="2:23">
      <c r="B55" s="96">
        <f>Amnt_Deposited!B50</f>
        <v>2036</v>
      </c>
      <c r="C55" s="99">
        <f>Amnt_Deposited!D50</f>
        <v>0</v>
      </c>
      <c r="D55" s="418">
        <f>Dry_Matter_Content!D42</f>
        <v>0.44</v>
      </c>
      <c r="E55" s="284">
        <f>MCF!R54</f>
        <v>0.6</v>
      </c>
      <c r="F55" s="67">
        <f t="shared" si="12"/>
        <v>0</v>
      </c>
      <c r="G55" s="67">
        <f t="shared" si="1"/>
        <v>0</v>
      </c>
      <c r="H55" s="67">
        <f t="shared" si="2"/>
        <v>0</v>
      </c>
      <c r="I55" s="67">
        <f t="shared" si="3"/>
        <v>0.11227344330125053</v>
      </c>
      <c r="J55" s="67">
        <f t="shared" si="4"/>
        <v>8.1407431769220644E-3</v>
      </c>
      <c r="K55" s="100">
        <f t="shared" si="6"/>
        <v>5.427162117948043E-3</v>
      </c>
      <c r="O55" s="96">
        <f>Amnt_Deposited!B50</f>
        <v>2036</v>
      </c>
      <c r="P55" s="99">
        <f>Amnt_Deposited!D50</f>
        <v>0</v>
      </c>
      <c r="Q55" s="284">
        <f>MCF!R54</f>
        <v>0.6</v>
      </c>
      <c r="R55" s="67">
        <f t="shared" si="13"/>
        <v>0</v>
      </c>
      <c r="S55" s="67">
        <f t="shared" si="7"/>
        <v>0</v>
      </c>
      <c r="T55" s="67">
        <f t="shared" si="8"/>
        <v>0</v>
      </c>
      <c r="U55" s="67">
        <f t="shared" si="9"/>
        <v>0.23196992417613752</v>
      </c>
      <c r="V55" s="67">
        <f t="shared" si="10"/>
        <v>1.6819717307690222E-2</v>
      </c>
      <c r="W55" s="100">
        <f t="shared" si="11"/>
        <v>1.1213144871793481E-2</v>
      </c>
    </row>
    <row r="56" spans="2:23">
      <c r="B56" s="96">
        <f>Amnt_Deposited!B51</f>
        <v>2037</v>
      </c>
      <c r="C56" s="99">
        <f>Amnt_Deposited!D51</f>
        <v>0</v>
      </c>
      <c r="D56" s="418">
        <f>Dry_Matter_Content!D43</f>
        <v>0.44</v>
      </c>
      <c r="E56" s="284">
        <f>MCF!R55</f>
        <v>0.6</v>
      </c>
      <c r="F56" s="67">
        <f t="shared" si="12"/>
        <v>0</v>
      </c>
      <c r="G56" s="67">
        <f t="shared" si="1"/>
        <v>0</v>
      </c>
      <c r="H56" s="67">
        <f t="shared" si="2"/>
        <v>0</v>
      </c>
      <c r="I56" s="67">
        <f t="shared" si="3"/>
        <v>0.10468306467364688</v>
      </c>
      <c r="J56" s="67">
        <f t="shared" si="4"/>
        <v>7.5903786276036488E-3</v>
      </c>
      <c r="K56" s="100">
        <f t="shared" si="6"/>
        <v>5.060252418402432E-3</v>
      </c>
      <c r="O56" s="96">
        <f>Amnt_Deposited!B51</f>
        <v>2037</v>
      </c>
      <c r="P56" s="99">
        <f>Amnt_Deposited!D51</f>
        <v>0</v>
      </c>
      <c r="Q56" s="284">
        <f>MCF!R55</f>
        <v>0.6</v>
      </c>
      <c r="R56" s="67">
        <f t="shared" si="13"/>
        <v>0</v>
      </c>
      <c r="S56" s="67">
        <f t="shared" si="7"/>
        <v>0</v>
      </c>
      <c r="T56" s="67">
        <f t="shared" si="8"/>
        <v>0</v>
      </c>
      <c r="U56" s="67">
        <f t="shared" si="9"/>
        <v>0.21628732370588205</v>
      </c>
      <c r="V56" s="67">
        <f t="shared" si="10"/>
        <v>1.5682600470255475E-2</v>
      </c>
      <c r="W56" s="100">
        <f t="shared" si="11"/>
        <v>1.0455066980170315E-2</v>
      </c>
    </row>
    <row r="57" spans="2:23">
      <c r="B57" s="96">
        <f>Amnt_Deposited!B52</f>
        <v>2038</v>
      </c>
      <c r="C57" s="99">
        <f>Amnt_Deposited!D52</f>
        <v>0</v>
      </c>
      <c r="D57" s="418">
        <f>Dry_Matter_Content!D44</f>
        <v>0.44</v>
      </c>
      <c r="E57" s="284">
        <f>MCF!R56</f>
        <v>0.6</v>
      </c>
      <c r="F57" s="67">
        <f t="shared" si="12"/>
        <v>0</v>
      </c>
      <c r="G57" s="67">
        <f t="shared" si="1"/>
        <v>0</v>
      </c>
      <c r="H57" s="67">
        <f t="shared" si="2"/>
        <v>0</v>
      </c>
      <c r="I57" s="67">
        <f t="shared" si="3"/>
        <v>9.7605842550523042E-2</v>
      </c>
      <c r="J57" s="67">
        <f t="shared" si="4"/>
        <v>7.0772221231238351E-3</v>
      </c>
      <c r="K57" s="100">
        <f t="shared" si="6"/>
        <v>4.7181480820825562E-3</v>
      </c>
      <c r="O57" s="96">
        <f>Amnt_Deposited!B52</f>
        <v>2038</v>
      </c>
      <c r="P57" s="99">
        <f>Amnt_Deposited!D52</f>
        <v>0</v>
      </c>
      <c r="Q57" s="284">
        <f>MCF!R56</f>
        <v>0.6</v>
      </c>
      <c r="R57" s="67">
        <f t="shared" si="13"/>
        <v>0</v>
      </c>
      <c r="S57" s="67">
        <f t="shared" si="7"/>
        <v>0</v>
      </c>
      <c r="T57" s="67">
        <f t="shared" si="8"/>
        <v>0</v>
      </c>
      <c r="U57" s="67">
        <f t="shared" si="9"/>
        <v>0.20166496394736172</v>
      </c>
      <c r="V57" s="67">
        <f t="shared" si="10"/>
        <v>1.4622359758520324E-2</v>
      </c>
      <c r="W57" s="100">
        <f t="shared" si="11"/>
        <v>9.7482398390135484E-3</v>
      </c>
    </row>
    <row r="58" spans="2:23">
      <c r="B58" s="96">
        <f>Amnt_Deposited!B53</f>
        <v>2039</v>
      </c>
      <c r="C58" s="99">
        <f>Amnt_Deposited!D53</f>
        <v>0</v>
      </c>
      <c r="D58" s="418">
        <f>Dry_Matter_Content!D45</f>
        <v>0.44</v>
      </c>
      <c r="E58" s="284">
        <f>MCF!R57</f>
        <v>0.6</v>
      </c>
      <c r="F58" s="67">
        <f t="shared" si="12"/>
        <v>0</v>
      </c>
      <c r="G58" s="67">
        <f t="shared" si="1"/>
        <v>0</v>
      </c>
      <c r="H58" s="67">
        <f t="shared" si="2"/>
        <v>0</v>
      </c>
      <c r="I58" s="67">
        <f t="shared" si="3"/>
        <v>9.1007084380820724E-2</v>
      </c>
      <c r="J58" s="67">
        <f t="shared" si="4"/>
        <v>6.5987581697023179E-3</v>
      </c>
      <c r="K58" s="100">
        <f t="shared" si="6"/>
        <v>4.399172113134878E-3</v>
      </c>
      <c r="O58" s="96">
        <f>Amnt_Deposited!B53</f>
        <v>2039</v>
      </c>
      <c r="P58" s="99">
        <f>Amnt_Deposited!D53</f>
        <v>0</v>
      </c>
      <c r="Q58" s="284">
        <f>MCF!R57</f>
        <v>0.6</v>
      </c>
      <c r="R58" s="67">
        <f t="shared" si="13"/>
        <v>0</v>
      </c>
      <c r="S58" s="67">
        <f t="shared" si="7"/>
        <v>0</v>
      </c>
      <c r="T58" s="67">
        <f t="shared" si="8"/>
        <v>0</v>
      </c>
      <c r="U58" s="67">
        <f t="shared" si="9"/>
        <v>0.18803116607607592</v>
      </c>
      <c r="V58" s="67">
        <f t="shared" si="10"/>
        <v>1.3633797871285784E-2</v>
      </c>
      <c r="W58" s="100">
        <f t="shared" si="11"/>
        <v>9.0891985808571885E-3</v>
      </c>
    </row>
    <row r="59" spans="2:23">
      <c r="B59" s="96">
        <f>Amnt_Deposited!B54</f>
        <v>2040</v>
      </c>
      <c r="C59" s="99">
        <f>Amnt_Deposited!D54</f>
        <v>0</v>
      </c>
      <c r="D59" s="418">
        <f>Dry_Matter_Content!D46</f>
        <v>0.44</v>
      </c>
      <c r="E59" s="284">
        <f>MCF!R58</f>
        <v>0.6</v>
      </c>
      <c r="F59" s="67">
        <f t="shared" si="12"/>
        <v>0</v>
      </c>
      <c r="G59" s="67">
        <f t="shared" si="1"/>
        <v>0</v>
      </c>
      <c r="H59" s="67">
        <f t="shared" si="2"/>
        <v>0</v>
      </c>
      <c r="I59" s="67">
        <f t="shared" si="3"/>
        <v>8.4854443044336397E-2</v>
      </c>
      <c r="J59" s="67">
        <f t="shared" si="4"/>
        <v>6.1526413364843277E-3</v>
      </c>
      <c r="K59" s="100">
        <f t="shared" si="6"/>
        <v>4.1017608909895515E-3</v>
      </c>
      <c r="O59" s="96">
        <f>Amnt_Deposited!B54</f>
        <v>2040</v>
      </c>
      <c r="P59" s="99">
        <f>Amnt_Deposited!D54</f>
        <v>0</v>
      </c>
      <c r="Q59" s="284">
        <f>MCF!R58</f>
        <v>0.6</v>
      </c>
      <c r="R59" s="67">
        <f t="shared" si="13"/>
        <v>0</v>
      </c>
      <c r="S59" s="67">
        <f t="shared" si="7"/>
        <v>0</v>
      </c>
      <c r="T59" s="67">
        <f t="shared" si="8"/>
        <v>0</v>
      </c>
      <c r="U59" s="67">
        <f t="shared" si="9"/>
        <v>0.17531909719904218</v>
      </c>
      <c r="V59" s="67">
        <f t="shared" si="10"/>
        <v>1.2712068877033739E-2</v>
      </c>
      <c r="W59" s="100">
        <f t="shared" si="11"/>
        <v>8.4747125846891588E-3</v>
      </c>
    </row>
    <row r="60" spans="2:23">
      <c r="B60" s="96">
        <f>Amnt_Deposited!B55</f>
        <v>2041</v>
      </c>
      <c r="C60" s="99">
        <f>Amnt_Deposited!D55</f>
        <v>0</v>
      </c>
      <c r="D60" s="418">
        <f>Dry_Matter_Content!D47</f>
        <v>0.44</v>
      </c>
      <c r="E60" s="284">
        <f>MCF!R59</f>
        <v>0.6</v>
      </c>
      <c r="F60" s="67">
        <f t="shared" si="12"/>
        <v>0</v>
      </c>
      <c r="G60" s="67">
        <f t="shared" si="1"/>
        <v>0</v>
      </c>
      <c r="H60" s="67">
        <f t="shared" si="2"/>
        <v>0</v>
      </c>
      <c r="I60" s="67">
        <f t="shared" si="3"/>
        <v>7.9117758286100542E-2</v>
      </c>
      <c r="J60" s="67">
        <f t="shared" si="4"/>
        <v>5.736684758235861E-3</v>
      </c>
      <c r="K60" s="100">
        <f t="shared" si="6"/>
        <v>3.8244565054905738E-3</v>
      </c>
      <c r="O60" s="96">
        <f>Amnt_Deposited!B55</f>
        <v>2041</v>
      </c>
      <c r="P60" s="99">
        <f>Amnt_Deposited!D55</f>
        <v>0</v>
      </c>
      <c r="Q60" s="284">
        <f>MCF!R59</f>
        <v>0.6</v>
      </c>
      <c r="R60" s="67">
        <f t="shared" si="13"/>
        <v>0</v>
      </c>
      <c r="S60" s="67">
        <f t="shared" si="7"/>
        <v>0</v>
      </c>
      <c r="T60" s="67">
        <f t="shared" si="8"/>
        <v>0</v>
      </c>
      <c r="U60" s="67">
        <f t="shared" si="9"/>
        <v>0.16346644273987718</v>
      </c>
      <c r="V60" s="67">
        <f t="shared" si="10"/>
        <v>1.1852654459165005E-2</v>
      </c>
      <c r="W60" s="100">
        <f t="shared" si="11"/>
        <v>7.9017696394433363E-3</v>
      </c>
    </row>
    <row r="61" spans="2:23">
      <c r="B61" s="96">
        <f>Amnt_Deposited!B56</f>
        <v>2042</v>
      </c>
      <c r="C61" s="99">
        <f>Amnt_Deposited!D56</f>
        <v>0</v>
      </c>
      <c r="D61" s="418">
        <f>Dry_Matter_Content!D48</f>
        <v>0.44</v>
      </c>
      <c r="E61" s="284">
        <f>MCF!R60</f>
        <v>0.6</v>
      </c>
      <c r="F61" s="67">
        <f t="shared" si="12"/>
        <v>0</v>
      </c>
      <c r="G61" s="67">
        <f t="shared" si="1"/>
        <v>0</v>
      </c>
      <c r="H61" s="67">
        <f t="shared" si="2"/>
        <v>0</v>
      </c>
      <c r="I61" s="67">
        <f t="shared" si="3"/>
        <v>7.3768908870772781E-2</v>
      </c>
      <c r="J61" s="67">
        <f t="shared" si="4"/>
        <v>5.3488494153277662E-3</v>
      </c>
      <c r="K61" s="100">
        <f t="shared" si="6"/>
        <v>3.5658996102185107E-3</v>
      </c>
      <c r="O61" s="96">
        <f>Amnt_Deposited!B56</f>
        <v>2042</v>
      </c>
      <c r="P61" s="99">
        <f>Amnt_Deposited!D56</f>
        <v>0</v>
      </c>
      <c r="Q61" s="284">
        <f>MCF!R60</f>
        <v>0.6</v>
      </c>
      <c r="R61" s="67">
        <f t="shared" si="13"/>
        <v>0</v>
      </c>
      <c r="S61" s="67">
        <f t="shared" si="7"/>
        <v>0</v>
      </c>
      <c r="T61" s="67">
        <f t="shared" si="8"/>
        <v>0</v>
      </c>
      <c r="U61" s="67">
        <f t="shared" si="9"/>
        <v>0.15241510097267105</v>
      </c>
      <c r="V61" s="67">
        <f t="shared" si="10"/>
        <v>1.1051341767206131E-2</v>
      </c>
      <c r="W61" s="100">
        <f t="shared" si="11"/>
        <v>7.3675611781374205E-3</v>
      </c>
    </row>
    <row r="62" spans="2:23">
      <c r="B62" s="96">
        <f>Amnt_Deposited!B57</f>
        <v>2043</v>
      </c>
      <c r="C62" s="99">
        <f>Amnt_Deposited!D57</f>
        <v>0</v>
      </c>
      <c r="D62" s="418">
        <f>Dry_Matter_Content!D49</f>
        <v>0.44</v>
      </c>
      <c r="E62" s="284">
        <f>MCF!R61</f>
        <v>0.6</v>
      </c>
      <c r="F62" s="67">
        <f t="shared" si="12"/>
        <v>0</v>
      </c>
      <c r="G62" s="67">
        <f t="shared" si="1"/>
        <v>0</v>
      </c>
      <c r="H62" s="67">
        <f t="shared" si="2"/>
        <v>0</v>
      </c>
      <c r="I62" s="67">
        <f t="shared" si="3"/>
        <v>6.8781674732313627E-2</v>
      </c>
      <c r="J62" s="67">
        <f t="shared" si="4"/>
        <v>4.9872341384591548E-3</v>
      </c>
      <c r="K62" s="100">
        <f t="shared" si="6"/>
        <v>3.3248227589727699E-3</v>
      </c>
      <c r="O62" s="96">
        <f>Amnt_Deposited!B57</f>
        <v>2043</v>
      </c>
      <c r="P62" s="99">
        <f>Amnt_Deposited!D57</f>
        <v>0</v>
      </c>
      <c r="Q62" s="284">
        <f>MCF!R61</f>
        <v>0.6</v>
      </c>
      <c r="R62" s="67">
        <f t="shared" si="13"/>
        <v>0</v>
      </c>
      <c r="S62" s="67">
        <f t="shared" si="7"/>
        <v>0</v>
      </c>
      <c r="T62" s="67">
        <f t="shared" si="8"/>
        <v>0</v>
      </c>
      <c r="U62" s="67">
        <f t="shared" si="9"/>
        <v>0.14211089820725958</v>
      </c>
      <c r="V62" s="67">
        <f t="shared" si="10"/>
        <v>1.0304202765411477E-2</v>
      </c>
      <c r="W62" s="100">
        <f t="shared" si="11"/>
        <v>6.8694685102743177E-3</v>
      </c>
    </row>
    <row r="63" spans="2:23">
      <c r="B63" s="96">
        <f>Amnt_Deposited!B58</f>
        <v>2044</v>
      </c>
      <c r="C63" s="99">
        <f>Amnt_Deposited!D58</f>
        <v>0</v>
      </c>
      <c r="D63" s="418">
        <f>Dry_Matter_Content!D50</f>
        <v>0.44</v>
      </c>
      <c r="E63" s="284">
        <f>MCF!R62</f>
        <v>0.6</v>
      </c>
      <c r="F63" s="67">
        <f t="shared" si="12"/>
        <v>0</v>
      </c>
      <c r="G63" s="67">
        <f t="shared" si="1"/>
        <v>0</v>
      </c>
      <c r="H63" s="67">
        <f t="shared" si="2"/>
        <v>0</v>
      </c>
      <c r="I63" s="67">
        <f t="shared" si="3"/>
        <v>6.4131608443190352E-2</v>
      </c>
      <c r="J63" s="67">
        <f t="shared" si="4"/>
        <v>4.6500662891232822E-3</v>
      </c>
      <c r="K63" s="100">
        <f t="shared" si="6"/>
        <v>3.1000441927488548E-3</v>
      </c>
      <c r="O63" s="96">
        <f>Amnt_Deposited!B58</f>
        <v>2044</v>
      </c>
      <c r="P63" s="99">
        <f>Amnt_Deposited!D58</f>
        <v>0</v>
      </c>
      <c r="Q63" s="284">
        <f>MCF!R62</f>
        <v>0.6</v>
      </c>
      <c r="R63" s="67">
        <f t="shared" si="13"/>
        <v>0</v>
      </c>
      <c r="S63" s="67">
        <f t="shared" si="7"/>
        <v>0</v>
      </c>
      <c r="T63" s="67">
        <f t="shared" si="8"/>
        <v>0</v>
      </c>
      <c r="U63" s="67">
        <f t="shared" si="9"/>
        <v>0.13250332322973213</v>
      </c>
      <c r="V63" s="67">
        <f t="shared" si="10"/>
        <v>9.6075749775274433E-3</v>
      </c>
      <c r="W63" s="100">
        <f t="shared" si="11"/>
        <v>6.4050499850182956E-3</v>
      </c>
    </row>
    <row r="64" spans="2:23">
      <c r="B64" s="96">
        <f>Amnt_Deposited!B59</f>
        <v>2045</v>
      </c>
      <c r="C64" s="99">
        <f>Amnt_Deposited!D59</f>
        <v>0</v>
      </c>
      <c r="D64" s="418">
        <f>Dry_Matter_Content!D51</f>
        <v>0.44</v>
      </c>
      <c r="E64" s="284">
        <f>MCF!R63</f>
        <v>0.6</v>
      </c>
      <c r="F64" s="67">
        <f t="shared" si="12"/>
        <v>0</v>
      </c>
      <c r="G64" s="67">
        <f t="shared" si="1"/>
        <v>0</v>
      </c>
      <c r="H64" s="67">
        <f t="shared" si="2"/>
        <v>0</v>
      </c>
      <c r="I64" s="67">
        <f t="shared" si="3"/>
        <v>5.9795915373058818E-2</v>
      </c>
      <c r="J64" s="67">
        <f t="shared" si="4"/>
        <v>4.335693070131535E-3</v>
      </c>
      <c r="K64" s="100">
        <f t="shared" si="6"/>
        <v>2.8904620467543564E-3</v>
      </c>
      <c r="O64" s="96">
        <f>Amnt_Deposited!B59</f>
        <v>2045</v>
      </c>
      <c r="P64" s="99">
        <f>Amnt_Deposited!D59</f>
        <v>0</v>
      </c>
      <c r="Q64" s="284">
        <f>MCF!R63</f>
        <v>0.6</v>
      </c>
      <c r="R64" s="67">
        <f t="shared" si="13"/>
        <v>0</v>
      </c>
      <c r="S64" s="67">
        <f t="shared" si="7"/>
        <v>0</v>
      </c>
      <c r="T64" s="67">
        <f t="shared" si="8"/>
        <v>0</v>
      </c>
      <c r="U64" s="67">
        <f t="shared" si="9"/>
        <v>0.12354527969640251</v>
      </c>
      <c r="V64" s="67">
        <f t="shared" si="10"/>
        <v>8.9580435333296172E-3</v>
      </c>
      <c r="W64" s="100">
        <f t="shared" si="11"/>
        <v>5.9720290222197445E-3</v>
      </c>
    </row>
    <row r="65" spans="2:23">
      <c r="B65" s="96">
        <f>Amnt_Deposited!B60</f>
        <v>2046</v>
      </c>
      <c r="C65" s="99">
        <f>Amnt_Deposited!D60</f>
        <v>0</v>
      </c>
      <c r="D65" s="418">
        <f>Dry_Matter_Content!D52</f>
        <v>0.44</v>
      </c>
      <c r="E65" s="284">
        <f>MCF!R64</f>
        <v>0.6</v>
      </c>
      <c r="F65" s="67">
        <f t="shared" si="12"/>
        <v>0</v>
      </c>
      <c r="G65" s="67">
        <f t="shared" si="1"/>
        <v>0</v>
      </c>
      <c r="H65" s="67">
        <f t="shared" si="2"/>
        <v>0</v>
      </c>
      <c r="I65" s="67">
        <f t="shared" si="3"/>
        <v>5.5753341949459127E-2</v>
      </c>
      <c r="J65" s="67">
        <f t="shared" si="4"/>
        <v>4.0425734235996907E-3</v>
      </c>
      <c r="K65" s="100">
        <f t="shared" si="6"/>
        <v>2.6950489490664602E-3</v>
      </c>
      <c r="O65" s="96">
        <f>Amnt_Deposited!B60</f>
        <v>2046</v>
      </c>
      <c r="P65" s="99">
        <f>Amnt_Deposited!D60</f>
        <v>0</v>
      </c>
      <c r="Q65" s="284">
        <f>MCF!R64</f>
        <v>0.6</v>
      </c>
      <c r="R65" s="67">
        <f t="shared" si="13"/>
        <v>0</v>
      </c>
      <c r="S65" s="67">
        <f t="shared" si="7"/>
        <v>0</v>
      </c>
      <c r="T65" s="67">
        <f t="shared" si="8"/>
        <v>0</v>
      </c>
      <c r="U65" s="67">
        <f t="shared" si="9"/>
        <v>0.11519285526747754</v>
      </c>
      <c r="V65" s="67">
        <f t="shared" si="10"/>
        <v>8.3524244289249813E-3</v>
      </c>
      <c r="W65" s="100">
        <f t="shared" si="11"/>
        <v>5.5682829526166539E-3</v>
      </c>
    </row>
    <row r="66" spans="2:23">
      <c r="B66" s="96">
        <f>Amnt_Deposited!B61</f>
        <v>2047</v>
      </c>
      <c r="C66" s="99">
        <f>Amnt_Deposited!D61</f>
        <v>0</v>
      </c>
      <c r="D66" s="418">
        <f>Dry_Matter_Content!D53</f>
        <v>0.44</v>
      </c>
      <c r="E66" s="284">
        <f>MCF!R65</f>
        <v>0.6</v>
      </c>
      <c r="F66" s="67">
        <f t="shared" si="12"/>
        <v>0</v>
      </c>
      <c r="G66" s="67">
        <f t="shared" si="1"/>
        <v>0</v>
      </c>
      <c r="H66" s="67">
        <f t="shared" si="2"/>
        <v>0</v>
      </c>
      <c r="I66" s="67">
        <f t="shared" si="3"/>
        <v>5.1984071472778746E-2</v>
      </c>
      <c r="J66" s="67">
        <f t="shared" si="4"/>
        <v>3.7692704766803826E-3</v>
      </c>
      <c r="K66" s="100">
        <f t="shared" si="6"/>
        <v>2.5128469844535881E-3</v>
      </c>
      <c r="O66" s="96">
        <f>Amnt_Deposited!B61</f>
        <v>2047</v>
      </c>
      <c r="P66" s="99">
        <f>Amnt_Deposited!D61</f>
        <v>0</v>
      </c>
      <c r="Q66" s="284">
        <f>MCF!R65</f>
        <v>0.6</v>
      </c>
      <c r="R66" s="67">
        <f t="shared" si="13"/>
        <v>0</v>
      </c>
      <c r="S66" s="67">
        <f t="shared" si="7"/>
        <v>0</v>
      </c>
      <c r="T66" s="67">
        <f t="shared" si="8"/>
        <v>0</v>
      </c>
      <c r="U66" s="67">
        <f t="shared" si="9"/>
        <v>0.10740510634871642</v>
      </c>
      <c r="V66" s="67">
        <f t="shared" si="10"/>
        <v>7.7877489187611216E-3</v>
      </c>
      <c r="W66" s="100">
        <f t="shared" si="11"/>
        <v>5.1918326125074141E-3</v>
      </c>
    </row>
    <row r="67" spans="2:23">
      <c r="B67" s="96">
        <f>Amnt_Deposited!B62</f>
        <v>2048</v>
      </c>
      <c r="C67" s="99">
        <f>Amnt_Deposited!D62</f>
        <v>0</v>
      </c>
      <c r="D67" s="418">
        <f>Dry_Matter_Content!D54</f>
        <v>0.44</v>
      </c>
      <c r="E67" s="284">
        <f>MCF!R66</f>
        <v>0.6</v>
      </c>
      <c r="F67" s="67">
        <f t="shared" si="12"/>
        <v>0</v>
      </c>
      <c r="G67" s="67">
        <f t="shared" si="1"/>
        <v>0</v>
      </c>
      <c r="H67" s="67">
        <f t="shared" si="2"/>
        <v>0</v>
      </c>
      <c r="I67" s="67">
        <f t="shared" si="3"/>
        <v>4.8469626974768011E-2</v>
      </c>
      <c r="J67" s="67">
        <f t="shared" si="4"/>
        <v>3.5144444980107366E-3</v>
      </c>
      <c r="K67" s="100">
        <f t="shared" si="6"/>
        <v>2.3429629986738243E-3</v>
      </c>
      <c r="O67" s="96">
        <f>Amnt_Deposited!B62</f>
        <v>2048</v>
      </c>
      <c r="P67" s="99">
        <f>Amnt_Deposited!D62</f>
        <v>0</v>
      </c>
      <c r="Q67" s="284">
        <f>MCF!R66</f>
        <v>0.6</v>
      </c>
      <c r="R67" s="67">
        <f t="shared" si="13"/>
        <v>0</v>
      </c>
      <c r="S67" s="67">
        <f t="shared" si="7"/>
        <v>0</v>
      </c>
      <c r="T67" s="67">
        <f t="shared" si="8"/>
        <v>0</v>
      </c>
      <c r="U67" s="67">
        <f t="shared" si="9"/>
        <v>0.10014385738588431</v>
      </c>
      <c r="V67" s="67">
        <f t="shared" si="10"/>
        <v>7.2612489628321002E-3</v>
      </c>
      <c r="W67" s="100">
        <f t="shared" si="11"/>
        <v>4.8408326418880668E-3</v>
      </c>
    </row>
    <row r="68" spans="2:23">
      <c r="B68" s="96">
        <f>Amnt_Deposited!B63</f>
        <v>2049</v>
      </c>
      <c r="C68" s="99">
        <f>Amnt_Deposited!D63</f>
        <v>0</v>
      </c>
      <c r="D68" s="418">
        <f>Dry_Matter_Content!D55</f>
        <v>0.44</v>
      </c>
      <c r="E68" s="284">
        <f>MCF!R67</f>
        <v>0.6</v>
      </c>
      <c r="F68" s="67">
        <f t="shared" si="12"/>
        <v>0</v>
      </c>
      <c r="G68" s="67">
        <f t="shared" si="1"/>
        <v>0</v>
      </c>
      <c r="H68" s="67">
        <f t="shared" si="2"/>
        <v>0</v>
      </c>
      <c r="I68" s="67">
        <f t="shared" si="3"/>
        <v>4.5192780644420338E-2</v>
      </c>
      <c r="J68" s="67">
        <f t="shared" si="4"/>
        <v>3.2768463303476736E-3</v>
      </c>
      <c r="K68" s="100">
        <f t="shared" si="6"/>
        <v>2.1845642202317824E-3</v>
      </c>
      <c r="O68" s="96">
        <f>Amnt_Deposited!B63</f>
        <v>2049</v>
      </c>
      <c r="P68" s="99">
        <f>Amnt_Deposited!D63</f>
        <v>0</v>
      </c>
      <c r="Q68" s="284">
        <f>MCF!R67</f>
        <v>0.6</v>
      </c>
      <c r="R68" s="67">
        <f t="shared" si="13"/>
        <v>0</v>
      </c>
      <c r="S68" s="67">
        <f t="shared" si="7"/>
        <v>0</v>
      </c>
      <c r="T68" s="67">
        <f t="shared" si="8"/>
        <v>0</v>
      </c>
      <c r="U68" s="67">
        <f t="shared" si="9"/>
        <v>9.3373513728141191E-2</v>
      </c>
      <c r="V68" s="67">
        <f t="shared" si="10"/>
        <v>6.7703436577431272E-3</v>
      </c>
      <c r="W68" s="100">
        <f t="shared" si="11"/>
        <v>4.5135624384954175E-3</v>
      </c>
    </row>
    <row r="69" spans="2:23">
      <c r="B69" s="96">
        <f>Amnt_Deposited!B64</f>
        <v>2050</v>
      </c>
      <c r="C69" s="99">
        <f>Amnt_Deposited!D64</f>
        <v>0</v>
      </c>
      <c r="D69" s="418">
        <f>Dry_Matter_Content!D56</f>
        <v>0.44</v>
      </c>
      <c r="E69" s="284">
        <f>MCF!R68</f>
        <v>0.6</v>
      </c>
      <c r="F69" s="67">
        <f t="shared" si="12"/>
        <v>0</v>
      </c>
      <c r="G69" s="67">
        <f t="shared" si="1"/>
        <v>0</v>
      </c>
      <c r="H69" s="67">
        <f t="shared" si="2"/>
        <v>0</v>
      </c>
      <c r="I69" s="67">
        <f t="shared" si="3"/>
        <v>4.213746937722268E-2</v>
      </c>
      <c r="J69" s="67">
        <f t="shared" si="4"/>
        <v>3.0553112671976566E-3</v>
      </c>
      <c r="K69" s="100">
        <f t="shared" si="6"/>
        <v>2.0368741781317708E-3</v>
      </c>
      <c r="O69" s="96">
        <f>Amnt_Deposited!B64</f>
        <v>2050</v>
      </c>
      <c r="P69" s="99">
        <f>Amnt_Deposited!D64</f>
        <v>0</v>
      </c>
      <c r="Q69" s="284">
        <f>MCF!R68</f>
        <v>0.6</v>
      </c>
      <c r="R69" s="67">
        <f t="shared" si="13"/>
        <v>0</v>
      </c>
      <c r="S69" s="67">
        <f t="shared" si="7"/>
        <v>0</v>
      </c>
      <c r="T69" s="67">
        <f t="shared" si="8"/>
        <v>0</v>
      </c>
      <c r="U69" s="67">
        <f t="shared" si="9"/>
        <v>8.706088714302207E-2</v>
      </c>
      <c r="V69" s="67">
        <f t="shared" si="10"/>
        <v>6.312626585119125E-3</v>
      </c>
      <c r="W69" s="100">
        <f t="shared" si="11"/>
        <v>4.2084177234127497E-3</v>
      </c>
    </row>
    <row r="70" spans="2:23">
      <c r="B70" s="96">
        <f>Amnt_Deposited!B65</f>
        <v>2051</v>
      </c>
      <c r="C70" s="99">
        <f>Amnt_Deposited!D65</f>
        <v>0</v>
      </c>
      <c r="D70" s="418">
        <f>Dry_Matter_Content!D57</f>
        <v>0.44</v>
      </c>
      <c r="E70" s="284">
        <f>MCF!R69</f>
        <v>0.6</v>
      </c>
      <c r="F70" s="67">
        <f t="shared" si="12"/>
        <v>0</v>
      </c>
      <c r="G70" s="67">
        <f t="shared" si="1"/>
        <v>0</v>
      </c>
      <c r="H70" s="67">
        <f t="shared" si="2"/>
        <v>0</v>
      </c>
      <c r="I70" s="67">
        <f t="shared" si="3"/>
        <v>3.9288716033798576E-2</v>
      </c>
      <c r="J70" s="67">
        <f t="shared" si="4"/>
        <v>2.8487533434241063E-3</v>
      </c>
      <c r="K70" s="100">
        <f t="shared" si="6"/>
        <v>1.8991688956160708E-3</v>
      </c>
      <c r="O70" s="96">
        <f>Amnt_Deposited!B65</f>
        <v>2051</v>
      </c>
      <c r="P70" s="99">
        <f>Amnt_Deposited!D65</f>
        <v>0</v>
      </c>
      <c r="Q70" s="284">
        <f>MCF!R69</f>
        <v>0.6</v>
      </c>
      <c r="R70" s="67">
        <f t="shared" si="13"/>
        <v>0</v>
      </c>
      <c r="S70" s="67">
        <f t="shared" si="7"/>
        <v>0</v>
      </c>
      <c r="T70" s="67">
        <f t="shared" si="8"/>
        <v>0</v>
      </c>
      <c r="U70" s="67">
        <f t="shared" si="9"/>
        <v>8.1175033127683011E-2</v>
      </c>
      <c r="V70" s="67">
        <f t="shared" si="10"/>
        <v>5.8858540153390627E-3</v>
      </c>
      <c r="W70" s="100">
        <f t="shared" si="11"/>
        <v>3.9239026768927085E-3</v>
      </c>
    </row>
    <row r="71" spans="2:23">
      <c r="B71" s="96">
        <f>Amnt_Deposited!B66</f>
        <v>2052</v>
      </c>
      <c r="C71" s="99">
        <f>Amnt_Deposited!D66</f>
        <v>0</v>
      </c>
      <c r="D71" s="418">
        <f>Dry_Matter_Content!D58</f>
        <v>0.44</v>
      </c>
      <c r="E71" s="284">
        <f>MCF!R70</f>
        <v>0.6</v>
      </c>
      <c r="F71" s="67">
        <f t="shared" si="12"/>
        <v>0</v>
      </c>
      <c r="G71" s="67">
        <f t="shared" si="1"/>
        <v>0</v>
      </c>
      <c r="H71" s="67">
        <f t="shared" si="2"/>
        <v>0</v>
      </c>
      <c r="I71" s="67">
        <f t="shared" si="3"/>
        <v>3.6632556021953533E-2</v>
      </c>
      <c r="J71" s="67">
        <f t="shared" si="4"/>
        <v>2.6561600118450443E-3</v>
      </c>
      <c r="K71" s="100">
        <f t="shared" si="6"/>
        <v>1.7707733412300295E-3</v>
      </c>
      <c r="O71" s="96">
        <f>Amnt_Deposited!B66</f>
        <v>2052</v>
      </c>
      <c r="P71" s="99">
        <f>Amnt_Deposited!D66</f>
        <v>0</v>
      </c>
      <c r="Q71" s="284">
        <f>MCF!R70</f>
        <v>0.6</v>
      </c>
      <c r="R71" s="67">
        <f t="shared" si="13"/>
        <v>0</v>
      </c>
      <c r="S71" s="67">
        <f t="shared" si="7"/>
        <v>0</v>
      </c>
      <c r="T71" s="67">
        <f t="shared" si="8"/>
        <v>0</v>
      </c>
      <c r="U71" s="67">
        <f t="shared" si="9"/>
        <v>7.5687099218912257E-2</v>
      </c>
      <c r="V71" s="67">
        <f t="shared" si="10"/>
        <v>5.4879339087707526E-3</v>
      </c>
      <c r="W71" s="100">
        <f t="shared" si="11"/>
        <v>3.6586226058471683E-3</v>
      </c>
    </row>
    <row r="72" spans="2:23">
      <c r="B72" s="96">
        <f>Amnt_Deposited!B67</f>
        <v>2053</v>
      </c>
      <c r="C72" s="99">
        <f>Amnt_Deposited!D67</f>
        <v>0</v>
      </c>
      <c r="D72" s="418">
        <f>Dry_Matter_Content!D59</f>
        <v>0.44</v>
      </c>
      <c r="E72" s="284">
        <f>MCF!R71</f>
        <v>0.6</v>
      </c>
      <c r="F72" s="67">
        <f t="shared" si="12"/>
        <v>0</v>
      </c>
      <c r="G72" s="67">
        <f t="shared" si="1"/>
        <v>0</v>
      </c>
      <c r="H72" s="67">
        <f t="shared" si="2"/>
        <v>0</v>
      </c>
      <c r="I72" s="67">
        <f t="shared" si="3"/>
        <v>3.41559688422279E-2</v>
      </c>
      <c r="J72" s="67">
        <f t="shared" si="4"/>
        <v>2.4765871797256295E-3</v>
      </c>
      <c r="K72" s="100">
        <f t="shared" si="6"/>
        <v>1.6510581198170863E-3</v>
      </c>
      <c r="O72" s="96">
        <f>Amnt_Deposited!B67</f>
        <v>2053</v>
      </c>
      <c r="P72" s="99">
        <f>Amnt_Deposited!D67</f>
        <v>0</v>
      </c>
      <c r="Q72" s="284">
        <f>MCF!R71</f>
        <v>0.6</v>
      </c>
      <c r="R72" s="67">
        <f t="shared" si="13"/>
        <v>0</v>
      </c>
      <c r="S72" s="67">
        <f t="shared" si="7"/>
        <v>0</v>
      </c>
      <c r="T72" s="67">
        <f t="shared" si="8"/>
        <v>0</v>
      </c>
      <c r="U72" s="67">
        <f t="shared" si="9"/>
        <v>7.0570183558322119E-2</v>
      </c>
      <c r="V72" s="67">
        <f t="shared" si="10"/>
        <v>5.1169156605901439E-3</v>
      </c>
      <c r="W72" s="100">
        <f t="shared" si="11"/>
        <v>3.4112771070600959E-3</v>
      </c>
    </row>
    <row r="73" spans="2:23">
      <c r="B73" s="96">
        <f>Amnt_Deposited!B68</f>
        <v>2054</v>
      </c>
      <c r="C73" s="99">
        <f>Amnt_Deposited!D68</f>
        <v>0</v>
      </c>
      <c r="D73" s="418">
        <f>Dry_Matter_Content!D60</f>
        <v>0.44</v>
      </c>
      <c r="E73" s="284">
        <f>MCF!R72</f>
        <v>0.6</v>
      </c>
      <c r="F73" s="67">
        <f t="shared" si="12"/>
        <v>0</v>
      </c>
      <c r="G73" s="67">
        <f t="shared" si="1"/>
        <v>0</v>
      </c>
      <c r="H73" s="67">
        <f t="shared" si="2"/>
        <v>0</v>
      </c>
      <c r="I73" s="67">
        <f t="shared" si="3"/>
        <v>3.1846814261393422E-2</v>
      </c>
      <c r="J73" s="67">
        <f t="shared" si="4"/>
        <v>2.3091545808344789E-3</v>
      </c>
      <c r="K73" s="100">
        <f t="shared" si="6"/>
        <v>1.5394363872229858E-3</v>
      </c>
      <c r="O73" s="96">
        <f>Amnt_Deposited!B68</f>
        <v>2054</v>
      </c>
      <c r="P73" s="99">
        <f>Amnt_Deposited!D68</f>
        <v>0</v>
      </c>
      <c r="Q73" s="284">
        <f>MCF!R72</f>
        <v>0.6</v>
      </c>
      <c r="R73" s="67">
        <f t="shared" si="13"/>
        <v>0</v>
      </c>
      <c r="S73" s="67">
        <f t="shared" si="7"/>
        <v>0</v>
      </c>
      <c r="T73" s="67">
        <f t="shared" si="8"/>
        <v>0</v>
      </c>
      <c r="U73" s="67">
        <f t="shared" si="9"/>
        <v>6.5799203019407906E-2</v>
      </c>
      <c r="V73" s="67">
        <f t="shared" si="10"/>
        <v>4.7709805389142129E-3</v>
      </c>
      <c r="W73" s="100">
        <f t="shared" si="11"/>
        <v>3.1806536926094753E-3</v>
      </c>
    </row>
    <row r="74" spans="2:23">
      <c r="B74" s="96">
        <f>Amnt_Deposited!B69</f>
        <v>2055</v>
      </c>
      <c r="C74" s="99">
        <f>Amnt_Deposited!D69</f>
        <v>0</v>
      </c>
      <c r="D74" s="418">
        <f>Dry_Matter_Content!D61</f>
        <v>0.44</v>
      </c>
      <c r="E74" s="284">
        <f>MCF!R73</f>
        <v>0.6</v>
      </c>
      <c r="F74" s="67">
        <f t="shared" si="12"/>
        <v>0</v>
      </c>
      <c r="G74" s="67">
        <f t="shared" si="1"/>
        <v>0</v>
      </c>
      <c r="H74" s="67">
        <f t="shared" si="2"/>
        <v>0</v>
      </c>
      <c r="I74" s="67">
        <f t="shared" si="3"/>
        <v>2.9693772801015844E-2</v>
      </c>
      <c r="J74" s="67">
        <f t="shared" si="4"/>
        <v>2.1530414603775786E-3</v>
      </c>
      <c r="K74" s="100">
        <f t="shared" si="6"/>
        <v>1.4353609735850523E-3</v>
      </c>
      <c r="O74" s="96">
        <f>Amnt_Deposited!B69</f>
        <v>2055</v>
      </c>
      <c r="P74" s="99">
        <f>Amnt_Deposited!D69</f>
        <v>0</v>
      </c>
      <c r="Q74" s="284">
        <f>MCF!R73</f>
        <v>0.6</v>
      </c>
      <c r="R74" s="67">
        <f t="shared" si="13"/>
        <v>0</v>
      </c>
      <c r="S74" s="67">
        <f t="shared" si="7"/>
        <v>0</v>
      </c>
      <c r="T74" s="67">
        <f t="shared" si="8"/>
        <v>0</v>
      </c>
      <c r="U74" s="67">
        <f t="shared" si="9"/>
        <v>6.1350770250032743E-2</v>
      </c>
      <c r="V74" s="67">
        <f t="shared" si="10"/>
        <v>4.448432769375163E-3</v>
      </c>
      <c r="W74" s="100">
        <f t="shared" si="11"/>
        <v>2.9656218462501085E-3</v>
      </c>
    </row>
    <row r="75" spans="2:23">
      <c r="B75" s="96">
        <f>Amnt_Deposited!B70</f>
        <v>2056</v>
      </c>
      <c r="C75" s="99">
        <f>Amnt_Deposited!D70</f>
        <v>0</v>
      </c>
      <c r="D75" s="418">
        <f>Dry_Matter_Content!D62</f>
        <v>0.44</v>
      </c>
      <c r="E75" s="284">
        <f>MCF!R74</f>
        <v>0.6</v>
      </c>
      <c r="F75" s="67">
        <f t="shared" si="12"/>
        <v>0</v>
      </c>
      <c r="G75" s="67">
        <f t="shared" si="1"/>
        <v>0</v>
      </c>
      <c r="H75" s="67">
        <f t="shared" si="2"/>
        <v>0</v>
      </c>
      <c r="I75" s="67">
        <f t="shared" si="3"/>
        <v>2.7686290249358512E-2</v>
      </c>
      <c r="J75" s="67">
        <f t="shared" si="4"/>
        <v>2.0074825516573319E-3</v>
      </c>
      <c r="K75" s="100">
        <f t="shared" si="6"/>
        <v>1.3383217011048879E-3</v>
      </c>
      <c r="O75" s="96">
        <f>Amnt_Deposited!B70</f>
        <v>2056</v>
      </c>
      <c r="P75" s="99">
        <f>Amnt_Deposited!D70</f>
        <v>0</v>
      </c>
      <c r="Q75" s="284">
        <f>MCF!R74</f>
        <v>0.6</v>
      </c>
      <c r="R75" s="67">
        <f t="shared" si="13"/>
        <v>0</v>
      </c>
      <c r="S75" s="67">
        <f t="shared" si="7"/>
        <v>0</v>
      </c>
      <c r="T75" s="67">
        <f t="shared" si="8"/>
        <v>0</v>
      </c>
      <c r="U75" s="67">
        <f t="shared" si="9"/>
        <v>5.7203079027600238E-2</v>
      </c>
      <c r="V75" s="67">
        <f t="shared" si="10"/>
        <v>4.1476912224325049E-3</v>
      </c>
      <c r="W75" s="100">
        <f t="shared" si="11"/>
        <v>2.7651274816216697E-3</v>
      </c>
    </row>
    <row r="76" spans="2:23">
      <c r="B76" s="96">
        <f>Amnt_Deposited!B71</f>
        <v>2057</v>
      </c>
      <c r="C76" s="99">
        <f>Amnt_Deposited!D71</f>
        <v>0</v>
      </c>
      <c r="D76" s="418">
        <f>Dry_Matter_Content!D63</f>
        <v>0.44</v>
      </c>
      <c r="E76" s="284">
        <f>MCF!R75</f>
        <v>0.6</v>
      </c>
      <c r="F76" s="67">
        <f t="shared" si="12"/>
        <v>0</v>
      </c>
      <c r="G76" s="67">
        <f t="shared" si="1"/>
        <v>0</v>
      </c>
      <c r="H76" s="67">
        <f t="shared" si="2"/>
        <v>0</v>
      </c>
      <c r="I76" s="67">
        <f t="shared" si="3"/>
        <v>2.5814525924624191E-2</v>
      </c>
      <c r="J76" s="67">
        <f t="shared" si="4"/>
        <v>1.8717643247343199E-3</v>
      </c>
      <c r="K76" s="100">
        <f t="shared" si="6"/>
        <v>1.2478428831562132E-3</v>
      </c>
      <c r="O76" s="96">
        <f>Amnt_Deposited!B71</f>
        <v>2057</v>
      </c>
      <c r="P76" s="99">
        <f>Amnt_Deposited!D71</f>
        <v>0</v>
      </c>
      <c r="Q76" s="284">
        <f>MCF!R75</f>
        <v>0.6</v>
      </c>
      <c r="R76" s="67">
        <f t="shared" si="13"/>
        <v>0</v>
      </c>
      <c r="S76" s="67">
        <f t="shared" si="7"/>
        <v>0</v>
      </c>
      <c r="T76" s="67">
        <f t="shared" si="8"/>
        <v>0</v>
      </c>
      <c r="U76" s="67">
        <f t="shared" si="9"/>
        <v>5.3335797364926024E-2</v>
      </c>
      <c r="V76" s="67">
        <f t="shared" si="10"/>
        <v>3.8672816626742152E-3</v>
      </c>
      <c r="W76" s="100">
        <f t="shared" si="11"/>
        <v>2.5781877751161432E-3</v>
      </c>
    </row>
    <row r="77" spans="2:23">
      <c r="B77" s="96">
        <f>Amnt_Deposited!B72</f>
        <v>2058</v>
      </c>
      <c r="C77" s="99">
        <f>Amnt_Deposited!D72</f>
        <v>0</v>
      </c>
      <c r="D77" s="418">
        <f>Dry_Matter_Content!D64</f>
        <v>0.44</v>
      </c>
      <c r="E77" s="284">
        <f>MCF!R76</f>
        <v>0.6</v>
      </c>
      <c r="F77" s="67">
        <f t="shared" si="12"/>
        <v>0</v>
      </c>
      <c r="G77" s="67">
        <f t="shared" si="1"/>
        <v>0</v>
      </c>
      <c r="H77" s="67">
        <f t="shared" si="2"/>
        <v>0</v>
      </c>
      <c r="I77" s="67">
        <f t="shared" si="3"/>
        <v>2.4069304435921479E-2</v>
      </c>
      <c r="J77" s="67">
        <f t="shared" si="4"/>
        <v>1.7452214887027102E-3</v>
      </c>
      <c r="K77" s="100">
        <f t="shared" si="6"/>
        <v>1.1634809924684734E-3</v>
      </c>
      <c r="O77" s="96">
        <f>Amnt_Deposited!B72</f>
        <v>2058</v>
      </c>
      <c r="P77" s="99">
        <f>Amnt_Deposited!D72</f>
        <v>0</v>
      </c>
      <c r="Q77" s="284">
        <f>MCF!R76</f>
        <v>0.6</v>
      </c>
      <c r="R77" s="67">
        <f t="shared" si="13"/>
        <v>0</v>
      </c>
      <c r="S77" s="67">
        <f t="shared" si="7"/>
        <v>0</v>
      </c>
      <c r="T77" s="67">
        <f t="shared" si="8"/>
        <v>0</v>
      </c>
      <c r="U77" s="67">
        <f t="shared" si="9"/>
        <v>4.9729967842812986E-2</v>
      </c>
      <c r="V77" s="67">
        <f t="shared" si="10"/>
        <v>3.6058295221130382E-3</v>
      </c>
      <c r="W77" s="100">
        <f t="shared" si="11"/>
        <v>2.4038863480753585E-3</v>
      </c>
    </row>
    <row r="78" spans="2:23">
      <c r="B78" s="96">
        <f>Amnt_Deposited!B73</f>
        <v>2059</v>
      </c>
      <c r="C78" s="99">
        <f>Amnt_Deposited!D73</f>
        <v>0</v>
      </c>
      <c r="D78" s="418">
        <f>Dry_Matter_Content!D65</f>
        <v>0.44</v>
      </c>
      <c r="E78" s="284">
        <f>MCF!R77</f>
        <v>0.6</v>
      </c>
      <c r="F78" s="67">
        <f t="shared" si="12"/>
        <v>0</v>
      </c>
      <c r="G78" s="67">
        <f t="shared" si="1"/>
        <v>0</v>
      </c>
      <c r="H78" s="67">
        <f t="shared" si="2"/>
        <v>0</v>
      </c>
      <c r="I78" s="67">
        <f t="shared" si="3"/>
        <v>2.2442070705488013E-2</v>
      </c>
      <c r="J78" s="67">
        <f t="shared" si="4"/>
        <v>1.6272337304334657E-3</v>
      </c>
      <c r="K78" s="100">
        <f t="shared" si="6"/>
        <v>1.0848224869556438E-3</v>
      </c>
      <c r="O78" s="96">
        <f>Amnt_Deposited!B73</f>
        <v>2059</v>
      </c>
      <c r="P78" s="99">
        <f>Amnt_Deposited!D73</f>
        <v>0</v>
      </c>
      <c r="Q78" s="284">
        <f>MCF!R77</f>
        <v>0.6</v>
      </c>
      <c r="R78" s="67">
        <f t="shared" si="13"/>
        <v>0</v>
      </c>
      <c r="S78" s="67">
        <f t="shared" si="7"/>
        <v>0</v>
      </c>
      <c r="T78" s="67">
        <f t="shared" si="8"/>
        <v>0</v>
      </c>
      <c r="U78" s="67">
        <f t="shared" si="9"/>
        <v>4.6367914680760368E-2</v>
      </c>
      <c r="V78" s="67">
        <f t="shared" si="10"/>
        <v>3.3620531620526159E-3</v>
      </c>
      <c r="W78" s="100">
        <f t="shared" si="11"/>
        <v>2.2413687747017438E-3</v>
      </c>
    </row>
    <row r="79" spans="2:23">
      <c r="B79" s="96">
        <f>Amnt_Deposited!B74</f>
        <v>2060</v>
      </c>
      <c r="C79" s="99">
        <f>Amnt_Deposited!D74</f>
        <v>0</v>
      </c>
      <c r="D79" s="418">
        <f>Dry_Matter_Content!D66</f>
        <v>0.44</v>
      </c>
      <c r="E79" s="284">
        <f>MCF!R78</f>
        <v>0.6</v>
      </c>
      <c r="F79" s="67">
        <f t="shared" si="12"/>
        <v>0</v>
      </c>
      <c r="G79" s="67">
        <f t="shared" si="1"/>
        <v>0</v>
      </c>
      <c r="H79" s="67">
        <f t="shared" si="2"/>
        <v>0</v>
      </c>
      <c r="I79" s="67">
        <f t="shared" si="3"/>
        <v>2.0924848031689348E-2</v>
      </c>
      <c r="J79" s="67">
        <f t="shared" si="4"/>
        <v>1.517222673798665E-3</v>
      </c>
      <c r="K79" s="100">
        <f t="shared" si="6"/>
        <v>1.0114817825324432E-3</v>
      </c>
      <c r="O79" s="96">
        <f>Amnt_Deposited!B74</f>
        <v>2060</v>
      </c>
      <c r="P79" s="99">
        <f>Amnt_Deposited!D74</f>
        <v>0</v>
      </c>
      <c r="Q79" s="284">
        <f>MCF!R78</f>
        <v>0.6</v>
      </c>
      <c r="R79" s="67">
        <f t="shared" si="13"/>
        <v>0</v>
      </c>
      <c r="S79" s="67">
        <f t="shared" si="7"/>
        <v>0</v>
      </c>
      <c r="T79" s="67">
        <f t="shared" si="8"/>
        <v>0</v>
      </c>
      <c r="U79" s="67">
        <f t="shared" si="9"/>
        <v>4.323315709026726E-2</v>
      </c>
      <c r="V79" s="67">
        <f t="shared" si="10"/>
        <v>3.1347575904931103E-3</v>
      </c>
      <c r="W79" s="100">
        <f t="shared" si="11"/>
        <v>2.0898383936620735E-3</v>
      </c>
    </row>
    <row r="80" spans="2:23">
      <c r="B80" s="96">
        <f>Amnt_Deposited!B75</f>
        <v>2061</v>
      </c>
      <c r="C80" s="99">
        <f>Amnt_Deposited!D75</f>
        <v>0</v>
      </c>
      <c r="D80" s="418">
        <f>Dry_Matter_Content!D67</f>
        <v>0.44</v>
      </c>
      <c r="E80" s="284">
        <f>MCF!R79</f>
        <v>0.6</v>
      </c>
      <c r="F80" s="67">
        <f t="shared" si="12"/>
        <v>0</v>
      </c>
      <c r="G80" s="67">
        <f t="shared" si="1"/>
        <v>0</v>
      </c>
      <c r="H80" s="67">
        <f t="shared" si="2"/>
        <v>0</v>
      </c>
      <c r="I80" s="67">
        <f t="shared" si="3"/>
        <v>1.9510198987218296E-2</v>
      </c>
      <c r="J80" s="67">
        <f t="shared" si="4"/>
        <v>1.4146490444710538E-3</v>
      </c>
      <c r="K80" s="100">
        <f t="shared" si="6"/>
        <v>9.4309936298070255E-4</v>
      </c>
      <c r="O80" s="96">
        <f>Amnt_Deposited!B75</f>
        <v>2061</v>
      </c>
      <c r="P80" s="99">
        <f>Amnt_Deposited!D75</f>
        <v>0</v>
      </c>
      <c r="Q80" s="284">
        <f>MCF!R79</f>
        <v>0.6</v>
      </c>
      <c r="R80" s="67">
        <f t="shared" si="13"/>
        <v>0</v>
      </c>
      <c r="S80" s="67">
        <f t="shared" si="7"/>
        <v>0</v>
      </c>
      <c r="T80" s="67">
        <f t="shared" si="8"/>
        <v>0</v>
      </c>
      <c r="U80" s="67">
        <f t="shared" si="9"/>
        <v>4.0310328485988221E-2</v>
      </c>
      <c r="V80" s="67">
        <f t="shared" si="10"/>
        <v>2.9228286042790375E-3</v>
      </c>
      <c r="W80" s="100">
        <f t="shared" si="11"/>
        <v>1.9485524028526916E-3</v>
      </c>
    </row>
    <row r="81" spans="2:23">
      <c r="B81" s="96">
        <f>Amnt_Deposited!B76</f>
        <v>2062</v>
      </c>
      <c r="C81" s="99">
        <f>Amnt_Deposited!D76</f>
        <v>0</v>
      </c>
      <c r="D81" s="418">
        <f>Dry_Matter_Content!D68</f>
        <v>0.44</v>
      </c>
      <c r="E81" s="284">
        <f>MCF!R80</f>
        <v>0.6</v>
      </c>
      <c r="F81" s="67">
        <f t="shared" si="12"/>
        <v>0</v>
      </c>
      <c r="G81" s="67">
        <f t="shared" si="1"/>
        <v>0</v>
      </c>
      <c r="H81" s="67">
        <f t="shared" si="2"/>
        <v>0</v>
      </c>
      <c r="I81" s="67">
        <f t="shared" si="3"/>
        <v>1.8191188960817631E-2</v>
      </c>
      <c r="J81" s="67">
        <f t="shared" si="4"/>
        <v>1.3190100264006657E-3</v>
      </c>
      <c r="K81" s="100">
        <f t="shared" si="6"/>
        <v>8.7934001760044383E-4</v>
      </c>
      <c r="O81" s="96">
        <f>Amnt_Deposited!B76</f>
        <v>2062</v>
      </c>
      <c r="P81" s="99">
        <f>Amnt_Deposited!D76</f>
        <v>0</v>
      </c>
      <c r="Q81" s="284">
        <f>MCF!R80</f>
        <v>0.6</v>
      </c>
      <c r="R81" s="67">
        <f t="shared" si="13"/>
        <v>0</v>
      </c>
      <c r="S81" s="67">
        <f t="shared" si="7"/>
        <v>0</v>
      </c>
      <c r="T81" s="67">
        <f t="shared" si="8"/>
        <v>0</v>
      </c>
      <c r="U81" s="67">
        <f t="shared" si="9"/>
        <v>3.7585101158714121E-2</v>
      </c>
      <c r="V81" s="67">
        <f t="shared" si="10"/>
        <v>2.725227327274103E-3</v>
      </c>
      <c r="W81" s="100">
        <f t="shared" si="11"/>
        <v>1.8168182181827353E-3</v>
      </c>
    </row>
    <row r="82" spans="2:23">
      <c r="B82" s="96">
        <f>Amnt_Deposited!B77</f>
        <v>2063</v>
      </c>
      <c r="C82" s="99">
        <f>Amnt_Deposited!D77</f>
        <v>0</v>
      </c>
      <c r="D82" s="418">
        <f>Dry_Matter_Content!D69</f>
        <v>0.44</v>
      </c>
      <c r="E82" s="284">
        <f>MCF!R81</f>
        <v>0.6</v>
      </c>
      <c r="F82" s="67">
        <f t="shared" si="12"/>
        <v>0</v>
      </c>
      <c r="G82" s="67">
        <f t="shared" si="1"/>
        <v>0</v>
      </c>
      <c r="H82" s="67">
        <f t="shared" si="2"/>
        <v>0</v>
      </c>
      <c r="I82" s="67">
        <f t="shared" si="3"/>
        <v>1.6961352163807668E-2</v>
      </c>
      <c r="J82" s="67">
        <f t="shared" si="4"/>
        <v>1.2298367970099624E-3</v>
      </c>
      <c r="K82" s="100">
        <f t="shared" si="6"/>
        <v>8.1989119800664157E-4</v>
      </c>
      <c r="O82" s="96">
        <f>Amnt_Deposited!B77</f>
        <v>2063</v>
      </c>
      <c r="P82" s="99">
        <f>Amnt_Deposited!D77</f>
        <v>0</v>
      </c>
      <c r="Q82" s="284">
        <f>MCF!R81</f>
        <v>0.6</v>
      </c>
      <c r="R82" s="67">
        <f t="shared" si="13"/>
        <v>0</v>
      </c>
      <c r="S82" s="67">
        <f t="shared" si="7"/>
        <v>0</v>
      </c>
      <c r="T82" s="67">
        <f t="shared" si="8"/>
        <v>0</v>
      </c>
      <c r="U82" s="67">
        <f t="shared" si="9"/>
        <v>3.5044116040924944E-2</v>
      </c>
      <c r="V82" s="67">
        <f t="shared" si="10"/>
        <v>2.540985117789179E-3</v>
      </c>
      <c r="W82" s="100">
        <f t="shared" si="11"/>
        <v>1.6939900785261192E-3</v>
      </c>
    </row>
    <row r="83" spans="2:23">
      <c r="B83" s="96">
        <f>Amnt_Deposited!B78</f>
        <v>2064</v>
      </c>
      <c r="C83" s="99">
        <f>Amnt_Deposited!D78</f>
        <v>0</v>
      </c>
      <c r="D83" s="418">
        <f>Dry_Matter_Content!D70</f>
        <v>0.44</v>
      </c>
      <c r="E83" s="284">
        <f>MCF!R82</f>
        <v>0.6</v>
      </c>
      <c r="F83" s="67">
        <f t="shared" ref="F83:F99" si="14">C83*D83*$K$6*DOCF*E83</f>
        <v>0</v>
      </c>
      <c r="G83" s="67">
        <f t="shared" ref="G83:G99" si="15">F83*$K$12</f>
        <v>0</v>
      </c>
      <c r="H83" s="67">
        <f t="shared" ref="H83:H99" si="16">F83*(1-$K$12)</f>
        <v>0</v>
      </c>
      <c r="I83" s="67">
        <f t="shared" ref="I83:I99" si="17">G83+I82*$K$10</f>
        <v>1.5814659934782652E-2</v>
      </c>
      <c r="J83" s="67">
        <f t="shared" ref="J83:J99" si="18">I82*(1-$K$10)+H83</f>
        <v>1.146692229025015E-3</v>
      </c>
      <c r="K83" s="100">
        <f t="shared" si="6"/>
        <v>7.6446148601667669E-4</v>
      </c>
      <c r="O83" s="96">
        <f>Amnt_Deposited!B78</f>
        <v>2064</v>
      </c>
      <c r="P83" s="99">
        <f>Amnt_Deposited!D78</f>
        <v>0</v>
      </c>
      <c r="Q83" s="284">
        <f>MCF!R82</f>
        <v>0.6</v>
      </c>
      <c r="R83" s="67">
        <f t="shared" ref="R83:R99" si="19">P83*$W$6*DOCF*Q83</f>
        <v>0</v>
      </c>
      <c r="S83" s="67">
        <f t="shared" si="7"/>
        <v>0</v>
      </c>
      <c r="T83" s="67">
        <f t="shared" si="8"/>
        <v>0</v>
      </c>
      <c r="U83" s="67">
        <f t="shared" si="9"/>
        <v>3.2674917220625328E-2</v>
      </c>
      <c r="V83" s="67">
        <f t="shared" si="10"/>
        <v>2.3691988202996189E-3</v>
      </c>
      <c r="W83" s="100">
        <f t="shared" si="11"/>
        <v>1.5794658801997459E-3</v>
      </c>
    </row>
    <row r="84" spans="2:23">
      <c r="B84" s="96">
        <f>Amnt_Deposited!B79</f>
        <v>2065</v>
      </c>
      <c r="C84" s="99">
        <f>Amnt_Deposited!D79</f>
        <v>0</v>
      </c>
      <c r="D84" s="418">
        <f>Dry_Matter_Content!D71</f>
        <v>0.44</v>
      </c>
      <c r="E84" s="284">
        <f>MCF!R83</f>
        <v>0.6</v>
      </c>
      <c r="F84" s="67">
        <f t="shared" si="14"/>
        <v>0</v>
      </c>
      <c r="G84" s="67">
        <f t="shared" si="15"/>
        <v>0</v>
      </c>
      <c r="H84" s="67">
        <f t="shared" si="16"/>
        <v>0</v>
      </c>
      <c r="I84" s="67">
        <f t="shared" si="17"/>
        <v>1.4745491187105553E-2</v>
      </c>
      <c r="J84" s="67">
        <f t="shared" si="18"/>
        <v>1.0691687476771003E-3</v>
      </c>
      <c r="K84" s="100">
        <f t="shared" si="6"/>
        <v>7.1277916511806676E-4</v>
      </c>
      <c r="O84" s="96">
        <f>Amnt_Deposited!B79</f>
        <v>2065</v>
      </c>
      <c r="P84" s="99">
        <f>Amnt_Deposited!D79</f>
        <v>0</v>
      </c>
      <c r="Q84" s="284">
        <f>MCF!R83</f>
        <v>0.6</v>
      </c>
      <c r="R84" s="67">
        <f t="shared" si="19"/>
        <v>0</v>
      </c>
      <c r="S84" s="67">
        <f t="shared" si="7"/>
        <v>0</v>
      </c>
      <c r="T84" s="67">
        <f t="shared" si="8"/>
        <v>0</v>
      </c>
      <c r="U84" s="67">
        <f t="shared" si="9"/>
        <v>3.0465890882449501E-2</v>
      </c>
      <c r="V84" s="67">
        <f t="shared" si="10"/>
        <v>2.2090263381758278E-3</v>
      </c>
      <c r="W84" s="100">
        <f t="shared" si="11"/>
        <v>1.4726842254505518E-3</v>
      </c>
    </row>
    <row r="85" spans="2:23">
      <c r="B85" s="96">
        <f>Amnt_Deposited!B80</f>
        <v>2066</v>
      </c>
      <c r="C85" s="99">
        <f>Amnt_Deposited!D80</f>
        <v>0</v>
      </c>
      <c r="D85" s="418">
        <f>Dry_Matter_Content!D72</f>
        <v>0.44</v>
      </c>
      <c r="E85" s="284">
        <f>MCF!R84</f>
        <v>0.6</v>
      </c>
      <c r="F85" s="67">
        <f t="shared" si="14"/>
        <v>0</v>
      </c>
      <c r="G85" s="67">
        <f t="shared" si="15"/>
        <v>0</v>
      </c>
      <c r="H85" s="67">
        <f t="shared" si="16"/>
        <v>0</v>
      </c>
      <c r="I85" s="67">
        <f t="shared" si="17"/>
        <v>1.3748604854334842E-2</v>
      </c>
      <c r="J85" s="67">
        <f t="shared" si="18"/>
        <v>9.9688633277071051E-4</v>
      </c>
      <c r="K85" s="100">
        <f t="shared" ref="K85:K99" si="20">J85*CH4_fraction*conv</f>
        <v>6.6459088851380697E-4</v>
      </c>
      <c r="O85" s="96">
        <f>Amnt_Deposited!B80</f>
        <v>2066</v>
      </c>
      <c r="P85" s="99">
        <f>Amnt_Deposited!D80</f>
        <v>0</v>
      </c>
      <c r="Q85" s="284">
        <f>MCF!R84</f>
        <v>0.6</v>
      </c>
      <c r="R85" s="67">
        <f t="shared" si="19"/>
        <v>0</v>
      </c>
      <c r="S85" s="67">
        <f t="shared" ref="S85:S98" si="21">R85*$W$12</f>
        <v>0</v>
      </c>
      <c r="T85" s="67">
        <f t="shared" ref="T85:T98" si="22">R85*(1-$W$12)</f>
        <v>0</v>
      </c>
      <c r="U85" s="67">
        <f t="shared" ref="U85:U98" si="23">S85+U84*$W$10</f>
        <v>2.8406208376724893E-2</v>
      </c>
      <c r="V85" s="67">
        <f t="shared" ref="V85:V98" si="24">U84*(1-$W$10)+T85</f>
        <v>2.0596825057246095E-3</v>
      </c>
      <c r="W85" s="100">
        <f t="shared" ref="W85:W99" si="25">V85*CH4_fraction*conv</f>
        <v>1.3731216704830729E-3</v>
      </c>
    </row>
    <row r="86" spans="2:23">
      <c r="B86" s="96">
        <f>Amnt_Deposited!B81</f>
        <v>2067</v>
      </c>
      <c r="C86" s="99">
        <f>Amnt_Deposited!D81</f>
        <v>0</v>
      </c>
      <c r="D86" s="418">
        <f>Dry_Matter_Content!D73</f>
        <v>0.44</v>
      </c>
      <c r="E86" s="284">
        <f>MCF!R85</f>
        <v>0.6</v>
      </c>
      <c r="F86" s="67">
        <f t="shared" si="14"/>
        <v>0</v>
      </c>
      <c r="G86" s="67">
        <f t="shared" si="15"/>
        <v>0</v>
      </c>
      <c r="H86" s="67">
        <f t="shared" si="16"/>
        <v>0</v>
      </c>
      <c r="I86" s="67">
        <f t="shared" si="17"/>
        <v>1.2819114198510726E-2</v>
      </c>
      <c r="J86" s="67">
        <f t="shared" si="18"/>
        <v>9.2949065582411511E-4</v>
      </c>
      <c r="K86" s="100">
        <f t="shared" si="20"/>
        <v>6.1966043721607667E-4</v>
      </c>
      <c r="O86" s="96">
        <f>Amnt_Deposited!B81</f>
        <v>2067</v>
      </c>
      <c r="P86" s="99">
        <f>Amnt_Deposited!D81</f>
        <v>0</v>
      </c>
      <c r="Q86" s="284">
        <f>MCF!R85</f>
        <v>0.6</v>
      </c>
      <c r="R86" s="67">
        <f t="shared" si="19"/>
        <v>0</v>
      </c>
      <c r="S86" s="67">
        <f t="shared" si="21"/>
        <v>0</v>
      </c>
      <c r="T86" s="67">
        <f t="shared" si="22"/>
        <v>0</v>
      </c>
      <c r="U86" s="67">
        <f t="shared" si="23"/>
        <v>2.6485773137418869E-2</v>
      </c>
      <c r="V86" s="67">
        <f t="shared" si="24"/>
        <v>1.9204352393060238E-3</v>
      </c>
      <c r="W86" s="100">
        <f t="shared" si="25"/>
        <v>1.2802901595373492E-3</v>
      </c>
    </row>
    <row r="87" spans="2:23">
      <c r="B87" s="96">
        <f>Amnt_Deposited!B82</f>
        <v>2068</v>
      </c>
      <c r="C87" s="99">
        <f>Amnt_Deposited!D82</f>
        <v>0</v>
      </c>
      <c r="D87" s="418">
        <f>Dry_Matter_Content!D74</f>
        <v>0.44</v>
      </c>
      <c r="E87" s="284">
        <f>MCF!R86</f>
        <v>0.6</v>
      </c>
      <c r="F87" s="67">
        <f t="shared" si="14"/>
        <v>0</v>
      </c>
      <c r="G87" s="67">
        <f t="shared" si="15"/>
        <v>0</v>
      </c>
      <c r="H87" s="67">
        <f t="shared" si="16"/>
        <v>0</v>
      </c>
      <c r="I87" s="67">
        <f t="shared" si="17"/>
        <v>1.1952462855359995E-2</v>
      </c>
      <c r="J87" s="67">
        <f t="shared" si="18"/>
        <v>8.6665134315073175E-4</v>
      </c>
      <c r="K87" s="100">
        <f t="shared" si="20"/>
        <v>5.7776756210048776E-4</v>
      </c>
      <c r="O87" s="96">
        <f>Amnt_Deposited!B82</f>
        <v>2068</v>
      </c>
      <c r="P87" s="99">
        <f>Amnt_Deposited!D82</f>
        <v>0</v>
      </c>
      <c r="Q87" s="284">
        <f>MCF!R86</f>
        <v>0.6</v>
      </c>
      <c r="R87" s="67">
        <f t="shared" si="19"/>
        <v>0</v>
      </c>
      <c r="S87" s="67">
        <f t="shared" si="21"/>
        <v>0</v>
      </c>
      <c r="T87" s="67">
        <f t="shared" si="22"/>
        <v>0</v>
      </c>
      <c r="U87" s="67">
        <f t="shared" si="23"/>
        <v>2.4695171188760332E-2</v>
      </c>
      <c r="V87" s="67">
        <f t="shared" si="24"/>
        <v>1.7906019486585375E-3</v>
      </c>
      <c r="W87" s="100">
        <f t="shared" si="25"/>
        <v>1.1937346324390249E-3</v>
      </c>
    </row>
    <row r="88" spans="2:23">
      <c r="B88" s="96">
        <f>Amnt_Deposited!B83</f>
        <v>2069</v>
      </c>
      <c r="C88" s="99">
        <f>Amnt_Deposited!D83</f>
        <v>0</v>
      </c>
      <c r="D88" s="418">
        <f>Dry_Matter_Content!D75</f>
        <v>0.44</v>
      </c>
      <c r="E88" s="284">
        <f>MCF!R87</f>
        <v>0.6</v>
      </c>
      <c r="F88" s="67">
        <f t="shared" si="14"/>
        <v>0</v>
      </c>
      <c r="G88" s="67">
        <f t="shared" si="15"/>
        <v>0</v>
      </c>
      <c r="H88" s="67">
        <f t="shared" si="16"/>
        <v>0</v>
      </c>
      <c r="I88" s="67">
        <f t="shared" si="17"/>
        <v>1.1144402498993063E-2</v>
      </c>
      <c r="J88" s="67">
        <f t="shared" si="18"/>
        <v>8.0806035636693161E-4</v>
      </c>
      <c r="K88" s="100">
        <f t="shared" si="20"/>
        <v>5.3870690424462104E-4</v>
      </c>
      <c r="O88" s="96">
        <f>Amnt_Deposited!B83</f>
        <v>2069</v>
      </c>
      <c r="P88" s="99">
        <f>Amnt_Deposited!D83</f>
        <v>0</v>
      </c>
      <c r="Q88" s="284">
        <f>MCF!R87</f>
        <v>0.6</v>
      </c>
      <c r="R88" s="67">
        <f t="shared" si="19"/>
        <v>0</v>
      </c>
      <c r="S88" s="67">
        <f t="shared" si="21"/>
        <v>0</v>
      </c>
      <c r="T88" s="67">
        <f t="shared" si="22"/>
        <v>0</v>
      </c>
      <c r="U88" s="67">
        <f t="shared" si="23"/>
        <v>2.3025624997919564E-2</v>
      </c>
      <c r="V88" s="67">
        <f t="shared" si="24"/>
        <v>1.6695461908407686E-3</v>
      </c>
      <c r="W88" s="100">
        <f t="shared" si="25"/>
        <v>1.1130307938938457E-3</v>
      </c>
    </row>
    <row r="89" spans="2:23">
      <c r="B89" s="96">
        <f>Amnt_Deposited!B84</f>
        <v>2070</v>
      </c>
      <c r="C89" s="99">
        <f>Amnt_Deposited!D84</f>
        <v>0</v>
      </c>
      <c r="D89" s="418">
        <f>Dry_Matter_Content!D76</f>
        <v>0.44</v>
      </c>
      <c r="E89" s="284">
        <f>MCF!R88</f>
        <v>0.6</v>
      </c>
      <c r="F89" s="67">
        <f t="shared" si="14"/>
        <v>0</v>
      </c>
      <c r="G89" s="67">
        <f t="shared" si="15"/>
        <v>0</v>
      </c>
      <c r="H89" s="67">
        <f t="shared" si="16"/>
        <v>0</v>
      </c>
      <c r="I89" s="67">
        <f t="shared" si="17"/>
        <v>1.0390972016605538E-2</v>
      </c>
      <c r="J89" s="67">
        <f t="shared" si="18"/>
        <v>7.5343048238752514E-4</v>
      </c>
      <c r="K89" s="100">
        <f t="shared" si="20"/>
        <v>5.0228698825835005E-4</v>
      </c>
      <c r="O89" s="96">
        <f>Amnt_Deposited!B84</f>
        <v>2070</v>
      </c>
      <c r="P89" s="99">
        <f>Amnt_Deposited!D84</f>
        <v>0</v>
      </c>
      <c r="Q89" s="284">
        <f>MCF!R88</f>
        <v>0.6</v>
      </c>
      <c r="R89" s="67">
        <f t="shared" si="19"/>
        <v>0</v>
      </c>
      <c r="S89" s="67">
        <f t="shared" si="21"/>
        <v>0</v>
      </c>
      <c r="T89" s="67">
        <f t="shared" si="22"/>
        <v>0</v>
      </c>
      <c r="U89" s="67">
        <f t="shared" si="23"/>
        <v>2.1468950447532116E-2</v>
      </c>
      <c r="V89" s="67">
        <f t="shared" si="24"/>
        <v>1.5566745503874495E-3</v>
      </c>
      <c r="W89" s="100">
        <f t="shared" si="25"/>
        <v>1.037783033591633E-3</v>
      </c>
    </row>
    <row r="90" spans="2:23">
      <c r="B90" s="96">
        <f>Amnt_Deposited!B85</f>
        <v>2071</v>
      </c>
      <c r="C90" s="99">
        <f>Amnt_Deposited!D85</f>
        <v>0</v>
      </c>
      <c r="D90" s="418">
        <f>Dry_Matter_Content!D77</f>
        <v>0.44</v>
      </c>
      <c r="E90" s="284">
        <f>MCF!R89</f>
        <v>0.6</v>
      </c>
      <c r="F90" s="67">
        <f t="shared" si="14"/>
        <v>0</v>
      </c>
      <c r="G90" s="67">
        <f t="shared" si="15"/>
        <v>0</v>
      </c>
      <c r="H90" s="67">
        <f t="shared" si="16"/>
        <v>0</v>
      </c>
      <c r="I90" s="67">
        <f t="shared" si="17"/>
        <v>9.6884780910986516E-3</v>
      </c>
      <c r="J90" s="67">
        <f t="shared" si="18"/>
        <v>7.0249392550688586E-4</v>
      </c>
      <c r="K90" s="100">
        <f t="shared" si="20"/>
        <v>4.6832928367125724E-4</v>
      </c>
      <c r="O90" s="96">
        <f>Amnt_Deposited!B85</f>
        <v>2071</v>
      </c>
      <c r="P90" s="99">
        <f>Amnt_Deposited!D85</f>
        <v>0</v>
      </c>
      <c r="Q90" s="284">
        <f>MCF!R89</f>
        <v>0.6</v>
      </c>
      <c r="R90" s="67">
        <f t="shared" si="19"/>
        <v>0</v>
      </c>
      <c r="S90" s="67">
        <f t="shared" si="21"/>
        <v>0</v>
      </c>
      <c r="T90" s="67">
        <f t="shared" si="22"/>
        <v>0</v>
      </c>
      <c r="U90" s="67">
        <f t="shared" si="23"/>
        <v>2.0017516717145988E-2</v>
      </c>
      <c r="V90" s="67">
        <f t="shared" si="24"/>
        <v>1.4514337303861286E-3</v>
      </c>
      <c r="W90" s="100">
        <f t="shared" si="25"/>
        <v>9.676224869240857E-4</v>
      </c>
    </row>
    <row r="91" spans="2:23">
      <c r="B91" s="96">
        <f>Amnt_Deposited!B86</f>
        <v>2072</v>
      </c>
      <c r="C91" s="99">
        <f>Amnt_Deposited!D86</f>
        <v>0</v>
      </c>
      <c r="D91" s="418">
        <f>Dry_Matter_Content!D78</f>
        <v>0.44</v>
      </c>
      <c r="E91" s="284">
        <f>MCF!R90</f>
        <v>0.6</v>
      </c>
      <c r="F91" s="67">
        <f t="shared" si="14"/>
        <v>0</v>
      </c>
      <c r="G91" s="67">
        <f t="shared" si="15"/>
        <v>0</v>
      </c>
      <c r="H91" s="67">
        <f t="shared" si="16"/>
        <v>0</v>
      </c>
      <c r="I91" s="67">
        <f t="shared" si="17"/>
        <v>9.0334770964345616E-3</v>
      </c>
      <c r="J91" s="67">
        <f t="shared" si="18"/>
        <v>6.550009946640899E-4</v>
      </c>
      <c r="K91" s="100">
        <f t="shared" si="20"/>
        <v>4.3666732977605993E-4</v>
      </c>
      <c r="O91" s="96">
        <f>Amnt_Deposited!B86</f>
        <v>2072</v>
      </c>
      <c r="P91" s="99">
        <f>Amnt_Deposited!D86</f>
        <v>0</v>
      </c>
      <c r="Q91" s="284">
        <f>MCF!R90</f>
        <v>0.6</v>
      </c>
      <c r="R91" s="67">
        <f t="shared" si="19"/>
        <v>0</v>
      </c>
      <c r="S91" s="67">
        <f t="shared" si="21"/>
        <v>0</v>
      </c>
      <c r="T91" s="67">
        <f t="shared" si="22"/>
        <v>0</v>
      </c>
      <c r="U91" s="67">
        <f t="shared" si="23"/>
        <v>1.8664208876930925E-2</v>
      </c>
      <c r="V91" s="67">
        <f t="shared" si="24"/>
        <v>1.3533078402150627E-3</v>
      </c>
      <c r="W91" s="100">
        <f t="shared" si="25"/>
        <v>9.0220522681004178E-4</v>
      </c>
    </row>
    <row r="92" spans="2:23">
      <c r="B92" s="96">
        <f>Amnt_Deposited!B87</f>
        <v>2073</v>
      </c>
      <c r="C92" s="99">
        <f>Amnt_Deposited!D87</f>
        <v>0</v>
      </c>
      <c r="D92" s="418">
        <f>Dry_Matter_Content!D79</f>
        <v>0.44</v>
      </c>
      <c r="E92" s="284">
        <f>MCF!R91</f>
        <v>0.6</v>
      </c>
      <c r="F92" s="67">
        <f t="shared" si="14"/>
        <v>0</v>
      </c>
      <c r="G92" s="67">
        <f t="shared" si="15"/>
        <v>0</v>
      </c>
      <c r="H92" s="67">
        <f t="shared" si="16"/>
        <v>0</v>
      </c>
      <c r="I92" s="67">
        <f t="shared" si="17"/>
        <v>8.4227582169775148E-3</v>
      </c>
      <c r="J92" s="67">
        <f t="shared" si="18"/>
        <v>6.1071887945704647E-4</v>
      </c>
      <c r="K92" s="100">
        <f t="shared" si="20"/>
        <v>4.0714591963803096E-4</v>
      </c>
      <c r="O92" s="96">
        <f>Amnt_Deposited!B87</f>
        <v>2073</v>
      </c>
      <c r="P92" s="99">
        <f>Amnt_Deposited!D87</f>
        <v>0</v>
      </c>
      <c r="Q92" s="284">
        <f>MCF!R91</f>
        <v>0.6</v>
      </c>
      <c r="R92" s="67">
        <f t="shared" si="19"/>
        <v>0</v>
      </c>
      <c r="S92" s="67">
        <f t="shared" si="21"/>
        <v>0</v>
      </c>
      <c r="T92" s="67">
        <f t="shared" si="22"/>
        <v>0</v>
      </c>
      <c r="U92" s="67">
        <f t="shared" si="23"/>
        <v>1.7402393010284133E-2</v>
      </c>
      <c r="V92" s="67">
        <f t="shared" si="24"/>
        <v>1.2618158666467911E-3</v>
      </c>
      <c r="W92" s="100">
        <f t="shared" si="25"/>
        <v>8.4121057776452741E-4</v>
      </c>
    </row>
    <row r="93" spans="2:23">
      <c r="B93" s="96">
        <f>Amnt_Deposited!B88</f>
        <v>2074</v>
      </c>
      <c r="C93" s="99">
        <f>Amnt_Deposited!D88</f>
        <v>0</v>
      </c>
      <c r="D93" s="418">
        <f>Dry_Matter_Content!D80</f>
        <v>0.44</v>
      </c>
      <c r="E93" s="284">
        <f>MCF!R92</f>
        <v>0.6</v>
      </c>
      <c r="F93" s="67">
        <f t="shared" si="14"/>
        <v>0</v>
      </c>
      <c r="G93" s="67">
        <f t="shared" si="15"/>
        <v>0</v>
      </c>
      <c r="H93" s="67">
        <f t="shared" si="16"/>
        <v>0</v>
      </c>
      <c r="I93" s="67">
        <f t="shared" si="17"/>
        <v>7.8533277080718791E-3</v>
      </c>
      <c r="J93" s="67">
        <f t="shared" si="18"/>
        <v>5.6943050890563584E-4</v>
      </c>
      <c r="K93" s="100">
        <f t="shared" si="20"/>
        <v>3.7962033927042388E-4</v>
      </c>
      <c r="O93" s="96">
        <f>Amnt_Deposited!B88</f>
        <v>2074</v>
      </c>
      <c r="P93" s="99">
        <f>Amnt_Deposited!D88</f>
        <v>0</v>
      </c>
      <c r="Q93" s="284">
        <f>MCF!R92</f>
        <v>0.6</v>
      </c>
      <c r="R93" s="67">
        <f t="shared" si="19"/>
        <v>0</v>
      </c>
      <c r="S93" s="67">
        <f t="shared" si="21"/>
        <v>0</v>
      </c>
      <c r="T93" s="67">
        <f t="shared" si="22"/>
        <v>0</v>
      </c>
      <c r="U93" s="67">
        <f t="shared" si="23"/>
        <v>1.6225883694363397E-2</v>
      </c>
      <c r="V93" s="67">
        <f t="shared" si="24"/>
        <v>1.176509315920736E-3</v>
      </c>
      <c r="W93" s="100">
        <f t="shared" si="25"/>
        <v>7.8433954394715728E-4</v>
      </c>
    </row>
    <row r="94" spans="2:23">
      <c r="B94" s="96">
        <f>Amnt_Deposited!B89</f>
        <v>2075</v>
      </c>
      <c r="C94" s="99">
        <f>Amnt_Deposited!D89</f>
        <v>0</v>
      </c>
      <c r="D94" s="418">
        <f>Dry_Matter_Content!D81</f>
        <v>0.44</v>
      </c>
      <c r="E94" s="284">
        <f>MCF!R93</f>
        <v>0.6</v>
      </c>
      <c r="F94" s="67">
        <f t="shared" si="14"/>
        <v>0</v>
      </c>
      <c r="G94" s="67">
        <f t="shared" si="15"/>
        <v>0</v>
      </c>
      <c r="H94" s="67">
        <f t="shared" si="16"/>
        <v>0</v>
      </c>
      <c r="I94" s="67">
        <f t="shared" si="17"/>
        <v>7.3223942207023655E-3</v>
      </c>
      <c r="J94" s="67">
        <f t="shared" si="18"/>
        <v>5.3093348736951392E-4</v>
      </c>
      <c r="K94" s="100">
        <f t="shared" si="20"/>
        <v>3.5395565824634261E-4</v>
      </c>
      <c r="O94" s="96">
        <f>Amnt_Deposited!B89</f>
        <v>2075</v>
      </c>
      <c r="P94" s="99">
        <f>Amnt_Deposited!D89</f>
        <v>0</v>
      </c>
      <c r="Q94" s="284">
        <f>MCF!R93</f>
        <v>0.6</v>
      </c>
      <c r="R94" s="67">
        <f t="shared" si="19"/>
        <v>0</v>
      </c>
      <c r="S94" s="67">
        <f t="shared" si="21"/>
        <v>0</v>
      </c>
      <c r="T94" s="67">
        <f t="shared" si="22"/>
        <v>0</v>
      </c>
      <c r="U94" s="67">
        <f t="shared" si="23"/>
        <v>1.5128913679137128E-2</v>
      </c>
      <c r="V94" s="67">
        <f t="shared" si="24"/>
        <v>1.0969700152262691E-3</v>
      </c>
      <c r="W94" s="100">
        <f t="shared" si="25"/>
        <v>7.313133434841794E-4</v>
      </c>
    </row>
    <row r="95" spans="2:23">
      <c r="B95" s="96">
        <f>Amnt_Deposited!B90</f>
        <v>2076</v>
      </c>
      <c r="C95" s="99">
        <f>Amnt_Deposited!D90</f>
        <v>0</v>
      </c>
      <c r="D95" s="418">
        <f>Dry_Matter_Content!D82</f>
        <v>0.44</v>
      </c>
      <c r="E95" s="284">
        <f>MCF!R94</f>
        <v>0.6</v>
      </c>
      <c r="F95" s="67">
        <f t="shared" si="14"/>
        <v>0</v>
      </c>
      <c r="G95" s="67">
        <f t="shared" si="15"/>
        <v>0</v>
      </c>
      <c r="H95" s="67">
        <f t="shared" si="16"/>
        <v>0</v>
      </c>
      <c r="I95" s="67">
        <f t="shared" si="17"/>
        <v>6.8273551182979177E-3</v>
      </c>
      <c r="J95" s="67">
        <f t="shared" si="18"/>
        <v>4.9503910240444762E-4</v>
      </c>
      <c r="K95" s="100">
        <f t="shared" si="20"/>
        <v>3.3002606826963173E-4</v>
      </c>
      <c r="O95" s="96">
        <f>Amnt_Deposited!B90</f>
        <v>2076</v>
      </c>
      <c r="P95" s="99">
        <f>Amnt_Deposited!D90</f>
        <v>0</v>
      </c>
      <c r="Q95" s="284">
        <f>MCF!R94</f>
        <v>0.6</v>
      </c>
      <c r="R95" s="67">
        <f t="shared" si="19"/>
        <v>0</v>
      </c>
      <c r="S95" s="67">
        <f t="shared" si="21"/>
        <v>0</v>
      </c>
      <c r="T95" s="67">
        <f t="shared" si="22"/>
        <v>0</v>
      </c>
      <c r="U95" s="67">
        <f t="shared" si="23"/>
        <v>1.410610561631802E-2</v>
      </c>
      <c r="V95" s="67">
        <f t="shared" si="24"/>
        <v>1.0228080628191074E-3</v>
      </c>
      <c r="W95" s="100">
        <f t="shared" si="25"/>
        <v>6.8187204187940493E-4</v>
      </c>
    </row>
    <row r="96" spans="2:23">
      <c r="B96" s="96">
        <f>Amnt_Deposited!B91</f>
        <v>2077</v>
      </c>
      <c r="C96" s="99">
        <f>Amnt_Deposited!D91</f>
        <v>0</v>
      </c>
      <c r="D96" s="418">
        <f>Dry_Matter_Content!D83</f>
        <v>0.44</v>
      </c>
      <c r="E96" s="284">
        <f>MCF!R95</f>
        <v>0.6</v>
      </c>
      <c r="F96" s="67">
        <f t="shared" si="14"/>
        <v>0</v>
      </c>
      <c r="G96" s="67">
        <f t="shared" si="15"/>
        <v>0</v>
      </c>
      <c r="H96" s="67">
        <f t="shared" si="16"/>
        <v>0</v>
      </c>
      <c r="I96" s="67">
        <f t="shared" si="17"/>
        <v>6.3657837186042229E-3</v>
      </c>
      <c r="J96" s="67">
        <f t="shared" si="18"/>
        <v>4.6157139969369484E-4</v>
      </c>
      <c r="K96" s="100">
        <f t="shared" si="20"/>
        <v>3.0771426646246321E-4</v>
      </c>
      <c r="O96" s="96">
        <f>Amnt_Deposited!B91</f>
        <v>2077</v>
      </c>
      <c r="P96" s="99">
        <f>Amnt_Deposited!D91</f>
        <v>0</v>
      </c>
      <c r="Q96" s="284">
        <f>MCF!R95</f>
        <v>0.6</v>
      </c>
      <c r="R96" s="67">
        <f t="shared" si="19"/>
        <v>0</v>
      </c>
      <c r="S96" s="67">
        <f t="shared" si="21"/>
        <v>0</v>
      </c>
      <c r="T96" s="67">
        <f t="shared" si="22"/>
        <v>0</v>
      </c>
      <c r="U96" s="67">
        <f t="shared" si="23"/>
        <v>1.3152445699595509E-2</v>
      </c>
      <c r="V96" s="67">
        <f t="shared" si="24"/>
        <v>9.5365991672251055E-4</v>
      </c>
      <c r="W96" s="100">
        <f t="shared" si="25"/>
        <v>6.3577327781500696E-4</v>
      </c>
    </row>
    <row r="97" spans="2:23">
      <c r="B97" s="96">
        <f>Amnt_Deposited!B92</f>
        <v>2078</v>
      </c>
      <c r="C97" s="99">
        <f>Amnt_Deposited!D92</f>
        <v>0</v>
      </c>
      <c r="D97" s="418">
        <f>Dry_Matter_Content!D84</f>
        <v>0.44</v>
      </c>
      <c r="E97" s="284">
        <f>MCF!R96</f>
        <v>0.6</v>
      </c>
      <c r="F97" s="67">
        <f t="shared" si="14"/>
        <v>0</v>
      </c>
      <c r="G97" s="67">
        <f t="shared" si="15"/>
        <v>0</v>
      </c>
      <c r="H97" s="67">
        <f t="shared" si="16"/>
        <v>0</v>
      </c>
      <c r="I97" s="67">
        <f t="shared" si="17"/>
        <v>5.9354173980844839E-3</v>
      </c>
      <c r="J97" s="67">
        <f t="shared" si="18"/>
        <v>4.3036632051973939E-4</v>
      </c>
      <c r="K97" s="100">
        <f t="shared" si="20"/>
        <v>2.8691088034649289E-4</v>
      </c>
      <c r="O97" s="96">
        <f>Amnt_Deposited!B92</f>
        <v>2078</v>
      </c>
      <c r="P97" s="99">
        <f>Amnt_Deposited!D92</f>
        <v>0</v>
      </c>
      <c r="Q97" s="284">
        <f>MCF!R96</f>
        <v>0.6</v>
      </c>
      <c r="R97" s="67">
        <f t="shared" si="19"/>
        <v>0</v>
      </c>
      <c r="S97" s="67">
        <f t="shared" si="21"/>
        <v>0</v>
      </c>
      <c r="T97" s="67">
        <f t="shared" si="22"/>
        <v>0</v>
      </c>
      <c r="U97" s="67">
        <f t="shared" si="23"/>
        <v>1.2263259086951419E-2</v>
      </c>
      <c r="V97" s="67">
        <f t="shared" si="24"/>
        <v>8.8918661264409012E-4</v>
      </c>
      <c r="W97" s="100">
        <f t="shared" si="25"/>
        <v>5.9279107509606008E-4</v>
      </c>
    </row>
    <row r="98" spans="2:23">
      <c r="B98" s="96">
        <f>Amnt_Deposited!B93</f>
        <v>2079</v>
      </c>
      <c r="C98" s="99">
        <f>Amnt_Deposited!D93</f>
        <v>0</v>
      </c>
      <c r="D98" s="418">
        <f>Dry_Matter_Content!D85</f>
        <v>0.44</v>
      </c>
      <c r="E98" s="284">
        <f>MCF!R97</f>
        <v>0.6</v>
      </c>
      <c r="F98" s="67">
        <f t="shared" si="14"/>
        <v>0</v>
      </c>
      <c r="G98" s="67">
        <f t="shared" si="15"/>
        <v>0</v>
      </c>
      <c r="H98" s="67">
        <f t="shared" si="16"/>
        <v>0</v>
      </c>
      <c r="I98" s="67">
        <f t="shared" si="17"/>
        <v>5.534146500536216E-3</v>
      </c>
      <c r="J98" s="67">
        <f t="shared" si="18"/>
        <v>4.0127089754826755E-4</v>
      </c>
      <c r="K98" s="100">
        <f t="shared" si="20"/>
        <v>2.6751393169884501E-4</v>
      </c>
      <c r="O98" s="96">
        <f>Amnt_Deposited!B93</f>
        <v>2079</v>
      </c>
      <c r="P98" s="99">
        <f>Amnt_Deposited!D93</f>
        <v>0</v>
      </c>
      <c r="Q98" s="284">
        <f>MCF!R97</f>
        <v>0.6</v>
      </c>
      <c r="R98" s="67">
        <f t="shared" si="19"/>
        <v>0</v>
      </c>
      <c r="S98" s="67">
        <f t="shared" si="21"/>
        <v>0</v>
      </c>
      <c r="T98" s="67">
        <f t="shared" si="22"/>
        <v>0</v>
      </c>
      <c r="U98" s="67">
        <f t="shared" si="23"/>
        <v>1.1434186984578964E-2</v>
      </c>
      <c r="V98" s="67">
        <f t="shared" si="24"/>
        <v>8.2907210237245397E-4</v>
      </c>
      <c r="W98" s="100">
        <f t="shared" si="25"/>
        <v>5.5271473491496931E-4</v>
      </c>
    </row>
    <row r="99" spans="2:23" ht="13.5" thickBot="1">
      <c r="B99" s="97">
        <f>Amnt_Deposited!B94</f>
        <v>2080</v>
      </c>
      <c r="C99" s="101">
        <f>Amnt_Deposited!D94</f>
        <v>0</v>
      </c>
      <c r="D99" s="419">
        <f>Dry_Matter_Content!D86</f>
        <v>0.44</v>
      </c>
      <c r="E99" s="285">
        <f>MCF!R98</f>
        <v>0.6</v>
      </c>
      <c r="F99" s="68">
        <f t="shared" si="14"/>
        <v>0</v>
      </c>
      <c r="G99" s="68">
        <f t="shared" si="15"/>
        <v>0</v>
      </c>
      <c r="H99" s="68">
        <f t="shared" si="16"/>
        <v>0</v>
      </c>
      <c r="I99" s="68">
        <f t="shared" si="17"/>
        <v>5.1600039955540982E-3</v>
      </c>
      <c r="J99" s="68">
        <f t="shared" si="18"/>
        <v>3.7414250498211753E-4</v>
      </c>
      <c r="K99" s="102">
        <f t="shared" si="20"/>
        <v>2.4942833665474499E-4</v>
      </c>
      <c r="O99" s="97">
        <f>Amnt_Deposited!B94</f>
        <v>2080</v>
      </c>
      <c r="P99" s="101">
        <f>Amnt_Deposited!D94</f>
        <v>0</v>
      </c>
      <c r="Q99" s="285">
        <f>MCF!R98</f>
        <v>0.6</v>
      </c>
      <c r="R99" s="68">
        <f t="shared" si="19"/>
        <v>0</v>
      </c>
      <c r="S99" s="68">
        <f>R99*$W$12</f>
        <v>0</v>
      </c>
      <c r="T99" s="68">
        <f>R99*(1-$W$12)</f>
        <v>0</v>
      </c>
      <c r="U99" s="68">
        <f>S99+U98*$W$10</f>
        <v>1.0661165280070457E-2</v>
      </c>
      <c r="V99" s="68">
        <f>U98*(1-$W$10)+T99</f>
        <v>7.7302170450850767E-4</v>
      </c>
      <c r="W99" s="102">
        <f t="shared" si="25"/>
        <v>5.1534780300567171E-4</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0.6</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v>
      </c>
      <c r="D19" s="416">
        <f>Dry_Matter_Content!E6</f>
        <v>0.44</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Amnt_Deposited!E14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0</v>
      </c>
      <c r="D20" s="418">
        <f>Dry_Matter_Content!E7</f>
        <v>0.44</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Amnt_Deposited!E15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v>
      </c>
      <c r="D21" s="418">
        <f>Dry_Matter_Content!E8</f>
        <v>0.44</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Amnt_Deposited!E16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0</v>
      </c>
      <c r="D22" s="418">
        <f>Dry_Matter_Content!E9</f>
        <v>0.44</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Amnt_Deposited!E17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0</v>
      </c>
      <c r="D23" s="418">
        <f>Dry_Matter_Content!E10</f>
        <v>0.44</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Amnt_Deposited!E18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0</v>
      </c>
      <c r="D24" s="418">
        <f>Dry_Matter_Content!E11</f>
        <v>0.44</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Amnt_Deposited!E19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0</v>
      </c>
      <c r="D25" s="418">
        <f>Dry_Matter_Content!E12</f>
        <v>0.44</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Amnt_Deposited!E20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0</v>
      </c>
      <c r="D26" s="418">
        <f>Dry_Matter_Content!E13</f>
        <v>0.44</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Amnt_Deposited!E21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0</v>
      </c>
      <c r="D27" s="418">
        <f>Dry_Matter_Content!E14</f>
        <v>0.44</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Amnt_Deposited!E22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0</v>
      </c>
      <c r="D28" s="418">
        <f>Dry_Matter_Content!E15</f>
        <v>0.44</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Amnt_Deposited!E23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0</v>
      </c>
      <c r="D29" s="418">
        <f>Dry_Matter_Content!E16</f>
        <v>0.44</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Amnt_Deposited!E24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Dry_Matter_Content!E17</f>
        <v>0.44</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Amnt_Deposited!E25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Dry_Matter_Content!E18</f>
        <v>0.44</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Amnt_Deposited!E26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Dry_Matter_Content!E19</f>
        <v>0.44</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Amnt_Deposited!E27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Dry_Matter_Content!E20</f>
        <v>0.44</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Amnt_Deposited!E28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Dry_Matter_Content!E21</f>
        <v>0.44</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Amnt_Deposited!E29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Dry_Matter_Content!E22</f>
        <v>0.44</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Amnt_Deposited!E30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0.14280093600000002</v>
      </c>
      <c r="D36" s="418">
        <f>Dry_Matter_Content!E23</f>
        <v>0.44</v>
      </c>
      <c r="E36" s="284">
        <f>MCF!R35</f>
        <v>0.6</v>
      </c>
      <c r="F36" s="67">
        <f t="shared" si="0"/>
        <v>1.13098341312E-2</v>
      </c>
      <c r="G36" s="67">
        <f t="shared" si="1"/>
        <v>1.13098341312E-2</v>
      </c>
      <c r="H36" s="67">
        <f t="shared" si="2"/>
        <v>0</v>
      </c>
      <c r="I36" s="67">
        <f t="shared" si="3"/>
        <v>1.13098341312E-2</v>
      </c>
      <c r="J36" s="67">
        <f t="shared" si="4"/>
        <v>0</v>
      </c>
      <c r="K36" s="100">
        <f t="shared" si="6"/>
        <v>0</v>
      </c>
      <c r="O36" s="96">
        <f>Amnt_Deposited!B31</f>
        <v>2017</v>
      </c>
      <c r="P36" s="99">
        <f>Amnt_Deposited!E31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0.157761606252</v>
      </c>
      <c r="D37" s="418">
        <f>Dry_Matter_Content!E24</f>
        <v>0.44</v>
      </c>
      <c r="E37" s="284">
        <f>MCF!R36</f>
        <v>0.6</v>
      </c>
      <c r="F37" s="67">
        <f t="shared" si="0"/>
        <v>1.2494719215158399E-2</v>
      </c>
      <c r="G37" s="67">
        <f t="shared" si="1"/>
        <v>1.2494719215158399E-2</v>
      </c>
      <c r="H37" s="67">
        <f t="shared" si="2"/>
        <v>0</v>
      </c>
      <c r="I37" s="67">
        <f t="shared" si="3"/>
        <v>2.203642835319277E-2</v>
      </c>
      <c r="J37" s="67">
        <f t="shared" si="4"/>
        <v>1.7681249931656314E-3</v>
      </c>
      <c r="K37" s="100">
        <f t="shared" si="6"/>
        <v>1.1787499954437541E-3</v>
      </c>
      <c r="O37" s="96">
        <f>Amnt_Deposited!B32</f>
        <v>2018</v>
      </c>
      <c r="P37" s="99">
        <f>Amnt_Deposited!E32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0.174145548172848</v>
      </c>
      <c r="D38" s="418">
        <f>Dry_Matter_Content!E25</f>
        <v>0.44</v>
      </c>
      <c r="E38" s="284">
        <f>MCF!R37</f>
        <v>0.6</v>
      </c>
      <c r="F38" s="67">
        <f t="shared" si="0"/>
        <v>1.3792327415289561E-2</v>
      </c>
      <c r="G38" s="67">
        <f t="shared" si="1"/>
        <v>1.3792327415289561E-2</v>
      </c>
      <c r="H38" s="67">
        <f t="shared" si="2"/>
        <v>0</v>
      </c>
      <c r="I38" s="67">
        <f t="shared" si="3"/>
        <v>3.2383686700325293E-2</v>
      </c>
      <c r="J38" s="67">
        <f t="shared" si="4"/>
        <v>3.4450690681570419E-3</v>
      </c>
      <c r="K38" s="100">
        <f t="shared" si="6"/>
        <v>2.2967127121046945E-3</v>
      </c>
      <c r="O38" s="96">
        <f>Amnt_Deposited!B33</f>
        <v>2019</v>
      </c>
      <c r="P38" s="99">
        <f>Amnt_Deposited!E33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0.19208083401442289</v>
      </c>
      <c r="D39" s="418">
        <f>Dry_Matter_Content!E26</f>
        <v>0.44</v>
      </c>
      <c r="E39" s="284">
        <f>MCF!R38</f>
        <v>0.6</v>
      </c>
      <c r="F39" s="67">
        <f t="shared" si="0"/>
        <v>1.5212802053942291E-2</v>
      </c>
      <c r="G39" s="67">
        <f t="shared" si="1"/>
        <v>1.5212802053942291E-2</v>
      </c>
      <c r="H39" s="67">
        <f t="shared" si="2"/>
        <v>0</v>
      </c>
      <c r="I39" s="67">
        <f t="shared" si="3"/>
        <v>4.2533779154686979E-2</v>
      </c>
      <c r="J39" s="67">
        <f t="shared" si="4"/>
        <v>5.0627095995806042E-3</v>
      </c>
      <c r="K39" s="100">
        <f t="shared" si="6"/>
        <v>3.3751397330537359E-3</v>
      </c>
      <c r="O39" s="96">
        <f>Amnt_Deposited!B34</f>
        <v>2020</v>
      </c>
      <c r="P39" s="99">
        <f>Amnt_Deposited!E34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0.21170664996265462</v>
      </c>
      <c r="D40" s="418">
        <f>Dry_Matter_Content!E27</f>
        <v>0.44</v>
      </c>
      <c r="E40" s="284">
        <f>MCF!R39</f>
        <v>0.6</v>
      </c>
      <c r="F40" s="67">
        <f t="shared" si="0"/>
        <v>1.6767166677042242E-2</v>
      </c>
      <c r="G40" s="67">
        <f t="shared" si="1"/>
        <v>1.6767166677042242E-2</v>
      </c>
      <c r="H40" s="67">
        <f t="shared" si="2"/>
        <v>0</v>
      </c>
      <c r="I40" s="67">
        <f t="shared" si="3"/>
        <v>5.265141966673232E-2</v>
      </c>
      <c r="J40" s="67">
        <f t="shared" si="4"/>
        <v>6.6495261649969009E-3</v>
      </c>
      <c r="K40" s="100">
        <f t="shared" si="6"/>
        <v>4.4330174433312667E-3</v>
      </c>
      <c r="O40" s="96">
        <f>Amnt_Deposited!B35</f>
        <v>2021</v>
      </c>
      <c r="P40" s="99">
        <f>Amnt_Deposited!E35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0.23317423627486528</v>
      </c>
      <c r="D41" s="418">
        <f>Dry_Matter_Content!E28</f>
        <v>0.44</v>
      </c>
      <c r="E41" s="284">
        <f>MCF!R40</f>
        <v>0.6</v>
      </c>
      <c r="F41" s="67">
        <f t="shared" si="0"/>
        <v>1.8467399512969329E-2</v>
      </c>
      <c r="G41" s="67">
        <f t="shared" si="1"/>
        <v>1.8467399512969329E-2</v>
      </c>
      <c r="H41" s="67">
        <f t="shared" si="2"/>
        <v>0</v>
      </c>
      <c r="I41" s="67">
        <f t="shared" si="3"/>
        <v>6.2887549829642286E-2</v>
      </c>
      <c r="J41" s="67">
        <f t="shared" si="4"/>
        <v>8.231269350059368E-3</v>
      </c>
      <c r="K41" s="100">
        <f t="shared" si="6"/>
        <v>5.4875129000395784E-3</v>
      </c>
      <c r="O41" s="96">
        <f>Amnt_Deposited!B36</f>
        <v>2022</v>
      </c>
      <c r="P41" s="99">
        <f>Amnt_Deposited!E36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0.2566479054510078</v>
      </c>
      <c r="D42" s="418">
        <f>Dry_Matter_Content!E29</f>
        <v>0.44</v>
      </c>
      <c r="E42" s="284">
        <f>MCF!R41</f>
        <v>0.6</v>
      </c>
      <c r="F42" s="67">
        <f t="shared" si="0"/>
        <v>2.0326514111719814E-2</v>
      </c>
      <c r="G42" s="67">
        <f t="shared" si="1"/>
        <v>2.0326514111719814E-2</v>
      </c>
      <c r="H42" s="67">
        <f t="shared" si="2"/>
        <v>0</v>
      </c>
      <c r="I42" s="67">
        <f t="shared" si="3"/>
        <v>7.3382527304940909E-2</v>
      </c>
      <c r="J42" s="67">
        <f t="shared" si="4"/>
        <v>9.8315366364211849E-3</v>
      </c>
      <c r="K42" s="100">
        <f t="shared" si="6"/>
        <v>6.5543577576141227E-3</v>
      </c>
      <c r="O42" s="96">
        <f>Amnt_Deposited!B37</f>
        <v>2023</v>
      </c>
      <c r="P42" s="99">
        <f>Amnt_Deposited!E37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0.28230614482175825</v>
      </c>
      <c r="D43" s="418">
        <f>Dry_Matter_Content!E30</f>
        <v>0.44</v>
      </c>
      <c r="E43" s="284">
        <f>MCF!R42</f>
        <v>0.6</v>
      </c>
      <c r="F43" s="67">
        <f t="shared" si="0"/>
        <v>2.2358646669883252E-2</v>
      </c>
      <c r="G43" s="67">
        <f t="shared" si="1"/>
        <v>2.2358646669883252E-2</v>
      </c>
      <c r="H43" s="67">
        <f t="shared" si="2"/>
        <v>0</v>
      </c>
      <c r="I43" s="67">
        <f t="shared" si="3"/>
        <v>8.4268903109985346E-2</v>
      </c>
      <c r="J43" s="67">
        <f t="shared" si="4"/>
        <v>1.1472270864838818E-2</v>
      </c>
      <c r="K43" s="100">
        <f t="shared" si="6"/>
        <v>7.6481805765592119E-3</v>
      </c>
      <c r="O43" s="96">
        <f>Amnt_Deposited!B38</f>
        <v>2024</v>
      </c>
      <c r="P43" s="99">
        <f>Amnt_Deposited!E38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0.3103428104524899</v>
      </c>
      <c r="D44" s="418">
        <f>Dry_Matter_Content!E31</f>
        <v>0.44</v>
      </c>
      <c r="E44" s="284">
        <f>MCF!R43</f>
        <v>0.6</v>
      </c>
      <c r="F44" s="67">
        <f t="shared" si="0"/>
        <v>2.45791505878372E-2</v>
      </c>
      <c r="G44" s="67">
        <f t="shared" si="1"/>
        <v>2.45791505878372E-2</v>
      </c>
      <c r="H44" s="67">
        <f t="shared" si="2"/>
        <v>0</v>
      </c>
      <c r="I44" s="67">
        <f t="shared" si="3"/>
        <v>9.5673859274901421E-2</v>
      </c>
      <c r="J44" s="67">
        <f t="shared" si="4"/>
        <v>1.3174194422921131E-2</v>
      </c>
      <c r="K44" s="100">
        <f t="shared" si="6"/>
        <v>8.7827962819474192E-3</v>
      </c>
      <c r="O44" s="96">
        <f>Amnt_Deposited!B39</f>
        <v>2025</v>
      </c>
      <c r="P44" s="99">
        <f>Amnt_Deposited!E39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0.34096841981955328</v>
      </c>
      <c r="D45" s="418">
        <f>Dry_Matter_Content!E32</f>
        <v>0.44</v>
      </c>
      <c r="E45" s="284">
        <f>MCF!R44</f>
        <v>0.6</v>
      </c>
      <c r="F45" s="67">
        <f t="shared" si="0"/>
        <v>2.7004698849708613E-2</v>
      </c>
      <c r="G45" s="67">
        <f t="shared" si="1"/>
        <v>2.7004698849708613E-2</v>
      </c>
      <c r="H45" s="67">
        <f t="shared" si="2"/>
        <v>0</v>
      </c>
      <c r="I45" s="67">
        <f t="shared" si="3"/>
        <v>0.10772136778793655</v>
      </c>
      <c r="J45" s="67">
        <f t="shared" si="4"/>
        <v>1.495719033667349E-2</v>
      </c>
      <c r="K45" s="100">
        <f t="shared" si="6"/>
        <v>9.9714602244489921E-3</v>
      </c>
      <c r="O45" s="96">
        <f>Amnt_Deposited!B40</f>
        <v>2026</v>
      </c>
      <c r="P45" s="99">
        <f>Amnt_Deposited!E40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0.37441155131730647</v>
      </c>
      <c r="D46" s="418">
        <f>Dry_Matter_Content!E33</f>
        <v>0.44</v>
      </c>
      <c r="E46" s="284">
        <f>MCF!R45</f>
        <v>0.6</v>
      </c>
      <c r="F46" s="67">
        <f t="shared" si="0"/>
        <v>2.9653394864330669E-2</v>
      </c>
      <c r="G46" s="67">
        <f t="shared" si="1"/>
        <v>2.9653394864330669E-2</v>
      </c>
      <c r="H46" s="67">
        <f t="shared" si="2"/>
        <v>0</v>
      </c>
      <c r="I46" s="67">
        <f t="shared" si="3"/>
        <v>0.12053412286265175</v>
      </c>
      <c r="J46" s="67">
        <f t="shared" si="4"/>
        <v>1.6840639789615464E-2</v>
      </c>
      <c r="K46" s="100">
        <f t="shared" si="6"/>
        <v>1.1227093193076975E-2</v>
      </c>
      <c r="O46" s="96">
        <f>Amnt_Deposited!B41</f>
        <v>2027</v>
      </c>
      <c r="P46" s="99">
        <f>Amnt_Deposited!E41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0.41092035930451337</v>
      </c>
      <c r="D47" s="418">
        <f>Dry_Matter_Content!E34</f>
        <v>0.44</v>
      </c>
      <c r="E47" s="284">
        <f>MCF!R46</f>
        <v>0.6</v>
      </c>
      <c r="F47" s="67">
        <f t="shared" si="0"/>
        <v>3.2544892456917461E-2</v>
      </c>
      <c r="G47" s="67">
        <f t="shared" si="1"/>
        <v>3.2544892456917461E-2</v>
      </c>
      <c r="H47" s="67">
        <f t="shared" si="2"/>
        <v>0</v>
      </c>
      <c r="I47" s="67">
        <f t="shared" si="3"/>
        <v>0.13423529111544252</v>
      </c>
      <c r="J47" s="67">
        <f t="shared" si="4"/>
        <v>1.884372420412668E-2</v>
      </c>
      <c r="K47" s="100">
        <f t="shared" si="6"/>
        <v>1.2562482802751119E-2</v>
      </c>
      <c r="O47" s="96">
        <f>Amnt_Deposited!B42</f>
        <v>2028</v>
      </c>
      <c r="P47" s="99">
        <f>Amnt_Deposited!E42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0.45076421410088252</v>
      </c>
      <c r="D48" s="418">
        <f>Dry_Matter_Content!E35</f>
        <v>0.44</v>
      </c>
      <c r="E48" s="284">
        <f>MCF!R47</f>
        <v>0.6</v>
      </c>
      <c r="F48" s="67">
        <f t="shared" si="0"/>
        <v>3.5700525756789891E-2</v>
      </c>
      <c r="G48" s="67">
        <f t="shared" si="1"/>
        <v>3.5700525756789891E-2</v>
      </c>
      <c r="H48" s="67">
        <f t="shared" si="2"/>
        <v>0</v>
      </c>
      <c r="I48" s="67">
        <f t="shared" si="3"/>
        <v>0.14895011801646188</v>
      </c>
      <c r="J48" s="67">
        <f t="shared" si="4"/>
        <v>2.0985698855770531E-2</v>
      </c>
      <c r="K48" s="100">
        <f t="shared" si="6"/>
        <v>1.399046590384702E-2</v>
      </c>
      <c r="O48" s="96">
        <f>Amnt_Deposited!B43</f>
        <v>2029</v>
      </c>
      <c r="P48" s="99">
        <f>Amnt_Deposited!E43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0.49439895</v>
      </c>
      <c r="D49" s="418">
        <f>Dry_Matter_Content!E36</f>
        <v>0.44</v>
      </c>
      <c r="E49" s="284">
        <f>MCF!R48</f>
        <v>0.6</v>
      </c>
      <c r="F49" s="67">
        <f t="shared" si="0"/>
        <v>3.9156396840000003E-2</v>
      </c>
      <c r="G49" s="67">
        <f t="shared" si="1"/>
        <v>3.9156396840000003E-2</v>
      </c>
      <c r="H49" s="67">
        <f t="shared" si="2"/>
        <v>0</v>
      </c>
      <c r="I49" s="67">
        <f t="shared" si="3"/>
        <v>0.16482037083836801</v>
      </c>
      <c r="J49" s="67">
        <f t="shared" si="4"/>
        <v>2.3286144018093861E-2</v>
      </c>
      <c r="K49" s="100">
        <f t="shared" si="6"/>
        <v>1.5524096012062574E-2</v>
      </c>
      <c r="O49" s="96">
        <f>Amnt_Deposited!B44</f>
        <v>2030</v>
      </c>
      <c r="P49" s="99">
        <f>Amnt_Deposited!E44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0.6</v>
      </c>
      <c r="F50" s="67">
        <f t="shared" si="0"/>
        <v>0</v>
      </c>
      <c r="G50" s="67">
        <f t="shared" si="1"/>
        <v>0</v>
      </c>
      <c r="H50" s="67">
        <f t="shared" si="2"/>
        <v>0</v>
      </c>
      <c r="I50" s="67">
        <f t="shared" si="3"/>
        <v>0.13905314793469969</v>
      </c>
      <c r="J50" s="67">
        <f t="shared" si="4"/>
        <v>2.5767222903668313E-2</v>
      </c>
      <c r="K50" s="100">
        <f t="shared" si="6"/>
        <v>1.7178148602445542E-2</v>
      </c>
      <c r="O50" s="96">
        <f>Amnt_Deposited!B45</f>
        <v>2031</v>
      </c>
      <c r="P50" s="99">
        <f>Amnt_Deposited!E45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0.6</v>
      </c>
      <c r="F51" s="67">
        <f t="shared" si="0"/>
        <v>0</v>
      </c>
      <c r="G51" s="67">
        <f t="shared" si="1"/>
        <v>0</v>
      </c>
      <c r="H51" s="67">
        <f t="shared" si="2"/>
        <v>0</v>
      </c>
      <c r="I51" s="67">
        <f t="shared" si="3"/>
        <v>0.11731424854947822</v>
      </c>
      <c r="J51" s="67">
        <f t="shared" si="4"/>
        <v>2.1738899385221465E-2</v>
      </c>
      <c r="K51" s="100">
        <f t="shared" si="6"/>
        <v>1.4492599590147643E-2</v>
      </c>
      <c r="O51" s="96">
        <f>Amnt_Deposited!B46</f>
        <v>2032</v>
      </c>
      <c r="P51" s="99">
        <f>Amnt_Deposited!E46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0.6</v>
      </c>
      <c r="F52" s="67">
        <f t="shared" si="0"/>
        <v>0</v>
      </c>
      <c r="G52" s="67">
        <f t="shared" si="1"/>
        <v>0</v>
      </c>
      <c r="H52" s="67">
        <f t="shared" si="2"/>
        <v>0</v>
      </c>
      <c r="I52" s="67">
        <f t="shared" si="3"/>
        <v>9.897390398663812E-2</v>
      </c>
      <c r="J52" s="67">
        <f t="shared" si="4"/>
        <v>1.8340344562840106E-2</v>
      </c>
      <c r="K52" s="100">
        <f t="shared" si="6"/>
        <v>1.2226896375226736E-2</v>
      </c>
      <c r="O52" s="96">
        <f>Amnt_Deposited!B47</f>
        <v>2033</v>
      </c>
      <c r="P52" s="99">
        <f>Amnt_Deposited!E47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0.6</v>
      </c>
      <c r="F53" s="67">
        <f t="shared" si="0"/>
        <v>0</v>
      </c>
      <c r="G53" s="67">
        <f t="shared" si="1"/>
        <v>0</v>
      </c>
      <c r="H53" s="67">
        <f t="shared" si="2"/>
        <v>0</v>
      </c>
      <c r="I53" s="67">
        <f t="shared" si="3"/>
        <v>8.3500800554715135E-2</v>
      </c>
      <c r="J53" s="67">
        <f t="shared" si="4"/>
        <v>1.547310343192298E-2</v>
      </c>
      <c r="K53" s="100">
        <f t="shared" si="6"/>
        <v>1.0315402287948652E-2</v>
      </c>
      <c r="O53" s="96">
        <f>Amnt_Deposited!B48</f>
        <v>2034</v>
      </c>
      <c r="P53" s="99">
        <f>Amnt_Deposited!E48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0.6</v>
      </c>
      <c r="F54" s="67">
        <f t="shared" si="0"/>
        <v>0</v>
      </c>
      <c r="G54" s="67">
        <f t="shared" si="1"/>
        <v>0</v>
      </c>
      <c r="H54" s="67">
        <f t="shared" si="2"/>
        <v>0</v>
      </c>
      <c r="I54" s="67">
        <f t="shared" si="3"/>
        <v>7.0446687585644957E-2</v>
      </c>
      <c r="J54" s="67">
        <f t="shared" si="4"/>
        <v>1.3054112969070176E-2</v>
      </c>
      <c r="K54" s="100">
        <f t="shared" si="6"/>
        <v>8.7027419793801169E-3</v>
      </c>
      <c r="O54" s="96">
        <f>Amnt_Deposited!B49</f>
        <v>2035</v>
      </c>
      <c r="P54" s="99">
        <f>Amnt_Deposited!E49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0.6</v>
      </c>
      <c r="F55" s="67">
        <f t="shared" si="0"/>
        <v>0</v>
      </c>
      <c r="G55" s="67">
        <f t="shared" si="1"/>
        <v>0</v>
      </c>
      <c r="H55" s="67">
        <f t="shared" si="2"/>
        <v>0</v>
      </c>
      <c r="I55" s="67">
        <f t="shared" si="3"/>
        <v>5.9433391761765896E-2</v>
      </c>
      <c r="J55" s="67">
        <f t="shared" si="4"/>
        <v>1.1013295823879063E-2</v>
      </c>
      <c r="K55" s="100">
        <f t="shared" si="6"/>
        <v>7.3421972159193752E-3</v>
      </c>
      <c r="O55" s="96">
        <f>Amnt_Deposited!B50</f>
        <v>2036</v>
      </c>
      <c r="P55" s="99">
        <f>Amnt_Deposited!E50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0.6</v>
      </c>
      <c r="F56" s="67">
        <f t="shared" si="0"/>
        <v>0</v>
      </c>
      <c r="G56" s="67">
        <f t="shared" si="1"/>
        <v>0</v>
      </c>
      <c r="H56" s="67">
        <f t="shared" si="2"/>
        <v>0</v>
      </c>
      <c r="I56" s="67">
        <f t="shared" si="3"/>
        <v>5.0141861560391243E-2</v>
      </c>
      <c r="J56" s="67">
        <f t="shared" si="4"/>
        <v>9.2915302013746488E-3</v>
      </c>
      <c r="K56" s="100">
        <f t="shared" si="6"/>
        <v>6.1943534675830986E-3</v>
      </c>
      <c r="O56" s="96">
        <f>Amnt_Deposited!B51</f>
        <v>2037</v>
      </c>
      <c r="P56" s="99">
        <f>Amnt_Deposited!E51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0.6</v>
      </c>
      <c r="F57" s="67">
        <f t="shared" si="0"/>
        <v>0</v>
      </c>
      <c r="G57" s="67">
        <f t="shared" si="1"/>
        <v>0</v>
      </c>
      <c r="H57" s="67">
        <f t="shared" si="2"/>
        <v>0</v>
      </c>
      <c r="I57" s="67">
        <f t="shared" si="3"/>
        <v>4.230292443714874E-2</v>
      </c>
      <c r="J57" s="67">
        <f t="shared" si="4"/>
        <v>7.8389371232425037E-3</v>
      </c>
      <c r="K57" s="100">
        <f t="shared" si="6"/>
        <v>5.2259580821616691E-3</v>
      </c>
      <c r="O57" s="96">
        <f>Amnt_Deposited!B52</f>
        <v>2038</v>
      </c>
      <c r="P57" s="99">
        <f>Amnt_Deposited!E52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0.6</v>
      </c>
      <c r="F58" s="67">
        <f t="shared" si="0"/>
        <v>0</v>
      </c>
      <c r="G58" s="67">
        <f t="shared" si="1"/>
        <v>0</v>
      </c>
      <c r="H58" s="67">
        <f t="shared" si="2"/>
        <v>0</v>
      </c>
      <c r="I58" s="67">
        <f t="shared" si="3"/>
        <v>3.5689488986757771E-2</v>
      </c>
      <c r="J58" s="67">
        <f t="shared" si="4"/>
        <v>6.6134354503909702E-3</v>
      </c>
      <c r="K58" s="100">
        <f t="shared" si="6"/>
        <v>4.4089569669273129E-3</v>
      </c>
      <c r="O58" s="96">
        <f>Amnt_Deposited!B53</f>
        <v>2039</v>
      </c>
      <c r="P58" s="99">
        <f>Amnt_Deposited!E53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0.6</v>
      </c>
      <c r="F59" s="67">
        <f t="shared" si="0"/>
        <v>0</v>
      </c>
      <c r="G59" s="67">
        <f t="shared" si="1"/>
        <v>0</v>
      </c>
      <c r="H59" s="67">
        <f t="shared" si="2"/>
        <v>0</v>
      </c>
      <c r="I59" s="67">
        <f t="shared" si="3"/>
        <v>3.0109966180431651E-2</v>
      </c>
      <c r="J59" s="67">
        <f t="shared" si="4"/>
        <v>5.5795228063261204E-3</v>
      </c>
      <c r="K59" s="100">
        <f t="shared" si="6"/>
        <v>3.71968187088408E-3</v>
      </c>
      <c r="O59" s="96">
        <f>Amnt_Deposited!B54</f>
        <v>2040</v>
      </c>
      <c r="P59" s="99">
        <f>Amnt_Deposited!E54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0.6</v>
      </c>
      <c r="F60" s="67">
        <f t="shared" si="0"/>
        <v>0</v>
      </c>
      <c r="G60" s="67">
        <f t="shared" si="1"/>
        <v>0</v>
      </c>
      <c r="H60" s="67">
        <f t="shared" si="2"/>
        <v>0</v>
      </c>
      <c r="I60" s="67">
        <f t="shared" si="3"/>
        <v>2.5402719095337183E-2</v>
      </c>
      <c r="J60" s="67">
        <f t="shared" si="4"/>
        <v>4.7072470850944665E-3</v>
      </c>
      <c r="K60" s="100">
        <f t="shared" si="6"/>
        <v>3.1381647233963109E-3</v>
      </c>
      <c r="O60" s="96">
        <f>Amnt_Deposited!B55</f>
        <v>2041</v>
      </c>
      <c r="P60" s="99">
        <f>Amnt_Deposited!E55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0.6</v>
      </c>
      <c r="F61" s="67">
        <f t="shared" si="0"/>
        <v>0</v>
      </c>
      <c r="G61" s="67">
        <f t="shared" si="1"/>
        <v>0</v>
      </c>
      <c r="H61" s="67">
        <f t="shared" si="2"/>
        <v>0</v>
      </c>
      <c r="I61" s="67">
        <f t="shared" si="3"/>
        <v>2.1431380346617099E-2</v>
      </c>
      <c r="J61" s="67">
        <f t="shared" si="4"/>
        <v>3.9713387487200847E-3</v>
      </c>
      <c r="K61" s="100">
        <f t="shared" si="6"/>
        <v>2.6475591658133898E-3</v>
      </c>
      <c r="O61" s="96">
        <f>Amnt_Deposited!B56</f>
        <v>2042</v>
      </c>
      <c r="P61" s="99">
        <f>Amnt_Deposited!E56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0.6</v>
      </c>
      <c r="F62" s="67">
        <f t="shared" si="0"/>
        <v>0</v>
      </c>
      <c r="G62" s="67">
        <f t="shared" si="1"/>
        <v>0</v>
      </c>
      <c r="H62" s="67">
        <f t="shared" si="2"/>
        <v>0</v>
      </c>
      <c r="I62" s="67">
        <f t="shared" si="3"/>
        <v>1.8080901569536057E-2</v>
      </c>
      <c r="J62" s="67">
        <f t="shared" si="4"/>
        <v>3.3504787770810419E-3</v>
      </c>
      <c r="K62" s="100">
        <f t="shared" si="6"/>
        <v>2.2336525180540277E-3</v>
      </c>
      <c r="O62" s="96">
        <f>Amnt_Deposited!B57</f>
        <v>2043</v>
      </c>
      <c r="P62" s="99">
        <f>Amnt_Deposited!E57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0.6</v>
      </c>
      <c r="F63" s="67">
        <f t="shared" si="0"/>
        <v>0</v>
      </c>
      <c r="G63" s="67">
        <f t="shared" si="1"/>
        <v>0</v>
      </c>
      <c r="H63" s="67">
        <f t="shared" si="2"/>
        <v>0</v>
      </c>
      <c r="I63" s="67">
        <f t="shared" si="3"/>
        <v>1.5254220506559904E-2</v>
      </c>
      <c r="J63" s="67">
        <f t="shared" si="4"/>
        <v>2.8266810629761531E-3</v>
      </c>
      <c r="K63" s="100">
        <f t="shared" si="6"/>
        <v>1.884454041984102E-3</v>
      </c>
      <c r="O63" s="96">
        <f>Amnt_Deposited!B58</f>
        <v>2044</v>
      </c>
      <c r="P63" s="99">
        <f>Amnt_Deposited!E58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0.6</v>
      </c>
      <c r="F64" s="67">
        <f t="shared" si="0"/>
        <v>0</v>
      </c>
      <c r="G64" s="67">
        <f t="shared" si="1"/>
        <v>0</v>
      </c>
      <c r="H64" s="67">
        <f t="shared" si="2"/>
        <v>0</v>
      </c>
      <c r="I64" s="67">
        <f t="shared" si="3"/>
        <v>1.2869449145987658E-2</v>
      </c>
      <c r="J64" s="67">
        <f t="shared" si="4"/>
        <v>2.3847713605722473E-3</v>
      </c>
      <c r="K64" s="100">
        <f t="shared" si="6"/>
        <v>1.5898475737148314E-3</v>
      </c>
      <c r="O64" s="96">
        <f>Amnt_Deposited!B59</f>
        <v>2045</v>
      </c>
      <c r="P64" s="99">
        <f>Amnt_Deposited!E59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0.6</v>
      </c>
      <c r="F65" s="67">
        <f t="shared" si="0"/>
        <v>0</v>
      </c>
      <c r="G65" s="67">
        <f t="shared" si="1"/>
        <v>0</v>
      </c>
      <c r="H65" s="67">
        <f t="shared" si="2"/>
        <v>0</v>
      </c>
      <c r="I65" s="67">
        <f t="shared" si="3"/>
        <v>1.0857501453446165E-2</v>
      </c>
      <c r="J65" s="67">
        <f t="shared" si="4"/>
        <v>2.0119476925414934E-3</v>
      </c>
      <c r="K65" s="100">
        <f t="shared" si="6"/>
        <v>1.3412984616943289E-3</v>
      </c>
      <c r="O65" s="96">
        <f>Amnt_Deposited!B60</f>
        <v>2046</v>
      </c>
      <c r="P65" s="99">
        <f>Amnt_Deposited!E60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0.6</v>
      </c>
      <c r="F66" s="67">
        <f t="shared" si="0"/>
        <v>0</v>
      </c>
      <c r="G66" s="67">
        <f t="shared" si="1"/>
        <v>0</v>
      </c>
      <c r="H66" s="67">
        <f t="shared" si="2"/>
        <v>0</v>
      </c>
      <c r="I66" s="67">
        <f t="shared" si="3"/>
        <v>9.1600919724166285E-3</v>
      </c>
      <c r="J66" s="67">
        <f t="shared" si="4"/>
        <v>1.6974094810295367E-3</v>
      </c>
      <c r="K66" s="100">
        <f t="shared" si="6"/>
        <v>1.1316063206863577E-3</v>
      </c>
      <c r="O66" s="96">
        <f>Amnt_Deposited!B61</f>
        <v>2047</v>
      </c>
      <c r="P66" s="99">
        <f>Amnt_Deposited!E61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0.6</v>
      </c>
      <c r="F67" s="67">
        <f t="shared" si="0"/>
        <v>0</v>
      </c>
      <c r="G67" s="67">
        <f t="shared" si="1"/>
        <v>0</v>
      </c>
      <c r="H67" s="67">
        <f t="shared" si="2"/>
        <v>0</v>
      </c>
      <c r="I67" s="67">
        <f t="shared" si="3"/>
        <v>7.728047313914882E-3</v>
      </c>
      <c r="J67" s="67">
        <f t="shared" si="4"/>
        <v>1.432044658501747E-3</v>
      </c>
      <c r="K67" s="100">
        <f t="shared" si="6"/>
        <v>9.5469643900116463E-4</v>
      </c>
      <c r="O67" s="96">
        <f>Amnt_Deposited!B62</f>
        <v>2048</v>
      </c>
      <c r="P67" s="99">
        <f>Amnt_Deposited!E62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0.6</v>
      </c>
      <c r="F68" s="67">
        <f t="shared" si="0"/>
        <v>0</v>
      </c>
      <c r="G68" s="67">
        <f t="shared" si="1"/>
        <v>0</v>
      </c>
      <c r="H68" s="67">
        <f t="shared" si="2"/>
        <v>0</v>
      </c>
      <c r="I68" s="67">
        <f t="shared" si="3"/>
        <v>6.5198816197421751E-3</v>
      </c>
      <c r="J68" s="67">
        <f t="shared" si="4"/>
        <v>1.2081656941727074E-3</v>
      </c>
      <c r="K68" s="100">
        <f t="shared" si="6"/>
        <v>8.054437961151382E-4</v>
      </c>
      <c r="O68" s="96">
        <f>Amnt_Deposited!B63</f>
        <v>2049</v>
      </c>
      <c r="P68" s="99">
        <f>Amnt_Deposited!E63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0.6</v>
      </c>
      <c r="F69" s="67">
        <f t="shared" si="0"/>
        <v>0</v>
      </c>
      <c r="G69" s="67">
        <f t="shared" si="1"/>
        <v>0</v>
      </c>
      <c r="H69" s="67">
        <f t="shared" si="2"/>
        <v>0</v>
      </c>
      <c r="I69" s="67">
        <f t="shared" si="3"/>
        <v>5.5005947309499153E-3</v>
      </c>
      <c r="J69" s="67">
        <f t="shared" si="4"/>
        <v>1.0192868887922597E-3</v>
      </c>
      <c r="K69" s="100">
        <f t="shared" si="6"/>
        <v>6.7952459252817315E-4</v>
      </c>
      <c r="O69" s="96">
        <f>Amnt_Deposited!B64</f>
        <v>2050</v>
      </c>
      <c r="P69" s="99">
        <f>Amnt_Deposited!E64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0.6</v>
      </c>
      <c r="F70" s="67">
        <f t="shared" si="0"/>
        <v>0</v>
      </c>
      <c r="G70" s="67">
        <f t="shared" si="1"/>
        <v>0</v>
      </c>
      <c r="H70" s="67">
        <f t="shared" si="2"/>
        <v>0</v>
      </c>
      <c r="I70" s="67">
        <f t="shared" si="3"/>
        <v>4.640658244857895E-3</v>
      </c>
      <c r="J70" s="67">
        <f t="shared" si="4"/>
        <v>8.5993648609202042E-4</v>
      </c>
      <c r="K70" s="100">
        <f t="shared" si="6"/>
        <v>5.7329099072801358E-4</v>
      </c>
      <c r="O70" s="96">
        <f>Amnt_Deposited!B65</f>
        <v>2051</v>
      </c>
      <c r="P70" s="99">
        <f>Amnt_Deposited!E65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0.6</v>
      </c>
      <c r="F71" s="67">
        <f t="shared" si="0"/>
        <v>0</v>
      </c>
      <c r="G71" s="67">
        <f t="shared" si="1"/>
        <v>0</v>
      </c>
      <c r="H71" s="67">
        <f t="shared" si="2"/>
        <v>0</v>
      </c>
      <c r="I71" s="67">
        <f t="shared" si="3"/>
        <v>3.9151600870345315E-3</v>
      </c>
      <c r="J71" s="67">
        <f t="shared" si="4"/>
        <v>7.2549815782336309E-4</v>
      </c>
      <c r="K71" s="100">
        <f t="shared" si="6"/>
        <v>4.8366543854890871E-4</v>
      </c>
      <c r="O71" s="96">
        <f>Amnt_Deposited!B66</f>
        <v>2052</v>
      </c>
      <c r="P71" s="99">
        <f>Amnt_Deposited!E66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0.6</v>
      </c>
      <c r="F72" s="67">
        <f t="shared" si="0"/>
        <v>0</v>
      </c>
      <c r="G72" s="67">
        <f t="shared" si="1"/>
        <v>0</v>
      </c>
      <c r="H72" s="67">
        <f t="shared" si="2"/>
        <v>0</v>
      </c>
      <c r="I72" s="67">
        <f t="shared" si="3"/>
        <v>3.3030828167734698E-3</v>
      </c>
      <c r="J72" s="67">
        <f t="shared" si="4"/>
        <v>6.1207727026106184E-4</v>
      </c>
      <c r="K72" s="100">
        <f t="shared" si="6"/>
        <v>4.0805151350737452E-4</v>
      </c>
      <c r="O72" s="96">
        <f>Amnt_Deposited!B67</f>
        <v>2053</v>
      </c>
      <c r="P72" s="99">
        <f>Amnt_Deposited!E67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0.6</v>
      </c>
      <c r="F73" s="67">
        <f t="shared" si="0"/>
        <v>0</v>
      </c>
      <c r="G73" s="67">
        <f t="shared" si="1"/>
        <v>0</v>
      </c>
      <c r="H73" s="67">
        <f t="shared" si="2"/>
        <v>0</v>
      </c>
      <c r="I73" s="67">
        <f t="shared" si="3"/>
        <v>2.7866947588158558E-3</v>
      </c>
      <c r="J73" s="67">
        <f t="shared" si="4"/>
        <v>5.1638805795761386E-4</v>
      </c>
      <c r="K73" s="100">
        <f t="shared" si="6"/>
        <v>3.4425870530507591E-4</v>
      </c>
      <c r="O73" s="96">
        <f>Amnt_Deposited!B68</f>
        <v>2054</v>
      </c>
      <c r="P73" s="99">
        <f>Amnt_Deposited!E68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0.6</v>
      </c>
      <c r="F74" s="67">
        <f t="shared" si="0"/>
        <v>0</v>
      </c>
      <c r="G74" s="67">
        <f t="shared" si="1"/>
        <v>0</v>
      </c>
      <c r="H74" s="67">
        <f t="shared" si="2"/>
        <v>0</v>
      </c>
      <c r="I74" s="67">
        <f t="shared" si="3"/>
        <v>2.3510363226064827E-3</v>
      </c>
      <c r="J74" s="67">
        <f t="shared" si="4"/>
        <v>4.356584362093731E-4</v>
      </c>
      <c r="K74" s="100">
        <f t="shared" si="6"/>
        <v>2.9043895747291537E-4</v>
      </c>
      <c r="O74" s="96">
        <f>Amnt_Deposited!B69</f>
        <v>2055</v>
      </c>
      <c r="P74" s="99">
        <f>Amnt_Deposited!E69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0.6</v>
      </c>
      <c r="F75" s="67">
        <f t="shared" si="0"/>
        <v>0</v>
      </c>
      <c r="G75" s="67">
        <f t="shared" si="1"/>
        <v>0</v>
      </c>
      <c r="H75" s="67">
        <f t="shared" si="2"/>
        <v>0</v>
      </c>
      <c r="I75" s="67">
        <f t="shared" si="3"/>
        <v>1.9834866279232347E-3</v>
      </c>
      <c r="J75" s="67">
        <f t="shared" si="4"/>
        <v>3.675496946832481E-4</v>
      </c>
      <c r="K75" s="100">
        <f t="shared" si="6"/>
        <v>2.4503312978883205E-4</v>
      </c>
      <c r="O75" s="96">
        <f>Amnt_Deposited!B70</f>
        <v>2056</v>
      </c>
      <c r="P75" s="99">
        <f>Amnt_Deposited!E70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0.6</v>
      </c>
      <c r="F76" s="67">
        <f t="shared" si="0"/>
        <v>0</v>
      </c>
      <c r="G76" s="67">
        <f t="shared" si="1"/>
        <v>0</v>
      </c>
      <c r="H76" s="67">
        <f t="shared" si="2"/>
        <v>0</v>
      </c>
      <c r="I76" s="67">
        <f t="shared" si="3"/>
        <v>1.6733978821682355E-3</v>
      </c>
      <c r="J76" s="67">
        <f t="shared" si="4"/>
        <v>3.1008874575499934E-4</v>
      </c>
      <c r="K76" s="100">
        <f t="shared" si="6"/>
        <v>2.0672583050333288E-4</v>
      </c>
      <c r="O76" s="96">
        <f>Amnt_Deposited!B71</f>
        <v>2057</v>
      </c>
      <c r="P76" s="99">
        <f>Amnt_Deposited!E71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0.6</v>
      </c>
      <c r="F77" s="67">
        <f t="shared" si="0"/>
        <v>0</v>
      </c>
      <c r="G77" s="67">
        <f t="shared" si="1"/>
        <v>0</v>
      </c>
      <c r="H77" s="67">
        <f t="shared" si="2"/>
        <v>0</v>
      </c>
      <c r="I77" s="67">
        <f t="shared" si="3"/>
        <v>1.4117869173522412E-3</v>
      </c>
      <c r="J77" s="67">
        <f t="shared" si="4"/>
        <v>2.616109648159942E-4</v>
      </c>
      <c r="K77" s="100">
        <f t="shared" si="6"/>
        <v>1.7440730987732946E-4</v>
      </c>
      <c r="O77" s="96">
        <f>Amnt_Deposited!B72</f>
        <v>2058</v>
      </c>
      <c r="P77" s="99">
        <f>Amnt_Deposited!E72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0.6</v>
      </c>
      <c r="F78" s="67">
        <f t="shared" si="0"/>
        <v>0</v>
      </c>
      <c r="G78" s="67">
        <f t="shared" si="1"/>
        <v>0</v>
      </c>
      <c r="H78" s="67">
        <f t="shared" si="2"/>
        <v>0</v>
      </c>
      <c r="I78" s="67">
        <f t="shared" si="3"/>
        <v>1.1910749507011524E-3</v>
      </c>
      <c r="J78" s="67">
        <f t="shared" si="4"/>
        <v>2.2071196665108872E-4</v>
      </c>
      <c r="K78" s="100">
        <f t="shared" si="6"/>
        <v>1.4714131110072579E-4</v>
      </c>
      <c r="O78" s="96">
        <f>Amnt_Deposited!B73</f>
        <v>2059</v>
      </c>
      <c r="P78" s="99">
        <f>Amnt_Deposited!E73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0.6</v>
      </c>
      <c r="F79" s="67">
        <f t="shared" si="0"/>
        <v>0</v>
      </c>
      <c r="G79" s="67">
        <f t="shared" si="1"/>
        <v>0</v>
      </c>
      <c r="H79" s="67">
        <f t="shared" si="2"/>
        <v>0</v>
      </c>
      <c r="I79" s="67">
        <f t="shared" si="3"/>
        <v>1.0048680298358344E-3</v>
      </c>
      <c r="J79" s="67">
        <f t="shared" si="4"/>
        <v>1.862069208653179E-4</v>
      </c>
      <c r="K79" s="100">
        <f t="shared" si="6"/>
        <v>1.2413794724354526E-4</v>
      </c>
      <c r="O79" s="96">
        <f>Amnt_Deposited!B74</f>
        <v>2060</v>
      </c>
      <c r="P79" s="99">
        <f>Amnt_Deposited!E74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0.6</v>
      </c>
      <c r="F80" s="67">
        <f t="shared" si="0"/>
        <v>0</v>
      </c>
      <c r="G80" s="67">
        <f t="shared" si="1"/>
        <v>0</v>
      </c>
      <c r="H80" s="67">
        <f t="shared" si="2"/>
        <v>0</v>
      </c>
      <c r="I80" s="67">
        <f t="shared" si="3"/>
        <v>8.4777180209501864E-4</v>
      </c>
      <c r="J80" s="67">
        <f t="shared" si="4"/>
        <v>1.5709622774081575E-4</v>
      </c>
      <c r="K80" s="100">
        <f t="shared" si="6"/>
        <v>1.0473081849387716E-4</v>
      </c>
      <c r="O80" s="96">
        <f>Amnt_Deposited!B75</f>
        <v>2061</v>
      </c>
      <c r="P80" s="99">
        <f>Amnt_Deposited!E75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0.6</v>
      </c>
      <c r="F81" s="67">
        <f t="shared" si="0"/>
        <v>0</v>
      </c>
      <c r="G81" s="67">
        <f t="shared" si="1"/>
        <v>0</v>
      </c>
      <c r="H81" s="67">
        <f t="shared" si="2"/>
        <v>0</v>
      </c>
      <c r="I81" s="67">
        <f t="shared" si="3"/>
        <v>7.1523524193007964E-4</v>
      </c>
      <c r="J81" s="67">
        <f t="shared" si="4"/>
        <v>1.3253656016493903E-4</v>
      </c>
      <c r="K81" s="100">
        <f t="shared" si="6"/>
        <v>8.8357706776626016E-5</v>
      </c>
      <c r="O81" s="96">
        <f>Amnt_Deposited!B76</f>
        <v>2062</v>
      </c>
      <c r="P81" s="99">
        <f>Amnt_Deposited!E76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0.6</v>
      </c>
      <c r="F82" s="67">
        <f t="shared" si="0"/>
        <v>0</v>
      </c>
      <c r="G82" s="67">
        <f t="shared" si="1"/>
        <v>0</v>
      </c>
      <c r="H82" s="67">
        <f t="shared" si="2"/>
        <v>0</v>
      </c>
      <c r="I82" s="67">
        <f t="shared" si="3"/>
        <v>6.0341880920621082E-4</v>
      </c>
      <c r="J82" s="67">
        <f t="shared" si="4"/>
        <v>1.1181643272386888E-4</v>
      </c>
      <c r="K82" s="100">
        <f t="shared" si="6"/>
        <v>7.4544288482579252E-5</v>
      </c>
      <c r="O82" s="96">
        <f>Amnt_Deposited!B77</f>
        <v>2063</v>
      </c>
      <c r="P82" s="99">
        <f>Amnt_Deposited!E77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0.6</v>
      </c>
      <c r="F83" s="67">
        <f t="shared" ref="F83:F99" si="12">C83*D83*$K$6*DOCF*E83</f>
        <v>0</v>
      </c>
      <c r="G83" s="67">
        <f t="shared" ref="G83:G99" si="13">F83*$K$12</f>
        <v>0</v>
      </c>
      <c r="H83" s="67">
        <f t="shared" ref="H83:H99" si="14">F83*(1-$K$12)</f>
        <v>0</v>
      </c>
      <c r="I83" s="67">
        <f t="shared" ref="I83:I99" si="15">G83+I82*$K$10</f>
        <v>5.0908321899976615E-4</v>
      </c>
      <c r="J83" s="67">
        <f t="shared" ref="J83:J99" si="16">I82*(1-$K$10)+H83</f>
        <v>9.4335590206444722E-5</v>
      </c>
      <c r="K83" s="100">
        <f t="shared" si="6"/>
        <v>6.2890393470963144E-5</v>
      </c>
      <c r="O83" s="96">
        <f>Amnt_Deposited!B78</f>
        <v>2064</v>
      </c>
      <c r="P83" s="99">
        <f>Amnt_Deposited!E78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0.6</v>
      </c>
      <c r="F84" s="67">
        <f t="shared" si="12"/>
        <v>0</v>
      </c>
      <c r="G84" s="67">
        <f t="shared" si="13"/>
        <v>0</v>
      </c>
      <c r="H84" s="67">
        <f t="shared" si="14"/>
        <v>0</v>
      </c>
      <c r="I84" s="67">
        <f t="shared" si="15"/>
        <v>4.2949560058973437E-4</v>
      </c>
      <c r="J84" s="67">
        <f t="shared" si="16"/>
        <v>7.9587618410031797E-5</v>
      </c>
      <c r="K84" s="100">
        <f t="shared" si="6"/>
        <v>5.3058412273354527E-5</v>
      </c>
      <c r="O84" s="96">
        <f>Amnt_Deposited!B79</f>
        <v>2065</v>
      </c>
      <c r="P84" s="99">
        <f>Amnt_Deposited!E79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0.6</v>
      </c>
      <c r="F85" s="67">
        <f t="shared" si="12"/>
        <v>0</v>
      </c>
      <c r="G85" s="67">
        <f t="shared" si="13"/>
        <v>0</v>
      </c>
      <c r="H85" s="67">
        <f t="shared" si="14"/>
        <v>0</v>
      </c>
      <c r="I85" s="67">
        <f t="shared" si="15"/>
        <v>3.6235032710049193E-4</v>
      </c>
      <c r="J85" s="67">
        <f t="shared" si="16"/>
        <v>6.7145273489242451E-5</v>
      </c>
      <c r="K85" s="100">
        <f t="shared" ref="K85:K99" si="18">J85*CH4_fraction*conv</f>
        <v>4.4763515659494967E-5</v>
      </c>
      <c r="O85" s="96">
        <f>Amnt_Deposited!B80</f>
        <v>2066</v>
      </c>
      <c r="P85" s="99">
        <f>Amnt_Deposited!E80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0.6</v>
      </c>
      <c r="F86" s="67">
        <f t="shared" si="12"/>
        <v>0</v>
      </c>
      <c r="G86" s="67">
        <f t="shared" si="13"/>
        <v>0</v>
      </c>
      <c r="H86" s="67">
        <f t="shared" si="14"/>
        <v>0</v>
      </c>
      <c r="I86" s="67">
        <f t="shared" si="15"/>
        <v>3.0570222225687619E-4</v>
      </c>
      <c r="J86" s="67">
        <f t="shared" si="16"/>
        <v>5.664810484361576E-5</v>
      </c>
      <c r="K86" s="100">
        <f t="shared" si="18"/>
        <v>3.7765403229077171E-5</v>
      </c>
      <c r="O86" s="96">
        <f>Amnt_Deposited!B81</f>
        <v>2067</v>
      </c>
      <c r="P86" s="99">
        <f>Amnt_Deposited!E81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0.6</v>
      </c>
      <c r="F87" s="67">
        <f t="shared" si="12"/>
        <v>0</v>
      </c>
      <c r="G87" s="67">
        <f t="shared" si="13"/>
        <v>0</v>
      </c>
      <c r="H87" s="67">
        <f t="shared" si="14"/>
        <v>0</v>
      </c>
      <c r="I87" s="67">
        <f t="shared" si="15"/>
        <v>2.5791020927345439E-4</v>
      </c>
      <c r="J87" s="67">
        <f t="shared" si="16"/>
        <v>4.7792012983421812E-5</v>
      </c>
      <c r="K87" s="100">
        <f t="shared" si="18"/>
        <v>3.1861341988947874E-5</v>
      </c>
      <c r="O87" s="96">
        <f>Amnt_Deposited!B82</f>
        <v>2068</v>
      </c>
      <c r="P87" s="99">
        <f>Amnt_Deposited!E82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0.6</v>
      </c>
      <c r="F88" s="67">
        <f t="shared" si="12"/>
        <v>0</v>
      </c>
      <c r="G88" s="67">
        <f t="shared" si="13"/>
        <v>0</v>
      </c>
      <c r="H88" s="67">
        <f t="shared" si="14"/>
        <v>0</v>
      </c>
      <c r="I88" s="67">
        <f t="shared" si="15"/>
        <v>2.1758976940502384E-4</v>
      </c>
      <c r="J88" s="67">
        <f t="shared" si="16"/>
        <v>4.0320439868430552E-5</v>
      </c>
      <c r="K88" s="100">
        <f t="shared" si="18"/>
        <v>2.6880293245620366E-5</v>
      </c>
      <c r="O88" s="96">
        <f>Amnt_Deposited!B83</f>
        <v>2069</v>
      </c>
      <c r="P88" s="99">
        <f>Amnt_Deposited!E83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0.6</v>
      </c>
      <c r="F89" s="67">
        <f t="shared" si="12"/>
        <v>0</v>
      </c>
      <c r="G89" s="67">
        <f t="shared" si="13"/>
        <v>0</v>
      </c>
      <c r="H89" s="67">
        <f t="shared" si="14"/>
        <v>0</v>
      </c>
      <c r="I89" s="67">
        <f t="shared" si="15"/>
        <v>1.8357283289833885E-4</v>
      </c>
      <c r="J89" s="67">
        <f t="shared" si="16"/>
        <v>3.401693650668498E-5</v>
      </c>
      <c r="K89" s="100">
        <f t="shared" si="18"/>
        <v>2.2677957671123318E-5</v>
      </c>
      <c r="O89" s="96">
        <f>Amnt_Deposited!B84</f>
        <v>2070</v>
      </c>
      <c r="P89" s="99">
        <f>Amnt_Deposited!E84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0.6</v>
      </c>
      <c r="F90" s="67">
        <f t="shared" si="12"/>
        <v>0</v>
      </c>
      <c r="G90" s="67">
        <f t="shared" si="13"/>
        <v>0</v>
      </c>
      <c r="H90" s="67">
        <f t="shared" si="14"/>
        <v>0</v>
      </c>
      <c r="I90" s="67">
        <f t="shared" si="15"/>
        <v>1.5487394039925565E-4</v>
      </c>
      <c r="J90" s="67">
        <f t="shared" si="16"/>
        <v>2.8698892499083212E-5</v>
      </c>
      <c r="K90" s="100">
        <f t="shared" si="18"/>
        <v>1.9132594999388808E-5</v>
      </c>
      <c r="O90" s="96">
        <f>Amnt_Deposited!B85</f>
        <v>2071</v>
      </c>
      <c r="P90" s="99">
        <f>Amnt_Deposited!E85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0.6</v>
      </c>
      <c r="F91" s="67">
        <f t="shared" si="12"/>
        <v>0</v>
      </c>
      <c r="G91" s="67">
        <f t="shared" si="13"/>
        <v>0</v>
      </c>
      <c r="H91" s="67">
        <f t="shared" si="14"/>
        <v>0</v>
      </c>
      <c r="I91" s="67">
        <f t="shared" si="15"/>
        <v>1.3066169452249728E-4</v>
      </c>
      <c r="J91" s="67">
        <f t="shared" si="16"/>
        <v>2.4212245876758371E-5</v>
      </c>
      <c r="K91" s="100">
        <f t="shared" si="18"/>
        <v>1.6141497251172245E-5</v>
      </c>
      <c r="O91" s="96">
        <f>Amnt_Deposited!B86</f>
        <v>2072</v>
      </c>
      <c r="P91" s="99">
        <f>Amnt_Deposited!E86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0.6</v>
      </c>
      <c r="F92" s="67">
        <f t="shared" si="12"/>
        <v>0</v>
      </c>
      <c r="G92" s="67">
        <f t="shared" si="13"/>
        <v>0</v>
      </c>
      <c r="H92" s="67">
        <f t="shared" si="14"/>
        <v>0</v>
      </c>
      <c r="I92" s="67">
        <f t="shared" si="15"/>
        <v>1.1023467454549538E-4</v>
      </c>
      <c r="J92" s="67">
        <f t="shared" si="16"/>
        <v>2.0427019977001898E-5</v>
      </c>
      <c r="K92" s="100">
        <f t="shared" si="18"/>
        <v>1.3618013318001264E-5</v>
      </c>
      <c r="O92" s="96">
        <f>Amnt_Deposited!B87</f>
        <v>2073</v>
      </c>
      <c r="P92" s="99">
        <f>Amnt_Deposited!E87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0.6</v>
      </c>
      <c r="F93" s="67">
        <f t="shared" si="12"/>
        <v>0</v>
      </c>
      <c r="G93" s="67">
        <f t="shared" si="13"/>
        <v>0</v>
      </c>
      <c r="H93" s="67">
        <f t="shared" si="14"/>
        <v>0</v>
      </c>
      <c r="I93" s="67">
        <f t="shared" si="15"/>
        <v>9.3001116482987399E-5</v>
      </c>
      <c r="J93" s="67">
        <f t="shared" si="16"/>
        <v>1.7233558062507971E-5</v>
      </c>
      <c r="K93" s="100">
        <f t="shared" si="18"/>
        <v>1.1489038708338646E-5</v>
      </c>
      <c r="O93" s="96">
        <f>Amnt_Deposited!B88</f>
        <v>2074</v>
      </c>
      <c r="P93" s="99">
        <f>Amnt_Deposited!E88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0.6</v>
      </c>
      <c r="F94" s="67">
        <f t="shared" si="12"/>
        <v>0</v>
      </c>
      <c r="G94" s="67">
        <f t="shared" si="13"/>
        <v>0</v>
      </c>
      <c r="H94" s="67">
        <f t="shared" si="14"/>
        <v>0</v>
      </c>
      <c r="I94" s="67">
        <f t="shared" si="15"/>
        <v>7.8461769880878483E-5</v>
      </c>
      <c r="J94" s="67">
        <f t="shared" si="16"/>
        <v>1.4539346602108918E-5</v>
      </c>
      <c r="K94" s="100">
        <f t="shared" si="18"/>
        <v>9.6928977347392772E-6</v>
      </c>
      <c r="O94" s="96">
        <f>Amnt_Deposited!B89</f>
        <v>2075</v>
      </c>
      <c r="P94" s="99">
        <f>Amnt_Deposited!E89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0.6</v>
      </c>
      <c r="F95" s="67">
        <f t="shared" si="12"/>
        <v>0</v>
      </c>
      <c r="G95" s="67">
        <f t="shared" si="13"/>
        <v>0</v>
      </c>
      <c r="H95" s="67">
        <f t="shared" si="14"/>
        <v>0</v>
      </c>
      <c r="I95" s="67">
        <f t="shared" si="15"/>
        <v>6.6195434696379003E-5</v>
      </c>
      <c r="J95" s="67">
        <f t="shared" si="16"/>
        <v>1.2266335184499475E-5</v>
      </c>
      <c r="K95" s="100">
        <f t="shared" si="18"/>
        <v>8.1775567896663169E-6</v>
      </c>
      <c r="O95" s="96">
        <f>Amnt_Deposited!B90</f>
        <v>2076</v>
      </c>
      <c r="P95" s="99">
        <f>Amnt_Deposited!E90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0.6</v>
      </c>
      <c r="F96" s="67">
        <f t="shared" si="12"/>
        <v>0</v>
      </c>
      <c r="G96" s="67">
        <f t="shared" si="13"/>
        <v>0</v>
      </c>
      <c r="H96" s="67">
        <f t="shared" si="14"/>
        <v>0</v>
      </c>
      <c r="I96" s="67">
        <f t="shared" si="15"/>
        <v>5.5846759272638482E-5</v>
      </c>
      <c r="J96" s="67">
        <f t="shared" si="16"/>
        <v>1.0348675423740517E-5</v>
      </c>
      <c r="K96" s="100">
        <f t="shared" si="18"/>
        <v>6.8991169491603443E-6</v>
      </c>
      <c r="O96" s="96">
        <f>Amnt_Deposited!B91</f>
        <v>2077</v>
      </c>
      <c r="P96" s="99">
        <f>Amnt_Deposited!E91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0.6</v>
      </c>
      <c r="F97" s="67">
        <f t="shared" si="12"/>
        <v>0</v>
      </c>
      <c r="G97" s="67">
        <f t="shared" si="13"/>
        <v>0</v>
      </c>
      <c r="H97" s="67">
        <f t="shared" si="14"/>
        <v>0</v>
      </c>
      <c r="I97" s="67">
        <f t="shared" si="15"/>
        <v>4.7115945919252938E-5</v>
      </c>
      <c r="J97" s="67">
        <f t="shared" si="16"/>
        <v>8.7308133533855456E-6</v>
      </c>
      <c r="K97" s="100">
        <f t="shared" si="18"/>
        <v>5.8205422355903638E-6</v>
      </c>
      <c r="O97" s="96">
        <f>Amnt_Deposited!B92</f>
        <v>2078</v>
      </c>
      <c r="P97" s="99">
        <f>Amnt_Deposited!E92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0.6</v>
      </c>
      <c r="F98" s="67">
        <f t="shared" si="12"/>
        <v>0</v>
      </c>
      <c r="G98" s="67">
        <f t="shared" si="13"/>
        <v>0</v>
      </c>
      <c r="H98" s="67">
        <f t="shared" si="14"/>
        <v>0</v>
      </c>
      <c r="I98" s="67">
        <f t="shared" si="15"/>
        <v>3.9750065872731664E-5</v>
      </c>
      <c r="J98" s="67">
        <f t="shared" si="16"/>
        <v>7.365880046521275E-6</v>
      </c>
      <c r="K98" s="100">
        <f t="shared" si="18"/>
        <v>4.9105866976808497E-6</v>
      </c>
      <c r="O98" s="96">
        <f>Amnt_Deposited!B93</f>
        <v>2079</v>
      </c>
      <c r="P98" s="99">
        <f>Amnt_Deposited!E93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0.6</v>
      </c>
      <c r="F99" s="68">
        <f t="shared" si="12"/>
        <v>0</v>
      </c>
      <c r="G99" s="68">
        <f t="shared" si="13"/>
        <v>0</v>
      </c>
      <c r="H99" s="68">
        <f t="shared" si="14"/>
        <v>0</v>
      </c>
      <c r="I99" s="68">
        <f t="shared" si="15"/>
        <v>3.3535732034212331E-5</v>
      </c>
      <c r="J99" s="68">
        <f t="shared" si="16"/>
        <v>6.2143338385193338E-6</v>
      </c>
      <c r="K99" s="102">
        <f t="shared" si="18"/>
        <v>4.1428892256795558E-6</v>
      </c>
      <c r="O99" s="97">
        <f>Amnt_Deposited!B94</f>
        <v>2080</v>
      </c>
      <c r="P99" s="99">
        <f>Amnt_Deposited!E94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0.49</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0.6</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0.6</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0.6</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0.6</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0.6</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0.6</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0.6</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0.6</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0.6</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0.6</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0.6</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0.6</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0.6</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0.6</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0.6</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0.6</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0.6</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0.6</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0.6</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0.6</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0.6</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0.6</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0.6</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0.6</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0.6</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0.6</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0.6</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0.6</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0.6</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0.6</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0.6</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0.6</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0.6</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0.6</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0.6</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0.6</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0.6</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0.6</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0.6</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0.6</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0.6</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0.6</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0.6</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0.6</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0.6</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0.6</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0.6</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0.6</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0.6</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0.6</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0.6</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0.6</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0.6</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0.6</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0.6</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0.6</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0.6</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0.6</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0.6</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0.6</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0.6</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0.6</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0.6</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0.6</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0.6</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0.6</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0.6</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0.6</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0.6</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0.6</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0.6</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0.6</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0.6</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0.6</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0.6</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0.6</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0.6</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0.6</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0.6</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0.6</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0.6</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0.6</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0.6</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0.6</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0.6</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0.6</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0.6</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0.6</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0.6</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0.6</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0.6</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0.6</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0.6</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0.6</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0.6</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0.6</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0.6</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0.6</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0.5</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Dry_Matter_Content!G7</f>
        <v>0.56999999999999995</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Dry_Matter_Content!G8</f>
        <v>0.56999999999999995</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Dry_Matter_Content!G9</f>
        <v>0.56999999999999995</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Amnt_Deposited!G17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Dry_Matter_Content!G10</f>
        <v>0.56999999999999995</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Amnt_Deposited!G18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Dry_Matter_Content!G11</f>
        <v>0.56999999999999995</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Amnt_Deposited!G19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Dry_Matter_Content!G12</f>
        <v>0.56999999999999995</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Amnt_Deposited!G20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Dry_Matter_Content!G13</f>
        <v>0.56999999999999995</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Amnt_Deposited!G21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Dry_Matter_Content!G14</f>
        <v>0.56999999999999995</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Amnt_Deposited!G22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Dry_Matter_Content!G15</f>
        <v>0.56999999999999995</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Amnt_Deposited!G23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Dry_Matter_Content!G16</f>
        <v>0.56999999999999995</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Amnt_Deposited!G24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Dry_Matter_Content!G17</f>
        <v>0.56999999999999995</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Amnt_Deposited!G25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Dry_Matter_Content!G18</f>
        <v>0.56999999999999995</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Amnt_Deposited!G26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Dry_Matter_Content!G19</f>
        <v>0.56999999999999995</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Amnt_Deposited!G27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Dry_Matter_Content!G20</f>
        <v>0.56999999999999995</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Amnt_Deposited!G28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Dry_Matter_Content!G21</f>
        <v>0.56999999999999995</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Amnt_Deposited!G29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Dry_Matter_Content!G22</f>
        <v>0.56999999999999995</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Amnt_Deposited!G30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Dry_Matter_Content!G23</f>
        <v>0.56999999999999995</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Amnt_Deposited!G31</f>
        <v>0.10959141600000002</v>
      </c>
      <c r="Q36" s="284">
        <f>MCF!R35</f>
        <v>0.6</v>
      </c>
      <c r="R36" s="67">
        <f t="shared" si="5"/>
        <v>1.4137292664000002E-2</v>
      </c>
      <c r="S36" s="67">
        <f t="shared" si="7"/>
        <v>1.4137292664000002E-2</v>
      </c>
      <c r="T36" s="67">
        <f t="shared" si="8"/>
        <v>0</v>
      </c>
      <c r="U36" s="67">
        <f t="shared" si="9"/>
        <v>1.4137292664000002E-2</v>
      </c>
      <c r="V36" s="67">
        <f t="shared" si="10"/>
        <v>0</v>
      </c>
      <c r="W36" s="100">
        <f t="shared" si="11"/>
        <v>0</v>
      </c>
    </row>
    <row r="37" spans="2:23">
      <c r="B37" s="96">
        <f>Amnt_Deposited!B32</f>
        <v>2018</v>
      </c>
      <c r="C37" s="99">
        <f>Amnt_Deposited!F32</f>
        <v>0</v>
      </c>
      <c r="D37" s="418">
        <f>Dry_Matter_Content!G24</f>
        <v>0.56999999999999995</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Amnt_Deposited!G32</f>
        <v>0.12107286061200001</v>
      </c>
      <c r="Q37" s="284">
        <f>MCF!R36</f>
        <v>0.6</v>
      </c>
      <c r="R37" s="67">
        <f t="shared" si="5"/>
        <v>1.5618399018947999E-2</v>
      </c>
      <c r="S37" s="67">
        <f t="shared" si="7"/>
        <v>1.5618399018947999E-2</v>
      </c>
      <c r="T37" s="67">
        <f t="shared" si="8"/>
        <v>0</v>
      </c>
      <c r="U37" s="67">
        <f t="shared" si="9"/>
        <v>2.9269445386524762E-2</v>
      </c>
      <c r="V37" s="67">
        <f t="shared" si="10"/>
        <v>4.8624629642323938E-4</v>
      </c>
      <c r="W37" s="100">
        <f t="shared" si="11"/>
        <v>3.2416419761549292E-4</v>
      </c>
    </row>
    <row r="38" spans="2:23">
      <c r="B38" s="96">
        <f>Amnt_Deposited!B33</f>
        <v>2019</v>
      </c>
      <c r="C38" s="99">
        <f>Amnt_Deposited!F33</f>
        <v>0</v>
      </c>
      <c r="D38" s="418">
        <f>Dry_Matter_Content!G25</f>
        <v>0.56999999999999995</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Amnt_Deposited!G33</f>
        <v>0.133646583481488</v>
      </c>
      <c r="Q38" s="284">
        <f>MCF!R37</f>
        <v>0.6</v>
      </c>
      <c r="R38" s="67">
        <f t="shared" si="5"/>
        <v>1.7240409269111953E-2</v>
      </c>
      <c r="S38" s="67">
        <f t="shared" si="7"/>
        <v>1.7240409269111953E-2</v>
      </c>
      <c r="T38" s="67">
        <f t="shared" si="8"/>
        <v>0</v>
      </c>
      <c r="U38" s="67">
        <f t="shared" si="9"/>
        <v>4.5503144265195306E-2</v>
      </c>
      <c r="V38" s="67">
        <f t="shared" si="10"/>
        <v>1.0067103904414108E-3</v>
      </c>
      <c r="W38" s="100">
        <f t="shared" si="11"/>
        <v>6.7114026029427385E-4</v>
      </c>
    </row>
    <row r="39" spans="2:23">
      <c r="B39" s="96">
        <f>Amnt_Deposited!B34</f>
        <v>2020</v>
      </c>
      <c r="C39" s="99">
        <f>Amnt_Deposited!F34</f>
        <v>0</v>
      </c>
      <c r="D39" s="418">
        <f>Dry_Matter_Content!G26</f>
        <v>0.56999999999999995</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Amnt_Deposited!G34</f>
        <v>0.14741087261571989</v>
      </c>
      <c r="Q39" s="284">
        <f>MCF!R38</f>
        <v>0.6</v>
      </c>
      <c r="R39" s="67">
        <f t="shared" si="5"/>
        <v>1.9016002567427862E-2</v>
      </c>
      <c r="S39" s="67">
        <f t="shared" si="7"/>
        <v>1.9016002567427862E-2</v>
      </c>
      <c r="T39" s="67">
        <f t="shared" si="8"/>
        <v>0</v>
      </c>
      <c r="U39" s="67">
        <f t="shared" si="9"/>
        <v>6.2954085126649878E-2</v>
      </c>
      <c r="V39" s="67">
        <f t="shared" si="10"/>
        <v>1.5650617059732943E-3</v>
      </c>
      <c r="W39" s="100">
        <f t="shared" si="11"/>
        <v>1.0433744706488629E-3</v>
      </c>
    </row>
    <row r="40" spans="2:23">
      <c r="B40" s="96">
        <f>Amnt_Deposited!B35</f>
        <v>2021</v>
      </c>
      <c r="C40" s="99">
        <f>Amnt_Deposited!F35</f>
        <v>0</v>
      </c>
      <c r="D40" s="418">
        <f>Dry_Matter_Content!G27</f>
        <v>0.56999999999999995</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Amnt_Deposited!G35</f>
        <v>0.1624725453201768</v>
      </c>
      <c r="Q40" s="284">
        <f>MCF!R39</f>
        <v>0.6</v>
      </c>
      <c r="R40" s="67">
        <f t="shared" si="5"/>
        <v>2.0958958346302809E-2</v>
      </c>
      <c r="S40" s="67">
        <f t="shared" si="7"/>
        <v>2.0958958346302809E-2</v>
      </c>
      <c r="T40" s="67">
        <f t="shared" si="8"/>
        <v>0</v>
      </c>
      <c r="U40" s="67">
        <f t="shared" si="9"/>
        <v>8.1747763920135844E-2</v>
      </c>
      <c r="V40" s="67">
        <f t="shared" si="10"/>
        <v>2.1652795528168487E-3</v>
      </c>
      <c r="W40" s="100">
        <f t="shared" si="11"/>
        <v>1.443519701877899E-3</v>
      </c>
    </row>
    <row r="41" spans="2:23">
      <c r="B41" s="96">
        <f>Amnt_Deposited!B36</f>
        <v>2022</v>
      </c>
      <c r="C41" s="99">
        <f>Amnt_Deposited!F36</f>
        <v>0</v>
      </c>
      <c r="D41" s="418">
        <f>Dry_Matter_Content!G28</f>
        <v>0.56999999999999995</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Amnt_Deposited!G36</f>
        <v>0.17894766969931522</v>
      </c>
      <c r="Q41" s="284">
        <f>MCF!R40</f>
        <v>0.6</v>
      </c>
      <c r="R41" s="67">
        <f t="shared" si="5"/>
        <v>2.3084249391211665E-2</v>
      </c>
      <c r="S41" s="67">
        <f t="shared" si="7"/>
        <v>2.3084249391211665E-2</v>
      </c>
      <c r="T41" s="67">
        <f t="shared" si="8"/>
        <v>0</v>
      </c>
      <c r="U41" s="67">
        <f t="shared" si="9"/>
        <v>0.1020203329994397</v>
      </c>
      <c r="V41" s="67">
        <f t="shared" si="10"/>
        <v>2.8116803119077991E-3</v>
      </c>
      <c r="W41" s="100">
        <f t="shared" si="11"/>
        <v>1.874453541271866E-3</v>
      </c>
    </row>
    <row r="42" spans="2:23">
      <c r="B42" s="96">
        <f>Amnt_Deposited!B37</f>
        <v>2023</v>
      </c>
      <c r="C42" s="99">
        <f>Amnt_Deposited!F37</f>
        <v>0</v>
      </c>
      <c r="D42" s="418">
        <f>Dry_Matter_Content!G29</f>
        <v>0.56999999999999995</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Amnt_Deposited!G37</f>
        <v>0.19696234604379667</v>
      </c>
      <c r="Q42" s="284">
        <f>MCF!R41</f>
        <v>0.6</v>
      </c>
      <c r="R42" s="67">
        <f t="shared" si="5"/>
        <v>2.5408142639649769E-2</v>
      </c>
      <c r="S42" s="67">
        <f t="shared" si="7"/>
        <v>2.5408142639649769E-2</v>
      </c>
      <c r="T42" s="67">
        <f t="shared" si="8"/>
        <v>0</v>
      </c>
      <c r="U42" s="67">
        <f t="shared" si="9"/>
        <v>0.12391952875230929</v>
      </c>
      <c r="V42" s="67">
        <f t="shared" si="10"/>
        <v>3.5089468867801846E-3</v>
      </c>
      <c r="W42" s="100">
        <f t="shared" si="11"/>
        <v>2.3392979245201229E-3</v>
      </c>
    </row>
    <row r="43" spans="2:23">
      <c r="B43" s="96">
        <f>Amnt_Deposited!B38</f>
        <v>2024</v>
      </c>
      <c r="C43" s="99">
        <f>Amnt_Deposited!F38</f>
        <v>0</v>
      </c>
      <c r="D43" s="418">
        <f>Dry_Matter_Content!G30</f>
        <v>0.56999999999999995</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Amnt_Deposited!G38</f>
        <v>0.21665355300274472</v>
      </c>
      <c r="Q43" s="284">
        <f>MCF!R42</f>
        <v>0.6</v>
      </c>
      <c r="R43" s="67">
        <f t="shared" si="5"/>
        <v>2.7948308337354066E-2</v>
      </c>
      <c r="S43" s="67">
        <f t="shared" si="7"/>
        <v>2.7948308337354066E-2</v>
      </c>
      <c r="T43" s="67">
        <f t="shared" si="8"/>
        <v>0</v>
      </c>
      <c r="U43" s="67">
        <f t="shared" si="9"/>
        <v>0.14760567648066913</v>
      </c>
      <c r="V43" s="67">
        <f t="shared" si="10"/>
        <v>4.2621606089942024E-3</v>
      </c>
      <c r="W43" s="100">
        <f t="shared" si="11"/>
        <v>2.8414404059961349E-3</v>
      </c>
    </row>
    <row r="44" spans="2:23">
      <c r="B44" s="96">
        <f>Amnt_Deposited!B39</f>
        <v>2025</v>
      </c>
      <c r="C44" s="99">
        <f>Amnt_Deposited!F39</f>
        <v>0</v>
      </c>
      <c r="D44" s="418">
        <f>Dry_Matter_Content!G31</f>
        <v>0.56999999999999995</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Amnt_Deposited!G39</f>
        <v>0.2381700638356318</v>
      </c>
      <c r="Q44" s="284">
        <f>MCF!R43</f>
        <v>0.6</v>
      </c>
      <c r="R44" s="67">
        <f t="shared" si="5"/>
        <v>3.0723938234796501E-2</v>
      </c>
      <c r="S44" s="67">
        <f t="shared" si="7"/>
        <v>3.0723938234796501E-2</v>
      </c>
      <c r="T44" s="67">
        <f t="shared" si="8"/>
        <v>0</v>
      </c>
      <c r="U44" s="67">
        <f t="shared" si="9"/>
        <v>0.17325277891489271</v>
      </c>
      <c r="V44" s="67">
        <f t="shared" si="10"/>
        <v>5.0768358005729274E-3</v>
      </c>
      <c r="W44" s="100">
        <f t="shared" si="11"/>
        <v>3.3845572003819513E-3</v>
      </c>
    </row>
    <row r="45" spans="2:23">
      <c r="B45" s="96">
        <f>Amnt_Deposited!B40</f>
        <v>2026</v>
      </c>
      <c r="C45" s="99">
        <f>Amnt_Deposited!F40</f>
        <v>0</v>
      </c>
      <c r="D45" s="418">
        <f>Dry_Matter_Content!G32</f>
        <v>0.56999999999999995</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Amnt_Deposited!G40</f>
        <v>0.26167343846616881</v>
      </c>
      <c r="Q45" s="284">
        <f>MCF!R44</f>
        <v>0.6</v>
      </c>
      <c r="R45" s="67">
        <f t="shared" si="5"/>
        <v>3.3755873562135774E-2</v>
      </c>
      <c r="S45" s="67">
        <f t="shared" si="7"/>
        <v>3.3755873562135774E-2</v>
      </c>
      <c r="T45" s="67">
        <f t="shared" si="8"/>
        <v>0</v>
      </c>
      <c r="U45" s="67">
        <f t="shared" si="9"/>
        <v>0.20104969526403088</v>
      </c>
      <c r="V45" s="67">
        <f t="shared" si="10"/>
        <v>5.9589572129976013E-3</v>
      </c>
      <c r="W45" s="100">
        <f t="shared" si="11"/>
        <v>3.9726381419984006E-3</v>
      </c>
    </row>
    <row r="46" spans="2:23">
      <c r="B46" s="96">
        <f>Amnt_Deposited!B41</f>
        <v>2027</v>
      </c>
      <c r="C46" s="99">
        <f>Amnt_Deposited!F41</f>
        <v>0</v>
      </c>
      <c r="D46" s="418">
        <f>Dry_Matter_Content!G33</f>
        <v>0.56999999999999995</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Amnt_Deposited!G41</f>
        <v>0.28733909752258402</v>
      </c>
      <c r="Q46" s="284">
        <f>MCF!R45</f>
        <v>0.6</v>
      </c>
      <c r="R46" s="67">
        <f t="shared" si="5"/>
        <v>3.7066743580413335E-2</v>
      </c>
      <c r="S46" s="67">
        <f t="shared" si="7"/>
        <v>3.7066743580413335E-2</v>
      </c>
      <c r="T46" s="67">
        <f t="shared" si="8"/>
        <v>0</v>
      </c>
      <c r="U46" s="67">
        <f t="shared" si="9"/>
        <v>0.23120141826429477</v>
      </c>
      <c r="V46" s="67">
        <f t="shared" si="10"/>
        <v>6.9150205801494537E-3</v>
      </c>
      <c r="W46" s="100">
        <f t="shared" si="11"/>
        <v>4.6100137200996358E-3</v>
      </c>
    </row>
    <row r="47" spans="2:23">
      <c r="B47" s="96">
        <f>Amnt_Deposited!B42</f>
        <v>2028</v>
      </c>
      <c r="C47" s="99">
        <f>Amnt_Deposited!F42</f>
        <v>0</v>
      </c>
      <c r="D47" s="418">
        <f>Dry_Matter_Content!G34</f>
        <v>0.56999999999999995</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Amnt_Deposited!G42</f>
        <v>0.31535748504764982</v>
      </c>
      <c r="Q47" s="284">
        <f>MCF!R46</f>
        <v>0.6</v>
      </c>
      <c r="R47" s="67">
        <f t="shared" si="5"/>
        <v>4.0681115571146821E-2</v>
      </c>
      <c r="S47" s="67">
        <f t="shared" si="7"/>
        <v>4.0681115571146821E-2</v>
      </c>
      <c r="T47" s="67">
        <f t="shared" si="8"/>
        <v>0</v>
      </c>
      <c r="U47" s="67">
        <f t="shared" si="9"/>
        <v>0.26393045729358089</v>
      </c>
      <c r="V47" s="67">
        <f t="shared" si="10"/>
        <v>7.9520765418606889E-3</v>
      </c>
      <c r="W47" s="100">
        <f t="shared" si="11"/>
        <v>5.3013843612404587E-3</v>
      </c>
    </row>
    <row r="48" spans="2:23">
      <c r="B48" s="96">
        <f>Amnt_Deposited!B43</f>
        <v>2029</v>
      </c>
      <c r="C48" s="99">
        <f>Amnt_Deposited!F43</f>
        <v>0</v>
      </c>
      <c r="D48" s="418">
        <f>Dry_Matter_Content!G35</f>
        <v>0.56999999999999995</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Amnt_Deposited!G43</f>
        <v>0.34593532710067731</v>
      </c>
      <c r="Q48" s="284">
        <f>MCF!R47</f>
        <v>0.6</v>
      </c>
      <c r="R48" s="67">
        <f t="shared" si="5"/>
        <v>4.4625657195987371E-2</v>
      </c>
      <c r="S48" s="67">
        <f t="shared" si="7"/>
        <v>4.4625657195987371E-2</v>
      </c>
      <c r="T48" s="67">
        <f t="shared" si="8"/>
        <v>0</v>
      </c>
      <c r="U48" s="67">
        <f t="shared" si="9"/>
        <v>0.29947833627400544</v>
      </c>
      <c r="V48" s="67">
        <f t="shared" si="10"/>
        <v>9.077778215562847E-3</v>
      </c>
      <c r="W48" s="100">
        <f t="shared" si="11"/>
        <v>6.0518521437085641E-3</v>
      </c>
    </row>
    <row r="49" spans="2:23">
      <c r="B49" s="96">
        <f>Amnt_Deposited!B44</f>
        <v>2030</v>
      </c>
      <c r="C49" s="99">
        <f>Amnt_Deposited!F44</f>
        <v>0</v>
      </c>
      <c r="D49" s="418">
        <f>Dry_Matter_Content!G36</f>
        <v>0.56999999999999995</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Amnt_Deposited!G44</f>
        <v>0.37942245000000002</v>
      </c>
      <c r="Q49" s="284">
        <f>MCF!R48</f>
        <v>0.6</v>
      </c>
      <c r="R49" s="67">
        <f t="shared" si="5"/>
        <v>4.8945496049999995E-2</v>
      </c>
      <c r="S49" s="67">
        <f t="shared" si="7"/>
        <v>4.8945496049999995E-2</v>
      </c>
      <c r="T49" s="67">
        <f t="shared" si="8"/>
        <v>0</v>
      </c>
      <c r="U49" s="67">
        <f t="shared" si="9"/>
        <v>0.33812339960798449</v>
      </c>
      <c r="V49" s="67">
        <f t="shared" si="10"/>
        <v>1.0300432716020951E-2</v>
      </c>
      <c r="W49" s="100">
        <f t="shared" si="11"/>
        <v>6.8669551440139667E-3</v>
      </c>
    </row>
    <row r="50" spans="2:23">
      <c r="B50" s="96">
        <f>Amnt_Deposited!B45</f>
        <v>2031</v>
      </c>
      <c r="C50" s="99">
        <f>Amnt_Deposited!F45</f>
        <v>0</v>
      </c>
      <c r="D50" s="418">
        <f>Dry_Matter_Content!G37</f>
        <v>0.56999999999999995</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0.6</v>
      </c>
      <c r="R50" s="67">
        <f t="shared" si="5"/>
        <v>0</v>
      </c>
      <c r="S50" s="67">
        <f t="shared" si="7"/>
        <v>0</v>
      </c>
      <c r="T50" s="67">
        <f t="shared" si="8"/>
        <v>0</v>
      </c>
      <c r="U50" s="67">
        <f t="shared" si="9"/>
        <v>0.32649378602489132</v>
      </c>
      <c r="V50" s="67">
        <f t="shared" si="10"/>
        <v>1.1629613583093142E-2</v>
      </c>
      <c r="W50" s="100">
        <f t="shared" si="11"/>
        <v>7.753075722062094E-3</v>
      </c>
    </row>
    <row r="51" spans="2:23">
      <c r="B51" s="96">
        <f>Amnt_Deposited!B46</f>
        <v>2032</v>
      </c>
      <c r="C51" s="99">
        <f>Amnt_Deposited!F46</f>
        <v>0</v>
      </c>
      <c r="D51" s="418">
        <f>Dry_Matter_Content!G38</f>
        <v>0.56999999999999995</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0.6</v>
      </c>
      <c r="R51" s="67">
        <f t="shared" si="5"/>
        <v>0</v>
      </c>
      <c r="S51" s="67">
        <f t="shared" si="7"/>
        <v>0</v>
      </c>
      <c r="T51" s="67">
        <f t="shared" si="8"/>
        <v>0</v>
      </c>
      <c r="U51" s="67">
        <f t="shared" si="9"/>
        <v>0.31526416816007402</v>
      </c>
      <c r="V51" s="67">
        <f t="shared" si="10"/>
        <v>1.1229617864817302E-2</v>
      </c>
      <c r="W51" s="100">
        <f t="shared" si="11"/>
        <v>7.4864119098782007E-3</v>
      </c>
    </row>
    <row r="52" spans="2:23">
      <c r="B52" s="96">
        <f>Amnt_Deposited!B47</f>
        <v>2033</v>
      </c>
      <c r="C52" s="99">
        <f>Amnt_Deposited!F47</f>
        <v>0</v>
      </c>
      <c r="D52" s="418">
        <f>Dry_Matter_Content!G39</f>
        <v>0.56999999999999995</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0.6</v>
      </c>
      <c r="R52" s="67">
        <f t="shared" si="5"/>
        <v>0</v>
      </c>
      <c r="S52" s="67">
        <f t="shared" si="7"/>
        <v>0</v>
      </c>
      <c r="T52" s="67">
        <f t="shared" si="8"/>
        <v>0</v>
      </c>
      <c r="U52" s="67">
        <f t="shared" si="9"/>
        <v>0.30442078832730368</v>
      </c>
      <c r="V52" s="67">
        <f t="shared" si="10"/>
        <v>1.0843379832770315E-2</v>
      </c>
      <c r="W52" s="100">
        <f t="shared" si="11"/>
        <v>7.2289198885135426E-3</v>
      </c>
    </row>
    <row r="53" spans="2:23">
      <c r="B53" s="96">
        <f>Amnt_Deposited!B48</f>
        <v>2034</v>
      </c>
      <c r="C53" s="99">
        <f>Amnt_Deposited!F48</f>
        <v>0</v>
      </c>
      <c r="D53" s="418">
        <f>Dry_Matter_Content!G40</f>
        <v>0.56999999999999995</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0.6</v>
      </c>
      <c r="R53" s="67">
        <f t="shared" si="5"/>
        <v>0</v>
      </c>
      <c r="S53" s="67">
        <f t="shared" si="7"/>
        <v>0</v>
      </c>
      <c r="T53" s="67">
        <f t="shared" si="8"/>
        <v>0</v>
      </c>
      <c r="U53" s="67">
        <f t="shared" si="9"/>
        <v>0.29395036203024261</v>
      </c>
      <c r="V53" s="67">
        <f t="shared" si="10"/>
        <v>1.047042629706108E-2</v>
      </c>
      <c r="W53" s="100">
        <f t="shared" si="11"/>
        <v>6.9802841980407199E-3</v>
      </c>
    </row>
    <row r="54" spans="2:23">
      <c r="B54" s="96">
        <f>Amnt_Deposited!B49</f>
        <v>2035</v>
      </c>
      <c r="C54" s="99">
        <f>Amnt_Deposited!F49</f>
        <v>0</v>
      </c>
      <c r="D54" s="418">
        <f>Dry_Matter_Content!G41</f>
        <v>0.56999999999999995</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0.6</v>
      </c>
      <c r="R54" s="67">
        <f t="shared" si="5"/>
        <v>0</v>
      </c>
      <c r="S54" s="67">
        <f t="shared" si="7"/>
        <v>0</v>
      </c>
      <c r="T54" s="67">
        <f t="shared" si="8"/>
        <v>0</v>
      </c>
      <c r="U54" s="67">
        <f t="shared" si="9"/>
        <v>0.28384006168727477</v>
      </c>
      <c r="V54" s="67">
        <f t="shared" si="10"/>
        <v>1.0110300342967836E-2</v>
      </c>
      <c r="W54" s="100">
        <f t="shared" si="11"/>
        <v>6.7402002286452234E-3</v>
      </c>
    </row>
    <row r="55" spans="2:23">
      <c r="B55" s="96">
        <f>Amnt_Deposited!B50</f>
        <v>2036</v>
      </c>
      <c r="C55" s="99">
        <f>Amnt_Deposited!F50</f>
        <v>0</v>
      </c>
      <c r="D55" s="418">
        <f>Dry_Matter_Content!G42</f>
        <v>0.56999999999999995</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0.6</v>
      </c>
      <c r="R55" s="67">
        <f t="shared" si="5"/>
        <v>0</v>
      </c>
      <c r="S55" s="67">
        <f t="shared" si="7"/>
        <v>0</v>
      </c>
      <c r="T55" s="67">
        <f t="shared" si="8"/>
        <v>0</v>
      </c>
      <c r="U55" s="67">
        <f t="shared" si="9"/>
        <v>0.27407750091611427</v>
      </c>
      <c r="V55" s="67">
        <f t="shared" si="10"/>
        <v>9.762560771160474E-3</v>
      </c>
      <c r="W55" s="100">
        <f t="shared" si="11"/>
        <v>6.5083738474403154E-3</v>
      </c>
    </row>
    <row r="56" spans="2:23">
      <c r="B56" s="96">
        <f>Amnt_Deposited!B51</f>
        <v>2037</v>
      </c>
      <c r="C56" s="99">
        <f>Amnt_Deposited!F51</f>
        <v>0</v>
      </c>
      <c r="D56" s="418">
        <f>Dry_Matter_Content!G43</f>
        <v>0.56999999999999995</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0.6</v>
      </c>
      <c r="R56" s="67">
        <f t="shared" si="5"/>
        <v>0</v>
      </c>
      <c r="S56" s="67">
        <f t="shared" si="7"/>
        <v>0</v>
      </c>
      <c r="T56" s="67">
        <f t="shared" si="8"/>
        <v>0</v>
      </c>
      <c r="U56" s="67">
        <f t="shared" si="9"/>
        <v>0.26465071935893808</v>
      </c>
      <c r="V56" s="67">
        <f t="shared" si="10"/>
        <v>9.4267815571761962E-3</v>
      </c>
      <c r="W56" s="100">
        <f t="shared" si="11"/>
        <v>6.2845210381174636E-3</v>
      </c>
    </row>
    <row r="57" spans="2:23">
      <c r="B57" s="96">
        <f>Amnt_Deposited!B52</f>
        <v>2038</v>
      </c>
      <c r="C57" s="99">
        <f>Amnt_Deposited!F52</f>
        <v>0</v>
      </c>
      <c r="D57" s="418">
        <f>Dry_Matter_Content!G44</f>
        <v>0.56999999999999995</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0.6</v>
      </c>
      <c r="R57" s="67">
        <f t="shared" si="5"/>
        <v>0</v>
      </c>
      <c r="S57" s="67">
        <f t="shared" si="7"/>
        <v>0</v>
      </c>
      <c r="T57" s="67">
        <f t="shared" si="8"/>
        <v>0</v>
      </c>
      <c r="U57" s="67">
        <f t="shared" si="9"/>
        <v>0.25554816802945179</v>
      </c>
      <c r="V57" s="67">
        <f t="shared" si="10"/>
        <v>9.102551329486272E-3</v>
      </c>
      <c r="W57" s="100">
        <f t="shared" si="11"/>
        <v>6.0683675529908474E-3</v>
      </c>
    </row>
    <row r="58" spans="2:23">
      <c r="B58" s="96">
        <f>Amnt_Deposited!B53</f>
        <v>2039</v>
      </c>
      <c r="C58" s="99">
        <f>Amnt_Deposited!F53</f>
        <v>0</v>
      </c>
      <c r="D58" s="418">
        <f>Dry_Matter_Content!G45</f>
        <v>0.56999999999999995</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0.6</v>
      </c>
      <c r="R58" s="67">
        <f t="shared" si="5"/>
        <v>0</v>
      </c>
      <c r="S58" s="67">
        <f t="shared" si="7"/>
        <v>0</v>
      </c>
      <c r="T58" s="67">
        <f t="shared" si="8"/>
        <v>0</v>
      </c>
      <c r="U58" s="67">
        <f t="shared" si="9"/>
        <v>0.24675869516393734</v>
      </c>
      <c r="V58" s="67">
        <f t="shared" si="10"/>
        <v>8.7894728655144565E-3</v>
      </c>
      <c r="W58" s="100">
        <f t="shared" si="11"/>
        <v>5.8596485770096374E-3</v>
      </c>
    </row>
    <row r="59" spans="2:23">
      <c r="B59" s="96">
        <f>Amnt_Deposited!B54</f>
        <v>2040</v>
      </c>
      <c r="C59" s="99">
        <f>Amnt_Deposited!F54</f>
        <v>0</v>
      </c>
      <c r="D59" s="418">
        <f>Dry_Matter_Content!G46</f>
        <v>0.56999999999999995</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0.6</v>
      </c>
      <c r="R59" s="67">
        <f t="shared" si="5"/>
        <v>0</v>
      </c>
      <c r="S59" s="67">
        <f t="shared" si="7"/>
        <v>0</v>
      </c>
      <c r="T59" s="67">
        <f t="shared" si="8"/>
        <v>0</v>
      </c>
      <c r="U59" s="67">
        <f t="shared" si="9"/>
        <v>0.23827153255894767</v>
      </c>
      <c r="V59" s="67">
        <f t="shared" si="10"/>
        <v>8.4871626049896724E-3</v>
      </c>
      <c r="W59" s="100">
        <f t="shared" si="11"/>
        <v>5.658108403326448E-3</v>
      </c>
    </row>
    <row r="60" spans="2:23">
      <c r="B60" s="96">
        <f>Amnt_Deposited!B55</f>
        <v>2041</v>
      </c>
      <c r="C60" s="99">
        <f>Amnt_Deposited!F55</f>
        <v>0</v>
      </c>
      <c r="D60" s="418">
        <f>Dry_Matter_Content!G47</f>
        <v>0.56999999999999995</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0.6</v>
      </c>
      <c r="R60" s="67">
        <f t="shared" si="5"/>
        <v>0</v>
      </c>
      <c r="S60" s="67">
        <f t="shared" si="7"/>
        <v>0</v>
      </c>
      <c r="T60" s="67">
        <f t="shared" si="8"/>
        <v>0</v>
      </c>
      <c r="U60" s="67">
        <f t="shared" si="9"/>
        <v>0.23007628237891098</v>
      </c>
      <c r="V60" s="67">
        <f t="shared" si="10"/>
        <v>8.1952501800367054E-3</v>
      </c>
      <c r="W60" s="100">
        <f t="shared" si="11"/>
        <v>5.46350012002447E-3</v>
      </c>
    </row>
    <row r="61" spans="2:23">
      <c r="B61" s="96">
        <f>Amnt_Deposited!B56</f>
        <v>2042</v>
      </c>
      <c r="C61" s="99">
        <f>Amnt_Deposited!F56</f>
        <v>0</v>
      </c>
      <c r="D61" s="418">
        <f>Dry_Matter_Content!G48</f>
        <v>0.56999999999999995</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0.6</v>
      </c>
      <c r="R61" s="67">
        <f t="shared" si="5"/>
        <v>0</v>
      </c>
      <c r="S61" s="67">
        <f t="shared" si="7"/>
        <v>0</v>
      </c>
      <c r="T61" s="67">
        <f t="shared" si="8"/>
        <v>0</v>
      </c>
      <c r="U61" s="67">
        <f t="shared" si="9"/>
        <v>0.22216290441748174</v>
      </c>
      <c r="V61" s="67">
        <f t="shared" si="10"/>
        <v>7.9133779614292393E-3</v>
      </c>
      <c r="W61" s="100">
        <f t="shared" si="11"/>
        <v>5.2755853076194925E-3</v>
      </c>
    </row>
    <row r="62" spans="2:23">
      <c r="B62" s="96">
        <f>Amnt_Deposited!B57</f>
        <v>2043</v>
      </c>
      <c r="C62" s="99">
        <f>Amnt_Deposited!F57</f>
        <v>0</v>
      </c>
      <c r="D62" s="418">
        <f>Dry_Matter_Content!G49</f>
        <v>0.56999999999999995</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0.6</v>
      </c>
      <c r="R62" s="67">
        <f t="shared" si="5"/>
        <v>0</v>
      </c>
      <c r="S62" s="67">
        <f t="shared" si="7"/>
        <v>0</v>
      </c>
      <c r="T62" s="67">
        <f t="shared" si="8"/>
        <v>0</v>
      </c>
      <c r="U62" s="67">
        <f t="shared" si="9"/>
        <v>0.21452170379703239</v>
      </c>
      <c r="V62" s="67">
        <f t="shared" si="10"/>
        <v>7.6412006204493333E-3</v>
      </c>
      <c r="W62" s="100">
        <f t="shared" si="11"/>
        <v>5.0941337469662222E-3</v>
      </c>
    </row>
    <row r="63" spans="2:23">
      <c r="B63" s="96">
        <f>Amnt_Deposited!B58</f>
        <v>2044</v>
      </c>
      <c r="C63" s="99">
        <f>Amnt_Deposited!F58</f>
        <v>0</v>
      </c>
      <c r="D63" s="418">
        <f>Dry_Matter_Content!G50</f>
        <v>0.56999999999999995</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0.6</v>
      </c>
      <c r="R63" s="67">
        <f t="shared" si="5"/>
        <v>0</v>
      </c>
      <c r="S63" s="67">
        <f t="shared" si="7"/>
        <v>0</v>
      </c>
      <c r="T63" s="67">
        <f t="shared" si="8"/>
        <v>0</v>
      </c>
      <c r="U63" s="67">
        <f t="shared" si="9"/>
        <v>0.20714331909121583</v>
      </c>
      <c r="V63" s="67">
        <f t="shared" si="10"/>
        <v>7.3783847058165536E-3</v>
      </c>
      <c r="W63" s="100">
        <f t="shared" si="11"/>
        <v>4.9189231372110355E-3</v>
      </c>
    </row>
    <row r="64" spans="2:23">
      <c r="B64" s="96">
        <f>Amnt_Deposited!B59</f>
        <v>2045</v>
      </c>
      <c r="C64" s="99">
        <f>Amnt_Deposited!F59</f>
        <v>0</v>
      </c>
      <c r="D64" s="418">
        <f>Dry_Matter_Content!G51</f>
        <v>0.56999999999999995</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0.6</v>
      </c>
      <c r="R64" s="67">
        <f t="shared" si="5"/>
        <v>0</v>
      </c>
      <c r="S64" s="67">
        <f t="shared" si="7"/>
        <v>0</v>
      </c>
      <c r="T64" s="67">
        <f t="shared" si="8"/>
        <v>0</v>
      </c>
      <c r="U64" s="67">
        <f t="shared" si="9"/>
        <v>0.20001871085604739</v>
      </c>
      <c r="V64" s="67">
        <f t="shared" si="10"/>
        <v>7.1246082351684543E-3</v>
      </c>
      <c r="W64" s="100">
        <f t="shared" si="11"/>
        <v>4.7497388234456362E-3</v>
      </c>
    </row>
    <row r="65" spans="2:23">
      <c r="B65" s="96">
        <f>Amnt_Deposited!B60</f>
        <v>2046</v>
      </c>
      <c r="C65" s="99">
        <f>Amnt_Deposited!F60</f>
        <v>0</v>
      </c>
      <c r="D65" s="418">
        <f>Dry_Matter_Content!G52</f>
        <v>0.56999999999999995</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0.6</v>
      </c>
      <c r="R65" s="67">
        <f t="shared" si="5"/>
        <v>0</v>
      </c>
      <c r="S65" s="67">
        <f t="shared" si="7"/>
        <v>0</v>
      </c>
      <c r="T65" s="67">
        <f t="shared" si="8"/>
        <v>0</v>
      </c>
      <c r="U65" s="67">
        <f t="shared" si="9"/>
        <v>0.19313915055545547</v>
      </c>
      <c r="V65" s="67">
        <f t="shared" si="10"/>
        <v>6.8795603005919219E-3</v>
      </c>
      <c r="W65" s="100">
        <f t="shared" si="11"/>
        <v>4.5863735337279476E-3</v>
      </c>
    </row>
    <row r="66" spans="2:23">
      <c r="B66" s="96">
        <f>Amnt_Deposited!B61</f>
        <v>2047</v>
      </c>
      <c r="C66" s="99">
        <f>Amnt_Deposited!F61</f>
        <v>0</v>
      </c>
      <c r="D66" s="418">
        <f>Dry_Matter_Content!G53</f>
        <v>0.56999999999999995</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0.6</v>
      </c>
      <c r="R66" s="67">
        <f t="shared" si="5"/>
        <v>0</v>
      </c>
      <c r="S66" s="67">
        <f t="shared" si="7"/>
        <v>0</v>
      </c>
      <c r="T66" s="67">
        <f t="shared" si="8"/>
        <v>0</v>
      </c>
      <c r="U66" s="67">
        <f t="shared" si="9"/>
        <v>0.18649620986773338</v>
      </c>
      <c r="V66" s="67">
        <f t="shared" si="10"/>
        <v>6.6429406877220919E-3</v>
      </c>
      <c r="W66" s="100">
        <f t="shared" si="11"/>
        <v>4.4286271251480613E-3</v>
      </c>
    </row>
    <row r="67" spans="2:23">
      <c r="B67" s="96">
        <f>Amnt_Deposited!B62</f>
        <v>2048</v>
      </c>
      <c r="C67" s="99">
        <f>Amnt_Deposited!F62</f>
        <v>0</v>
      </c>
      <c r="D67" s="418">
        <f>Dry_Matter_Content!G54</f>
        <v>0.56999999999999995</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0.6</v>
      </c>
      <c r="R67" s="67">
        <f t="shared" si="5"/>
        <v>0</v>
      </c>
      <c r="S67" s="67">
        <f t="shared" si="7"/>
        <v>0</v>
      </c>
      <c r="T67" s="67">
        <f t="shared" si="8"/>
        <v>0</v>
      </c>
      <c r="U67" s="67">
        <f t="shared" si="9"/>
        <v>0.18008175035979115</v>
      </c>
      <c r="V67" s="67">
        <f t="shared" si="10"/>
        <v>6.414459507942216E-3</v>
      </c>
      <c r="W67" s="100">
        <f t="shared" si="11"/>
        <v>4.2763063386281434E-3</v>
      </c>
    </row>
    <row r="68" spans="2:23">
      <c r="B68" s="96">
        <f>Amnt_Deposited!B63</f>
        <v>2049</v>
      </c>
      <c r="C68" s="99">
        <f>Amnt_Deposited!F63</f>
        <v>0</v>
      </c>
      <c r="D68" s="418">
        <f>Dry_Matter_Content!G55</f>
        <v>0.56999999999999995</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0.6</v>
      </c>
      <c r="R68" s="67">
        <f t="shared" si="5"/>
        <v>0</v>
      </c>
      <c r="S68" s="67">
        <f t="shared" si="7"/>
        <v>0</v>
      </c>
      <c r="T68" s="67">
        <f t="shared" si="8"/>
        <v>0</v>
      </c>
      <c r="U68" s="67">
        <f t="shared" si="9"/>
        <v>0.1738879135165573</v>
      </c>
      <c r="V68" s="67">
        <f t="shared" si="10"/>
        <v>6.1938368432338476E-3</v>
      </c>
      <c r="W68" s="100">
        <f t="shared" si="11"/>
        <v>4.1292245621558981E-3</v>
      </c>
    </row>
    <row r="69" spans="2:23">
      <c r="B69" s="96">
        <f>Amnt_Deposited!B64</f>
        <v>2050</v>
      </c>
      <c r="C69" s="99">
        <f>Amnt_Deposited!F64</f>
        <v>0</v>
      </c>
      <c r="D69" s="418">
        <f>Dry_Matter_Content!G56</f>
        <v>0.56999999999999995</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0.6</v>
      </c>
      <c r="R69" s="67">
        <f t="shared" si="5"/>
        <v>0</v>
      </c>
      <c r="S69" s="67">
        <f t="shared" si="7"/>
        <v>0</v>
      </c>
      <c r="T69" s="67">
        <f t="shared" si="8"/>
        <v>0</v>
      </c>
      <c r="U69" s="67">
        <f t="shared" si="9"/>
        <v>0.16790711111331502</v>
      </c>
      <c r="V69" s="67">
        <f t="shared" si="10"/>
        <v>5.9808024032422706E-3</v>
      </c>
      <c r="W69" s="100">
        <f t="shared" si="11"/>
        <v>3.9872016021615135E-3</v>
      </c>
    </row>
    <row r="70" spans="2:23">
      <c r="B70" s="96">
        <f>Amnt_Deposited!B65</f>
        <v>2051</v>
      </c>
      <c r="C70" s="99">
        <f>Amnt_Deposited!F65</f>
        <v>0</v>
      </c>
      <c r="D70" s="418">
        <f>Dry_Matter_Content!G57</f>
        <v>0.56999999999999995</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0.6</v>
      </c>
      <c r="R70" s="67">
        <f t="shared" si="5"/>
        <v>0</v>
      </c>
      <c r="S70" s="67">
        <f t="shared" si="7"/>
        <v>0</v>
      </c>
      <c r="T70" s="67">
        <f t="shared" si="8"/>
        <v>0</v>
      </c>
      <c r="U70" s="67">
        <f t="shared" si="9"/>
        <v>0.162132015919178</v>
      </c>
      <c r="V70" s="67">
        <f t="shared" si="10"/>
        <v>5.775095194137006E-3</v>
      </c>
      <c r="W70" s="100">
        <f t="shared" si="11"/>
        <v>3.8500634627580037E-3</v>
      </c>
    </row>
    <row r="71" spans="2:23">
      <c r="B71" s="96">
        <f>Amnt_Deposited!B66</f>
        <v>2052</v>
      </c>
      <c r="C71" s="99">
        <f>Amnt_Deposited!F66</f>
        <v>0</v>
      </c>
      <c r="D71" s="418">
        <f>Dry_Matter_Content!G58</f>
        <v>0.56999999999999995</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0.6</v>
      </c>
      <c r="R71" s="67">
        <f t="shared" si="5"/>
        <v>0</v>
      </c>
      <c r="S71" s="67">
        <f t="shared" si="7"/>
        <v>0</v>
      </c>
      <c r="T71" s="67">
        <f t="shared" si="8"/>
        <v>0</v>
      </c>
      <c r="U71" s="67">
        <f t="shared" si="9"/>
        <v>0.15655555272031627</v>
      </c>
      <c r="V71" s="67">
        <f t="shared" si="10"/>
        <v>5.5764631988617355E-3</v>
      </c>
      <c r="W71" s="100">
        <f t="shared" si="11"/>
        <v>3.7176421325744902E-3</v>
      </c>
    </row>
    <row r="72" spans="2:23">
      <c r="B72" s="96">
        <f>Amnt_Deposited!B67</f>
        <v>2053</v>
      </c>
      <c r="C72" s="99">
        <f>Amnt_Deposited!F67</f>
        <v>0</v>
      </c>
      <c r="D72" s="418">
        <f>Dry_Matter_Content!G59</f>
        <v>0.56999999999999995</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0.6</v>
      </c>
      <c r="R72" s="67">
        <f t="shared" si="5"/>
        <v>0</v>
      </c>
      <c r="S72" s="67">
        <f t="shared" si="7"/>
        <v>0</v>
      </c>
      <c r="T72" s="67">
        <f t="shared" si="8"/>
        <v>0</v>
      </c>
      <c r="U72" s="67">
        <f t="shared" si="9"/>
        <v>0.15117088965193437</v>
      </c>
      <c r="V72" s="67">
        <f t="shared" si="10"/>
        <v>5.3846630683818866E-3</v>
      </c>
      <c r="W72" s="100">
        <f t="shared" si="11"/>
        <v>3.5897753789212576E-3</v>
      </c>
    </row>
    <row r="73" spans="2:23">
      <c r="B73" s="96">
        <f>Amnt_Deposited!B68</f>
        <v>2054</v>
      </c>
      <c r="C73" s="99">
        <f>Amnt_Deposited!F68</f>
        <v>0</v>
      </c>
      <c r="D73" s="418">
        <f>Dry_Matter_Content!G60</f>
        <v>0.56999999999999995</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0.6</v>
      </c>
      <c r="R73" s="67">
        <f t="shared" si="5"/>
        <v>0</v>
      </c>
      <c r="S73" s="67">
        <f t="shared" si="7"/>
        <v>0</v>
      </c>
      <c r="T73" s="67">
        <f t="shared" si="8"/>
        <v>0</v>
      </c>
      <c r="U73" s="67">
        <f t="shared" si="9"/>
        <v>0.14597142982838274</v>
      </c>
      <c r="V73" s="67">
        <f t="shared" si="10"/>
        <v>5.1994598235516366E-3</v>
      </c>
      <c r="W73" s="100">
        <f t="shared" si="11"/>
        <v>3.4663065490344244E-3</v>
      </c>
    </row>
    <row r="74" spans="2:23">
      <c r="B74" s="96">
        <f>Amnt_Deposited!B69</f>
        <v>2055</v>
      </c>
      <c r="C74" s="99">
        <f>Amnt_Deposited!F69</f>
        <v>0</v>
      </c>
      <c r="D74" s="418">
        <f>Dry_Matter_Content!G61</f>
        <v>0.56999999999999995</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0.6</v>
      </c>
      <c r="R74" s="67">
        <f t="shared" si="5"/>
        <v>0</v>
      </c>
      <c r="S74" s="67">
        <f t="shared" si="7"/>
        <v>0</v>
      </c>
      <c r="T74" s="67">
        <f t="shared" si="8"/>
        <v>0</v>
      </c>
      <c r="U74" s="67">
        <f t="shared" si="9"/>
        <v>0.14095080326114767</v>
      </c>
      <c r="V74" s="67">
        <f t="shared" si="10"/>
        <v>5.0206265672350708E-3</v>
      </c>
      <c r="W74" s="100">
        <f t="shared" si="11"/>
        <v>3.3470843781567136E-3</v>
      </c>
    </row>
    <row r="75" spans="2:23">
      <c r="B75" s="96">
        <f>Amnt_Deposited!B70</f>
        <v>2056</v>
      </c>
      <c r="C75" s="99">
        <f>Amnt_Deposited!F70</f>
        <v>0</v>
      </c>
      <c r="D75" s="418">
        <f>Dry_Matter_Content!G62</f>
        <v>0.56999999999999995</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0.6</v>
      </c>
      <c r="R75" s="67">
        <f t="shared" si="5"/>
        <v>0</v>
      </c>
      <c r="S75" s="67">
        <f t="shared" si="7"/>
        <v>0</v>
      </c>
      <c r="T75" s="67">
        <f t="shared" si="8"/>
        <v>0</v>
      </c>
      <c r="U75" s="67">
        <f t="shared" si="9"/>
        <v>0.13610285905481886</v>
      </c>
      <c r="V75" s="67">
        <f t="shared" si="10"/>
        <v>4.8479442063288176E-3</v>
      </c>
      <c r="W75" s="100">
        <f t="shared" si="11"/>
        <v>3.2319628042192117E-3</v>
      </c>
    </row>
    <row r="76" spans="2:23">
      <c r="B76" s="96">
        <f>Amnt_Deposited!B71</f>
        <v>2057</v>
      </c>
      <c r="C76" s="99">
        <f>Amnt_Deposited!F71</f>
        <v>0</v>
      </c>
      <c r="D76" s="418">
        <f>Dry_Matter_Content!G63</f>
        <v>0.56999999999999995</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0.6</v>
      </c>
      <c r="R76" s="67">
        <f t="shared" si="5"/>
        <v>0</v>
      </c>
      <c r="S76" s="67">
        <f t="shared" si="7"/>
        <v>0</v>
      </c>
      <c r="T76" s="67">
        <f t="shared" si="8"/>
        <v>0</v>
      </c>
      <c r="U76" s="67">
        <f t="shared" si="9"/>
        <v>0.13142165787147328</v>
      </c>
      <c r="V76" s="67">
        <f t="shared" si="10"/>
        <v>4.6812011833455959E-3</v>
      </c>
      <c r="W76" s="100">
        <f t="shared" si="11"/>
        <v>3.120800788897064E-3</v>
      </c>
    </row>
    <row r="77" spans="2:23">
      <c r="B77" s="96">
        <f>Amnt_Deposited!B72</f>
        <v>2058</v>
      </c>
      <c r="C77" s="99">
        <f>Amnt_Deposited!F72</f>
        <v>0</v>
      </c>
      <c r="D77" s="418">
        <f>Dry_Matter_Content!G64</f>
        <v>0.56999999999999995</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0.6</v>
      </c>
      <c r="R77" s="67">
        <f t="shared" si="5"/>
        <v>0</v>
      </c>
      <c r="S77" s="67">
        <f t="shared" si="7"/>
        <v>0</v>
      </c>
      <c r="T77" s="67">
        <f t="shared" si="8"/>
        <v>0</v>
      </c>
      <c r="U77" s="67">
        <f t="shared" si="9"/>
        <v>0.12690146465424343</v>
      </c>
      <c r="V77" s="67">
        <f t="shared" si="10"/>
        <v>4.520193217229837E-3</v>
      </c>
      <c r="W77" s="100">
        <f t="shared" si="11"/>
        <v>3.0134621448198911E-3</v>
      </c>
    </row>
    <row r="78" spans="2:23">
      <c r="B78" s="96">
        <f>Amnt_Deposited!B73</f>
        <v>2059</v>
      </c>
      <c r="C78" s="99">
        <f>Amnt_Deposited!F73</f>
        <v>0</v>
      </c>
      <c r="D78" s="418">
        <f>Dry_Matter_Content!G65</f>
        <v>0.56999999999999995</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0.6</v>
      </c>
      <c r="R78" s="67">
        <f t="shared" si="5"/>
        <v>0</v>
      </c>
      <c r="S78" s="67">
        <f t="shared" si="7"/>
        <v>0</v>
      </c>
      <c r="T78" s="67">
        <f t="shared" si="8"/>
        <v>0</v>
      </c>
      <c r="U78" s="67">
        <f t="shared" si="9"/>
        <v>0.12253674160115559</v>
      </c>
      <c r="V78" s="67">
        <f t="shared" si="10"/>
        <v>4.3647230530878449E-3</v>
      </c>
      <c r="W78" s="100">
        <f t="shared" si="11"/>
        <v>2.9098153687252297E-3</v>
      </c>
    </row>
    <row r="79" spans="2:23">
      <c r="B79" s="96">
        <f>Amnt_Deposited!B74</f>
        <v>2060</v>
      </c>
      <c r="C79" s="99">
        <f>Amnt_Deposited!F74</f>
        <v>0</v>
      </c>
      <c r="D79" s="418">
        <f>Dry_Matter_Content!G66</f>
        <v>0.56999999999999995</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0.6</v>
      </c>
      <c r="R79" s="67">
        <f t="shared" si="5"/>
        <v>0</v>
      </c>
      <c r="S79" s="67">
        <f t="shared" si="7"/>
        <v>0</v>
      </c>
      <c r="T79" s="67">
        <f t="shared" si="8"/>
        <v>0</v>
      </c>
      <c r="U79" s="67">
        <f t="shared" si="9"/>
        <v>0.1183221413806297</v>
      </c>
      <c r="V79" s="67">
        <f t="shared" si="10"/>
        <v>4.2146002205258855E-3</v>
      </c>
      <c r="W79" s="100">
        <f t="shared" si="11"/>
        <v>2.8097334803505901E-3</v>
      </c>
    </row>
    <row r="80" spans="2:23">
      <c r="B80" s="96">
        <f>Amnt_Deposited!B75</f>
        <v>2061</v>
      </c>
      <c r="C80" s="99">
        <f>Amnt_Deposited!F75</f>
        <v>0</v>
      </c>
      <c r="D80" s="418">
        <f>Dry_Matter_Content!G67</f>
        <v>0.56999999999999995</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0.6</v>
      </c>
      <c r="R80" s="67">
        <f t="shared" si="5"/>
        <v>0</v>
      </c>
      <c r="S80" s="67">
        <f t="shared" si="7"/>
        <v>0</v>
      </c>
      <c r="T80" s="67">
        <f t="shared" si="8"/>
        <v>0</v>
      </c>
      <c r="U80" s="67">
        <f t="shared" si="9"/>
        <v>0.11425250058032957</v>
      </c>
      <c r="V80" s="67">
        <f t="shared" si="10"/>
        <v>4.0696408003001285E-3</v>
      </c>
      <c r="W80" s="100">
        <f t="shared" si="11"/>
        <v>2.7130938668667522E-3</v>
      </c>
    </row>
    <row r="81" spans="2:23">
      <c r="B81" s="96">
        <f>Amnt_Deposited!B76</f>
        <v>2062</v>
      </c>
      <c r="C81" s="99">
        <f>Amnt_Deposited!F76</f>
        <v>0</v>
      </c>
      <c r="D81" s="418">
        <f>Dry_Matter_Content!G68</f>
        <v>0.56999999999999995</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0.6</v>
      </c>
      <c r="R81" s="67">
        <f t="shared" si="5"/>
        <v>0</v>
      </c>
      <c r="S81" s="67">
        <f t="shared" si="7"/>
        <v>0</v>
      </c>
      <c r="T81" s="67">
        <f t="shared" si="8"/>
        <v>0</v>
      </c>
      <c r="U81" s="67">
        <f t="shared" si="9"/>
        <v>0.11032283338133698</v>
      </c>
      <c r="V81" s="67">
        <f t="shared" si="10"/>
        <v>3.9296671989925815E-3</v>
      </c>
      <c r="W81" s="100">
        <f t="shared" si="11"/>
        <v>2.6197781326617207E-3</v>
      </c>
    </row>
    <row r="82" spans="2:23">
      <c r="B82" s="96">
        <f>Amnt_Deposited!B77</f>
        <v>2063</v>
      </c>
      <c r="C82" s="99">
        <f>Amnt_Deposited!F77</f>
        <v>0</v>
      </c>
      <c r="D82" s="418">
        <f>Dry_Matter_Content!G69</f>
        <v>0.56999999999999995</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0.6</v>
      </c>
      <c r="R82" s="67">
        <f t="shared" si="5"/>
        <v>0</v>
      </c>
      <c r="S82" s="67">
        <f t="shared" si="7"/>
        <v>0</v>
      </c>
      <c r="T82" s="67">
        <f t="shared" si="8"/>
        <v>0</v>
      </c>
      <c r="U82" s="67">
        <f t="shared" si="9"/>
        <v>0.10652832544990004</v>
      </c>
      <c r="V82" s="67">
        <f t="shared" si="10"/>
        <v>3.794507931436937E-3</v>
      </c>
      <c r="W82" s="100">
        <f t="shared" si="11"/>
        <v>2.5296719542912912E-3</v>
      </c>
    </row>
    <row r="83" spans="2:23">
      <c r="B83" s="96">
        <f>Amnt_Deposited!B78</f>
        <v>2064</v>
      </c>
      <c r="C83" s="99">
        <f>Amnt_Deposited!F78</f>
        <v>0</v>
      </c>
      <c r="D83" s="418">
        <f>Dry_Matter_Content!G70</f>
        <v>0.56999999999999995</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0.6</v>
      </c>
      <c r="R83" s="67">
        <f t="shared" ref="R83:R99" si="17">P83*$W$6*DOCF*Q83</f>
        <v>0</v>
      </c>
      <c r="S83" s="67">
        <f t="shared" si="7"/>
        <v>0</v>
      </c>
      <c r="T83" s="67">
        <f t="shared" si="8"/>
        <v>0</v>
      </c>
      <c r="U83" s="67">
        <f t="shared" si="9"/>
        <v>0.10286432803927224</v>
      </c>
      <c r="V83" s="67">
        <f t="shared" si="10"/>
        <v>3.6639974106278009E-3</v>
      </c>
      <c r="W83" s="100">
        <f t="shared" si="11"/>
        <v>2.4426649404185336E-3</v>
      </c>
    </row>
    <row r="84" spans="2:23">
      <c r="B84" s="96">
        <f>Amnt_Deposited!B79</f>
        <v>2065</v>
      </c>
      <c r="C84" s="99">
        <f>Amnt_Deposited!F79</f>
        <v>0</v>
      </c>
      <c r="D84" s="418">
        <f>Dry_Matter_Content!G71</f>
        <v>0.56999999999999995</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0.6</v>
      </c>
      <c r="R84" s="67">
        <f t="shared" si="17"/>
        <v>0</v>
      </c>
      <c r="S84" s="67">
        <f t="shared" si="7"/>
        <v>0</v>
      </c>
      <c r="T84" s="67">
        <f t="shared" si="8"/>
        <v>0</v>
      </c>
      <c r="U84" s="67">
        <f t="shared" si="9"/>
        <v>9.9326352294416345E-2</v>
      </c>
      <c r="V84" s="67">
        <f t="shared" si="10"/>
        <v>3.5379757448559036E-3</v>
      </c>
      <c r="W84" s="100">
        <f t="shared" si="11"/>
        <v>2.3586504965706022E-3</v>
      </c>
    </row>
    <row r="85" spans="2:23">
      <c r="B85" s="96">
        <f>Amnt_Deposited!B80</f>
        <v>2066</v>
      </c>
      <c r="C85" s="99">
        <f>Amnt_Deposited!F80</f>
        <v>0</v>
      </c>
      <c r="D85" s="418">
        <f>Dry_Matter_Content!G72</f>
        <v>0.56999999999999995</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0.6</v>
      </c>
      <c r="R85" s="67">
        <f t="shared" si="17"/>
        <v>0</v>
      </c>
      <c r="S85" s="67">
        <f t="shared" ref="S85:S98" si="19">R85*$W$12</f>
        <v>0</v>
      </c>
      <c r="T85" s="67">
        <f t="shared" ref="T85:T98" si="20">R85*(1-$W$12)</f>
        <v>0</v>
      </c>
      <c r="U85" s="67">
        <f t="shared" ref="U85:U98" si="21">S85+U84*$W$10</f>
        <v>9.5910063752595587E-2</v>
      </c>
      <c r="V85" s="67">
        <f t="shared" ref="V85:V98" si="22">U84*(1-$W$10)+T85</f>
        <v>3.4162885418207584E-3</v>
      </c>
      <c r="W85" s="100">
        <f t="shared" ref="W85:W99" si="23">V85*CH4_fraction*conv</f>
        <v>2.2775256945471722E-3</v>
      </c>
    </row>
    <row r="86" spans="2:23">
      <c r="B86" s="96">
        <f>Amnt_Deposited!B81</f>
        <v>2067</v>
      </c>
      <c r="C86" s="99">
        <f>Amnt_Deposited!F81</f>
        <v>0</v>
      </c>
      <c r="D86" s="418">
        <f>Dry_Matter_Content!G73</f>
        <v>0.56999999999999995</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0.6</v>
      </c>
      <c r="R86" s="67">
        <f t="shared" si="17"/>
        <v>0</v>
      </c>
      <c r="S86" s="67">
        <f t="shared" si="19"/>
        <v>0</v>
      </c>
      <c r="T86" s="67">
        <f t="shared" si="20"/>
        <v>0</v>
      </c>
      <c r="U86" s="67">
        <f t="shared" si="21"/>
        <v>9.2611277033114794E-2</v>
      </c>
      <c r="V86" s="67">
        <f t="shared" si="22"/>
        <v>3.2987867194807885E-3</v>
      </c>
      <c r="W86" s="100">
        <f t="shared" si="23"/>
        <v>2.1991911463205257E-3</v>
      </c>
    </row>
    <row r="87" spans="2:23">
      <c r="B87" s="96">
        <f>Amnt_Deposited!B82</f>
        <v>2068</v>
      </c>
      <c r="C87" s="99">
        <f>Amnt_Deposited!F82</f>
        <v>0</v>
      </c>
      <c r="D87" s="418">
        <f>Dry_Matter_Content!G74</f>
        <v>0.56999999999999995</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0.6</v>
      </c>
      <c r="R87" s="67">
        <f t="shared" si="17"/>
        <v>0</v>
      </c>
      <c r="S87" s="67">
        <f t="shared" si="19"/>
        <v>0</v>
      </c>
      <c r="T87" s="67">
        <f t="shared" si="20"/>
        <v>0</v>
      </c>
      <c r="U87" s="67">
        <f t="shared" si="21"/>
        <v>8.9425950709705618E-2</v>
      </c>
      <c r="V87" s="67">
        <f t="shared" si="22"/>
        <v>3.1853263234091784E-3</v>
      </c>
      <c r="W87" s="100">
        <f t="shared" si="23"/>
        <v>2.1235508822727853E-3</v>
      </c>
    </row>
    <row r="88" spans="2:23">
      <c r="B88" s="96">
        <f>Amnt_Deposited!B83</f>
        <v>2069</v>
      </c>
      <c r="C88" s="99">
        <f>Amnt_Deposited!F83</f>
        <v>0</v>
      </c>
      <c r="D88" s="418">
        <f>Dry_Matter_Content!G75</f>
        <v>0.56999999999999995</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0.6</v>
      </c>
      <c r="R88" s="67">
        <f t="shared" si="17"/>
        <v>0</v>
      </c>
      <c r="S88" s="67">
        <f t="shared" si="19"/>
        <v>0</v>
      </c>
      <c r="T88" s="67">
        <f t="shared" si="20"/>
        <v>0</v>
      </c>
      <c r="U88" s="67">
        <f t="shared" si="21"/>
        <v>8.6350182359273914E-2</v>
      </c>
      <c r="V88" s="67">
        <f t="shared" si="22"/>
        <v>3.0757683504317036E-3</v>
      </c>
      <c r="W88" s="100">
        <f t="shared" si="23"/>
        <v>2.0505122336211355E-3</v>
      </c>
    </row>
    <row r="89" spans="2:23">
      <c r="B89" s="96">
        <f>Amnt_Deposited!B84</f>
        <v>2070</v>
      </c>
      <c r="C89" s="99">
        <f>Amnt_Deposited!F84</f>
        <v>0</v>
      </c>
      <c r="D89" s="418">
        <f>Dry_Matter_Content!G76</f>
        <v>0.56999999999999995</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0.6</v>
      </c>
      <c r="R89" s="67">
        <f t="shared" si="17"/>
        <v>0</v>
      </c>
      <c r="S89" s="67">
        <f t="shared" si="19"/>
        <v>0</v>
      </c>
      <c r="T89" s="67">
        <f t="shared" si="20"/>
        <v>0</v>
      </c>
      <c r="U89" s="67">
        <f t="shared" si="21"/>
        <v>8.3380203780943463E-2</v>
      </c>
      <c r="V89" s="67">
        <f t="shared" si="22"/>
        <v>2.9699785783304537E-3</v>
      </c>
      <c r="W89" s="100">
        <f t="shared" si="23"/>
        <v>1.9799857188869691E-3</v>
      </c>
    </row>
    <row r="90" spans="2:23">
      <c r="B90" s="96">
        <f>Amnt_Deposited!B85</f>
        <v>2071</v>
      </c>
      <c r="C90" s="99">
        <f>Amnt_Deposited!F85</f>
        <v>0</v>
      </c>
      <c r="D90" s="418">
        <f>Dry_Matter_Content!G77</f>
        <v>0.56999999999999995</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0.6</v>
      </c>
      <c r="R90" s="67">
        <f t="shared" si="17"/>
        <v>0</v>
      </c>
      <c r="S90" s="67">
        <f t="shared" si="19"/>
        <v>0</v>
      </c>
      <c r="T90" s="67">
        <f t="shared" si="20"/>
        <v>0</v>
      </c>
      <c r="U90" s="67">
        <f t="shared" si="21"/>
        <v>8.0512376379538633E-2</v>
      </c>
      <c r="V90" s="67">
        <f t="shared" si="22"/>
        <v>2.8678274014048333E-3</v>
      </c>
      <c r="W90" s="100">
        <f t="shared" si="23"/>
        <v>1.9118849342698889E-3</v>
      </c>
    </row>
    <row r="91" spans="2:23">
      <c r="B91" s="96">
        <f>Amnt_Deposited!B86</f>
        <v>2072</v>
      </c>
      <c r="C91" s="99">
        <f>Amnt_Deposited!F86</f>
        <v>0</v>
      </c>
      <c r="D91" s="418">
        <f>Dry_Matter_Content!G78</f>
        <v>0.56999999999999995</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0.6</v>
      </c>
      <c r="R91" s="67">
        <f t="shared" si="17"/>
        <v>0</v>
      </c>
      <c r="S91" s="67">
        <f t="shared" si="19"/>
        <v>0</v>
      </c>
      <c r="T91" s="67">
        <f t="shared" si="20"/>
        <v>0</v>
      </c>
      <c r="U91" s="67">
        <f t="shared" si="21"/>
        <v>7.774318670785027E-2</v>
      </c>
      <c r="V91" s="67">
        <f t="shared" si="22"/>
        <v>2.7691896716883694E-3</v>
      </c>
      <c r="W91" s="100">
        <f t="shared" si="23"/>
        <v>1.8461264477922462E-3</v>
      </c>
    </row>
    <row r="92" spans="2:23">
      <c r="B92" s="96">
        <f>Amnt_Deposited!B87</f>
        <v>2073</v>
      </c>
      <c r="C92" s="99">
        <f>Amnt_Deposited!F87</f>
        <v>0</v>
      </c>
      <c r="D92" s="418">
        <f>Dry_Matter_Content!G79</f>
        <v>0.56999999999999995</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0.6</v>
      </c>
      <c r="R92" s="67">
        <f t="shared" si="17"/>
        <v>0</v>
      </c>
      <c r="S92" s="67">
        <f t="shared" si="19"/>
        <v>0</v>
      </c>
      <c r="T92" s="67">
        <f t="shared" si="20"/>
        <v>0</v>
      </c>
      <c r="U92" s="67">
        <f t="shared" si="21"/>
        <v>7.5069242162223465E-2</v>
      </c>
      <c r="V92" s="67">
        <f t="shared" si="22"/>
        <v>2.6739445456268021E-3</v>
      </c>
      <c r="W92" s="100">
        <f t="shared" si="23"/>
        <v>1.7826296970845346E-3</v>
      </c>
    </row>
    <row r="93" spans="2:23">
      <c r="B93" s="96">
        <f>Amnt_Deposited!B88</f>
        <v>2074</v>
      </c>
      <c r="C93" s="99">
        <f>Amnt_Deposited!F88</f>
        <v>0</v>
      </c>
      <c r="D93" s="418">
        <f>Dry_Matter_Content!G80</f>
        <v>0.56999999999999995</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0.6</v>
      </c>
      <c r="R93" s="67">
        <f t="shared" si="17"/>
        <v>0</v>
      </c>
      <c r="S93" s="67">
        <f t="shared" si="19"/>
        <v>0</v>
      </c>
      <c r="T93" s="67">
        <f t="shared" si="20"/>
        <v>0</v>
      </c>
      <c r="U93" s="67">
        <f t="shared" si="21"/>
        <v>7.2487266826193844E-2</v>
      </c>
      <c r="V93" s="67">
        <f t="shared" si="22"/>
        <v>2.5819753360296176E-3</v>
      </c>
      <c r="W93" s="100">
        <f t="shared" si="23"/>
        <v>1.7213168906864116E-3</v>
      </c>
    </row>
    <row r="94" spans="2:23">
      <c r="B94" s="96">
        <f>Amnt_Deposited!B89</f>
        <v>2075</v>
      </c>
      <c r="C94" s="99">
        <f>Amnt_Deposited!F89</f>
        <v>0</v>
      </c>
      <c r="D94" s="418">
        <f>Dry_Matter_Content!G81</f>
        <v>0.56999999999999995</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0.6</v>
      </c>
      <c r="R94" s="67">
        <f t="shared" si="17"/>
        <v>0</v>
      </c>
      <c r="S94" s="67">
        <f t="shared" si="19"/>
        <v>0</v>
      </c>
      <c r="T94" s="67">
        <f t="shared" si="20"/>
        <v>0</v>
      </c>
      <c r="U94" s="67">
        <f t="shared" si="21"/>
        <v>6.9994097457080198E-2</v>
      </c>
      <c r="V94" s="67">
        <f t="shared" si="22"/>
        <v>2.4931693691136489E-3</v>
      </c>
      <c r="W94" s="100">
        <f t="shared" si="23"/>
        <v>1.6621129127424325E-3</v>
      </c>
    </row>
    <row r="95" spans="2:23">
      <c r="B95" s="96">
        <f>Amnt_Deposited!B90</f>
        <v>2076</v>
      </c>
      <c r="C95" s="99">
        <f>Amnt_Deposited!F90</f>
        <v>0</v>
      </c>
      <c r="D95" s="418">
        <f>Dry_Matter_Content!G82</f>
        <v>0.56999999999999995</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0.6</v>
      </c>
      <c r="R95" s="67">
        <f t="shared" si="17"/>
        <v>0</v>
      </c>
      <c r="S95" s="67">
        <f t="shared" si="19"/>
        <v>0</v>
      </c>
      <c r="T95" s="67">
        <f t="shared" si="20"/>
        <v>0</v>
      </c>
      <c r="U95" s="67">
        <f t="shared" si="21"/>
        <v>6.7586679610616596E-2</v>
      </c>
      <c r="V95" s="67">
        <f t="shared" si="22"/>
        <v>2.4074178464635991E-3</v>
      </c>
      <c r="W95" s="100">
        <f t="shared" si="23"/>
        <v>1.6049452309757327E-3</v>
      </c>
    </row>
    <row r="96" spans="2:23">
      <c r="B96" s="96">
        <f>Amnt_Deposited!B91</f>
        <v>2077</v>
      </c>
      <c r="C96" s="99">
        <f>Amnt_Deposited!F91</f>
        <v>0</v>
      </c>
      <c r="D96" s="418">
        <f>Dry_Matter_Content!G83</f>
        <v>0.56999999999999995</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0.6</v>
      </c>
      <c r="R96" s="67">
        <f t="shared" si="17"/>
        <v>0</v>
      </c>
      <c r="S96" s="67">
        <f t="shared" si="19"/>
        <v>0</v>
      </c>
      <c r="T96" s="67">
        <f t="shared" si="20"/>
        <v>0</v>
      </c>
      <c r="U96" s="67">
        <f t="shared" si="21"/>
        <v>6.5262063898876219E-2</v>
      </c>
      <c r="V96" s="67">
        <f t="shared" si="22"/>
        <v>2.3246157117403779E-3</v>
      </c>
      <c r="W96" s="100">
        <f t="shared" si="23"/>
        <v>1.5497438078269186E-3</v>
      </c>
    </row>
    <row r="97" spans="2:23">
      <c r="B97" s="96">
        <f>Amnt_Deposited!B92</f>
        <v>2078</v>
      </c>
      <c r="C97" s="99">
        <f>Amnt_Deposited!F92</f>
        <v>0</v>
      </c>
      <c r="D97" s="418">
        <f>Dry_Matter_Content!G84</f>
        <v>0.56999999999999995</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0.6</v>
      </c>
      <c r="R97" s="67">
        <f t="shared" si="17"/>
        <v>0</v>
      </c>
      <c r="S97" s="67">
        <f t="shared" si="19"/>
        <v>0</v>
      </c>
      <c r="T97" s="67">
        <f t="shared" si="20"/>
        <v>0</v>
      </c>
      <c r="U97" s="67">
        <f t="shared" si="21"/>
        <v>6.3017402376902273E-2</v>
      </c>
      <c r="V97" s="67">
        <f t="shared" si="22"/>
        <v>2.2446615219739465E-3</v>
      </c>
      <c r="W97" s="100">
        <f t="shared" si="23"/>
        <v>1.4964410146492977E-3</v>
      </c>
    </row>
    <row r="98" spans="2:23">
      <c r="B98" s="96">
        <f>Amnt_Deposited!B93</f>
        <v>2079</v>
      </c>
      <c r="C98" s="99">
        <f>Amnt_Deposited!F93</f>
        <v>0</v>
      </c>
      <c r="D98" s="418">
        <f>Dry_Matter_Content!G85</f>
        <v>0.56999999999999995</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0.6</v>
      </c>
      <c r="R98" s="67">
        <f t="shared" si="17"/>
        <v>0</v>
      </c>
      <c r="S98" s="67">
        <f t="shared" si="19"/>
        <v>0</v>
      </c>
      <c r="T98" s="67">
        <f t="shared" si="20"/>
        <v>0</v>
      </c>
      <c r="U98" s="67">
        <f t="shared" si="21"/>
        <v>6.0849945053619278E-2</v>
      </c>
      <c r="V98" s="67">
        <f t="shared" si="22"/>
        <v>2.1674573232829957E-3</v>
      </c>
      <c r="W98" s="100">
        <f t="shared" si="23"/>
        <v>1.4449715488553303E-3</v>
      </c>
    </row>
    <row r="99" spans="2:23" ht="13.5" thickBot="1">
      <c r="B99" s="97">
        <f>Amnt_Deposited!B94</f>
        <v>2080</v>
      </c>
      <c r="C99" s="101">
        <f>Amnt_Deposited!F94</f>
        <v>0</v>
      </c>
      <c r="D99" s="418">
        <f>Dry_Matter_Content!G86</f>
        <v>0.56999999999999995</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0.6</v>
      </c>
      <c r="R99" s="68">
        <f t="shared" si="17"/>
        <v>0</v>
      </c>
      <c r="S99" s="68">
        <f>R99*$W$12</f>
        <v>0</v>
      </c>
      <c r="T99" s="68">
        <f>R99*(1-$W$12)</f>
        <v>0</v>
      </c>
      <c r="U99" s="68">
        <f>S99+U98*$W$10</f>
        <v>5.8757036522750092E-2</v>
      </c>
      <c r="V99" s="68">
        <f>U98*(1-$W$10)+T99</f>
        <v>2.0929085308691877E-3</v>
      </c>
      <c r="W99" s="102">
        <f t="shared" si="23"/>
        <v>1.3952723539127918E-3</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0.3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v>
      </c>
      <c r="D19" s="416">
        <f>Dry_Matter_Content!H6</f>
        <v>0.73</v>
      </c>
      <c r="E19" s="283">
        <f>MCF!R18</f>
        <v>0.6</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Amnt_Deposited!H14</f>
        <v>0</v>
      </c>
      <c r="Q19" s="283">
        <f>MCF!R18</f>
        <v>0.6</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Amnt_Deposited!H15</f>
        <v>0</v>
      </c>
      <c r="D20" s="418">
        <f>Dry_Matter_Content!H7</f>
        <v>0.73</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Amnt_Deposited!H15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Amnt_Deposited!H16</f>
        <v>0</v>
      </c>
      <c r="D21" s="418">
        <f>Dry_Matter_Content!H8</f>
        <v>0.73</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Amnt_Deposited!H16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Amnt_Deposited!H17</f>
        <v>0</v>
      </c>
      <c r="D22" s="418">
        <f>Dry_Matter_Content!H9</f>
        <v>0.73</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Amnt_Deposited!H17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Amnt_Deposited!H18</f>
        <v>0</v>
      </c>
      <c r="D23" s="418">
        <f>Dry_Matter_Content!H10</f>
        <v>0.73</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Amnt_Deposited!H18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Amnt_Deposited!H19</f>
        <v>0</v>
      </c>
      <c r="D24" s="418">
        <f>Dry_Matter_Content!H11</f>
        <v>0.73</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Amnt_Deposited!H19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Amnt_Deposited!H20</f>
        <v>0</v>
      </c>
      <c r="D25" s="418">
        <f>Dry_Matter_Content!H12</f>
        <v>0.73</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Amnt_Deposited!H20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Amnt_Deposited!H21</f>
        <v>0</v>
      </c>
      <c r="D26" s="418">
        <f>Dry_Matter_Content!H13</f>
        <v>0.73</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Amnt_Deposited!H21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Amnt_Deposited!H22</f>
        <v>0</v>
      </c>
      <c r="D27" s="418">
        <f>Dry_Matter_Content!H14</f>
        <v>0.73</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Amnt_Deposited!H22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Amnt_Deposited!H23</f>
        <v>0</v>
      </c>
      <c r="D28" s="418">
        <f>Dry_Matter_Content!H15</f>
        <v>0.73</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Amnt_Deposited!H23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Amnt_Deposited!H24</f>
        <v>0</v>
      </c>
      <c r="D29" s="418">
        <f>Dry_Matter_Content!H16</f>
        <v>0.73</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Amnt_Deposited!H24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Amnt_Deposited!H25</f>
        <v>0</v>
      </c>
      <c r="D30" s="418">
        <f>Dry_Matter_Content!H17</f>
        <v>0.73</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Amnt_Deposited!H25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Amnt_Deposited!H26</f>
        <v>0</v>
      </c>
      <c r="D31" s="418">
        <f>Dry_Matter_Content!H18</f>
        <v>0.73</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Amnt_Deposited!H26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Amnt_Deposited!H27</f>
        <v>0</v>
      </c>
      <c r="D32" s="418">
        <f>Dry_Matter_Content!H19</f>
        <v>0.73</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Amnt_Deposited!H27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Amnt_Deposited!H28</f>
        <v>0</v>
      </c>
      <c r="D33" s="418">
        <f>Dry_Matter_Content!H20</f>
        <v>0.73</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Amnt_Deposited!H28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Amnt_Deposited!H29</f>
        <v>0</v>
      </c>
      <c r="D34" s="418">
        <f>Dry_Matter_Content!H21</f>
        <v>0.73</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Amnt_Deposited!H29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Amnt_Deposited!H30</f>
        <v>0</v>
      </c>
      <c r="D35" s="418">
        <f>Dry_Matter_Content!H22</f>
        <v>0.73</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Amnt_Deposited!H30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Amnt_Deposited!H31</f>
        <v>2.9888568000000004E-2</v>
      </c>
      <c r="D36" s="418">
        <f>Dry_Matter_Content!H23</f>
        <v>0.73</v>
      </c>
      <c r="E36" s="284">
        <f>MCF!R35</f>
        <v>0.6</v>
      </c>
      <c r="F36" s="67">
        <f t="shared" si="0"/>
        <v>1.9636789176000003E-3</v>
      </c>
      <c r="G36" s="67">
        <f t="shared" si="1"/>
        <v>1.9636789176000003E-3</v>
      </c>
      <c r="H36" s="67">
        <f t="shared" si="2"/>
        <v>0</v>
      </c>
      <c r="I36" s="67">
        <f t="shared" si="3"/>
        <v>1.9636789176000003E-3</v>
      </c>
      <c r="J36" s="67">
        <f t="shared" si="4"/>
        <v>0</v>
      </c>
      <c r="K36" s="100">
        <f t="shared" si="6"/>
        <v>0</v>
      </c>
      <c r="O36" s="96">
        <f>Amnt_Deposited!B31</f>
        <v>2017</v>
      </c>
      <c r="P36" s="99">
        <f>Amnt_Deposited!H31</f>
        <v>2.9888568000000004E-2</v>
      </c>
      <c r="Q36" s="284">
        <f>MCF!R35</f>
        <v>0.6</v>
      </c>
      <c r="R36" s="67">
        <f t="shared" si="5"/>
        <v>2.1519768960000002E-3</v>
      </c>
      <c r="S36" s="67">
        <f t="shared" si="7"/>
        <v>2.1519768960000002E-3</v>
      </c>
      <c r="T36" s="67">
        <f t="shared" si="8"/>
        <v>0</v>
      </c>
      <c r="U36" s="67">
        <f t="shared" si="9"/>
        <v>2.1519768960000002E-3</v>
      </c>
      <c r="V36" s="67">
        <f t="shared" si="10"/>
        <v>0</v>
      </c>
      <c r="W36" s="100">
        <f t="shared" si="11"/>
        <v>0</v>
      </c>
    </row>
    <row r="37" spans="2:23">
      <c r="B37" s="96">
        <f>Amnt_Deposited!B32</f>
        <v>2018</v>
      </c>
      <c r="C37" s="99">
        <f>Amnt_Deposited!H32</f>
        <v>3.3019871075999997E-2</v>
      </c>
      <c r="D37" s="418">
        <f>Dry_Matter_Content!H24</f>
        <v>0.73</v>
      </c>
      <c r="E37" s="284">
        <f>MCF!R36</f>
        <v>0.6</v>
      </c>
      <c r="F37" s="67">
        <f t="shared" si="0"/>
        <v>2.1694055296931996E-3</v>
      </c>
      <c r="G37" s="67">
        <f t="shared" si="1"/>
        <v>2.1694055296931996E-3</v>
      </c>
      <c r="H37" s="67">
        <f t="shared" si="2"/>
        <v>0</v>
      </c>
      <c r="I37" s="67">
        <f t="shared" si="3"/>
        <v>4.0003276167430418E-3</v>
      </c>
      <c r="J37" s="67">
        <f t="shared" si="4"/>
        <v>1.3275683055015818E-4</v>
      </c>
      <c r="K37" s="100">
        <f t="shared" si="6"/>
        <v>8.8504553700105451E-5</v>
      </c>
      <c r="O37" s="96">
        <f>Amnt_Deposited!B32</f>
        <v>2018</v>
      </c>
      <c r="P37" s="99">
        <f>Amnt_Deposited!H32</f>
        <v>3.3019871075999997E-2</v>
      </c>
      <c r="Q37" s="284">
        <f>MCF!R36</f>
        <v>0.6</v>
      </c>
      <c r="R37" s="67">
        <f t="shared" si="5"/>
        <v>2.3774307174719996E-3</v>
      </c>
      <c r="S37" s="67">
        <f t="shared" si="7"/>
        <v>2.3774307174719996E-3</v>
      </c>
      <c r="T37" s="67">
        <f t="shared" si="8"/>
        <v>0</v>
      </c>
      <c r="U37" s="67">
        <f t="shared" si="9"/>
        <v>4.383920675882785E-3</v>
      </c>
      <c r="V37" s="67">
        <f t="shared" si="10"/>
        <v>1.4548693758921445E-4</v>
      </c>
      <c r="W37" s="100">
        <f t="shared" si="11"/>
        <v>9.6991291726142965E-5</v>
      </c>
    </row>
    <row r="38" spans="2:23">
      <c r="B38" s="96">
        <f>Amnt_Deposited!B33</f>
        <v>2019</v>
      </c>
      <c r="C38" s="99">
        <f>Amnt_Deposited!H33</f>
        <v>3.6449068222223997E-2</v>
      </c>
      <c r="D38" s="418">
        <f>Dry_Matter_Content!H25</f>
        <v>0.73</v>
      </c>
      <c r="E38" s="284">
        <f>MCF!R37</f>
        <v>0.6</v>
      </c>
      <c r="F38" s="67">
        <f t="shared" si="0"/>
        <v>2.3947037822001165E-3</v>
      </c>
      <c r="G38" s="67">
        <f t="shared" si="1"/>
        <v>2.3947037822001165E-3</v>
      </c>
      <c r="H38" s="67">
        <f t="shared" si="2"/>
        <v>0</v>
      </c>
      <c r="I38" s="67">
        <f t="shared" si="3"/>
        <v>6.1245845296504196E-3</v>
      </c>
      <c r="J38" s="67">
        <f t="shared" si="4"/>
        <v>2.7044686929273879E-4</v>
      </c>
      <c r="K38" s="100">
        <f t="shared" si="6"/>
        <v>1.8029791286182584E-4</v>
      </c>
      <c r="O38" s="96">
        <f>Amnt_Deposited!B33</f>
        <v>2019</v>
      </c>
      <c r="P38" s="99">
        <f>Amnt_Deposited!H33</f>
        <v>3.6449068222223997E-2</v>
      </c>
      <c r="Q38" s="284">
        <f>MCF!R37</f>
        <v>0.6</v>
      </c>
      <c r="R38" s="67">
        <f t="shared" si="5"/>
        <v>2.6243329120001274E-3</v>
      </c>
      <c r="S38" s="67">
        <f t="shared" si="7"/>
        <v>2.6243329120001274E-3</v>
      </c>
      <c r="T38" s="67">
        <f t="shared" si="8"/>
        <v>0</v>
      </c>
      <c r="U38" s="67">
        <f t="shared" si="9"/>
        <v>6.7118734571511435E-3</v>
      </c>
      <c r="V38" s="67">
        <f t="shared" si="10"/>
        <v>2.9638013073176851E-4</v>
      </c>
      <c r="W38" s="100">
        <f t="shared" si="11"/>
        <v>1.9758675382117901E-4</v>
      </c>
    </row>
    <row r="39" spans="2:23">
      <c r="B39" s="96">
        <f>Amnt_Deposited!B34</f>
        <v>2020</v>
      </c>
      <c r="C39" s="99">
        <f>Amnt_Deposited!H34</f>
        <v>4.0202965258832699E-2</v>
      </c>
      <c r="D39" s="418">
        <f>Dry_Matter_Content!H26</f>
        <v>0.73</v>
      </c>
      <c r="E39" s="284">
        <f>MCF!R38</f>
        <v>0.6</v>
      </c>
      <c r="F39" s="67">
        <f t="shared" si="0"/>
        <v>2.6413348175053082E-3</v>
      </c>
      <c r="G39" s="67">
        <f t="shared" si="1"/>
        <v>2.6413348175053082E-3</v>
      </c>
      <c r="H39" s="67">
        <f t="shared" si="2"/>
        <v>0</v>
      </c>
      <c r="I39" s="67">
        <f t="shared" si="3"/>
        <v>8.351859582442939E-3</v>
      </c>
      <c r="J39" s="67">
        <f t="shared" si="4"/>
        <v>4.1405976471278934E-4</v>
      </c>
      <c r="K39" s="100">
        <f t="shared" si="6"/>
        <v>2.7603984314185956E-4</v>
      </c>
      <c r="O39" s="96">
        <f>Amnt_Deposited!B34</f>
        <v>2020</v>
      </c>
      <c r="P39" s="99">
        <f>Amnt_Deposited!H34</f>
        <v>4.0202965258832699E-2</v>
      </c>
      <c r="Q39" s="284">
        <f>MCF!R38</f>
        <v>0.6</v>
      </c>
      <c r="R39" s="67">
        <f t="shared" si="5"/>
        <v>2.894613498635954E-3</v>
      </c>
      <c r="S39" s="67">
        <f t="shared" si="7"/>
        <v>2.894613498635954E-3</v>
      </c>
      <c r="T39" s="67">
        <f t="shared" si="8"/>
        <v>0</v>
      </c>
      <c r="U39" s="67">
        <f t="shared" si="9"/>
        <v>9.1527228300744522E-3</v>
      </c>
      <c r="V39" s="67">
        <f t="shared" si="10"/>
        <v>4.5376412571264581E-4</v>
      </c>
      <c r="W39" s="100">
        <f t="shared" si="11"/>
        <v>3.0250941714176385E-4</v>
      </c>
    </row>
    <row r="40" spans="2:23">
      <c r="B40" s="96">
        <f>Amnt_Deposited!B35</f>
        <v>2021</v>
      </c>
      <c r="C40" s="99">
        <f>Amnt_Deposited!H35</f>
        <v>4.4310694178230033E-2</v>
      </c>
      <c r="D40" s="418">
        <f>Dry_Matter_Content!H27</f>
        <v>0.73</v>
      </c>
      <c r="E40" s="284">
        <f>MCF!R39</f>
        <v>0.6</v>
      </c>
      <c r="F40" s="67">
        <f t="shared" si="0"/>
        <v>2.9112126075097129E-3</v>
      </c>
      <c r="G40" s="67">
        <f t="shared" si="1"/>
        <v>2.9112126075097129E-3</v>
      </c>
      <c r="H40" s="67">
        <f t="shared" si="2"/>
        <v>0</v>
      </c>
      <c r="I40" s="67">
        <f t="shared" si="3"/>
        <v>1.0698434866901783E-2</v>
      </c>
      <c r="J40" s="67">
        <f t="shared" si="4"/>
        <v>5.6463732305086904E-4</v>
      </c>
      <c r="K40" s="100">
        <f t="shared" si="6"/>
        <v>3.7642488203391269E-4</v>
      </c>
      <c r="O40" s="96">
        <f>Amnt_Deposited!B35</f>
        <v>2021</v>
      </c>
      <c r="P40" s="99">
        <f>Amnt_Deposited!H35</f>
        <v>4.4310694178230033E-2</v>
      </c>
      <c r="Q40" s="284">
        <f>MCF!R39</f>
        <v>0.6</v>
      </c>
      <c r="R40" s="67">
        <f t="shared" si="5"/>
        <v>3.1903699808325625E-3</v>
      </c>
      <c r="S40" s="67">
        <f t="shared" si="7"/>
        <v>3.1903699808325625E-3</v>
      </c>
      <c r="T40" s="67">
        <f t="shared" si="8"/>
        <v>0</v>
      </c>
      <c r="U40" s="67">
        <f t="shared" si="9"/>
        <v>1.1724312182906062E-2</v>
      </c>
      <c r="V40" s="67">
        <f t="shared" si="10"/>
        <v>6.1878062800095222E-4</v>
      </c>
      <c r="W40" s="100">
        <f t="shared" si="11"/>
        <v>4.1252041866730144E-4</v>
      </c>
    </row>
    <row r="41" spans="2:23">
      <c r="B41" s="96">
        <f>Amnt_Deposited!B36</f>
        <v>2022</v>
      </c>
      <c r="C41" s="99">
        <f>Amnt_Deposited!H36</f>
        <v>4.8803909917995061E-2</v>
      </c>
      <c r="D41" s="418">
        <f>Dry_Matter_Content!H28</f>
        <v>0.73</v>
      </c>
      <c r="E41" s="284">
        <f>MCF!R40</f>
        <v>0.6</v>
      </c>
      <c r="F41" s="67">
        <f t="shared" si="0"/>
        <v>3.2064168816122755E-3</v>
      </c>
      <c r="G41" s="67">
        <f t="shared" si="1"/>
        <v>3.2064168816122755E-3</v>
      </c>
      <c r="H41" s="67">
        <f t="shared" si="2"/>
        <v>0</v>
      </c>
      <c r="I41" s="67">
        <f t="shared" si="3"/>
        <v>1.3181571434177815E-2</v>
      </c>
      <c r="J41" s="67">
        <f t="shared" si="4"/>
        <v>7.2328031433624418E-4</v>
      </c>
      <c r="K41" s="100">
        <f t="shared" si="6"/>
        <v>4.8218687622416279E-4</v>
      </c>
      <c r="O41" s="96">
        <f>Amnt_Deposited!B36</f>
        <v>2022</v>
      </c>
      <c r="P41" s="99">
        <f>Amnt_Deposited!H36</f>
        <v>4.8803909917995061E-2</v>
      </c>
      <c r="Q41" s="284">
        <f>MCF!R40</f>
        <v>0.6</v>
      </c>
      <c r="R41" s="67">
        <f t="shared" si="5"/>
        <v>3.513881514095644E-3</v>
      </c>
      <c r="S41" s="67">
        <f t="shared" si="7"/>
        <v>3.513881514095644E-3</v>
      </c>
      <c r="T41" s="67">
        <f t="shared" si="8"/>
        <v>0</v>
      </c>
      <c r="U41" s="67">
        <f t="shared" si="9"/>
        <v>1.4445557736085276E-2</v>
      </c>
      <c r="V41" s="67">
        <f t="shared" si="10"/>
        <v>7.9263596091643201E-4</v>
      </c>
      <c r="W41" s="100">
        <f t="shared" si="11"/>
        <v>5.2842397394428794E-4</v>
      </c>
    </row>
    <row r="42" spans="2:23">
      <c r="B42" s="96">
        <f>Amnt_Deposited!B37</f>
        <v>2023</v>
      </c>
      <c r="C42" s="99">
        <f>Amnt_Deposited!H37</f>
        <v>5.3717003466489999E-2</v>
      </c>
      <c r="D42" s="418">
        <f>Dry_Matter_Content!H29</f>
        <v>0.73</v>
      </c>
      <c r="E42" s="284">
        <f>MCF!R41</f>
        <v>0.6</v>
      </c>
      <c r="F42" s="67">
        <f t="shared" si="0"/>
        <v>3.5292071277483929E-3</v>
      </c>
      <c r="G42" s="67">
        <f t="shared" si="1"/>
        <v>3.5292071277483929E-3</v>
      </c>
      <c r="H42" s="67">
        <f t="shared" si="2"/>
        <v>0</v>
      </c>
      <c r="I42" s="67">
        <f t="shared" si="3"/>
        <v>1.5819622869624572E-2</v>
      </c>
      <c r="J42" s="67">
        <f t="shared" si="4"/>
        <v>8.9115569230163304E-4</v>
      </c>
      <c r="K42" s="100">
        <f t="shared" si="6"/>
        <v>5.9410379486775529E-4</v>
      </c>
      <c r="O42" s="96">
        <f>Amnt_Deposited!B37</f>
        <v>2023</v>
      </c>
      <c r="P42" s="99">
        <f>Amnt_Deposited!H37</f>
        <v>5.3717003466489999E-2</v>
      </c>
      <c r="Q42" s="284">
        <f>MCF!R41</f>
        <v>0.6</v>
      </c>
      <c r="R42" s="67">
        <f t="shared" si="5"/>
        <v>3.8676242495872793E-3</v>
      </c>
      <c r="S42" s="67">
        <f t="shared" si="7"/>
        <v>3.8676242495872793E-3</v>
      </c>
      <c r="T42" s="67">
        <f t="shared" si="8"/>
        <v>0</v>
      </c>
      <c r="U42" s="67">
        <f t="shared" si="9"/>
        <v>1.7336573007807752E-2</v>
      </c>
      <c r="V42" s="67">
        <f t="shared" si="10"/>
        <v>9.7660897786480336E-4</v>
      </c>
      <c r="W42" s="100">
        <f t="shared" si="11"/>
        <v>6.510726519098689E-4</v>
      </c>
    </row>
    <row r="43" spans="2:23">
      <c r="B43" s="96">
        <f>Amnt_Deposited!B38</f>
        <v>2024</v>
      </c>
      <c r="C43" s="99">
        <f>Amnt_Deposited!H38</f>
        <v>5.9087332637112189E-2</v>
      </c>
      <c r="D43" s="418">
        <f>Dry_Matter_Content!H30</f>
        <v>0.73</v>
      </c>
      <c r="E43" s="284">
        <f>MCF!R42</f>
        <v>0.6</v>
      </c>
      <c r="F43" s="67">
        <f t="shared" si="0"/>
        <v>3.8820377542582701E-3</v>
      </c>
      <c r="G43" s="67">
        <f t="shared" si="1"/>
        <v>3.8820377542582701E-3</v>
      </c>
      <c r="H43" s="67">
        <f t="shared" si="2"/>
        <v>0</v>
      </c>
      <c r="I43" s="67">
        <f t="shared" si="3"/>
        <v>1.8632156351139025E-2</v>
      </c>
      <c r="J43" s="67">
        <f t="shared" si="4"/>
        <v>1.0695042727438182E-3</v>
      </c>
      <c r="K43" s="100">
        <f t="shared" si="6"/>
        <v>7.1300284849587872E-4</v>
      </c>
      <c r="O43" s="96">
        <f>Amnt_Deposited!B38</f>
        <v>2024</v>
      </c>
      <c r="P43" s="99">
        <f>Amnt_Deposited!H38</f>
        <v>5.9087332637112189E-2</v>
      </c>
      <c r="Q43" s="284">
        <f>MCF!R42</f>
        <v>0.6</v>
      </c>
      <c r="R43" s="67">
        <f t="shared" si="5"/>
        <v>4.2542879498720767E-3</v>
      </c>
      <c r="S43" s="67">
        <f t="shared" si="7"/>
        <v>4.2542879498720767E-3</v>
      </c>
      <c r="T43" s="67">
        <f t="shared" si="8"/>
        <v>0</v>
      </c>
      <c r="U43" s="67">
        <f t="shared" si="9"/>
        <v>2.0418801480700299E-2</v>
      </c>
      <c r="V43" s="67">
        <f t="shared" si="10"/>
        <v>1.1720594769795269E-3</v>
      </c>
      <c r="W43" s="100">
        <f t="shared" si="11"/>
        <v>7.8137298465301788E-4</v>
      </c>
    </row>
    <row r="44" spans="2:23">
      <c r="B44" s="96">
        <f>Amnt_Deposited!B39</f>
        <v>2025</v>
      </c>
      <c r="C44" s="99">
        <f>Amnt_Deposited!H39</f>
        <v>6.4955471955172303E-2</v>
      </c>
      <c r="D44" s="418">
        <f>Dry_Matter_Content!H31</f>
        <v>0.73</v>
      </c>
      <c r="E44" s="284">
        <f>MCF!R43</f>
        <v>0.6</v>
      </c>
      <c r="F44" s="67">
        <f t="shared" si="0"/>
        <v>4.26757450745482E-3</v>
      </c>
      <c r="G44" s="67">
        <f t="shared" si="1"/>
        <v>4.26757450745482E-3</v>
      </c>
      <c r="H44" s="67">
        <f t="shared" si="2"/>
        <v>0</v>
      </c>
      <c r="I44" s="67">
        <f t="shared" si="3"/>
        <v>2.1640081940778211E-2</v>
      </c>
      <c r="J44" s="67">
        <f t="shared" si="4"/>
        <v>1.2596489178156346E-3</v>
      </c>
      <c r="K44" s="100">
        <f t="shared" si="6"/>
        <v>8.3976594521042308E-4</v>
      </c>
      <c r="O44" s="96">
        <f>Amnt_Deposited!B39</f>
        <v>2025</v>
      </c>
      <c r="P44" s="99">
        <f>Amnt_Deposited!H39</f>
        <v>6.4955471955172303E-2</v>
      </c>
      <c r="Q44" s="284">
        <f>MCF!R43</f>
        <v>0.6</v>
      </c>
      <c r="R44" s="67">
        <f t="shared" si="5"/>
        <v>4.6767939807724054E-3</v>
      </c>
      <c r="S44" s="67">
        <f t="shared" si="7"/>
        <v>4.6767939807724054E-3</v>
      </c>
      <c r="T44" s="67">
        <f t="shared" si="8"/>
        <v>0</v>
      </c>
      <c r="U44" s="67">
        <f t="shared" si="9"/>
        <v>2.3715158291263791E-2</v>
      </c>
      <c r="V44" s="67">
        <f t="shared" si="10"/>
        <v>1.3804371702089144E-3</v>
      </c>
      <c r="W44" s="100">
        <f t="shared" si="11"/>
        <v>9.2029144680594289E-4</v>
      </c>
    </row>
    <row r="45" spans="2:23">
      <c r="B45" s="96">
        <f>Amnt_Deposited!B40</f>
        <v>2026</v>
      </c>
      <c r="C45" s="99">
        <f>Amnt_Deposited!H40</f>
        <v>7.1365483218046033E-2</v>
      </c>
      <c r="D45" s="418">
        <f>Dry_Matter_Content!H32</f>
        <v>0.73</v>
      </c>
      <c r="E45" s="284">
        <f>MCF!R44</f>
        <v>0.6</v>
      </c>
      <c r="F45" s="67">
        <f t="shared" si="0"/>
        <v>4.6887122474256237E-3</v>
      </c>
      <c r="G45" s="67">
        <f t="shared" si="1"/>
        <v>4.6887122474256237E-3</v>
      </c>
      <c r="H45" s="67">
        <f t="shared" si="2"/>
        <v>0</v>
      </c>
      <c r="I45" s="67">
        <f t="shared" si="3"/>
        <v>2.4865790911265544E-2</v>
      </c>
      <c r="J45" s="67">
        <f t="shared" si="4"/>
        <v>1.4630032769382881E-3</v>
      </c>
      <c r="K45" s="100">
        <f t="shared" si="6"/>
        <v>9.7533551795885866E-4</v>
      </c>
      <c r="O45" s="96">
        <f>Amnt_Deposited!B40</f>
        <v>2026</v>
      </c>
      <c r="P45" s="99">
        <f>Amnt_Deposited!H40</f>
        <v>7.1365483218046033E-2</v>
      </c>
      <c r="Q45" s="284">
        <f>MCF!R44</f>
        <v>0.6</v>
      </c>
      <c r="R45" s="67">
        <f t="shared" si="5"/>
        <v>5.1383147916993143E-3</v>
      </c>
      <c r="S45" s="67">
        <f t="shared" si="7"/>
        <v>5.1383147916993143E-3</v>
      </c>
      <c r="T45" s="67">
        <f t="shared" si="8"/>
        <v>0</v>
      </c>
      <c r="U45" s="67">
        <f t="shared" si="9"/>
        <v>2.7250181820564982E-2</v>
      </c>
      <c r="V45" s="67">
        <f t="shared" si="10"/>
        <v>1.6032912623981238E-3</v>
      </c>
      <c r="W45" s="100">
        <f t="shared" si="11"/>
        <v>1.0688608415987491E-3</v>
      </c>
    </row>
    <row r="46" spans="2:23">
      <c r="B46" s="96">
        <f>Amnt_Deposited!B41</f>
        <v>2027</v>
      </c>
      <c r="C46" s="99">
        <f>Amnt_Deposited!H41</f>
        <v>7.8365208415250187E-2</v>
      </c>
      <c r="D46" s="418">
        <f>Dry_Matter_Content!H33</f>
        <v>0.73</v>
      </c>
      <c r="E46" s="284">
        <f>MCF!R45</f>
        <v>0.6</v>
      </c>
      <c r="F46" s="67">
        <f t="shared" si="0"/>
        <v>5.1485941928819364E-3</v>
      </c>
      <c r="G46" s="67">
        <f t="shared" si="1"/>
        <v>5.1485941928819364E-3</v>
      </c>
      <c r="H46" s="67">
        <f t="shared" si="2"/>
        <v>0</v>
      </c>
      <c r="I46" s="67">
        <f t="shared" si="3"/>
        <v>2.8333303965619425E-2</v>
      </c>
      <c r="J46" s="67">
        <f t="shared" si="4"/>
        <v>1.681081138528053E-3</v>
      </c>
      <c r="K46" s="100">
        <f t="shared" si="6"/>
        <v>1.120720759018702E-3</v>
      </c>
      <c r="O46" s="96">
        <f>Amnt_Deposited!B41</f>
        <v>2027</v>
      </c>
      <c r="P46" s="99">
        <f>Amnt_Deposited!H41</f>
        <v>7.8365208415250187E-2</v>
      </c>
      <c r="Q46" s="284">
        <f>MCF!R45</f>
        <v>0.6</v>
      </c>
      <c r="R46" s="67">
        <f t="shared" si="5"/>
        <v>5.6422950058980124E-3</v>
      </c>
      <c r="S46" s="67">
        <f t="shared" si="7"/>
        <v>5.6422950058980124E-3</v>
      </c>
      <c r="T46" s="67">
        <f t="shared" si="8"/>
        <v>0</v>
      </c>
      <c r="U46" s="67">
        <f t="shared" si="9"/>
        <v>3.1050196126706224E-2</v>
      </c>
      <c r="V46" s="67">
        <f t="shared" si="10"/>
        <v>1.8422806997567705E-3</v>
      </c>
      <c r="W46" s="100">
        <f t="shared" si="11"/>
        <v>1.2281871331711802E-3</v>
      </c>
    </row>
    <row r="47" spans="2:23">
      <c r="B47" s="96">
        <f>Amnt_Deposited!B42</f>
        <v>2028</v>
      </c>
      <c r="C47" s="99">
        <f>Amnt_Deposited!H42</f>
        <v>8.6006586831177206E-2</v>
      </c>
      <c r="D47" s="418">
        <f>Dry_Matter_Content!H34</f>
        <v>0.73</v>
      </c>
      <c r="E47" s="284">
        <f>MCF!R46</f>
        <v>0.6</v>
      </c>
      <c r="F47" s="67">
        <f t="shared" si="0"/>
        <v>5.6506327548083426E-3</v>
      </c>
      <c r="G47" s="67">
        <f t="shared" si="1"/>
        <v>5.6506327548083426E-3</v>
      </c>
      <c r="H47" s="67">
        <f t="shared" si="2"/>
        <v>0</v>
      </c>
      <c r="I47" s="67">
        <f t="shared" si="3"/>
        <v>3.2068430269868588E-2</v>
      </c>
      <c r="J47" s="67">
        <f t="shared" si="4"/>
        <v>1.9155064505591768E-3</v>
      </c>
      <c r="K47" s="100">
        <f t="shared" si="6"/>
        <v>1.2770043003727844E-3</v>
      </c>
      <c r="O47" s="96">
        <f>Amnt_Deposited!B42</f>
        <v>2028</v>
      </c>
      <c r="P47" s="99">
        <f>Amnt_Deposited!H42</f>
        <v>8.6006586831177206E-2</v>
      </c>
      <c r="Q47" s="284">
        <f>MCF!R46</f>
        <v>0.6</v>
      </c>
      <c r="R47" s="67">
        <f t="shared" si="5"/>
        <v>6.1924742518447585E-3</v>
      </c>
      <c r="S47" s="67">
        <f t="shared" si="7"/>
        <v>6.1924742518447585E-3</v>
      </c>
      <c r="T47" s="67">
        <f t="shared" si="8"/>
        <v>0</v>
      </c>
      <c r="U47" s="67">
        <f t="shared" si="9"/>
        <v>3.5143485227253253E-2</v>
      </c>
      <c r="V47" s="67">
        <f t="shared" si="10"/>
        <v>2.0991851512977282E-3</v>
      </c>
      <c r="W47" s="100">
        <f t="shared" si="11"/>
        <v>1.3994567675318188E-3</v>
      </c>
    </row>
    <row r="48" spans="2:23">
      <c r="B48" s="96">
        <f>Amnt_Deposited!B43</f>
        <v>2029</v>
      </c>
      <c r="C48" s="99">
        <f>Amnt_Deposited!H43</f>
        <v>9.4345998300184711E-2</v>
      </c>
      <c r="D48" s="418">
        <f>Dry_Matter_Content!H35</f>
        <v>0.73</v>
      </c>
      <c r="E48" s="284">
        <f>MCF!R47</f>
        <v>0.6</v>
      </c>
      <c r="F48" s="67">
        <f t="shared" si="0"/>
        <v>6.1985320883221348E-3</v>
      </c>
      <c r="G48" s="67">
        <f t="shared" si="1"/>
        <v>6.1985320883221348E-3</v>
      </c>
      <c r="H48" s="67">
        <f t="shared" si="2"/>
        <v>0</v>
      </c>
      <c r="I48" s="67">
        <f t="shared" si="3"/>
        <v>3.6098938286032445E-2</v>
      </c>
      <c r="J48" s="67">
        <f t="shared" si="4"/>
        <v>2.1680240721582756E-3</v>
      </c>
      <c r="K48" s="100">
        <f t="shared" si="6"/>
        <v>1.4453493814388504E-3</v>
      </c>
      <c r="O48" s="96">
        <f>Amnt_Deposited!B43</f>
        <v>2029</v>
      </c>
      <c r="P48" s="99">
        <f>Amnt_Deposited!H43</f>
        <v>9.4345998300184711E-2</v>
      </c>
      <c r="Q48" s="284">
        <f>MCF!R47</f>
        <v>0.6</v>
      </c>
      <c r="R48" s="67">
        <f t="shared" si="5"/>
        <v>6.7929118776132993E-3</v>
      </c>
      <c r="S48" s="67">
        <f t="shared" si="7"/>
        <v>6.7929118776132993E-3</v>
      </c>
      <c r="T48" s="67">
        <f t="shared" si="8"/>
        <v>0</v>
      </c>
      <c r="U48" s="67">
        <f t="shared" si="9"/>
        <v>3.9560480313460225E-2</v>
      </c>
      <c r="V48" s="67">
        <f t="shared" si="10"/>
        <v>2.3759167914063298E-3</v>
      </c>
      <c r="W48" s="100">
        <f t="shared" si="11"/>
        <v>1.5839445276042198E-3</v>
      </c>
    </row>
    <row r="49" spans="2:23">
      <c r="B49" s="96">
        <f>Amnt_Deposited!B44</f>
        <v>2030</v>
      </c>
      <c r="C49" s="99">
        <f>Amnt_Deposited!H44</f>
        <v>0.10347885</v>
      </c>
      <c r="D49" s="418">
        <f>Dry_Matter_Content!H36</f>
        <v>0.73</v>
      </c>
      <c r="E49" s="284">
        <f>MCF!R48</f>
        <v>0.6</v>
      </c>
      <c r="F49" s="67">
        <f t="shared" si="0"/>
        <v>6.798560444999999E-3</v>
      </c>
      <c r="G49" s="67">
        <f t="shared" si="1"/>
        <v>6.798560444999999E-3</v>
      </c>
      <c r="H49" s="67">
        <f t="shared" si="2"/>
        <v>0</v>
      </c>
      <c r="I49" s="67">
        <f t="shared" si="3"/>
        <v>4.0456987408062875E-2</v>
      </c>
      <c r="J49" s="67">
        <f t="shared" si="4"/>
        <v>2.4405113229695684E-3</v>
      </c>
      <c r="K49" s="100">
        <f t="shared" si="6"/>
        <v>1.627007548646379E-3</v>
      </c>
      <c r="O49" s="96">
        <f>Amnt_Deposited!B44</f>
        <v>2030</v>
      </c>
      <c r="P49" s="99">
        <f>Amnt_Deposited!H44</f>
        <v>0.10347885</v>
      </c>
      <c r="Q49" s="284">
        <f>MCF!R48</f>
        <v>0.6</v>
      </c>
      <c r="R49" s="67">
        <f t="shared" si="5"/>
        <v>7.4504771999999988E-3</v>
      </c>
      <c r="S49" s="67">
        <f t="shared" si="7"/>
        <v>7.4504771999999988E-3</v>
      </c>
      <c r="T49" s="67">
        <f t="shared" si="8"/>
        <v>0</v>
      </c>
      <c r="U49" s="67">
        <f t="shared" si="9"/>
        <v>4.4336424556781245E-2</v>
      </c>
      <c r="V49" s="67">
        <f t="shared" si="10"/>
        <v>2.6745329566789798E-3</v>
      </c>
      <c r="W49" s="100">
        <f t="shared" si="11"/>
        <v>1.7830219711193198E-3</v>
      </c>
    </row>
    <row r="50" spans="2:23">
      <c r="B50" s="96">
        <f>Amnt_Deposited!B45</f>
        <v>2031</v>
      </c>
      <c r="C50" s="99">
        <f>Amnt_Deposited!H45</f>
        <v>0</v>
      </c>
      <c r="D50" s="418">
        <f>Dry_Matter_Content!H37</f>
        <v>0.73</v>
      </c>
      <c r="E50" s="284">
        <f>MCF!R49</f>
        <v>0.6</v>
      </c>
      <c r="F50" s="67">
        <f t="shared" si="0"/>
        <v>0</v>
      </c>
      <c r="G50" s="67">
        <f t="shared" si="1"/>
        <v>0</v>
      </c>
      <c r="H50" s="67">
        <f t="shared" si="2"/>
        <v>0</v>
      </c>
      <c r="I50" s="67">
        <f t="shared" si="3"/>
        <v>3.7721845031290592E-2</v>
      </c>
      <c r="J50" s="67">
        <f t="shared" si="4"/>
        <v>2.7351423767722816E-3</v>
      </c>
      <c r="K50" s="100">
        <f t="shared" si="6"/>
        <v>1.8234282511815211E-3</v>
      </c>
      <c r="O50" s="96">
        <f>Amnt_Deposited!B45</f>
        <v>2031</v>
      </c>
      <c r="P50" s="99">
        <f>Amnt_Deposited!H45</f>
        <v>0</v>
      </c>
      <c r="Q50" s="284">
        <f>MCF!R49</f>
        <v>0.6</v>
      </c>
      <c r="R50" s="67">
        <f t="shared" si="5"/>
        <v>0</v>
      </c>
      <c r="S50" s="67">
        <f t="shared" si="7"/>
        <v>0</v>
      </c>
      <c r="T50" s="67">
        <f t="shared" si="8"/>
        <v>0</v>
      </c>
      <c r="U50" s="67">
        <f t="shared" si="9"/>
        <v>4.1339008253469152E-2</v>
      </c>
      <c r="V50" s="67">
        <f t="shared" si="10"/>
        <v>2.9974163033120904E-3</v>
      </c>
      <c r="W50" s="100">
        <f t="shared" si="11"/>
        <v>1.9982775355413935E-3</v>
      </c>
    </row>
    <row r="51" spans="2:23">
      <c r="B51" s="96">
        <f>Amnt_Deposited!B46</f>
        <v>2032</v>
      </c>
      <c r="C51" s="99">
        <f>Amnt_Deposited!H46</f>
        <v>0</v>
      </c>
      <c r="D51" s="418">
        <f>Dry_Matter_Content!H38</f>
        <v>0.73</v>
      </c>
      <c r="E51" s="284">
        <f>MCF!R50</f>
        <v>0.6</v>
      </c>
      <c r="F51" s="67">
        <f t="shared" ref="F51:F82" si="12">C51*D51*$K$6*DOCF*E51</f>
        <v>0</v>
      </c>
      <c r="G51" s="67">
        <f t="shared" si="1"/>
        <v>0</v>
      </c>
      <c r="H51" s="67">
        <f t="shared" si="2"/>
        <v>0</v>
      </c>
      <c r="I51" s="67">
        <f t="shared" si="3"/>
        <v>3.5171615182625252E-2</v>
      </c>
      <c r="J51" s="67">
        <f t="shared" si="4"/>
        <v>2.5502298486653422E-3</v>
      </c>
      <c r="K51" s="100">
        <f t="shared" si="6"/>
        <v>1.7001532324435614E-3</v>
      </c>
      <c r="O51" s="96">
        <f>Amnt_Deposited!B46</f>
        <v>2032</v>
      </c>
      <c r="P51" s="99">
        <f>Amnt_Deposited!H46</f>
        <v>0</v>
      </c>
      <c r="Q51" s="284">
        <f>MCF!R50</f>
        <v>0.6</v>
      </c>
      <c r="R51" s="67">
        <f t="shared" ref="R51:R82" si="13">P51*$W$6*DOCF*Q51</f>
        <v>0</v>
      </c>
      <c r="S51" s="67">
        <f t="shared" si="7"/>
        <v>0</v>
      </c>
      <c r="T51" s="67">
        <f t="shared" si="8"/>
        <v>0</v>
      </c>
      <c r="U51" s="67">
        <f t="shared" si="9"/>
        <v>3.8544235816575623E-2</v>
      </c>
      <c r="V51" s="67">
        <f t="shared" si="10"/>
        <v>2.7947724368935262E-3</v>
      </c>
      <c r="W51" s="100">
        <f t="shared" si="11"/>
        <v>1.863181624595684E-3</v>
      </c>
    </row>
    <row r="52" spans="2:23">
      <c r="B52" s="96">
        <f>Amnt_Deposited!B47</f>
        <v>2033</v>
      </c>
      <c r="C52" s="99">
        <f>Amnt_Deposited!H47</f>
        <v>0</v>
      </c>
      <c r="D52" s="418">
        <f>Dry_Matter_Content!H39</f>
        <v>0.73</v>
      </c>
      <c r="E52" s="284">
        <f>MCF!R51</f>
        <v>0.6</v>
      </c>
      <c r="F52" s="67">
        <f t="shared" si="12"/>
        <v>0</v>
      </c>
      <c r="G52" s="67">
        <f t="shared" si="1"/>
        <v>0</v>
      </c>
      <c r="H52" s="67">
        <f t="shared" si="2"/>
        <v>0</v>
      </c>
      <c r="I52" s="67">
        <f t="shared" si="3"/>
        <v>3.2793796632390002E-2</v>
      </c>
      <c r="J52" s="67">
        <f t="shared" si="4"/>
        <v>2.3778185502352465E-3</v>
      </c>
      <c r="K52" s="100">
        <f t="shared" si="6"/>
        <v>1.5852123668234977E-3</v>
      </c>
      <c r="O52" s="96">
        <f>Amnt_Deposited!B47</f>
        <v>2033</v>
      </c>
      <c r="P52" s="99">
        <f>Amnt_Deposited!H47</f>
        <v>0</v>
      </c>
      <c r="Q52" s="284">
        <f>MCF!R51</f>
        <v>0.6</v>
      </c>
      <c r="R52" s="67">
        <f t="shared" si="13"/>
        <v>0</v>
      </c>
      <c r="S52" s="67">
        <f t="shared" si="7"/>
        <v>0</v>
      </c>
      <c r="T52" s="67">
        <f t="shared" si="8"/>
        <v>0</v>
      </c>
      <c r="U52" s="67">
        <f t="shared" si="9"/>
        <v>3.5938407268372614E-2</v>
      </c>
      <c r="V52" s="67">
        <f t="shared" si="10"/>
        <v>2.6058285482030105E-3</v>
      </c>
      <c r="W52" s="100">
        <f t="shared" si="11"/>
        <v>1.7372190321353403E-3</v>
      </c>
    </row>
    <row r="53" spans="2:23">
      <c r="B53" s="96">
        <f>Amnt_Deposited!B48</f>
        <v>2034</v>
      </c>
      <c r="C53" s="99">
        <f>Amnt_Deposited!H48</f>
        <v>0</v>
      </c>
      <c r="D53" s="418">
        <f>Dry_Matter_Content!H40</f>
        <v>0.73</v>
      </c>
      <c r="E53" s="284">
        <f>MCF!R52</f>
        <v>0.6</v>
      </c>
      <c r="F53" s="67">
        <f t="shared" si="12"/>
        <v>0</v>
      </c>
      <c r="G53" s="67">
        <f t="shared" si="1"/>
        <v>0</v>
      </c>
      <c r="H53" s="67">
        <f t="shared" si="2"/>
        <v>0</v>
      </c>
      <c r="I53" s="67">
        <f t="shared" si="3"/>
        <v>3.0576733311292938E-2</v>
      </c>
      <c r="J53" s="67">
        <f t="shared" si="4"/>
        <v>2.2170633210970656E-3</v>
      </c>
      <c r="K53" s="100">
        <f t="shared" si="6"/>
        <v>1.4780422140647103E-3</v>
      </c>
      <c r="O53" s="96">
        <f>Amnt_Deposited!B48</f>
        <v>2034</v>
      </c>
      <c r="P53" s="99">
        <f>Amnt_Deposited!H48</f>
        <v>0</v>
      </c>
      <c r="Q53" s="284">
        <f>MCF!R52</f>
        <v>0.6</v>
      </c>
      <c r="R53" s="67">
        <f t="shared" si="13"/>
        <v>0</v>
      </c>
      <c r="S53" s="67">
        <f t="shared" si="7"/>
        <v>0</v>
      </c>
      <c r="T53" s="67">
        <f t="shared" si="8"/>
        <v>0</v>
      </c>
      <c r="U53" s="67">
        <f t="shared" si="9"/>
        <v>3.3508748834293639E-2</v>
      </c>
      <c r="V53" s="67">
        <f t="shared" si="10"/>
        <v>2.4296584340789767E-3</v>
      </c>
      <c r="W53" s="100">
        <f t="shared" si="11"/>
        <v>1.6197722893859844E-3</v>
      </c>
    </row>
    <row r="54" spans="2:23">
      <c r="B54" s="96">
        <f>Amnt_Deposited!B49</f>
        <v>2035</v>
      </c>
      <c r="C54" s="99">
        <f>Amnt_Deposited!H49</f>
        <v>0</v>
      </c>
      <c r="D54" s="418">
        <f>Dry_Matter_Content!H41</f>
        <v>0.73</v>
      </c>
      <c r="E54" s="284">
        <f>MCF!R53</f>
        <v>0.6</v>
      </c>
      <c r="F54" s="67">
        <f t="shared" si="12"/>
        <v>0</v>
      </c>
      <c r="G54" s="67">
        <f t="shared" si="1"/>
        <v>0</v>
      </c>
      <c r="H54" s="67">
        <f t="shared" si="2"/>
        <v>0</v>
      </c>
      <c r="I54" s="67">
        <f t="shared" si="3"/>
        <v>2.8509557172361876E-2</v>
      </c>
      <c r="J54" s="67">
        <f t="shared" si="4"/>
        <v>2.0671761389310611E-3</v>
      </c>
      <c r="K54" s="100">
        <f t="shared" si="6"/>
        <v>1.3781174259540406E-3</v>
      </c>
      <c r="O54" s="96">
        <f>Amnt_Deposited!B49</f>
        <v>2035</v>
      </c>
      <c r="P54" s="99">
        <f>Amnt_Deposited!H49</f>
        <v>0</v>
      </c>
      <c r="Q54" s="284">
        <f>MCF!R53</f>
        <v>0.6</v>
      </c>
      <c r="R54" s="67">
        <f t="shared" si="13"/>
        <v>0</v>
      </c>
      <c r="S54" s="67">
        <f t="shared" si="7"/>
        <v>0</v>
      </c>
      <c r="T54" s="67">
        <f t="shared" si="8"/>
        <v>0</v>
      </c>
      <c r="U54" s="67">
        <f t="shared" si="9"/>
        <v>3.1243350325876038E-2</v>
      </c>
      <c r="V54" s="67">
        <f t="shared" si="10"/>
        <v>2.2653985084176015E-3</v>
      </c>
      <c r="W54" s="100">
        <f t="shared" si="11"/>
        <v>1.5102656722784009E-3</v>
      </c>
    </row>
    <row r="55" spans="2:23">
      <c r="B55" s="96">
        <f>Amnt_Deposited!B50</f>
        <v>2036</v>
      </c>
      <c r="C55" s="99">
        <f>Amnt_Deposited!H50</f>
        <v>0</v>
      </c>
      <c r="D55" s="418">
        <f>Dry_Matter_Content!H42</f>
        <v>0.73</v>
      </c>
      <c r="E55" s="284">
        <f>MCF!R54</f>
        <v>0.6</v>
      </c>
      <c r="F55" s="67">
        <f t="shared" si="12"/>
        <v>0</v>
      </c>
      <c r="G55" s="67">
        <f t="shared" si="1"/>
        <v>0</v>
      </c>
      <c r="H55" s="67">
        <f t="shared" si="2"/>
        <v>0</v>
      </c>
      <c r="I55" s="67">
        <f t="shared" si="3"/>
        <v>2.6582134915765516E-2</v>
      </c>
      <c r="J55" s="67">
        <f t="shared" si="4"/>
        <v>1.9274222565963612E-3</v>
      </c>
      <c r="K55" s="100">
        <f t="shared" si="6"/>
        <v>1.2849481710642406E-3</v>
      </c>
      <c r="O55" s="96">
        <f>Amnt_Deposited!B50</f>
        <v>2036</v>
      </c>
      <c r="P55" s="99">
        <f>Amnt_Deposited!H50</f>
        <v>0</v>
      </c>
      <c r="Q55" s="284">
        <f>MCF!R54</f>
        <v>0.6</v>
      </c>
      <c r="R55" s="67">
        <f t="shared" si="13"/>
        <v>0</v>
      </c>
      <c r="S55" s="67">
        <f t="shared" si="7"/>
        <v>0</v>
      </c>
      <c r="T55" s="67">
        <f t="shared" si="8"/>
        <v>0</v>
      </c>
      <c r="U55" s="67">
        <f t="shared" si="9"/>
        <v>2.9131106757003311E-2</v>
      </c>
      <c r="V55" s="67">
        <f t="shared" si="10"/>
        <v>2.1122435688727252E-3</v>
      </c>
      <c r="W55" s="100">
        <f t="shared" si="11"/>
        <v>1.4081623792484834E-3</v>
      </c>
    </row>
    <row r="56" spans="2:23">
      <c r="B56" s="96">
        <f>Amnt_Deposited!B51</f>
        <v>2037</v>
      </c>
      <c r="C56" s="99">
        <f>Amnt_Deposited!H51</f>
        <v>0</v>
      </c>
      <c r="D56" s="418">
        <f>Dry_Matter_Content!H43</f>
        <v>0.73</v>
      </c>
      <c r="E56" s="284">
        <f>MCF!R55</f>
        <v>0.6</v>
      </c>
      <c r="F56" s="67">
        <f t="shared" si="12"/>
        <v>0</v>
      </c>
      <c r="G56" s="67">
        <f t="shared" si="1"/>
        <v>0</v>
      </c>
      <c r="H56" s="67">
        <f t="shared" si="2"/>
        <v>0</v>
      </c>
      <c r="I56" s="67">
        <f t="shared" si="3"/>
        <v>2.4785018315365892E-2</v>
      </c>
      <c r="J56" s="67">
        <f t="shared" si="4"/>
        <v>1.797116600399624E-3</v>
      </c>
      <c r="K56" s="100">
        <f t="shared" si="6"/>
        <v>1.1980777335997492E-3</v>
      </c>
      <c r="O56" s="96">
        <f>Amnt_Deposited!B51</f>
        <v>2037</v>
      </c>
      <c r="P56" s="99">
        <f>Amnt_Deposited!H51</f>
        <v>0</v>
      </c>
      <c r="Q56" s="284">
        <f>MCF!R55</f>
        <v>0.6</v>
      </c>
      <c r="R56" s="67">
        <f t="shared" si="13"/>
        <v>0</v>
      </c>
      <c r="S56" s="67">
        <f t="shared" si="7"/>
        <v>0</v>
      </c>
      <c r="T56" s="67">
        <f t="shared" si="8"/>
        <v>0</v>
      </c>
      <c r="U56" s="67">
        <f t="shared" si="9"/>
        <v>2.7161663907250298E-2</v>
      </c>
      <c r="V56" s="67">
        <f t="shared" si="10"/>
        <v>1.9694428497530128E-3</v>
      </c>
      <c r="W56" s="100">
        <f t="shared" si="11"/>
        <v>1.3129618998353417E-3</v>
      </c>
    </row>
    <row r="57" spans="2:23">
      <c r="B57" s="96">
        <f>Amnt_Deposited!B52</f>
        <v>2038</v>
      </c>
      <c r="C57" s="99">
        <f>Amnt_Deposited!H52</f>
        <v>0</v>
      </c>
      <c r="D57" s="418">
        <f>Dry_Matter_Content!H44</f>
        <v>0.73</v>
      </c>
      <c r="E57" s="284">
        <f>MCF!R56</f>
        <v>0.6</v>
      </c>
      <c r="F57" s="67">
        <f t="shared" si="12"/>
        <v>0</v>
      </c>
      <c r="G57" s="67">
        <f t="shared" si="1"/>
        <v>0</v>
      </c>
      <c r="H57" s="67">
        <f t="shared" si="2"/>
        <v>0</v>
      </c>
      <c r="I57" s="67">
        <f t="shared" si="3"/>
        <v>2.3109397903502894E-2</v>
      </c>
      <c r="J57" s="67">
        <f t="shared" si="4"/>
        <v>1.6756204118629971E-3</v>
      </c>
      <c r="K57" s="100">
        <f t="shared" si="6"/>
        <v>1.1170802745753313E-3</v>
      </c>
      <c r="O57" s="96">
        <f>Amnt_Deposited!B52</f>
        <v>2038</v>
      </c>
      <c r="P57" s="99">
        <f>Amnt_Deposited!H52</f>
        <v>0</v>
      </c>
      <c r="Q57" s="284">
        <f>MCF!R56</f>
        <v>0.6</v>
      </c>
      <c r="R57" s="67">
        <f t="shared" si="13"/>
        <v>0</v>
      </c>
      <c r="S57" s="67">
        <f t="shared" si="7"/>
        <v>0</v>
      </c>
      <c r="T57" s="67">
        <f t="shared" si="8"/>
        <v>0</v>
      </c>
      <c r="U57" s="67">
        <f t="shared" si="9"/>
        <v>2.5325367565482631E-2</v>
      </c>
      <c r="V57" s="67">
        <f t="shared" si="10"/>
        <v>1.8362963417676683E-3</v>
      </c>
      <c r="W57" s="100">
        <f t="shared" si="11"/>
        <v>1.2241975611784455E-3</v>
      </c>
    </row>
    <row r="58" spans="2:23">
      <c r="B58" s="96">
        <f>Amnt_Deposited!B53</f>
        <v>2039</v>
      </c>
      <c r="C58" s="99">
        <f>Amnt_Deposited!H53</f>
        <v>0</v>
      </c>
      <c r="D58" s="418">
        <f>Dry_Matter_Content!H45</f>
        <v>0.73</v>
      </c>
      <c r="E58" s="284">
        <f>MCF!R57</f>
        <v>0.6</v>
      </c>
      <c r="F58" s="67">
        <f t="shared" si="12"/>
        <v>0</v>
      </c>
      <c r="G58" s="67">
        <f t="shared" si="1"/>
        <v>0</v>
      </c>
      <c r="H58" s="67">
        <f t="shared" si="2"/>
        <v>0</v>
      </c>
      <c r="I58" s="67">
        <f t="shared" si="3"/>
        <v>2.1547059786973577E-2</v>
      </c>
      <c r="J58" s="67">
        <f t="shared" si="4"/>
        <v>1.562338116529318E-3</v>
      </c>
      <c r="K58" s="100">
        <f t="shared" si="6"/>
        <v>1.0415587443528785E-3</v>
      </c>
      <c r="O58" s="96">
        <f>Amnt_Deposited!B53</f>
        <v>2039</v>
      </c>
      <c r="P58" s="99">
        <f>Amnt_Deposited!H53</f>
        <v>0</v>
      </c>
      <c r="Q58" s="284">
        <f>MCF!R57</f>
        <v>0.6</v>
      </c>
      <c r="R58" s="67">
        <f t="shared" si="13"/>
        <v>0</v>
      </c>
      <c r="S58" s="67">
        <f t="shared" si="7"/>
        <v>0</v>
      </c>
      <c r="T58" s="67">
        <f t="shared" si="8"/>
        <v>0</v>
      </c>
      <c r="U58" s="67">
        <f t="shared" si="9"/>
        <v>2.3613216204902556E-2</v>
      </c>
      <c r="V58" s="67">
        <f t="shared" si="10"/>
        <v>1.712151360580075E-3</v>
      </c>
      <c r="W58" s="100">
        <f t="shared" si="11"/>
        <v>1.1414342403867166E-3</v>
      </c>
    </row>
    <row r="59" spans="2:23">
      <c r="B59" s="96">
        <f>Amnt_Deposited!B54</f>
        <v>2040</v>
      </c>
      <c r="C59" s="99">
        <f>Amnt_Deposited!H54</f>
        <v>0</v>
      </c>
      <c r="D59" s="418">
        <f>Dry_Matter_Content!H46</f>
        <v>0.73</v>
      </c>
      <c r="E59" s="284">
        <f>MCF!R58</f>
        <v>0.6</v>
      </c>
      <c r="F59" s="67">
        <f t="shared" si="12"/>
        <v>0</v>
      </c>
      <c r="G59" s="67">
        <f t="shared" si="1"/>
        <v>0</v>
      </c>
      <c r="H59" s="67">
        <f t="shared" si="2"/>
        <v>0</v>
      </c>
      <c r="I59" s="67">
        <f t="shared" si="3"/>
        <v>2.0090345382518141E-2</v>
      </c>
      <c r="J59" s="67">
        <f t="shared" si="4"/>
        <v>1.4567144044554355E-3</v>
      </c>
      <c r="K59" s="100">
        <f t="shared" si="6"/>
        <v>9.7114293630362364E-4</v>
      </c>
      <c r="O59" s="96">
        <f>Amnt_Deposited!B54</f>
        <v>2040</v>
      </c>
      <c r="P59" s="99">
        <f>Amnt_Deposited!H54</f>
        <v>0</v>
      </c>
      <c r="Q59" s="284">
        <f>MCF!R58</f>
        <v>0.6</v>
      </c>
      <c r="R59" s="67">
        <f t="shared" si="13"/>
        <v>0</v>
      </c>
      <c r="S59" s="67">
        <f t="shared" si="7"/>
        <v>0</v>
      </c>
      <c r="T59" s="67">
        <f t="shared" si="8"/>
        <v>0</v>
      </c>
      <c r="U59" s="67">
        <f t="shared" si="9"/>
        <v>2.2016816857554133E-2</v>
      </c>
      <c r="V59" s="67">
        <f t="shared" si="10"/>
        <v>1.5963993473484229E-3</v>
      </c>
      <c r="W59" s="100">
        <f t="shared" si="11"/>
        <v>1.0642662315656151E-3</v>
      </c>
    </row>
    <row r="60" spans="2:23">
      <c r="B60" s="96">
        <f>Amnt_Deposited!B55</f>
        <v>2041</v>
      </c>
      <c r="C60" s="99">
        <f>Amnt_Deposited!H55</f>
        <v>0</v>
      </c>
      <c r="D60" s="418">
        <f>Dry_Matter_Content!H47</f>
        <v>0.73</v>
      </c>
      <c r="E60" s="284">
        <f>MCF!R59</f>
        <v>0.6</v>
      </c>
      <c r="F60" s="67">
        <f t="shared" si="12"/>
        <v>0</v>
      </c>
      <c r="G60" s="67">
        <f t="shared" si="1"/>
        <v>0</v>
      </c>
      <c r="H60" s="67">
        <f t="shared" si="2"/>
        <v>0</v>
      </c>
      <c r="I60" s="67">
        <f t="shared" si="3"/>
        <v>1.8732113874435918E-2</v>
      </c>
      <c r="J60" s="67">
        <f t="shared" si="4"/>
        <v>1.358231508082222E-3</v>
      </c>
      <c r="K60" s="100">
        <f t="shared" si="6"/>
        <v>9.0548767205481464E-4</v>
      </c>
      <c r="O60" s="96">
        <f>Amnt_Deposited!B55</f>
        <v>2041</v>
      </c>
      <c r="P60" s="99">
        <f>Amnt_Deposited!H55</f>
        <v>0</v>
      </c>
      <c r="Q60" s="284">
        <f>MCF!R59</f>
        <v>0.6</v>
      </c>
      <c r="R60" s="67">
        <f t="shared" si="13"/>
        <v>0</v>
      </c>
      <c r="S60" s="67">
        <f t="shared" si="7"/>
        <v>0</v>
      </c>
      <c r="T60" s="67">
        <f t="shared" si="8"/>
        <v>0</v>
      </c>
      <c r="U60" s="67">
        <f t="shared" si="9"/>
        <v>2.0528343971984574E-2</v>
      </c>
      <c r="V60" s="67">
        <f t="shared" si="10"/>
        <v>1.4884728855695587E-3</v>
      </c>
      <c r="W60" s="100">
        <f t="shared" si="11"/>
        <v>9.9231525704637238E-4</v>
      </c>
    </row>
    <row r="61" spans="2:23">
      <c r="B61" s="96">
        <f>Amnt_Deposited!B56</f>
        <v>2042</v>
      </c>
      <c r="C61" s="99">
        <f>Amnt_Deposited!H56</f>
        <v>0</v>
      </c>
      <c r="D61" s="418">
        <f>Dry_Matter_Content!H48</f>
        <v>0.73</v>
      </c>
      <c r="E61" s="284">
        <f>MCF!R60</f>
        <v>0.6</v>
      </c>
      <c r="F61" s="67">
        <f t="shared" si="12"/>
        <v>0</v>
      </c>
      <c r="G61" s="67">
        <f t="shared" si="1"/>
        <v>0</v>
      </c>
      <c r="H61" s="67">
        <f t="shared" si="2"/>
        <v>0</v>
      </c>
      <c r="I61" s="67">
        <f t="shared" si="3"/>
        <v>1.7465707210298519E-2</v>
      </c>
      <c r="J61" s="67">
        <f t="shared" si="4"/>
        <v>1.2664066641373997E-3</v>
      </c>
      <c r="K61" s="100">
        <f t="shared" si="6"/>
        <v>8.4427110942493304E-4</v>
      </c>
      <c r="O61" s="96">
        <f>Amnt_Deposited!B56</f>
        <v>2042</v>
      </c>
      <c r="P61" s="99">
        <f>Amnt_Deposited!H56</f>
        <v>0</v>
      </c>
      <c r="Q61" s="284">
        <f>MCF!R60</f>
        <v>0.6</v>
      </c>
      <c r="R61" s="67">
        <f t="shared" si="13"/>
        <v>0</v>
      </c>
      <c r="S61" s="67">
        <f t="shared" si="7"/>
        <v>0</v>
      </c>
      <c r="T61" s="67">
        <f t="shared" si="8"/>
        <v>0</v>
      </c>
      <c r="U61" s="67">
        <f t="shared" si="9"/>
        <v>1.9140501052381943E-2</v>
      </c>
      <c r="V61" s="67">
        <f t="shared" si="10"/>
        <v>1.3878429196026302E-3</v>
      </c>
      <c r="W61" s="100">
        <f t="shared" si="11"/>
        <v>9.2522861306842008E-4</v>
      </c>
    </row>
    <row r="62" spans="2:23">
      <c r="B62" s="96">
        <f>Amnt_Deposited!B57</f>
        <v>2043</v>
      </c>
      <c r="C62" s="99">
        <f>Amnt_Deposited!H57</f>
        <v>0</v>
      </c>
      <c r="D62" s="418">
        <f>Dry_Matter_Content!H49</f>
        <v>0.73</v>
      </c>
      <c r="E62" s="284">
        <f>MCF!R61</f>
        <v>0.6</v>
      </c>
      <c r="F62" s="67">
        <f t="shared" si="12"/>
        <v>0</v>
      </c>
      <c r="G62" s="67">
        <f t="shared" si="1"/>
        <v>0</v>
      </c>
      <c r="H62" s="67">
        <f t="shared" si="2"/>
        <v>0</v>
      </c>
      <c r="I62" s="67">
        <f t="shared" si="3"/>
        <v>1.62849174631691E-2</v>
      </c>
      <c r="J62" s="67">
        <f t="shared" si="4"/>
        <v>1.1807897471294193E-3</v>
      </c>
      <c r="K62" s="100">
        <f t="shared" si="6"/>
        <v>7.8719316475294615E-4</v>
      </c>
      <c r="O62" s="96">
        <f>Amnt_Deposited!B57</f>
        <v>2043</v>
      </c>
      <c r="P62" s="99">
        <f>Amnt_Deposited!H57</f>
        <v>0</v>
      </c>
      <c r="Q62" s="284">
        <f>MCF!R61</f>
        <v>0.6</v>
      </c>
      <c r="R62" s="67">
        <f t="shared" si="13"/>
        <v>0</v>
      </c>
      <c r="S62" s="67">
        <f t="shared" si="7"/>
        <v>0</v>
      </c>
      <c r="T62" s="67">
        <f t="shared" si="8"/>
        <v>0</v>
      </c>
      <c r="U62" s="67">
        <f t="shared" si="9"/>
        <v>1.7846484891144224E-2</v>
      </c>
      <c r="V62" s="67">
        <f t="shared" si="10"/>
        <v>1.2940161612377203E-3</v>
      </c>
      <c r="W62" s="100">
        <f t="shared" si="11"/>
        <v>8.6267744082514685E-4</v>
      </c>
    </row>
    <row r="63" spans="2:23">
      <c r="B63" s="96">
        <f>Amnt_Deposited!B58</f>
        <v>2044</v>
      </c>
      <c r="C63" s="99">
        <f>Amnt_Deposited!H58</f>
        <v>0</v>
      </c>
      <c r="D63" s="418">
        <f>Dry_Matter_Content!H50</f>
        <v>0.73</v>
      </c>
      <c r="E63" s="284">
        <f>MCF!R62</f>
        <v>0.6</v>
      </c>
      <c r="F63" s="67">
        <f t="shared" si="12"/>
        <v>0</v>
      </c>
      <c r="G63" s="67">
        <f t="shared" si="1"/>
        <v>0</v>
      </c>
      <c r="H63" s="67">
        <f t="shared" si="2"/>
        <v>0</v>
      </c>
      <c r="I63" s="67">
        <f t="shared" si="3"/>
        <v>1.5183956400337321E-2</v>
      </c>
      <c r="J63" s="67">
        <f t="shared" si="4"/>
        <v>1.1009610628317781E-3</v>
      </c>
      <c r="K63" s="100">
        <f t="shared" si="6"/>
        <v>7.33974041887852E-4</v>
      </c>
      <c r="O63" s="96">
        <f>Amnt_Deposited!B58</f>
        <v>2044</v>
      </c>
      <c r="P63" s="99">
        <f>Amnt_Deposited!H58</f>
        <v>0</v>
      </c>
      <c r="Q63" s="284">
        <f>MCF!R62</f>
        <v>0.6</v>
      </c>
      <c r="R63" s="67">
        <f t="shared" si="13"/>
        <v>0</v>
      </c>
      <c r="S63" s="67">
        <f t="shared" si="7"/>
        <v>0</v>
      </c>
      <c r="T63" s="67">
        <f t="shared" si="8"/>
        <v>0</v>
      </c>
      <c r="U63" s="67">
        <f t="shared" si="9"/>
        <v>1.6639952219547754E-2</v>
      </c>
      <c r="V63" s="67">
        <f t="shared" si="10"/>
        <v>1.2065326715964696E-3</v>
      </c>
      <c r="W63" s="100">
        <f t="shared" si="11"/>
        <v>8.0435511439764639E-4</v>
      </c>
    </row>
    <row r="64" spans="2:23">
      <c r="B64" s="96">
        <f>Amnt_Deposited!B59</f>
        <v>2045</v>
      </c>
      <c r="C64" s="99">
        <f>Amnt_Deposited!H59</f>
        <v>0</v>
      </c>
      <c r="D64" s="418">
        <f>Dry_Matter_Content!H51</f>
        <v>0.73</v>
      </c>
      <c r="E64" s="284">
        <f>MCF!R63</f>
        <v>0.6</v>
      </c>
      <c r="F64" s="67">
        <f t="shared" si="12"/>
        <v>0</v>
      </c>
      <c r="G64" s="67">
        <f t="shared" si="1"/>
        <v>0</v>
      </c>
      <c r="H64" s="67">
        <f t="shared" si="2"/>
        <v>0</v>
      </c>
      <c r="I64" s="67">
        <f t="shared" si="3"/>
        <v>1.4157427109395887E-2</v>
      </c>
      <c r="J64" s="67">
        <f t="shared" si="4"/>
        <v>1.0265292909414343E-3</v>
      </c>
      <c r="K64" s="100">
        <f t="shared" si="6"/>
        <v>6.8435286062762282E-4</v>
      </c>
      <c r="O64" s="96">
        <f>Amnt_Deposited!B59</f>
        <v>2045</v>
      </c>
      <c r="P64" s="99">
        <f>Amnt_Deposited!H59</f>
        <v>0</v>
      </c>
      <c r="Q64" s="284">
        <f>MCF!R63</f>
        <v>0.6</v>
      </c>
      <c r="R64" s="67">
        <f t="shared" si="13"/>
        <v>0</v>
      </c>
      <c r="S64" s="67">
        <f t="shared" si="7"/>
        <v>0</v>
      </c>
      <c r="T64" s="67">
        <f t="shared" si="8"/>
        <v>0</v>
      </c>
      <c r="U64" s="67">
        <f t="shared" si="9"/>
        <v>1.5514988613036594E-2</v>
      </c>
      <c r="V64" s="67">
        <f t="shared" si="10"/>
        <v>1.1249636065111613E-3</v>
      </c>
      <c r="W64" s="100">
        <f t="shared" si="11"/>
        <v>7.4997573767410751E-4</v>
      </c>
    </row>
    <row r="65" spans="2:23">
      <c r="B65" s="96">
        <f>Amnt_Deposited!B60</f>
        <v>2046</v>
      </c>
      <c r="C65" s="99">
        <f>Amnt_Deposited!H60</f>
        <v>0</v>
      </c>
      <c r="D65" s="418">
        <f>Dry_Matter_Content!H52</f>
        <v>0.73</v>
      </c>
      <c r="E65" s="284">
        <f>MCF!R64</f>
        <v>0.6</v>
      </c>
      <c r="F65" s="67">
        <f t="shared" si="12"/>
        <v>0</v>
      </c>
      <c r="G65" s="67">
        <f t="shared" si="1"/>
        <v>0</v>
      </c>
      <c r="H65" s="67">
        <f t="shared" si="2"/>
        <v>0</v>
      </c>
      <c r="I65" s="67">
        <f t="shared" si="3"/>
        <v>1.3200297542569657E-2</v>
      </c>
      <c r="J65" s="67">
        <f t="shared" si="4"/>
        <v>9.5712956682622845E-4</v>
      </c>
      <c r="K65" s="100">
        <f t="shared" si="6"/>
        <v>6.380863778841523E-4</v>
      </c>
      <c r="O65" s="96">
        <f>Amnt_Deposited!B60</f>
        <v>2046</v>
      </c>
      <c r="P65" s="99">
        <f>Amnt_Deposited!H60</f>
        <v>0</v>
      </c>
      <c r="Q65" s="284">
        <f>MCF!R64</f>
        <v>0.6</v>
      </c>
      <c r="R65" s="67">
        <f t="shared" si="13"/>
        <v>0</v>
      </c>
      <c r="S65" s="67">
        <f t="shared" si="7"/>
        <v>0</v>
      </c>
      <c r="T65" s="67">
        <f t="shared" si="8"/>
        <v>0</v>
      </c>
      <c r="U65" s="67">
        <f t="shared" si="9"/>
        <v>1.446607949870648E-2</v>
      </c>
      <c r="V65" s="67">
        <f t="shared" si="10"/>
        <v>1.0489091143301137E-3</v>
      </c>
      <c r="W65" s="100">
        <f t="shared" si="11"/>
        <v>6.9927274288674249E-4</v>
      </c>
    </row>
    <row r="66" spans="2:23">
      <c r="B66" s="96">
        <f>Amnt_Deposited!B61</f>
        <v>2047</v>
      </c>
      <c r="C66" s="99">
        <f>Amnt_Deposited!H61</f>
        <v>0</v>
      </c>
      <c r="D66" s="418">
        <f>Dry_Matter_Content!H53</f>
        <v>0.73</v>
      </c>
      <c r="E66" s="284">
        <f>MCF!R65</f>
        <v>0.6</v>
      </c>
      <c r="F66" s="67">
        <f t="shared" si="12"/>
        <v>0</v>
      </c>
      <c r="G66" s="67">
        <f t="shared" si="1"/>
        <v>0</v>
      </c>
      <c r="H66" s="67">
        <f t="shared" si="2"/>
        <v>0</v>
      </c>
      <c r="I66" s="67">
        <f t="shared" si="3"/>
        <v>1.2307875849611625E-2</v>
      </c>
      <c r="J66" s="67">
        <f t="shared" si="4"/>
        <v>8.9242169295803266E-4</v>
      </c>
      <c r="K66" s="100">
        <f t="shared" si="6"/>
        <v>5.9494779530535507E-4</v>
      </c>
      <c r="O66" s="96">
        <f>Amnt_Deposited!B61</f>
        <v>2047</v>
      </c>
      <c r="P66" s="99">
        <f>Amnt_Deposited!H61</f>
        <v>0</v>
      </c>
      <c r="Q66" s="284">
        <f>MCF!R65</f>
        <v>0.6</v>
      </c>
      <c r="R66" s="67">
        <f t="shared" si="13"/>
        <v>0</v>
      </c>
      <c r="S66" s="67">
        <f t="shared" si="7"/>
        <v>0</v>
      </c>
      <c r="T66" s="67">
        <f t="shared" si="8"/>
        <v>0</v>
      </c>
      <c r="U66" s="67">
        <f t="shared" si="9"/>
        <v>1.348808312286206E-2</v>
      </c>
      <c r="V66" s="67">
        <f t="shared" si="10"/>
        <v>9.779963758444199E-4</v>
      </c>
      <c r="W66" s="100">
        <f t="shared" si="11"/>
        <v>6.5199758389627993E-4</v>
      </c>
    </row>
    <row r="67" spans="2:23">
      <c r="B67" s="96">
        <f>Amnt_Deposited!B62</f>
        <v>2048</v>
      </c>
      <c r="C67" s="99">
        <f>Amnt_Deposited!H62</f>
        <v>0</v>
      </c>
      <c r="D67" s="418">
        <f>Dry_Matter_Content!H54</f>
        <v>0.73</v>
      </c>
      <c r="E67" s="284">
        <f>MCF!R66</f>
        <v>0.6</v>
      </c>
      <c r="F67" s="67">
        <f t="shared" si="12"/>
        <v>0</v>
      </c>
      <c r="G67" s="67">
        <f t="shared" si="1"/>
        <v>0</v>
      </c>
      <c r="H67" s="67">
        <f t="shared" si="2"/>
        <v>0</v>
      </c>
      <c r="I67" s="67">
        <f t="shared" si="3"/>
        <v>1.1475787378347552E-2</v>
      </c>
      <c r="J67" s="67">
        <f t="shared" si="4"/>
        <v>8.3208847126407348E-4</v>
      </c>
      <c r="K67" s="100">
        <f t="shared" si="6"/>
        <v>5.5472564750938232E-4</v>
      </c>
      <c r="O67" s="96">
        <f>Amnt_Deposited!B62</f>
        <v>2048</v>
      </c>
      <c r="P67" s="99">
        <f>Amnt_Deposited!H62</f>
        <v>0</v>
      </c>
      <c r="Q67" s="284">
        <f>MCF!R66</f>
        <v>0.6</v>
      </c>
      <c r="R67" s="67">
        <f t="shared" si="13"/>
        <v>0</v>
      </c>
      <c r="S67" s="67">
        <f t="shared" si="7"/>
        <v>0</v>
      </c>
      <c r="T67" s="67">
        <f t="shared" si="8"/>
        <v>0</v>
      </c>
      <c r="U67" s="67">
        <f t="shared" si="9"/>
        <v>1.2576205346134309E-2</v>
      </c>
      <c r="V67" s="67">
        <f t="shared" si="10"/>
        <v>9.1187777672775206E-4</v>
      </c>
      <c r="W67" s="100">
        <f t="shared" si="11"/>
        <v>6.0791851781850134E-4</v>
      </c>
    </row>
    <row r="68" spans="2:23">
      <c r="B68" s="96">
        <f>Amnt_Deposited!B63</f>
        <v>2049</v>
      </c>
      <c r="C68" s="99">
        <f>Amnt_Deposited!H63</f>
        <v>0</v>
      </c>
      <c r="D68" s="418">
        <f>Dry_Matter_Content!H55</f>
        <v>0.73</v>
      </c>
      <c r="E68" s="284">
        <f>MCF!R67</f>
        <v>0.6</v>
      </c>
      <c r="F68" s="67">
        <f t="shared" si="12"/>
        <v>0</v>
      </c>
      <c r="G68" s="67">
        <f t="shared" si="1"/>
        <v>0</v>
      </c>
      <c r="H68" s="67">
        <f t="shared" si="2"/>
        <v>0</v>
      </c>
      <c r="I68" s="67">
        <f t="shared" si="3"/>
        <v>1.0699953230125943E-2</v>
      </c>
      <c r="J68" s="67">
        <f t="shared" si="4"/>
        <v>7.7583414822161032E-4</v>
      </c>
      <c r="K68" s="100">
        <f t="shared" si="6"/>
        <v>5.1722276548107351E-4</v>
      </c>
      <c r="O68" s="96">
        <f>Amnt_Deposited!B63</f>
        <v>2049</v>
      </c>
      <c r="P68" s="99">
        <f>Amnt_Deposited!H63</f>
        <v>0</v>
      </c>
      <c r="Q68" s="284">
        <f>MCF!R67</f>
        <v>0.6</v>
      </c>
      <c r="R68" s="67">
        <f t="shared" si="13"/>
        <v>0</v>
      </c>
      <c r="S68" s="67">
        <f t="shared" si="7"/>
        <v>0</v>
      </c>
      <c r="T68" s="67">
        <f t="shared" si="8"/>
        <v>0</v>
      </c>
      <c r="U68" s="67">
        <f t="shared" si="9"/>
        <v>1.1725976142603777E-2</v>
      </c>
      <c r="V68" s="67">
        <f t="shared" si="10"/>
        <v>8.5022920353053225E-4</v>
      </c>
      <c r="W68" s="100">
        <f t="shared" si="11"/>
        <v>5.6681946902035476E-4</v>
      </c>
    </row>
    <row r="69" spans="2:23">
      <c r="B69" s="96">
        <f>Amnt_Deposited!B64</f>
        <v>2050</v>
      </c>
      <c r="C69" s="99">
        <f>Amnt_Deposited!H64</f>
        <v>0</v>
      </c>
      <c r="D69" s="418">
        <f>Dry_Matter_Content!H56</f>
        <v>0.73</v>
      </c>
      <c r="E69" s="284">
        <f>MCF!R68</f>
        <v>0.6</v>
      </c>
      <c r="F69" s="67">
        <f t="shared" si="12"/>
        <v>0</v>
      </c>
      <c r="G69" s="67">
        <f t="shared" si="1"/>
        <v>0</v>
      </c>
      <c r="H69" s="67">
        <f t="shared" si="2"/>
        <v>0</v>
      </c>
      <c r="I69" s="67">
        <f t="shared" si="3"/>
        <v>9.976570265052118E-3</v>
      </c>
      <c r="J69" s="67">
        <f t="shared" si="4"/>
        <v>7.2338296507382495E-4</v>
      </c>
      <c r="K69" s="100">
        <f t="shared" si="6"/>
        <v>4.8225531004921662E-4</v>
      </c>
      <c r="O69" s="96">
        <f>Amnt_Deposited!B64</f>
        <v>2050</v>
      </c>
      <c r="P69" s="99">
        <f>Amnt_Deposited!H64</f>
        <v>0</v>
      </c>
      <c r="Q69" s="284">
        <f>MCF!R68</f>
        <v>0.6</v>
      </c>
      <c r="R69" s="67">
        <f t="shared" si="13"/>
        <v>0</v>
      </c>
      <c r="S69" s="67">
        <f t="shared" si="7"/>
        <v>0</v>
      </c>
      <c r="T69" s="67">
        <f t="shared" si="8"/>
        <v>0</v>
      </c>
      <c r="U69" s="67">
        <f t="shared" si="9"/>
        <v>1.0933227687728352E-2</v>
      </c>
      <c r="V69" s="67">
        <f t="shared" si="10"/>
        <v>7.9274845487542489E-4</v>
      </c>
      <c r="W69" s="100">
        <f t="shared" si="11"/>
        <v>5.2849896991694989E-4</v>
      </c>
    </row>
    <row r="70" spans="2:23">
      <c r="B70" s="96">
        <f>Amnt_Deposited!B65</f>
        <v>2051</v>
      </c>
      <c r="C70" s="99">
        <f>Amnt_Deposited!H65</f>
        <v>0</v>
      </c>
      <c r="D70" s="418">
        <f>Dry_Matter_Content!H57</f>
        <v>0.73</v>
      </c>
      <c r="E70" s="284">
        <f>MCF!R69</f>
        <v>0.6</v>
      </c>
      <c r="F70" s="67">
        <f t="shared" si="12"/>
        <v>0</v>
      </c>
      <c r="G70" s="67">
        <f t="shared" si="1"/>
        <v>0</v>
      </c>
      <c r="H70" s="67">
        <f t="shared" si="2"/>
        <v>0</v>
      </c>
      <c r="I70" s="67">
        <f t="shared" si="3"/>
        <v>9.3020924589920437E-3</v>
      </c>
      <c r="J70" s="67">
        <f t="shared" si="4"/>
        <v>6.7447780606007485E-4</v>
      </c>
      <c r="K70" s="100">
        <f t="shared" si="6"/>
        <v>4.4965187070671655E-4</v>
      </c>
      <c r="O70" s="96">
        <f>Amnt_Deposited!B65</f>
        <v>2051</v>
      </c>
      <c r="P70" s="99">
        <f>Amnt_Deposited!H65</f>
        <v>0</v>
      </c>
      <c r="Q70" s="284">
        <f>MCF!R69</f>
        <v>0.6</v>
      </c>
      <c r="R70" s="67">
        <f t="shared" si="13"/>
        <v>0</v>
      </c>
      <c r="S70" s="67">
        <f t="shared" si="7"/>
        <v>0</v>
      </c>
      <c r="T70" s="67">
        <f t="shared" si="8"/>
        <v>0</v>
      </c>
      <c r="U70" s="67">
        <f t="shared" si="9"/>
        <v>1.0194073927662516E-2</v>
      </c>
      <c r="V70" s="67">
        <f t="shared" si="10"/>
        <v>7.3915376006583567E-4</v>
      </c>
      <c r="W70" s="100">
        <f t="shared" si="11"/>
        <v>4.9276917337722371E-4</v>
      </c>
    </row>
    <row r="71" spans="2:23">
      <c r="B71" s="96">
        <f>Amnt_Deposited!B66</f>
        <v>2052</v>
      </c>
      <c r="C71" s="99">
        <f>Amnt_Deposited!H66</f>
        <v>0</v>
      </c>
      <c r="D71" s="418">
        <f>Dry_Matter_Content!H58</f>
        <v>0.73</v>
      </c>
      <c r="E71" s="284">
        <f>MCF!R70</f>
        <v>0.6</v>
      </c>
      <c r="F71" s="67">
        <f t="shared" si="12"/>
        <v>0</v>
      </c>
      <c r="G71" s="67">
        <f t="shared" si="1"/>
        <v>0</v>
      </c>
      <c r="H71" s="67">
        <f t="shared" si="2"/>
        <v>0</v>
      </c>
      <c r="I71" s="67">
        <f t="shared" si="3"/>
        <v>8.6732135209579078E-3</v>
      </c>
      <c r="J71" s="67">
        <f t="shared" si="4"/>
        <v>6.2887893803413662E-4</v>
      </c>
      <c r="K71" s="100">
        <f t="shared" si="6"/>
        <v>4.1925262535609108E-4</v>
      </c>
      <c r="O71" s="96">
        <f>Amnt_Deposited!B66</f>
        <v>2052</v>
      </c>
      <c r="P71" s="99">
        <f>Amnt_Deposited!H66</f>
        <v>0</v>
      </c>
      <c r="Q71" s="284">
        <f>MCF!R70</f>
        <v>0.6</v>
      </c>
      <c r="R71" s="67">
        <f t="shared" si="13"/>
        <v>0</v>
      </c>
      <c r="S71" s="67">
        <f t="shared" si="7"/>
        <v>0</v>
      </c>
      <c r="T71" s="67">
        <f t="shared" si="8"/>
        <v>0</v>
      </c>
      <c r="U71" s="67">
        <f t="shared" si="9"/>
        <v>9.5048915298168862E-3</v>
      </c>
      <c r="V71" s="67">
        <f t="shared" si="10"/>
        <v>6.8918239784562926E-4</v>
      </c>
      <c r="W71" s="100">
        <f t="shared" si="11"/>
        <v>4.5945493189708617E-4</v>
      </c>
    </row>
    <row r="72" spans="2:23">
      <c r="B72" s="96">
        <f>Amnt_Deposited!B67</f>
        <v>2053</v>
      </c>
      <c r="C72" s="99">
        <f>Amnt_Deposited!H67</f>
        <v>0</v>
      </c>
      <c r="D72" s="418">
        <f>Dry_Matter_Content!H59</f>
        <v>0.73</v>
      </c>
      <c r="E72" s="284">
        <f>MCF!R71</f>
        <v>0.6</v>
      </c>
      <c r="F72" s="67">
        <f t="shared" si="12"/>
        <v>0</v>
      </c>
      <c r="G72" s="67">
        <f t="shared" si="1"/>
        <v>0</v>
      </c>
      <c r="H72" s="67">
        <f t="shared" si="2"/>
        <v>0</v>
      </c>
      <c r="I72" s="67">
        <f t="shared" si="3"/>
        <v>8.0868506856658622E-3</v>
      </c>
      <c r="J72" s="67">
        <f t="shared" si="4"/>
        <v>5.8636283529204484E-4</v>
      </c>
      <c r="K72" s="100">
        <f t="shared" si="6"/>
        <v>3.9090855686136321E-4</v>
      </c>
      <c r="O72" s="96">
        <f>Amnt_Deposited!B67</f>
        <v>2053</v>
      </c>
      <c r="P72" s="99">
        <f>Amnt_Deposited!H67</f>
        <v>0</v>
      </c>
      <c r="Q72" s="284">
        <f>MCF!R71</f>
        <v>0.6</v>
      </c>
      <c r="R72" s="67">
        <f t="shared" si="13"/>
        <v>0</v>
      </c>
      <c r="S72" s="67">
        <f t="shared" si="7"/>
        <v>0</v>
      </c>
      <c r="T72" s="67">
        <f t="shared" si="8"/>
        <v>0</v>
      </c>
      <c r="U72" s="67">
        <f t="shared" si="9"/>
        <v>8.8623021212776588E-3</v>
      </c>
      <c r="V72" s="67">
        <f t="shared" si="10"/>
        <v>6.4258940853922724E-4</v>
      </c>
      <c r="W72" s="100">
        <f t="shared" si="11"/>
        <v>4.2839293902615147E-4</v>
      </c>
    </row>
    <row r="73" spans="2:23">
      <c r="B73" s="96">
        <f>Amnt_Deposited!B68</f>
        <v>2054</v>
      </c>
      <c r="C73" s="99">
        <f>Amnt_Deposited!H68</f>
        <v>0</v>
      </c>
      <c r="D73" s="418">
        <f>Dry_Matter_Content!H60</f>
        <v>0.73</v>
      </c>
      <c r="E73" s="284">
        <f>MCF!R72</f>
        <v>0.6</v>
      </c>
      <c r="F73" s="67">
        <f t="shared" si="12"/>
        <v>0</v>
      </c>
      <c r="G73" s="67">
        <f t="shared" si="1"/>
        <v>0</v>
      </c>
      <c r="H73" s="67">
        <f t="shared" si="2"/>
        <v>0</v>
      </c>
      <c r="I73" s="67">
        <f t="shared" si="3"/>
        <v>7.5401296018170298E-3</v>
      </c>
      <c r="J73" s="67">
        <f t="shared" si="4"/>
        <v>5.4672108384883197E-4</v>
      </c>
      <c r="K73" s="100">
        <f t="shared" si="6"/>
        <v>3.6448072256588796E-4</v>
      </c>
      <c r="O73" s="96">
        <f>Amnt_Deposited!B68</f>
        <v>2054</v>
      </c>
      <c r="P73" s="99">
        <f>Amnt_Deposited!H68</f>
        <v>0</v>
      </c>
      <c r="Q73" s="284">
        <f>MCF!R72</f>
        <v>0.6</v>
      </c>
      <c r="R73" s="67">
        <f t="shared" si="13"/>
        <v>0</v>
      </c>
      <c r="S73" s="67">
        <f t="shared" si="7"/>
        <v>0</v>
      </c>
      <c r="T73" s="67">
        <f t="shared" si="8"/>
        <v>0</v>
      </c>
      <c r="U73" s="67">
        <f t="shared" si="9"/>
        <v>8.2631557280186639E-3</v>
      </c>
      <c r="V73" s="67">
        <f t="shared" si="10"/>
        <v>5.99146393258994E-4</v>
      </c>
      <c r="W73" s="100">
        <f t="shared" si="11"/>
        <v>3.9943092883932933E-4</v>
      </c>
    </row>
    <row r="74" spans="2:23">
      <c r="B74" s="96">
        <f>Amnt_Deposited!B69</f>
        <v>2055</v>
      </c>
      <c r="C74" s="99">
        <f>Amnt_Deposited!H69</f>
        <v>0</v>
      </c>
      <c r="D74" s="418">
        <f>Dry_Matter_Content!H61</f>
        <v>0.73</v>
      </c>
      <c r="E74" s="284">
        <f>MCF!R73</f>
        <v>0.6</v>
      </c>
      <c r="F74" s="67">
        <f t="shared" si="12"/>
        <v>0</v>
      </c>
      <c r="G74" s="67">
        <f t="shared" si="1"/>
        <v>0</v>
      </c>
      <c r="H74" s="67">
        <f t="shared" si="2"/>
        <v>0</v>
      </c>
      <c r="I74" s="67">
        <f t="shared" si="3"/>
        <v>7.0303702420240971E-3</v>
      </c>
      <c r="J74" s="67">
        <f t="shared" si="4"/>
        <v>5.0975935979293268E-4</v>
      </c>
      <c r="K74" s="100">
        <f t="shared" si="6"/>
        <v>3.3983957319528842E-4</v>
      </c>
      <c r="O74" s="96">
        <f>Amnt_Deposited!B69</f>
        <v>2055</v>
      </c>
      <c r="P74" s="99">
        <f>Amnt_Deposited!H69</f>
        <v>0</v>
      </c>
      <c r="Q74" s="284">
        <f>MCF!R73</f>
        <v>0.6</v>
      </c>
      <c r="R74" s="67">
        <f t="shared" si="13"/>
        <v>0</v>
      </c>
      <c r="S74" s="67">
        <f t="shared" si="7"/>
        <v>0</v>
      </c>
      <c r="T74" s="67">
        <f t="shared" si="8"/>
        <v>0</v>
      </c>
      <c r="U74" s="67">
        <f t="shared" si="9"/>
        <v>7.7045153337250392E-3</v>
      </c>
      <c r="V74" s="67">
        <f t="shared" si="10"/>
        <v>5.5864039429362488E-4</v>
      </c>
      <c r="W74" s="100">
        <f t="shared" si="11"/>
        <v>3.7242692952908324E-4</v>
      </c>
    </row>
    <row r="75" spans="2:23">
      <c r="B75" s="96">
        <f>Amnt_Deposited!B70</f>
        <v>2056</v>
      </c>
      <c r="C75" s="99">
        <f>Amnt_Deposited!H70</f>
        <v>0</v>
      </c>
      <c r="D75" s="418">
        <f>Dry_Matter_Content!H62</f>
        <v>0.73</v>
      </c>
      <c r="E75" s="284">
        <f>MCF!R74</f>
        <v>0.6</v>
      </c>
      <c r="F75" s="67">
        <f t="shared" si="12"/>
        <v>0</v>
      </c>
      <c r="G75" s="67">
        <f t="shared" si="1"/>
        <v>0</v>
      </c>
      <c r="H75" s="67">
        <f t="shared" si="2"/>
        <v>0</v>
      </c>
      <c r="I75" s="67">
        <f t="shared" si="3"/>
        <v>6.5550737653139544E-3</v>
      </c>
      <c r="J75" s="67">
        <f t="shared" si="4"/>
        <v>4.7529647671014315E-4</v>
      </c>
      <c r="K75" s="100">
        <f t="shared" si="6"/>
        <v>3.1686431780676206E-4</v>
      </c>
      <c r="O75" s="96">
        <f>Amnt_Deposited!B70</f>
        <v>2056</v>
      </c>
      <c r="P75" s="99">
        <f>Amnt_Deposited!H70</f>
        <v>0</v>
      </c>
      <c r="Q75" s="284">
        <f>MCF!R74</f>
        <v>0.6</v>
      </c>
      <c r="R75" s="67">
        <f t="shared" si="13"/>
        <v>0</v>
      </c>
      <c r="S75" s="67">
        <f t="shared" si="7"/>
        <v>0</v>
      </c>
      <c r="T75" s="67">
        <f t="shared" si="8"/>
        <v>0</v>
      </c>
      <c r="U75" s="67">
        <f t="shared" si="9"/>
        <v>7.1836424825358408E-3</v>
      </c>
      <c r="V75" s="67">
        <f t="shared" si="10"/>
        <v>5.2087285118919803E-4</v>
      </c>
      <c r="W75" s="100">
        <f t="shared" si="11"/>
        <v>3.4724856745946536E-4</v>
      </c>
    </row>
    <row r="76" spans="2:23">
      <c r="B76" s="96">
        <f>Amnt_Deposited!B71</f>
        <v>2057</v>
      </c>
      <c r="C76" s="99">
        <f>Amnt_Deposited!H71</f>
        <v>0</v>
      </c>
      <c r="D76" s="418">
        <f>Dry_Matter_Content!H63</f>
        <v>0.73</v>
      </c>
      <c r="E76" s="284">
        <f>MCF!R75</f>
        <v>0.6</v>
      </c>
      <c r="F76" s="67">
        <f t="shared" si="12"/>
        <v>0</v>
      </c>
      <c r="G76" s="67">
        <f t="shared" si="1"/>
        <v>0</v>
      </c>
      <c r="H76" s="67">
        <f t="shared" si="2"/>
        <v>0</v>
      </c>
      <c r="I76" s="67">
        <f t="shared" si="3"/>
        <v>6.1119102678063456E-3</v>
      </c>
      <c r="J76" s="67">
        <f t="shared" si="4"/>
        <v>4.4316349750760895E-4</v>
      </c>
      <c r="K76" s="100">
        <f t="shared" si="6"/>
        <v>2.9544233167173926E-4</v>
      </c>
      <c r="O76" s="96">
        <f>Amnt_Deposited!B71</f>
        <v>2057</v>
      </c>
      <c r="P76" s="99">
        <f>Amnt_Deposited!H71</f>
        <v>0</v>
      </c>
      <c r="Q76" s="284">
        <f>MCF!R75</f>
        <v>0.6</v>
      </c>
      <c r="R76" s="67">
        <f t="shared" si="13"/>
        <v>0</v>
      </c>
      <c r="S76" s="67">
        <f t="shared" si="7"/>
        <v>0</v>
      </c>
      <c r="T76" s="67">
        <f t="shared" si="8"/>
        <v>0</v>
      </c>
      <c r="U76" s="67">
        <f t="shared" si="9"/>
        <v>6.697983855130242E-3</v>
      </c>
      <c r="V76" s="67">
        <f t="shared" si="10"/>
        <v>4.8565862740559886E-4</v>
      </c>
      <c r="W76" s="100">
        <f t="shared" si="11"/>
        <v>3.2377241827039922E-4</v>
      </c>
    </row>
    <row r="77" spans="2:23">
      <c r="B77" s="96">
        <f>Amnt_Deposited!B72</f>
        <v>2058</v>
      </c>
      <c r="C77" s="99">
        <f>Amnt_Deposited!H72</f>
        <v>0</v>
      </c>
      <c r="D77" s="418">
        <f>Dry_Matter_Content!H64</f>
        <v>0.73</v>
      </c>
      <c r="E77" s="284">
        <f>MCF!R76</f>
        <v>0.6</v>
      </c>
      <c r="F77" s="67">
        <f t="shared" si="12"/>
        <v>0</v>
      </c>
      <c r="G77" s="67">
        <f t="shared" si="1"/>
        <v>0</v>
      </c>
      <c r="H77" s="67">
        <f t="shared" si="2"/>
        <v>0</v>
      </c>
      <c r="I77" s="67">
        <f t="shared" si="3"/>
        <v>5.6987073615223458E-3</v>
      </c>
      <c r="J77" s="67">
        <f t="shared" si="4"/>
        <v>4.1320290628399972E-4</v>
      </c>
      <c r="K77" s="100">
        <f t="shared" si="6"/>
        <v>2.7546860418933313E-4</v>
      </c>
      <c r="O77" s="96">
        <f>Amnt_Deposited!B72</f>
        <v>2058</v>
      </c>
      <c r="P77" s="99">
        <f>Amnt_Deposited!H72</f>
        <v>0</v>
      </c>
      <c r="Q77" s="284">
        <f>MCF!R76</f>
        <v>0.6</v>
      </c>
      <c r="R77" s="67">
        <f t="shared" si="13"/>
        <v>0</v>
      </c>
      <c r="S77" s="67">
        <f t="shared" si="7"/>
        <v>0</v>
      </c>
      <c r="T77" s="67">
        <f t="shared" si="8"/>
        <v>0</v>
      </c>
      <c r="U77" s="67">
        <f t="shared" si="9"/>
        <v>6.2451587523532559E-3</v>
      </c>
      <c r="V77" s="67">
        <f t="shared" si="10"/>
        <v>4.5282510277698599E-4</v>
      </c>
      <c r="W77" s="100">
        <f t="shared" si="11"/>
        <v>3.01883401851324E-4</v>
      </c>
    </row>
    <row r="78" spans="2:23">
      <c r="B78" s="96">
        <f>Amnt_Deposited!B73</f>
        <v>2059</v>
      </c>
      <c r="C78" s="99">
        <f>Amnt_Deposited!H73</f>
        <v>0</v>
      </c>
      <c r="D78" s="418">
        <f>Dry_Matter_Content!H65</f>
        <v>0.73</v>
      </c>
      <c r="E78" s="284">
        <f>MCF!R77</f>
        <v>0.6</v>
      </c>
      <c r="F78" s="67">
        <f t="shared" si="12"/>
        <v>0</v>
      </c>
      <c r="G78" s="67">
        <f t="shared" si="1"/>
        <v>0</v>
      </c>
      <c r="H78" s="67">
        <f t="shared" si="2"/>
        <v>0</v>
      </c>
      <c r="I78" s="67">
        <f t="shared" si="3"/>
        <v>5.313439525335968E-3</v>
      </c>
      <c r="J78" s="67">
        <f t="shared" si="4"/>
        <v>3.8526783618637807E-4</v>
      </c>
      <c r="K78" s="100">
        <f t="shared" si="6"/>
        <v>2.5684522412425205E-4</v>
      </c>
      <c r="O78" s="96">
        <f>Amnt_Deposited!B73</f>
        <v>2059</v>
      </c>
      <c r="P78" s="99">
        <f>Amnt_Deposited!H73</f>
        <v>0</v>
      </c>
      <c r="Q78" s="284">
        <f>MCF!R77</f>
        <v>0.6</v>
      </c>
      <c r="R78" s="67">
        <f t="shared" si="13"/>
        <v>0</v>
      </c>
      <c r="S78" s="67">
        <f t="shared" si="7"/>
        <v>0</v>
      </c>
      <c r="T78" s="67">
        <f t="shared" si="8"/>
        <v>0</v>
      </c>
      <c r="U78" s="67">
        <f t="shared" si="9"/>
        <v>5.8229474250257179E-3</v>
      </c>
      <c r="V78" s="67">
        <f t="shared" si="10"/>
        <v>4.2221132732753761E-4</v>
      </c>
      <c r="W78" s="100">
        <f t="shared" si="11"/>
        <v>2.814742182183584E-4</v>
      </c>
    </row>
    <row r="79" spans="2:23">
      <c r="B79" s="96">
        <f>Amnt_Deposited!B74</f>
        <v>2060</v>
      </c>
      <c r="C79" s="99">
        <f>Amnt_Deposited!H74</f>
        <v>0</v>
      </c>
      <c r="D79" s="418">
        <f>Dry_Matter_Content!H66</f>
        <v>0.73</v>
      </c>
      <c r="E79" s="284">
        <f>MCF!R78</f>
        <v>0.6</v>
      </c>
      <c r="F79" s="67">
        <f t="shared" si="12"/>
        <v>0</v>
      </c>
      <c r="G79" s="67">
        <f t="shared" si="1"/>
        <v>0</v>
      </c>
      <c r="H79" s="67">
        <f t="shared" si="2"/>
        <v>0</v>
      </c>
      <c r="I79" s="67">
        <f t="shared" si="3"/>
        <v>4.954218175867252E-3</v>
      </c>
      <c r="J79" s="67">
        <f t="shared" si="4"/>
        <v>3.5922134946871618E-4</v>
      </c>
      <c r="K79" s="100">
        <f t="shared" si="6"/>
        <v>2.3948089964581079E-4</v>
      </c>
      <c r="O79" s="96">
        <f>Amnt_Deposited!B74</f>
        <v>2060</v>
      </c>
      <c r="P79" s="99">
        <f>Amnt_Deposited!H74</f>
        <v>0</v>
      </c>
      <c r="Q79" s="284">
        <f>MCF!R78</f>
        <v>0.6</v>
      </c>
      <c r="R79" s="67">
        <f t="shared" si="13"/>
        <v>0</v>
      </c>
      <c r="S79" s="67">
        <f t="shared" si="7"/>
        <v>0</v>
      </c>
      <c r="T79" s="67">
        <f t="shared" si="8"/>
        <v>0</v>
      </c>
      <c r="U79" s="67">
        <f t="shared" si="9"/>
        <v>5.4292801927312345E-3</v>
      </c>
      <c r="V79" s="67">
        <f t="shared" si="10"/>
        <v>3.9366723229448345E-4</v>
      </c>
      <c r="W79" s="100">
        <f t="shared" si="11"/>
        <v>2.6244482152965563E-4</v>
      </c>
    </row>
    <row r="80" spans="2:23">
      <c r="B80" s="96">
        <f>Amnt_Deposited!B75</f>
        <v>2061</v>
      </c>
      <c r="C80" s="99">
        <f>Amnt_Deposited!H75</f>
        <v>0</v>
      </c>
      <c r="D80" s="418">
        <f>Dry_Matter_Content!H67</f>
        <v>0.73</v>
      </c>
      <c r="E80" s="284">
        <f>MCF!R79</f>
        <v>0.6</v>
      </c>
      <c r="F80" s="67">
        <f t="shared" si="12"/>
        <v>0</v>
      </c>
      <c r="G80" s="67">
        <f t="shared" si="1"/>
        <v>0</v>
      </c>
      <c r="H80" s="67">
        <f t="shared" si="2"/>
        <v>0</v>
      </c>
      <c r="I80" s="67">
        <f t="shared" si="3"/>
        <v>4.619282409644346E-3</v>
      </c>
      <c r="J80" s="67">
        <f t="shared" si="4"/>
        <v>3.3493576622290589E-4</v>
      </c>
      <c r="K80" s="100">
        <f t="shared" si="6"/>
        <v>2.2329051081527057E-4</v>
      </c>
      <c r="O80" s="96">
        <f>Amnt_Deposited!B75</f>
        <v>2061</v>
      </c>
      <c r="P80" s="99">
        <f>Amnt_Deposited!H75</f>
        <v>0</v>
      </c>
      <c r="Q80" s="284">
        <f>MCF!R79</f>
        <v>0.6</v>
      </c>
      <c r="R80" s="67">
        <f t="shared" si="13"/>
        <v>0</v>
      </c>
      <c r="S80" s="67">
        <f t="shared" si="7"/>
        <v>0</v>
      </c>
      <c r="T80" s="67">
        <f t="shared" si="8"/>
        <v>0</v>
      </c>
      <c r="U80" s="67">
        <f t="shared" si="9"/>
        <v>5.0622272982403784E-3</v>
      </c>
      <c r="V80" s="67">
        <f t="shared" si="10"/>
        <v>3.6705289449085572E-4</v>
      </c>
      <c r="W80" s="100">
        <f t="shared" si="11"/>
        <v>2.4470192966057048E-4</v>
      </c>
    </row>
    <row r="81" spans="2:23">
      <c r="B81" s="96">
        <f>Amnt_Deposited!B76</f>
        <v>2062</v>
      </c>
      <c r="C81" s="99">
        <f>Amnt_Deposited!H76</f>
        <v>0</v>
      </c>
      <c r="D81" s="418">
        <f>Dry_Matter_Content!H68</f>
        <v>0.73</v>
      </c>
      <c r="E81" s="284">
        <f>MCF!R80</f>
        <v>0.6</v>
      </c>
      <c r="F81" s="67">
        <f t="shared" si="12"/>
        <v>0</v>
      </c>
      <c r="G81" s="67">
        <f t="shared" si="1"/>
        <v>0</v>
      </c>
      <c r="H81" s="67">
        <f t="shared" si="2"/>
        <v>0</v>
      </c>
      <c r="I81" s="67">
        <f t="shared" si="3"/>
        <v>4.3069903711526452E-3</v>
      </c>
      <c r="J81" s="67">
        <f t="shared" si="4"/>
        <v>3.1229203849170086E-4</v>
      </c>
      <c r="K81" s="100">
        <f t="shared" si="6"/>
        <v>2.0819469232780056E-4</v>
      </c>
      <c r="O81" s="96">
        <f>Amnt_Deposited!B76</f>
        <v>2062</v>
      </c>
      <c r="P81" s="99">
        <f>Amnt_Deposited!H76</f>
        <v>0</v>
      </c>
      <c r="Q81" s="284">
        <f>MCF!R80</f>
        <v>0.6</v>
      </c>
      <c r="R81" s="67">
        <f t="shared" si="13"/>
        <v>0</v>
      </c>
      <c r="S81" s="67">
        <f t="shared" si="7"/>
        <v>0</v>
      </c>
      <c r="T81" s="67">
        <f t="shared" si="8"/>
        <v>0</v>
      </c>
      <c r="U81" s="67">
        <f t="shared" si="9"/>
        <v>4.7199894478385145E-3</v>
      </c>
      <c r="V81" s="67">
        <f t="shared" si="10"/>
        <v>3.422378504018639E-4</v>
      </c>
      <c r="W81" s="100">
        <f t="shared" si="11"/>
        <v>2.2815856693457592E-4</v>
      </c>
    </row>
    <row r="82" spans="2:23">
      <c r="B82" s="96">
        <f>Amnt_Deposited!B77</f>
        <v>2063</v>
      </c>
      <c r="C82" s="99">
        <f>Amnt_Deposited!H77</f>
        <v>0</v>
      </c>
      <c r="D82" s="418">
        <f>Dry_Matter_Content!H69</f>
        <v>0.73</v>
      </c>
      <c r="E82" s="284">
        <f>MCF!R81</f>
        <v>0.6</v>
      </c>
      <c r="F82" s="67">
        <f t="shared" si="12"/>
        <v>0</v>
      </c>
      <c r="G82" s="67">
        <f t="shared" si="1"/>
        <v>0</v>
      </c>
      <c r="H82" s="67">
        <f t="shared" si="2"/>
        <v>0</v>
      </c>
      <c r="I82" s="67">
        <f t="shared" si="3"/>
        <v>4.0158112044571528E-3</v>
      </c>
      <c r="J82" s="67">
        <f t="shared" si="4"/>
        <v>2.911791666954924E-4</v>
      </c>
      <c r="K82" s="100">
        <f t="shared" si="6"/>
        <v>1.941194444636616E-4</v>
      </c>
      <c r="O82" s="96">
        <f>Amnt_Deposited!B77</f>
        <v>2063</v>
      </c>
      <c r="P82" s="99">
        <f>Amnt_Deposited!H77</f>
        <v>0</v>
      </c>
      <c r="Q82" s="284">
        <f>MCF!R81</f>
        <v>0.6</v>
      </c>
      <c r="R82" s="67">
        <f t="shared" si="13"/>
        <v>0</v>
      </c>
      <c r="S82" s="67">
        <f t="shared" si="7"/>
        <v>0</v>
      </c>
      <c r="T82" s="67">
        <f t="shared" si="8"/>
        <v>0</v>
      </c>
      <c r="U82" s="67">
        <f t="shared" si="9"/>
        <v>4.4008889911859202E-3</v>
      </c>
      <c r="V82" s="67">
        <f t="shared" si="10"/>
        <v>3.1910045665259438E-4</v>
      </c>
      <c r="W82" s="100">
        <f t="shared" si="11"/>
        <v>2.1273363776839625E-4</v>
      </c>
    </row>
    <row r="83" spans="2:23">
      <c r="B83" s="96">
        <f>Amnt_Deposited!B78</f>
        <v>2064</v>
      </c>
      <c r="C83" s="99">
        <f>Amnt_Deposited!H78</f>
        <v>0</v>
      </c>
      <c r="D83" s="418">
        <f>Dry_Matter_Content!H70</f>
        <v>0.73</v>
      </c>
      <c r="E83" s="284">
        <f>MCF!R82</f>
        <v>0.6</v>
      </c>
      <c r="F83" s="67">
        <f t="shared" ref="F83:F99" si="14">C83*D83*$K$6*DOCF*E83</f>
        <v>0</v>
      </c>
      <c r="G83" s="67">
        <f t="shared" ref="G83:G99" si="15">F83*$K$12</f>
        <v>0</v>
      </c>
      <c r="H83" s="67">
        <f t="shared" ref="H83:H99" si="16">F83*(1-$K$12)</f>
        <v>0</v>
      </c>
      <c r="I83" s="67">
        <f t="shared" ref="I83:I99" si="17">G83+I82*$K$10</f>
        <v>3.7443175489449117E-3</v>
      </c>
      <c r="J83" s="67">
        <f t="shared" ref="J83:J99" si="18">I82*(1-$K$10)+H83</f>
        <v>2.7149365551224104E-4</v>
      </c>
      <c r="K83" s="100">
        <f t="shared" si="6"/>
        <v>1.8099577034149403E-4</v>
      </c>
      <c r="O83" s="96">
        <f>Amnt_Deposited!B78</f>
        <v>2064</v>
      </c>
      <c r="P83" s="99">
        <f>Amnt_Deposited!H78</f>
        <v>0</v>
      </c>
      <c r="Q83" s="284">
        <f>MCF!R82</f>
        <v>0.6</v>
      </c>
      <c r="R83" s="67">
        <f t="shared" ref="R83:R99" si="19">P83*$W$6*DOCF*Q83</f>
        <v>0</v>
      </c>
      <c r="S83" s="67">
        <f t="shared" si="7"/>
        <v>0</v>
      </c>
      <c r="T83" s="67">
        <f t="shared" si="8"/>
        <v>0</v>
      </c>
      <c r="U83" s="67">
        <f t="shared" si="9"/>
        <v>4.1033616974738753E-3</v>
      </c>
      <c r="V83" s="67">
        <f t="shared" si="10"/>
        <v>2.9752729371204493E-4</v>
      </c>
      <c r="W83" s="100">
        <f t="shared" si="11"/>
        <v>1.9835152914136328E-4</v>
      </c>
    </row>
    <row r="84" spans="2:23">
      <c r="B84" s="96">
        <f>Amnt_Deposited!B79</f>
        <v>2065</v>
      </c>
      <c r="C84" s="99">
        <f>Amnt_Deposited!H79</f>
        <v>0</v>
      </c>
      <c r="D84" s="418">
        <f>Dry_Matter_Content!H71</f>
        <v>0.73</v>
      </c>
      <c r="E84" s="284">
        <f>MCF!R83</f>
        <v>0.6</v>
      </c>
      <c r="F84" s="67">
        <f t="shared" si="14"/>
        <v>0</v>
      </c>
      <c r="G84" s="67">
        <f t="shared" si="15"/>
        <v>0</v>
      </c>
      <c r="H84" s="67">
        <f t="shared" si="16"/>
        <v>0</v>
      </c>
      <c r="I84" s="67">
        <f t="shared" si="17"/>
        <v>3.4911785424016238E-3</v>
      </c>
      <c r="J84" s="67">
        <f t="shared" si="18"/>
        <v>2.5313900654328804E-4</v>
      </c>
      <c r="K84" s="100">
        <f t="shared" si="6"/>
        <v>1.6875933769552534E-4</v>
      </c>
      <c r="O84" s="96">
        <f>Amnt_Deposited!B79</f>
        <v>2065</v>
      </c>
      <c r="P84" s="99">
        <f>Amnt_Deposited!H79</f>
        <v>0</v>
      </c>
      <c r="Q84" s="284">
        <f>MCF!R83</f>
        <v>0.6</v>
      </c>
      <c r="R84" s="67">
        <f t="shared" si="19"/>
        <v>0</v>
      </c>
      <c r="S84" s="67">
        <f t="shared" si="7"/>
        <v>0</v>
      </c>
      <c r="T84" s="67">
        <f t="shared" si="8"/>
        <v>0</v>
      </c>
      <c r="U84" s="67">
        <f t="shared" si="9"/>
        <v>3.8259490875634226E-3</v>
      </c>
      <c r="V84" s="67">
        <f t="shared" si="10"/>
        <v>2.7741260991045259E-4</v>
      </c>
      <c r="W84" s="100">
        <f t="shared" si="11"/>
        <v>1.8494173994030173E-4</v>
      </c>
    </row>
    <row r="85" spans="2:23">
      <c r="B85" s="96">
        <f>Amnt_Deposited!B80</f>
        <v>2066</v>
      </c>
      <c r="C85" s="99">
        <f>Amnt_Deposited!H80</f>
        <v>0</v>
      </c>
      <c r="D85" s="418">
        <f>Dry_Matter_Content!H72</f>
        <v>0.73</v>
      </c>
      <c r="E85" s="284">
        <f>MCF!R84</f>
        <v>0.6</v>
      </c>
      <c r="F85" s="67">
        <f t="shared" si="14"/>
        <v>0</v>
      </c>
      <c r="G85" s="67">
        <f t="shared" si="15"/>
        <v>0</v>
      </c>
      <c r="H85" s="67">
        <f t="shared" si="16"/>
        <v>0</v>
      </c>
      <c r="I85" s="67">
        <f t="shared" si="17"/>
        <v>3.2551532971235304E-3</v>
      </c>
      <c r="J85" s="67">
        <f t="shared" si="18"/>
        <v>2.3602524527809317E-4</v>
      </c>
      <c r="K85" s="100">
        <f t="shared" ref="K85:K99" si="20">J85*CH4_fraction*conv</f>
        <v>1.5735016351872878E-4</v>
      </c>
      <c r="O85" s="96">
        <f>Amnt_Deposited!B80</f>
        <v>2066</v>
      </c>
      <c r="P85" s="99">
        <f>Amnt_Deposited!H80</f>
        <v>0</v>
      </c>
      <c r="Q85" s="284">
        <f>MCF!R84</f>
        <v>0.6</v>
      </c>
      <c r="R85" s="67">
        <f t="shared" si="19"/>
        <v>0</v>
      </c>
      <c r="S85" s="67">
        <f t="shared" ref="S85:S98" si="21">R85*$W$12</f>
        <v>0</v>
      </c>
      <c r="T85" s="67">
        <f t="shared" ref="T85:T98" si="22">R85*(1-$W$12)</f>
        <v>0</v>
      </c>
      <c r="U85" s="67">
        <f t="shared" ref="U85:U98" si="23">S85+U84*$W$10</f>
        <v>3.5672912845189368E-3</v>
      </c>
      <c r="V85" s="67">
        <f t="shared" ref="V85:V98" si="24">U84*(1-$W$10)+T85</f>
        <v>2.5865780304448565E-4</v>
      </c>
      <c r="W85" s="100">
        <f t="shared" ref="W85:W99" si="25">V85*CH4_fraction*conv</f>
        <v>1.7243853536299042E-4</v>
      </c>
    </row>
    <row r="86" spans="2:23">
      <c r="B86" s="96">
        <f>Amnt_Deposited!B81</f>
        <v>2067</v>
      </c>
      <c r="C86" s="99">
        <f>Amnt_Deposited!H81</f>
        <v>0</v>
      </c>
      <c r="D86" s="418">
        <f>Dry_Matter_Content!H73</f>
        <v>0.73</v>
      </c>
      <c r="E86" s="284">
        <f>MCF!R85</f>
        <v>0.6</v>
      </c>
      <c r="F86" s="67">
        <f t="shared" si="14"/>
        <v>0</v>
      </c>
      <c r="G86" s="67">
        <f t="shared" si="15"/>
        <v>0</v>
      </c>
      <c r="H86" s="67">
        <f t="shared" si="16"/>
        <v>0</v>
      </c>
      <c r="I86" s="67">
        <f t="shared" si="17"/>
        <v>3.0350848170844508E-3</v>
      </c>
      <c r="J86" s="67">
        <f t="shared" si="18"/>
        <v>2.2006848003907966E-4</v>
      </c>
      <c r="K86" s="100">
        <f t="shared" si="20"/>
        <v>1.4671232002605309E-4</v>
      </c>
      <c r="O86" s="96">
        <f>Amnt_Deposited!B81</f>
        <v>2067</v>
      </c>
      <c r="P86" s="99">
        <f>Amnt_Deposited!H81</f>
        <v>0</v>
      </c>
      <c r="Q86" s="284">
        <f>MCF!R85</f>
        <v>0.6</v>
      </c>
      <c r="R86" s="67">
        <f t="shared" si="19"/>
        <v>0</v>
      </c>
      <c r="S86" s="67">
        <f t="shared" si="21"/>
        <v>0</v>
      </c>
      <c r="T86" s="67">
        <f t="shared" si="22"/>
        <v>0</v>
      </c>
      <c r="U86" s="67">
        <f t="shared" si="23"/>
        <v>3.3261203474898083E-3</v>
      </c>
      <c r="V86" s="67">
        <f t="shared" si="24"/>
        <v>2.4117093702912836E-4</v>
      </c>
      <c r="W86" s="100">
        <f t="shared" si="25"/>
        <v>1.6078062468608556E-4</v>
      </c>
    </row>
    <row r="87" spans="2:23">
      <c r="B87" s="96">
        <f>Amnt_Deposited!B82</f>
        <v>2068</v>
      </c>
      <c r="C87" s="99">
        <f>Amnt_Deposited!H82</f>
        <v>0</v>
      </c>
      <c r="D87" s="418">
        <f>Dry_Matter_Content!H74</f>
        <v>0.73</v>
      </c>
      <c r="E87" s="284">
        <f>MCF!R86</f>
        <v>0.6</v>
      </c>
      <c r="F87" s="67">
        <f t="shared" si="14"/>
        <v>0</v>
      </c>
      <c r="G87" s="67">
        <f t="shared" si="15"/>
        <v>0</v>
      </c>
      <c r="H87" s="67">
        <f t="shared" si="16"/>
        <v>0</v>
      </c>
      <c r="I87" s="67">
        <f t="shared" si="17"/>
        <v>2.8298943263399172E-3</v>
      </c>
      <c r="J87" s="67">
        <f t="shared" si="18"/>
        <v>2.0519049074453342E-4</v>
      </c>
      <c r="K87" s="100">
        <f t="shared" si="20"/>
        <v>1.367936604963556E-4</v>
      </c>
      <c r="O87" s="96">
        <f>Amnt_Deposited!B82</f>
        <v>2068</v>
      </c>
      <c r="P87" s="99">
        <f>Amnt_Deposited!H82</f>
        <v>0</v>
      </c>
      <c r="Q87" s="284">
        <f>MCF!R86</f>
        <v>0.6</v>
      </c>
      <c r="R87" s="67">
        <f t="shared" si="19"/>
        <v>0</v>
      </c>
      <c r="S87" s="67">
        <f t="shared" si="21"/>
        <v>0</v>
      </c>
      <c r="T87" s="67">
        <f t="shared" si="22"/>
        <v>0</v>
      </c>
      <c r="U87" s="67">
        <f t="shared" si="23"/>
        <v>3.1012540562629226E-3</v>
      </c>
      <c r="V87" s="67">
        <f t="shared" si="24"/>
        <v>2.2486629122688589E-4</v>
      </c>
      <c r="W87" s="100">
        <f t="shared" si="25"/>
        <v>1.4991086081792392E-4</v>
      </c>
    </row>
    <row r="88" spans="2:23">
      <c r="B88" s="96">
        <f>Amnt_Deposited!B83</f>
        <v>2069</v>
      </c>
      <c r="C88" s="99">
        <f>Amnt_Deposited!H83</f>
        <v>0</v>
      </c>
      <c r="D88" s="418">
        <f>Dry_Matter_Content!H75</f>
        <v>0.73</v>
      </c>
      <c r="E88" s="284">
        <f>MCF!R87</f>
        <v>0.6</v>
      </c>
      <c r="F88" s="67">
        <f t="shared" si="14"/>
        <v>0</v>
      </c>
      <c r="G88" s="67">
        <f t="shared" si="15"/>
        <v>0</v>
      </c>
      <c r="H88" s="67">
        <f t="shared" si="16"/>
        <v>0</v>
      </c>
      <c r="I88" s="67">
        <f t="shared" si="17"/>
        <v>2.6385759808662456E-3</v>
      </c>
      <c r="J88" s="67">
        <f t="shared" si="18"/>
        <v>1.9131834547367164E-4</v>
      </c>
      <c r="K88" s="100">
        <f t="shared" si="20"/>
        <v>1.2754556364911443E-4</v>
      </c>
      <c r="O88" s="96">
        <f>Amnt_Deposited!B83</f>
        <v>2069</v>
      </c>
      <c r="P88" s="99">
        <f>Amnt_Deposited!H83</f>
        <v>0</v>
      </c>
      <c r="Q88" s="284">
        <f>MCF!R87</f>
        <v>0.6</v>
      </c>
      <c r="R88" s="67">
        <f t="shared" si="19"/>
        <v>0</v>
      </c>
      <c r="S88" s="67">
        <f t="shared" si="21"/>
        <v>0</v>
      </c>
      <c r="T88" s="67">
        <f t="shared" si="22"/>
        <v>0</v>
      </c>
      <c r="U88" s="67">
        <f t="shared" si="23"/>
        <v>2.8915901160178029E-3</v>
      </c>
      <c r="V88" s="67">
        <f t="shared" si="24"/>
        <v>2.0966394024511957E-4</v>
      </c>
      <c r="W88" s="100">
        <f t="shared" si="25"/>
        <v>1.3977596016341305E-4</v>
      </c>
    </row>
    <row r="89" spans="2:23">
      <c r="B89" s="96">
        <f>Amnt_Deposited!B84</f>
        <v>2070</v>
      </c>
      <c r="C89" s="99">
        <f>Amnt_Deposited!H84</f>
        <v>0</v>
      </c>
      <c r="D89" s="418">
        <f>Dry_Matter_Content!H76</f>
        <v>0.73</v>
      </c>
      <c r="E89" s="284">
        <f>MCF!R88</f>
        <v>0.6</v>
      </c>
      <c r="F89" s="67">
        <f t="shared" si="14"/>
        <v>0</v>
      </c>
      <c r="G89" s="67">
        <f t="shared" si="15"/>
        <v>0</v>
      </c>
      <c r="H89" s="67">
        <f t="shared" si="16"/>
        <v>0</v>
      </c>
      <c r="I89" s="67">
        <f t="shared" si="17"/>
        <v>2.460191937911963E-3</v>
      </c>
      <c r="J89" s="67">
        <f t="shared" si="18"/>
        <v>1.7838404295428259E-4</v>
      </c>
      <c r="K89" s="100">
        <f t="shared" si="20"/>
        <v>1.1892269530285506E-4</v>
      </c>
      <c r="O89" s="96">
        <f>Amnt_Deposited!B84</f>
        <v>2070</v>
      </c>
      <c r="P89" s="99">
        <f>Amnt_Deposited!H84</f>
        <v>0</v>
      </c>
      <c r="Q89" s="284">
        <f>MCF!R88</f>
        <v>0.6</v>
      </c>
      <c r="R89" s="67">
        <f t="shared" si="19"/>
        <v>0</v>
      </c>
      <c r="S89" s="67">
        <f t="shared" si="21"/>
        <v>0</v>
      </c>
      <c r="T89" s="67">
        <f t="shared" si="22"/>
        <v>0</v>
      </c>
      <c r="U89" s="67">
        <f t="shared" si="23"/>
        <v>2.6961007538761233E-3</v>
      </c>
      <c r="V89" s="67">
        <f t="shared" si="24"/>
        <v>1.9548936214167952E-4</v>
      </c>
      <c r="W89" s="100">
        <f t="shared" si="25"/>
        <v>1.3032624142778634E-4</v>
      </c>
    </row>
    <row r="90" spans="2:23">
      <c r="B90" s="96">
        <f>Amnt_Deposited!B85</f>
        <v>2071</v>
      </c>
      <c r="C90" s="99">
        <f>Amnt_Deposited!H85</f>
        <v>0</v>
      </c>
      <c r="D90" s="418">
        <f>Dry_Matter_Content!H77</f>
        <v>0.73</v>
      </c>
      <c r="E90" s="284">
        <f>MCF!R89</f>
        <v>0.6</v>
      </c>
      <c r="F90" s="67">
        <f t="shared" si="14"/>
        <v>0</v>
      </c>
      <c r="G90" s="67">
        <f t="shared" si="15"/>
        <v>0</v>
      </c>
      <c r="H90" s="67">
        <f t="shared" si="16"/>
        <v>0</v>
      </c>
      <c r="I90" s="67">
        <f t="shared" si="17"/>
        <v>2.2938677586915525E-3</v>
      </c>
      <c r="J90" s="67">
        <f t="shared" si="18"/>
        <v>1.663241792204103E-4</v>
      </c>
      <c r="K90" s="100">
        <f t="shared" si="20"/>
        <v>1.1088278614694019E-4</v>
      </c>
      <c r="O90" s="96">
        <f>Amnt_Deposited!B85</f>
        <v>2071</v>
      </c>
      <c r="P90" s="99">
        <f>Amnt_Deposited!H85</f>
        <v>0</v>
      </c>
      <c r="Q90" s="284">
        <f>MCF!R89</f>
        <v>0.6</v>
      </c>
      <c r="R90" s="67">
        <f t="shared" si="19"/>
        <v>0</v>
      </c>
      <c r="S90" s="67">
        <f t="shared" si="21"/>
        <v>0</v>
      </c>
      <c r="T90" s="67">
        <f t="shared" si="22"/>
        <v>0</v>
      </c>
      <c r="U90" s="67">
        <f t="shared" si="23"/>
        <v>2.5138276807578656E-3</v>
      </c>
      <c r="V90" s="67">
        <f t="shared" si="24"/>
        <v>1.8227307311825781E-4</v>
      </c>
      <c r="W90" s="100">
        <f t="shared" si="25"/>
        <v>1.2151538207883853E-4</v>
      </c>
    </row>
    <row r="91" spans="2:23">
      <c r="B91" s="96">
        <f>Amnt_Deposited!B86</f>
        <v>2072</v>
      </c>
      <c r="C91" s="99">
        <f>Amnt_Deposited!H86</f>
        <v>0</v>
      </c>
      <c r="D91" s="418">
        <f>Dry_Matter_Content!H78</f>
        <v>0.73</v>
      </c>
      <c r="E91" s="284">
        <f>MCF!R90</f>
        <v>0.6</v>
      </c>
      <c r="F91" s="67">
        <f t="shared" si="14"/>
        <v>0</v>
      </c>
      <c r="G91" s="67">
        <f t="shared" si="15"/>
        <v>0</v>
      </c>
      <c r="H91" s="67">
        <f t="shared" si="16"/>
        <v>0</v>
      </c>
      <c r="I91" s="67">
        <f t="shared" si="17"/>
        <v>2.1387881218855125E-3</v>
      </c>
      <c r="J91" s="67">
        <f t="shared" si="18"/>
        <v>1.5507963680603989E-4</v>
      </c>
      <c r="K91" s="100">
        <f t="shared" si="20"/>
        <v>1.0338642453735993E-4</v>
      </c>
      <c r="O91" s="96">
        <f>Amnt_Deposited!B86</f>
        <v>2072</v>
      </c>
      <c r="P91" s="99">
        <f>Amnt_Deposited!H86</f>
        <v>0</v>
      </c>
      <c r="Q91" s="284">
        <f>MCF!R90</f>
        <v>0.6</v>
      </c>
      <c r="R91" s="67">
        <f t="shared" si="19"/>
        <v>0</v>
      </c>
      <c r="S91" s="67">
        <f t="shared" si="21"/>
        <v>0</v>
      </c>
      <c r="T91" s="67">
        <f t="shared" si="22"/>
        <v>0</v>
      </c>
      <c r="U91" s="67">
        <f t="shared" si="23"/>
        <v>2.343877393847137E-3</v>
      </c>
      <c r="V91" s="67">
        <f t="shared" si="24"/>
        <v>1.6995028691072864E-4</v>
      </c>
      <c r="W91" s="100">
        <f t="shared" si="25"/>
        <v>1.1330019127381909E-4</v>
      </c>
    </row>
    <row r="92" spans="2:23">
      <c r="B92" s="96">
        <f>Amnt_Deposited!B87</f>
        <v>2073</v>
      </c>
      <c r="C92" s="99">
        <f>Amnt_Deposited!H87</f>
        <v>0</v>
      </c>
      <c r="D92" s="418">
        <f>Dry_Matter_Content!H79</f>
        <v>0.73</v>
      </c>
      <c r="E92" s="284">
        <f>MCF!R91</f>
        <v>0.6</v>
      </c>
      <c r="F92" s="67">
        <f t="shared" si="14"/>
        <v>0</v>
      </c>
      <c r="G92" s="67">
        <f t="shared" si="15"/>
        <v>0</v>
      </c>
      <c r="H92" s="67">
        <f t="shared" si="16"/>
        <v>0</v>
      </c>
      <c r="I92" s="67">
        <f t="shared" si="17"/>
        <v>1.994192826934302E-3</v>
      </c>
      <c r="J92" s="67">
        <f t="shared" si="18"/>
        <v>1.4459529495121061E-4</v>
      </c>
      <c r="K92" s="100">
        <f t="shared" si="20"/>
        <v>9.6396863300807065E-5</v>
      </c>
      <c r="O92" s="96">
        <f>Amnt_Deposited!B87</f>
        <v>2073</v>
      </c>
      <c r="P92" s="99">
        <f>Amnt_Deposited!H87</f>
        <v>0</v>
      </c>
      <c r="Q92" s="284">
        <f>MCF!R91</f>
        <v>0.6</v>
      </c>
      <c r="R92" s="67">
        <f t="shared" si="19"/>
        <v>0</v>
      </c>
      <c r="S92" s="67">
        <f t="shared" si="21"/>
        <v>0</v>
      </c>
      <c r="T92" s="67">
        <f t="shared" si="22"/>
        <v>0</v>
      </c>
      <c r="U92" s="67">
        <f t="shared" si="23"/>
        <v>2.1854167966403309E-3</v>
      </c>
      <c r="V92" s="67">
        <f t="shared" si="24"/>
        <v>1.5846059720680617E-4</v>
      </c>
      <c r="W92" s="100">
        <f t="shared" si="25"/>
        <v>1.0564039813787077E-4</v>
      </c>
    </row>
    <row r="93" spans="2:23">
      <c r="B93" s="96">
        <f>Amnt_Deposited!B88</f>
        <v>2074</v>
      </c>
      <c r="C93" s="99">
        <f>Amnt_Deposited!H88</f>
        <v>0</v>
      </c>
      <c r="D93" s="418">
        <f>Dry_Matter_Content!H80</f>
        <v>0.73</v>
      </c>
      <c r="E93" s="284">
        <f>MCF!R92</f>
        <v>0.6</v>
      </c>
      <c r="F93" s="67">
        <f t="shared" si="14"/>
        <v>0</v>
      </c>
      <c r="G93" s="67">
        <f t="shared" si="15"/>
        <v>0</v>
      </c>
      <c r="H93" s="67">
        <f t="shared" si="16"/>
        <v>0</v>
      </c>
      <c r="I93" s="67">
        <f t="shared" si="17"/>
        <v>1.8593730675343155E-3</v>
      </c>
      <c r="J93" s="67">
        <f t="shared" si="18"/>
        <v>1.3481975939998655E-4</v>
      </c>
      <c r="K93" s="100">
        <f t="shared" si="20"/>
        <v>8.9879839599991024E-5</v>
      </c>
      <c r="O93" s="96">
        <f>Amnt_Deposited!B88</f>
        <v>2074</v>
      </c>
      <c r="P93" s="99">
        <f>Amnt_Deposited!H88</f>
        <v>0</v>
      </c>
      <c r="Q93" s="284">
        <f>MCF!R92</f>
        <v>0.6</v>
      </c>
      <c r="R93" s="67">
        <f t="shared" si="19"/>
        <v>0</v>
      </c>
      <c r="S93" s="67">
        <f t="shared" si="21"/>
        <v>0</v>
      </c>
      <c r="T93" s="67">
        <f t="shared" si="22"/>
        <v>0</v>
      </c>
      <c r="U93" s="67">
        <f t="shared" si="23"/>
        <v>2.0376691151060989E-3</v>
      </c>
      <c r="V93" s="67">
        <f t="shared" si="24"/>
        <v>1.4774768153423182E-4</v>
      </c>
      <c r="W93" s="100">
        <f t="shared" si="25"/>
        <v>9.8498454356154538E-5</v>
      </c>
    </row>
    <row r="94" spans="2:23">
      <c r="B94" s="96">
        <f>Amnt_Deposited!B89</f>
        <v>2075</v>
      </c>
      <c r="C94" s="99">
        <f>Amnt_Deposited!H89</f>
        <v>0</v>
      </c>
      <c r="D94" s="418">
        <f>Dry_Matter_Content!H81</f>
        <v>0.73</v>
      </c>
      <c r="E94" s="284">
        <f>MCF!R93</f>
        <v>0.6</v>
      </c>
      <c r="F94" s="67">
        <f t="shared" si="14"/>
        <v>0</v>
      </c>
      <c r="G94" s="67">
        <f t="shared" si="15"/>
        <v>0</v>
      </c>
      <c r="H94" s="67">
        <f t="shared" si="16"/>
        <v>0</v>
      </c>
      <c r="I94" s="67">
        <f t="shared" si="17"/>
        <v>1.7336679570685611E-3</v>
      </c>
      <c r="J94" s="67">
        <f t="shared" si="18"/>
        <v>1.2570511046575435E-4</v>
      </c>
      <c r="K94" s="100">
        <f t="shared" si="20"/>
        <v>8.3803406977169559E-5</v>
      </c>
      <c r="O94" s="96">
        <f>Amnt_Deposited!B89</f>
        <v>2075</v>
      </c>
      <c r="P94" s="99">
        <f>Amnt_Deposited!H89</f>
        <v>0</v>
      </c>
      <c r="Q94" s="284">
        <f>MCF!R93</f>
        <v>0.6</v>
      </c>
      <c r="R94" s="67">
        <f t="shared" si="19"/>
        <v>0</v>
      </c>
      <c r="S94" s="67">
        <f t="shared" si="21"/>
        <v>0</v>
      </c>
      <c r="T94" s="67">
        <f t="shared" si="22"/>
        <v>0</v>
      </c>
      <c r="U94" s="67">
        <f t="shared" si="23"/>
        <v>1.899910089938149E-3</v>
      </c>
      <c r="V94" s="67">
        <f t="shared" si="24"/>
        <v>1.3775902516794994E-4</v>
      </c>
      <c r="W94" s="100">
        <f t="shared" si="25"/>
        <v>9.1839350111966626E-5</v>
      </c>
    </row>
    <row r="95" spans="2:23">
      <c r="B95" s="96">
        <f>Amnt_Deposited!B90</f>
        <v>2076</v>
      </c>
      <c r="C95" s="99">
        <f>Amnt_Deposited!H90</f>
        <v>0</v>
      </c>
      <c r="D95" s="418">
        <f>Dry_Matter_Content!H82</f>
        <v>0.73</v>
      </c>
      <c r="E95" s="284">
        <f>MCF!R94</f>
        <v>0.6</v>
      </c>
      <c r="F95" s="67">
        <f t="shared" si="14"/>
        <v>0</v>
      </c>
      <c r="G95" s="67">
        <f t="shared" si="15"/>
        <v>0</v>
      </c>
      <c r="H95" s="67">
        <f t="shared" si="16"/>
        <v>0</v>
      </c>
      <c r="I95" s="67">
        <f t="shared" si="17"/>
        <v>1.6164612889396973E-3</v>
      </c>
      <c r="J95" s="67">
        <f t="shared" si="18"/>
        <v>1.1720666812886388E-4</v>
      </c>
      <c r="K95" s="100">
        <f t="shared" si="20"/>
        <v>7.8137778752575921E-5</v>
      </c>
      <c r="O95" s="96">
        <f>Amnt_Deposited!B90</f>
        <v>2076</v>
      </c>
      <c r="P95" s="99">
        <f>Amnt_Deposited!H90</f>
        <v>0</v>
      </c>
      <c r="Q95" s="284">
        <f>MCF!R94</f>
        <v>0.6</v>
      </c>
      <c r="R95" s="67">
        <f t="shared" si="19"/>
        <v>0</v>
      </c>
      <c r="S95" s="67">
        <f t="shared" si="21"/>
        <v>0</v>
      </c>
      <c r="T95" s="67">
        <f t="shared" si="22"/>
        <v>0</v>
      </c>
      <c r="U95" s="67">
        <f t="shared" si="23"/>
        <v>1.7714644262352844E-3</v>
      </c>
      <c r="V95" s="67">
        <f t="shared" si="24"/>
        <v>1.2844566370286451E-4</v>
      </c>
      <c r="W95" s="100">
        <f t="shared" si="25"/>
        <v>8.5630442468576337E-5</v>
      </c>
    </row>
    <row r="96" spans="2:23">
      <c r="B96" s="96">
        <f>Amnt_Deposited!B91</f>
        <v>2077</v>
      </c>
      <c r="C96" s="99">
        <f>Amnt_Deposited!H91</f>
        <v>0</v>
      </c>
      <c r="D96" s="418">
        <f>Dry_Matter_Content!H83</f>
        <v>0.73</v>
      </c>
      <c r="E96" s="284">
        <f>MCF!R95</f>
        <v>0.6</v>
      </c>
      <c r="F96" s="67">
        <f t="shared" si="14"/>
        <v>0</v>
      </c>
      <c r="G96" s="67">
        <f t="shared" si="15"/>
        <v>0</v>
      </c>
      <c r="H96" s="67">
        <f t="shared" si="16"/>
        <v>0</v>
      </c>
      <c r="I96" s="67">
        <f t="shared" si="17"/>
        <v>1.5071785159245772E-3</v>
      </c>
      <c r="J96" s="67">
        <f t="shared" si="18"/>
        <v>1.0928277301512016E-4</v>
      </c>
      <c r="K96" s="100">
        <f t="shared" si="20"/>
        <v>7.285518201008011E-5</v>
      </c>
      <c r="O96" s="96">
        <f>Amnt_Deposited!B91</f>
        <v>2077</v>
      </c>
      <c r="P96" s="99">
        <f>Amnt_Deposited!H91</f>
        <v>0</v>
      </c>
      <c r="Q96" s="284">
        <f>MCF!R95</f>
        <v>0.6</v>
      </c>
      <c r="R96" s="67">
        <f t="shared" si="19"/>
        <v>0</v>
      </c>
      <c r="S96" s="67">
        <f t="shared" si="21"/>
        <v>0</v>
      </c>
      <c r="T96" s="67">
        <f t="shared" si="22"/>
        <v>0</v>
      </c>
      <c r="U96" s="67">
        <f t="shared" si="23"/>
        <v>1.6517024832050158E-3</v>
      </c>
      <c r="V96" s="67">
        <f t="shared" si="24"/>
        <v>1.1976194303026865E-4</v>
      </c>
      <c r="W96" s="100">
        <f t="shared" si="25"/>
        <v>7.9841295353512437E-5</v>
      </c>
    </row>
    <row r="97" spans="2:23">
      <c r="B97" s="96">
        <f>Amnt_Deposited!B92</f>
        <v>2078</v>
      </c>
      <c r="C97" s="99">
        <f>Amnt_Deposited!H92</f>
        <v>0</v>
      </c>
      <c r="D97" s="418">
        <f>Dry_Matter_Content!H84</f>
        <v>0.73</v>
      </c>
      <c r="E97" s="284">
        <f>MCF!R96</f>
        <v>0.6</v>
      </c>
      <c r="F97" s="67">
        <f t="shared" si="14"/>
        <v>0</v>
      </c>
      <c r="G97" s="67">
        <f t="shared" si="15"/>
        <v>0</v>
      </c>
      <c r="H97" s="67">
        <f t="shared" si="16"/>
        <v>0</v>
      </c>
      <c r="I97" s="67">
        <f t="shared" si="17"/>
        <v>1.4052839337430946E-3</v>
      </c>
      <c r="J97" s="67">
        <f t="shared" si="18"/>
        <v>1.0189458218148257E-4</v>
      </c>
      <c r="K97" s="100">
        <f t="shared" si="20"/>
        <v>6.7929721454321705E-5</v>
      </c>
      <c r="O97" s="96">
        <f>Amnt_Deposited!B92</f>
        <v>2078</v>
      </c>
      <c r="P97" s="99">
        <f>Amnt_Deposited!H92</f>
        <v>0</v>
      </c>
      <c r="Q97" s="284">
        <f>MCF!R96</f>
        <v>0.6</v>
      </c>
      <c r="R97" s="67">
        <f t="shared" si="19"/>
        <v>0</v>
      </c>
      <c r="S97" s="67">
        <f t="shared" si="21"/>
        <v>0</v>
      </c>
      <c r="T97" s="67">
        <f t="shared" si="22"/>
        <v>0</v>
      </c>
      <c r="U97" s="67">
        <f t="shared" si="23"/>
        <v>1.5400371876636652E-3</v>
      </c>
      <c r="V97" s="67">
        <f t="shared" si="24"/>
        <v>1.1166529554135075E-4</v>
      </c>
      <c r="W97" s="100">
        <f t="shared" si="25"/>
        <v>7.4443530360900493E-5</v>
      </c>
    </row>
    <row r="98" spans="2:23">
      <c r="B98" s="96">
        <f>Amnt_Deposited!B93</f>
        <v>2079</v>
      </c>
      <c r="C98" s="99">
        <f>Amnt_Deposited!H93</f>
        <v>0</v>
      </c>
      <c r="D98" s="418">
        <f>Dry_Matter_Content!H85</f>
        <v>0.73</v>
      </c>
      <c r="E98" s="284">
        <f>MCF!R97</f>
        <v>0.6</v>
      </c>
      <c r="F98" s="67">
        <f t="shared" si="14"/>
        <v>0</v>
      </c>
      <c r="G98" s="67">
        <f t="shared" si="15"/>
        <v>0</v>
      </c>
      <c r="H98" s="67">
        <f t="shared" si="16"/>
        <v>0</v>
      </c>
      <c r="I98" s="67">
        <f t="shared" si="17"/>
        <v>1.3102780550351815E-3</v>
      </c>
      <c r="J98" s="67">
        <f t="shared" si="18"/>
        <v>9.5005878707913103E-5</v>
      </c>
      <c r="K98" s="100">
        <f t="shared" si="20"/>
        <v>6.3337252471942068E-5</v>
      </c>
      <c r="O98" s="96">
        <f>Amnt_Deposited!B93</f>
        <v>2079</v>
      </c>
      <c r="P98" s="99">
        <f>Amnt_Deposited!H93</f>
        <v>0</v>
      </c>
      <c r="Q98" s="284">
        <f>MCF!R97</f>
        <v>0.6</v>
      </c>
      <c r="R98" s="67">
        <f t="shared" si="19"/>
        <v>0</v>
      </c>
      <c r="S98" s="67">
        <f t="shared" si="21"/>
        <v>0</v>
      </c>
      <c r="T98" s="67">
        <f t="shared" si="22"/>
        <v>0</v>
      </c>
      <c r="U98" s="67">
        <f t="shared" si="23"/>
        <v>1.4359211562029385E-3</v>
      </c>
      <c r="V98" s="67">
        <f t="shared" si="24"/>
        <v>1.0411603146072669E-4</v>
      </c>
      <c r="W98" s="100">
        <f t="shared" si="25"/>
        <v>6.9410687640484458E-5</v>
      </c>
    </row>
    <row r="99" spans="2:23" ht="13.5" thickBot="1">
      <c r="B99" s="97">
        <f>Amnt_Deposited!B94</f>
        <v>2080</v>
      </c>
      <c r="C99" s="101">
        <f>Amnt_Deposited!H94</f>
        <v>0</v>
      </c>
      <c r="D99" s="419">
        <f>Dry_Matter_Content!H86</f>
        <v>0.73</v>
      </c>
      <c r="E99" s="285">
        <f>MCF!R98</f>
        <v>0.6</v>
      </c>
      <c r="F99" s="68">
        <f t="shared" si="14"/>
        <v>0</v>
      </c>
      <c r="G99" s="68">
        <f t="shared" si="15"/>
        <v>0</v>
      </c>
      <c r="H99" s="68">
        <f t="shared" si="16"/>
        <v>0</v>
      </c>
      <c r="I99" s="68">
        <f t="shared" si="17"/>
        <v>1.2216951608731892E-3</v>
      </c>
      <c r="J99" s="68">
        <f t="shared" si="18"/>
        <v>8.8582894161992306E-5</v>
      </c>
      <c r="K99" s="102">
        <f t="shared" si="20"/>
        <v>5.9055262774661537E-5</v>
      </c>
      <c r="O99" s="97">
        <f>Amnt_Deposited!B94</f>
        <v>2080</v>
      </c>
      <c r="P99" s="101">
        <f>Amnt_Deposited!H94</f>
        <v>0</v>
      </c>
      <c r="Q99" s="285">
        <f>MCF!R98</f>
        <v>0.6</v>
      </c>
      <c r="R99" s="68">
        <f t="shared" si="19"/>
        <v>0</v>
      </c>
      <c r="S99" s="68">
        <f>R99*$W$12</f>
        <v>0</v>
      </c>
      <c r="T99" s="68">
        <f>R99*(1-$W$12)</f>
        <v>0</v>
      </c>
      <c r="U99" s="68">
        <f>S99+U98*$W$10</f>
        <v>1.3388440119158236E-3</v>
      </c>
      <c r="V99" s="68">
        <f>U98*(1-$W$10)+T99</f>
        <v>9.7077144287114841E-5</v>
      </c>
      <c r="W99" s="102">
        <f t="shared" si="25"/>
        <v>6.4718096191409885E-5</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887" t="s">
        <v>338</v>
      </c>
      <c r="E2" s="888"/>
      <c r="F2" s="889"/>
    </row>
    <row r="3" spans="1:18" ht="16.5" thickBot="1">
      <c r="B3" s="12"/>
      <c r="C3" s="5" t="s">
        <v>276</v>
      </c>
      <c r="D3" s="887" t="s">
        <v>337</v>
      </c>
      <c r="E3" s="888"/>
      <c r="F3" s="889"/>
    </row>
    <row r="4" spans="1:18" ht="16.5" thickBot="1">
      <c r="B4" s="12"/>
      <c r="C4" s="5" t="s">
        <v>30</v>
      </c>
      <c r="D4" s="887" t="s">
        <v>266</v>
      </c>
      <c r="E4" s="888"/>
      <c r="F4" s="889"/>
    </row>
    <row r="5" spans="1:18" ht="16.5" thickBot="1">
      <c r="B5" s="12"/>
      <c r="C5" s="5" t="s">
        <v>117</v>
      </c>
      <c r="D5" s="890"/>
      <c r="E5" s="891"/>
      <c r="F5" s="892"/>
    </row>
    <row r="6" spans="1:18">
      <c r="B6" s="13" t="s">
        <v>201</v>
      </c>
    </row>
    <row r="7" spans="1:18">
      <c r="B7" s="20" t="s">
        <v>31</v>
      </c>
    </row>
    <row r="8" spans="1:18" ht="13.5" thickBot="1">
      <c r="B8" s="20"/>
    </row>
    <row r="9" spans="1:18" ht="12.75" customHeight="1">
      <c r="A9" s="1"/>
      <c r="C9" s="885" t="s">
        <v>18</v>
      </c>
      <c r="D9" s="886"/>
      <c r="E9" s="883" t="s">
        <v>100</v>
      </c>
      <c r="F9" s="884"/>
      <c r="H9" s="885" t="s">
        <v>18</v>
      </c>
      <c r="I9" s="886"/>
      <c r="J9" s="883" t="s">
        <v>100</v>
      </c>
      <c r="K9" s="884"/>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881" t="s">
        <v>250</v>
      </c>
      <c r="D12" s="882"/>
      <c r="E12" s="881" t="s">
        <v>250</v>
      </c>
      <c r="F12" s="882"/>
      <c r="H12" s="881" t="s">
        <v>251</v>
      </c>
      <c r="I12" s="882"/>
      <c r="J12" s="881" t="s">
        <v>251</v>
      </c>
      <c r="K12" s="882"/>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32">
        <f>INDEX(DOC_table,IF(Select2=1,1,14),1)</f>
        <v>0.38</v>
      </c>
      <c r="E15" s="350">
        <f>D15</f>
        <v>0.38</v>
      </c>
      <c r="F15" s="132"/>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0.38</v>
      </c>
      <c r="Q15" s="40" t="s">
        <v>6</v>
      </c>
      <c r="R15" s="388">
        <f>IF(Select2=1,J15,0)</f>
        <v>0.15</v>
      </c>
    </row>
    <row r="16" spans="1:18">
      <c r="B16" s="8" t="str">
        <f>IF(Select2=1,"Paper/cardboard","Sewage sludge")</f>
        <v>Paper/cardboard</v>
      </c>
      <c r="C16" s="158" t="str">
        <f>INDEX(DOC_table,IF(Select2=1,2,13),2)</f>
        <v>0.40-0.50</v>
      </c>
      <c r="D16" s="32">
        <f>INDEX(DOC_table,IF(Select2=1,2,13),1)</f>
        <v>0.44</v>
      </c>
      <c r="E16" s="259">
        <f>D16</f>
        <v>0.44</v>
      </c>
      <c r="F16" s="239"/>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0.44</v>
      </c>
      <c r="Q16" s="411" t="s">
        <v>262</v>
      </c>
      <c r="R16" s="389">
        <f>IF(Select2=1,J16,J63)</f>
        <v>0.4</v>
      </c>
    </row>
    <row r="17" spans="2:18">
      <c r="B17" s="2" t="str">
        <f>IF(Select2=1,"Garden and Park waste","Industrial waste")</f>
        <v>Garden and Park waste</v>
      </c>
      <c r="C17" s="158" t="str">
        <f>INDEX(DOC_table,IF(Select2=1,3,15),2)</f>
        <v>0.45-0.55</v>
      </c>
      <c r="D17" s="32">
        <f>INDEX(DOC_table,IF(Select2=1,3,15),1)</f>
        <v>0.49</v>
      </c>
      <c r="E17" s="259">
        <f t="shared" ref="E17:E25" si="0">D17</f>
        <v>0.49</v>
      </c>
      <c r="F17" s="239"/>
      <c r="H17" s="158" t="str">
        <f>INDEX(DOC_table,IF(Select2=1,3,15),4)</f>
        <v>0.18-0.22</v>
      </c>
      <c r="I17" s="32">
        <f>INDEX(DOC_table,IF(Select2=1,3,15),3)</f>
        <v>0.2</v>
      </c>
      <c r="J17" s="259">
        <f>I17</f>
        <v>0.2</v>
      </c>
      <c r="K17" s="239"/>
      <c r="L17" s="6"/>
      <c r="N17" s="410" t="s">
        <v>261</v>
      </c>
      <c r="O17" s="2">
        <f>IF(Select2=1,E17,E62)</f>
        <v>0.49</v>
      </c>
      <c r="Q17" s="410" t="s">
        <v>261</v>
      </c>
      <c r="R17" s="389">
        <f>IF(Select2=1,J17,J62)</f>
        <v>0.2</v>
      </c>
    </row>
    <row r="18" spans="2:18">
      <c r="B18" s="2" t="str">
        <f>IF(Select2=1,"Textiles","")</f>
        <v>Textiles</v>
      </c>
      <c r="C18" s="159" t="str">
        <f>IF(Select2=1,INDEX(DOC_table,4,2),"")</f>
        <v>0.25-0.50</v>
      </c>
      <c r="D18" s="16">
        <f>IF(Select2=1,INDEX(DOC_table,4,1),"")</f>
        <v>0.3</v>
      </c>
      <c r="E18" s="259">
        <f t="shared" si="0"/>
        <v>0.3</v>
      </c>
      <c r="F18" s="239"/>
      <c r="H18" s="159" t="str">
        <f>IF(Select2=1,INDEX(DOC_table,4,4),"")</f>
        <v>0.20-0.40</v>
      </c>
      <c r="I18" s="16">
        <f>IF(Select2=1,INDEX(DOC_table,4,3),"")</f>
        <v>0.24</v>
      </c>
      <c r="J18" s="259">
        <f>I18</f>
        <v>0.24</v>
      </c>
      <c r="K18" s="239"/>
      <c r="L18" s="6"/>
      <c r="N18" s="2" t="s">
        <v>16</v>
      </c>
      <c r="O18" s="2">
        <f>IF(Select2=1,E18,0)</f>
        <v>0.3</v>
      </c>
      <c r="Q18" s="2" t="s">
        <v>16</v>
      </c>
      <c r="R18" s="389">
        <f>IF(Select2=1,J18,0)</f>
        <v>0.24</v>
      </c>
    </row>
    <row r="19" spans="2:18">
      <c r="B19" s="2" t="str">
        <f>IF(Select2=1,"Rubber and Leather","")</f>
        <v>Rubber and Leather</v>
      </c>
      <c r="C19" s="159" t="str">
        <f>IF(Select2=1,INDEX(DOC_table,5,2),"")</f>
        <v>0.47</v>
      </c>
      <c r="D19" s="16">
        <f>IF(Select2=1,INDEX(DOC_table,5,1),"")</f>
        <v>0.47</v>
      </c>
      <c r="E19" s="259">
        <f t="shared" si="0"/>
        <v>0.47</v>
      </c>
      <c r="F19" s="239"/>
      <c r="H19" s="159" t="str">
        <f>IF(Select2=1,INDEX(DOC_table,5,4),"")</f>
        <v>0.39</v>
      </c>
      <c r="I19" s="16">
        <f>IF(Select2=1,INDEX(DOC_table,5,3),"")</f>
        <v>0.39</v>
      </c>
      <c r="J19" s="259">
        <f t="shared" ref="J19:J25" si="1">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389">
        <f>IF(Select2=1,J19,0)</f>
        <v>0.39</v>
      </c>
    </row>
    <row r="20" spans="2:18">
      <c r="B20" s="2" t="str">
        <f>IF(Select2=1,"Wood","")</f>
        <v>Wood</v>
      </c>
      <c r="C20" s="159" t="str">
        <f>IF(Select2=1,INDEX(DOC_table,6,2),"")</f>
        <v>0.46-0.54</v>
      </c>
      <c r="D20" s="16">
        <f>IF(Select2=1,INDEX(DOC_table,6,1),"")</f>
        <v>0.5</v>
      </c>
      <c r="E20" s="259">
        <f t="shared" si="0"/>
        <v>0.5</v>
      </c>
      <c r="F20" s="239"/>
      <c r="H20" s="159" t="str">
        <f>IF(Select2=1,INDEX(DOC_table,6,4),"")</f>
        <v>0.39-0.46</v>
      </c>
      <c r="I20" s="16">
        <f>IF(Select2=1,INDEX(DOC_table,6,3),"")</f>
        <v>0.43</v>
      </c>
      <c r="J20" s="259">
        <f t="shared" si="1"/>
        <v>0.43</v>
      </c>
      <c r="K20" s="239"/>
      <c r="L20" s="544"/>
      <c r="N20" s="409" t="s">
        <v>2</v>
      </c>
      <c r="O20" s="2">
        <f>IF(Select2=1,E20,E64)</f>
        <v>0.5</v>
      </c>
      <c r="Q20" s="409" t="s">
        <v>2</v>
      </c>
      <c r="R20" s="389">
        <f>IF(Select2=1,J20,J64)</f>
        <v>0.43</v>
      </c>
    </row>
    <row r="21" spans="2:18">
      <c r="B21" s="2" t="str">
        <f>IF(Select2=1,"Nappies","")</f>
        <v>Nappies</v>
      </c>
      <c r="C21" s="159" t="str">
        <f>IF(Select2=1,INDEX(DOC_table,7,2),"")</f>
        <v>0.44-0.80</v>
      </c>
      <c r="D21" s="16">
        <f>IF(Select2=1,INDEX(DOC_table,7,1),"")</f>
        <v>0.6</v>
      </c>
      <c r="E21" s="259">
        <f t="shared" si="0"/>
        <v>0.6</v>
      </c>
      <c r="F21" s="239"/>
      <c r="H21" s="159" t="str">
        <f>IF(Select2=1,INDEX(DOC_table,7,4),"")</f>
        <v>0.18-0.32</v>
      </c>
      <c r="I21" s="16">
        <f>IF(Select2=1,INDEX(DOC_table,7,3),"")</f>
        <v>0.24</v>
      </c>
      <c r="J21" s="259">
        <f t="shared" si="1"/>
        <v>0.24</v>
      </c>
      <c r="K21" s="239"/>
      <c r="L21" s="544"/>
      <c r="N21" s="409" t="s">
        <v>267</v>
      </c>
      <c r="O21" s="2">
        <f>IF(Select2=1,E21,0)</f>
        <v>0.6</v>
      </c>
      <c r="Q21" s="409" t="s">
        <v>267</v>
      </c>
      <c r="R21" s="389">
        <f>IF(Select2=1,J21,0)</f>
        <v>0.24</v>
      </c>
    </row>
    <row r="22" spans="2:18">
      <c r="B22" s="146" t="str">
        <f>IF(Select2=1,"Plastics","")</f>
        <v>Plastics</v>
      </c>
      <c r="C22" s="160">
        <f>IF(Select2=1,INDEX(DOC_table,9,2),"")</f>
        <v>0</v>
      </c>
      <c r="D22" s="193">
        <f>IF(Select2=1,INDEX(DOC_table,9,1),"")</f>
        <v>0</v>
      </c>
      <c r="E22" s="259">
        <f t="shared" si="0"/>
        <v>0</v>
      </c>
      <c r="F22" s="239"/>
      <c r="H22" s="160">
        <f>IF(Select2=1,INDEX(DOC_table,9,4),"")</f>
        <v>0</v>
      </c>
      <c r="I22" s="193">
        <f>IF(Select2=1,INDEX(DOC_table,9,3),"")</f>
        <v>0</v>
      </c>
      <c r="J22" s="259">
        <f t="shared" si="1"/>
        <v>0</v>
      </c>
      <c r="K22" s="239"/>
      <c r="L22" s="258"/>
      <c r="N22" s="146" t="s">
        <v>230</v>
      </c>
      <c r="O22" s="2">
        <f>IF(Select2=1,E22,0)</f>
        <v>0</v>
      </c>
      <c r="Q22" s="146" t="s">
        <v>230</v>
      </c>
      <c r="R22" s="389">
        <f>IF(Select2=1,J22,0)</f>
        <v>0</v>
      </c>
    </row>
    <row r="23" spans="2:18">
      <c r="B23" s="146" t="str">
        <f>IF(Select2=1,"Metal","")</f>
        <v>Metal</v>
      </c>
      <c r="C23" s="160">
        <f>IF(Select2=1,INDEX(DOC_table,10,2),"")</f>
        <v>0</v>
      </c>
      <c r="D23" s="193">
        <f>IF(Select2=1,INDEX(DOC_table,10,1),"")</f>
        <v>0</v>
      </c>
      <c r="E23" s="259">
        <f t="shared" si="0"/>
        <v>0</v>
      </c>
      <c r="F23" s="239"/>
      <c r="H23" s="160">
        <f>IF(Select2=1,INDEX(DOC_table,10,4),"")</f>
        <v>0</v>
      </c>
      <c r="I23" s="193">
        <f>IF(Select2=1,INDEX(DOC_table,10,3),"")</f>
        <v>0</v>
      </c>
      <c r="J23" s="259">
        <f t="shared" si="1"/>
        <v>0</v>
      </c>
      <c r="K23" s="239"/>
      <c r="L23" s="258"/>
      <c r="N23" s="146" t="s">
        <v>231</v>
      </c>
      <c r="O23" s="2">
        <f>IF(Select2=1,E23,0)</f>
        <v>0</v>
      </c>
      <c r="Q23" s="146" t="s">
        <v>231</v>
      </c>
      <c r="R23" s="389">
        <f>IF(Select2=1,J23,0)</f>
        <v>0</v>
      </c>
    </row>
    <row r="24" spans="2:18">
      <c r="B24" s="146" t="str">
        <f>IF(Select2=1,"Glass","")</f>
        <v>Glass</v>
      </c>
      <c r="C24" s="160">
        <f>IF(Select2=1,INDEX(DOC_table,11,2),"")</f>
        <v>0</v>
      </c>
      <c r="D24" s="193">
        <f>IF(Select2=1,INDEX(DOC_table,11,1),"")</f>
        <v>0</v>
      </c>
      <c r="E24" s="259">
        <f t="shared" si="0"/>
        <v>0</v>
      </c>
      <c r="F24" s="239"/>
      <c r="H24" s="160">
        <f>IF(Select2=1,INDEX(DOC_table,11,4),"")</f>
        <v>0</v>
      </c>
      <c r="I24" s="193">
        <f>IF(Select2=1,INDEX(DOC_table,11,3),"")</f>
        <v>0</v>
      </c>
      <c r="J24" s="259">
        <f t="shared" si="1"/>
        <v>0</v>
      </c>
      <c r="K24" s="239"/>
      <c r="L24" s="258"/>
      <c r="N24" s="146" t="s">
        <v>232</v>
      </c>
      <c r="O24" s="2">
        <f>IF(Select2=1,E24,0)</f>
        <v>0</v>
      </c>
      <c r="Q24" s="146" t="s">
        <v>232</v>
      </c>
      <c r="R24" s="389">
        <f>IF(Select2=1,J24,0)</f>
        <v>0</v>
      </c>
    </row>
    <row r="25" spans="2:18">
      <c r="B25" s="146" t="str">
        <f>IF(Select2=1,"Other","")</f>
        <v>Other</v>
      </c>
      <c r="C25" s="160">
        <f>IF(Select2=1,INDEX(DOC_table,12,2),"")</f>
        <v>0</v>
      </c>
      <c r="D25" s="193">
        <f>IF(Select2=1,INDEX(DOC_table,12,1),"")</f>
        <v>0</v>
      </c>
      <c r="E25" s="259">
        <f t="shared" si="0"/>
        <v>0</v>
      </c>
      <c r="F25" s="239"/>
      <c r="H25" s="160">
        <f>IF(Select2=1,INDEX(DOC_table,12,4),"")</f>
        <v>0</v>
      </c>
      <c r="I25" s="193">
        <f>IF(Select2=1,INDEX(DOC_table,12,3),"")</f>
        <v>0</v>
      </c>
      <c r="J25" s="259">
        <f t="shared" si="1"/>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ref="E27:E28" si="2">D27</f>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2"/>
        <v>0</v>
      </c>
      <c r="F28" s="542"/>
      <c r="H28" s="540" t="str">
        <f>IF(Select2=1,INDEX(DOC_table,15,4),"")</f>
        <v>0-0.54</v>
      </c>
      <c r="I28" s="541">
        <f>IF(Select2=1,INDEX(DOC_table,15,3),"")</f>
        <v>0.15</v>
      </c>
      <c r="J28" s="260">
        <f t="shared" ref="J28" si="3">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9">
        <f t="shared" ref="E34:E39" si="4">D34</f>
        <v>0.4</v>
      </c>
      <c r="F34" s="132"/>
      <c r="L34" s="349"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58" t="str">
        <f>INDEX(half_life,IF(Select2=1,1,4),selected*2)</f>
        <v>0.06–0.085</v>
      </c>
      <c r="D35" s="70">
        <f>INDEX(half_life,IF(Select2=1,1,4),selected*2-1)</f>
        <v>7.0000000000000007E-2</v>
      </c>
      <c r="E35" s="580">
        <f t="shared" si="4"/>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5"/>
        <v>7.0000000000000007E-2</v>
      </c>
    </row>
    <row r="36" spans="2:15">
      <c r="B36" s="2" t="str">
        <f>IF(Select2=1,"Garden and Park waste","Industrial waste")</f>
        <v>Garden and Park waste</v>
      </c>
      <c r="C36" s="158" t="str">
        <f>INDEX(half_life,IF(Select2=1,3,5),selected*2)</f>
        <v>0.15–0.2</v>
      </c>
      <c r="D36" s="70">
        <f>INDEX(half_life,IF(Select2=1,3,5),selected*2-1)</f>
        <v>0.17</v>
      </c>
      <c r="E36" s="580">
        <f t="shared" si="4"/>
        <v>0.17</v>
      </c>
      <c r="F36" s="43"/>
      <c r="L36" s="6"/>
      <c r="N36" s="410" t="s">
        <v>261</v>
      </c>
      <c r="O36" s="2">
        <f t="shared" si="5"/>
        <v>0.17</v>
      </c>
    </row>
    <row r="37" spans="2:15">
      <c r="B37" s="2" t="str">
        <f>IF(Select2=1,"Textiles","")</f>
        <v>Textiles</v>
      </c>
      <c r="C37" s="159" t="str">
        <f>IF(Select2=1,INDEX(half_life,1,selected*2),"")</f>
        <v>0.06–0.085</v>
      </c>
      <c r="D37" s="70">
        <f>IF(Select2=1,INDEX(half_life,1,selected*2-1),"")</f>
        <v>7.0000000000000007E-2</v>
      </c>
      <c r="E37" s="580">
        <f t="shared" si="4"/>
        <v>7.0000000000000007E-2</v>
      </c>
      <c r="F37" s="43"/>
      <c r="L37" s="6"/>
      <c r="N37" s="2" t="s">
        <v>16</v>
      </c>
      <c r="O37" s="2">
        <f t="shared" si="5"/>
        <v>7.0000000000000007E-2</v>
      </c>
    </row>
    <row r="38" spans="2:15">
      <c r="B38" s="2" t="str">
        <f>IF(Select2=1,"Rubber and Leather","")</f>
        <v>Rubber and Leather</v>
      </c>
      <c r="C38" s="159" t="str">
        <f>IF(Select2=1,INDEX(half_life,2,selected*2),"")</f>
        <v>0.03–0.05</v>
      </c>
      <c r="D38" s="70">
        <f>IF(Select2=1,INDEX(half_life,2,selected*2-1),"")</f>
        <v>3.5000000000000003E-2</v>
      </c>
      <c r="E38" s="581">
        <f t="shared" si="4"/>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59" t="str">
        <f>IF(Select2=1,INDEX(half_life,2,selected*2),"")</f>
        <v>0.03–0.05</v>
      </c>
      <c r="D39" s="70">
        <f>IF(Select2=1,INDEX(half_life,2,selected*2-1),"")</f>
        <v>3.5000000000000003E-2</v>
      </c>
      <c r="E39" s="581">
        <f t="shared" si="4"/>
        <v>3.5000000000000003E-2</v>
      </c>
      <c r="F39" s="239"/>
      <c r="N39" s="409" t="s">
        <v>2</v>
      </c>
      <c r="O39" s="2">
        <f t="shared" si="5"/>
        <v>3.5000000000000003E-2</v>
      </c>
    </row>
    <row r="40" spans="2:15">
      <c r="B40" s="2" t="str">
        <f>IF(Select2=1,"Nappies","")</f>
        <v>Nappies</v>
      </c>
      <c r="C40" s="159" t="str">
        <f>IF(Select2=1,INDEX(half_life,3,selected*2),"")</f>
        <v>0.15–0.2</v>
      </c>
      <c r="D40" s="70">
        <f>IF(Select2=1,INDEX(half_life,3,selected*2-1),"")</f>
        <v>0.17</v>
      </c>
      <c r="E40" s="581">
        <f>D40</f>
        <v>0.17</v>
      </c>
      <c r="F40" s="239"/>
      <c r="N40" s="409" t="s">
        <v>267</v>
      </c>
      <c r="O40" s="2">
        <f t="shared" si="5"/>
        <v>0.17</v>
      </c>
    </row>
    <row r="41" spans="2:15">
      <c r="B41" s="146" t="str">
        <f>IF(Select2=1,"Plastics","")</f>
        <v>Plastics</v>
      </c>
      <c r="C41" s="159">
        <f t="shared" ref="C41:D44" si="6">IF(Select2=1,0,"")</f>
        <v>0</v>
      </c>
      <c r="D41" s="429">
        <f t="shared" si="6"/>
        <v>0</v>
      </c>
      <c r="E41" s="581">
        <f>D41</f>
        <v>0</v>
      </c>
      <c r="F41" s="239"/>
      <c r="N41" s="146" t="s">
        <v>230</v>
      </c>
      <c r="O41" s="2">
        <f t="shared" si="5"/>
        <v>0</v>
      </c>
    </row>
    <row r="42" spans="2:15">
      <c r="B42" s="146" t="str">
        <f>IF(Select2=1,"Metal","")</f>
        <v>Metal</v>
      </c>
      <c r="C42" s="159">
        <f t="shared" si="6"/>
        <v>0</v>
      </c>
      <c r="D42" s="429">
        <f t="shared" si="6"/>
        <v>0</v>
      </c>
      <c r="E42" s="581">
        <f>D42</f>
        <v>0</v>
      </c>
      <c r="F42" s="239"/>
      <c r="N42" s="146" t="s">
        <v>231</v>
      </c>
      <c r="O42" s="2">
        <f t="shared" si="5"/>
        <v>0</v>
      </c>
    </row>
    <row r="43" spans="2:15">
      <c r="B43" s="146" t="str">
        <f>IF(Select2=1,"Glass","")</f>
        <v>Glass</v>
      </c>
      <c r="C43" s="159">
        <f t="shared" si="6"/>
        <v>0</v>
      </c>
      <c r="D43" s="429">
        <f t="shared" si="6"/>
        <v>0</v>
      </c>
      <c r="E43" s="581">
        <f>D43</f>
        <v>0</v>
      </c>
      <c r="F43" s="239"/>
      <c r="N43" s="146" t="s">
        <v>232</v>
      </c>
      <c r="O43" s="2">
        <f t="shared" si="5"/>
        <v>0</v>
      </c>
    </row>
    <row r="44" spans="2:15">
      <c r="B44" s="146" t="str">
        <f>IF(Select2=1,"Other","")</f>
        <v>Other</v>
      </c>
      <c r="C44" s="159">
        <f t="shared" si="6"/>
        <v>0</v>
      </c>
      <c r="D44" s="429">
        <f t="shared" si="6"/>
        <v>0</v>
      </c>
      <c r="E44" s="581">
        <f>D44</f>
        <v>0</v>
      </c>
      <c r="F44" s="239"/>
      <c r="N44" s="146" t="s">
        <v>233</v>
      </c>
      <c r="O44" s="2">
        <f t="shared" si="5"/>
        <v>0</v>
      </c>
    </row>
    <row r="45" spans="2:15">
      <c r="B45" s="146"/>
      <c r="C45" s="159"/>
      <c r="D45" s="70"/>
      <c r="E45" s="581"/>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1">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2">
        <f t="shared" ref="E47" si="7">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3">
        <v>6</v>
      </c>
      <c r="F49" s="42"/>
    </row>
    <row r="50" spans="1:18" ht="13.5" thickBot="1">
      <c r="B50" s="22"/>
      <c r="C50" s="14"/>
      <c r="D50" s="23"/>
      <c r="E50" s="24"/>
      <c r="F50" s="23"/>
    </row>
    <row r="51" spans="1:18" ht="13.5" thickBot="1">
      <c r="B51" s="35" t="s">
        <v>207</v>
      </c>
      <c r="C51" s="38"/>
      <c r="D51" s="21">
        <v>0.5</v>
      </c>
      <c r="E51" s="583">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3">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4">
        <f>D58</f>
        <v>0</v>
      </c>
      <c r="F58" s="94"/>
      <c r="L58" s="18"/>
    </row>
    <row r="59" spans="1:18" ht="13.5" thickBot="1">
      <c r="B59" s="281" t="s">
        <v>196</v>
      </c>
      <c r="C59" s="278"/>
      <c r="D59" s="279">
        <v>0</v>
      </c>
      <c r="E59" s="585">
        <f>D59</f>
        <v>0</v>
      </c>
      <c r="F59" s="41"/>
    </row>
    <row r="60" spans="1:18" ht="13.5" thickBot="1">
      <c r="B60" s="138"/>
      <c r="C60" s="262"/>
      <c r="D60" s="263"/>
      <c r="E60" s="265"/>
      <c r="F60" s="264"/>
    </row>
    <row r="61" spans="1:18" s="18" customFormat="1" ht="26.25" thickBot="1">
      <c r="A61"/>
      <c r="B61" s="268" t="s">
        <v>209</v>
      </c>
      <c r="C61" s="150"/>
      <c r="D61" s="878" t="s">
        <v>250</v>
      </c>
      <c r="E61" s="879"/>
      <c r="F61" s="880"/>
      <c r="H61" s="38"/>
      <c r="I61" s="878" t="s">
        <v>251</v>
      </c>
      <c r="J61" s="879"/>
      <c r="K61" s="880"/>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3" t="s">
        <v>336</v>
      </c>
    </row>
    <row r="71" spans="2:8">
      <c r="B71" s="893" t="s">
        <v>317</v>
      </c>
      <c r="C71" s="893"/>
      <c r="D71" s="894" t="s">
        <v>318</v>
      </c>
      <c r="E71" s="894"/>
      <c r="F71" s="894"/>
      <c r="G71" s="894"/>
      <c r="H71" s="894"/>
    </row>
    <row r="72" spans="2:8">
      <c r="B72" s="893" t="s">
        <v>319</v>
      </c>
      <c r="C72" s="893"/>
      <c r="D72" s="894" t="s">
        <v>320</v>
      </c>
      <c r="E72" s="894"/>
      <c r="F72" s="894"/>
      <c r="G72" s="894"/>
      <c r="H72" s="894"/>
    </row>
    <row r="73" spans="2:8">
      <c r="B73" s="893" t="s">
        <v>321</v>
      </c>
      <c r="C73" s="893"/>
      <c r="D73" s="894" t="s">
        <v>322</v>
      </c>
      <c r="E73" s="894"/>
      <c r="F73" s="894"/>
      <c r="G73" s="894"/>
      <c r="H73" s="894"/>
    </row>
    <row r="74" spans="2:8">
      <c r="B74" s="893" t="s">
        <v>323</v>
      </c>
      <c r="C74" s="893"/>
      <c r="D74" s="894" t="s">
        <v>324</v>
      </c>
      <c r="E74" s="894"/>
      <c r="F74" s="894"/>
      <c r="G74" s="894"/>
      <c r="H74" s="894"/>
    </row>
    <row r="75" spans="2:8">
      <c r="B75" s="561"/>
      <c r="C75" s="562"/>
      <c r="D75" s="562"/>
      <c r="E75" s="562"/>
      <c r="F75" s="562"/>
      <c r="G75" s="562"/>
      <c r="H75" s="562"/>
    </row>
    <row r="76" spans="2:8">
      <c r="B76" s="564"/>
      <c r="C76" s="565" t="s">
        <v>325</v>
      </c>
      <c r="D76" s="566" t="s">
        <v>87</v>
      </c>
      <c r="E76" s="566" t="s">
        <v>88</v>
      </c>
    </row>
    <row r="77" spans="2:8">
      <c r="B77" s="899" t="s">
        <v>133</v>
      </c>
      <c r="C77" s="567" t="s">
        <v>326</v>
      </c>
      <c r="D77" s="568" t="s">
        <v>327</v>
      </c>
      <c r="E77" s="568" t="s">
        <v>9</v>
      </c>
      <c r="F77" s="488"/>
      <c r="G77" s="547"/>
      <c r="H77" s="6"/>
    </row>
    <row r="78" spans="2:8">
      <c r="B78" s="900"/>
      <c r="C78" s="569"/>
      <c r="D78" s="570"/>
      <c r="E78" s="571"/>
      <c r="F78" s="6"/>
      <c r="G78" s="488"/>
      <c r="H78" s="6"/>
    </row>
    <row r="79" spans="2:8">
      <c r="B79" s="900"/>
      <c r="C79" s="569"/>
      <c r="D79" s="570"/>
      <c r="E79" s="571"/>
      <c r="F79" s="6"/>
      <c r="G79" s="488"/>
      <c r="H79" s="6"/>
    </row>
    <row r="80" spans="2:8">
      <c r="B80" s="900"/>
      <c r="C80" s="569"/>
      <c r="D80" s="570"/>
      <c r="E80" s="571"/>
      <c r="F80" s="6"/>
      <c r="G80" s="488"/>
      <c r="H80" s="6"/>
    </row>
    <row r="81" spans="2:8">
      <c r="B81" s="900"/>
      <c r="C81" s="569"/>
      <c r="D81" s="570"/>
      <c r="E81" s="571"/>
      <c r="F81" s="6"/>
      <c r="G81" s="488"/>
      <c r="H81" s="6"/>
    </row>
    <row r="82" spans="2:8">
      <c r="B82" s="900"/>
      <c r="C82" s="569"/>
      <c r="D82" s="570" t="s">
        <v>328</v>
      </c>
      <c r="E82" s="571"/>
      <c r="F82" s="6"/>
      <c r="G82" s="488"/>
      <c r="H82" s="6"/>
    </row>
    <row r="83" spans="2:8" ht="13.5" thickBot="1">
      <c r="B83" s="901"/>
      <c r="C83" s="572"/>
      <c r="D83" s="572"/>
      <c r="E83" s="573" t="s">
        <v>329</v>
      </c>
      <c r="F83" s="6"/>
      <c r="G83" s="6"/>
      <c r="H83" s="6"/>
    </row>
    <row r="84" spans="2:8" ht="13.5" thickTop="1">
      <c r="B84" s="564"/>
      <c r="C84" s="571"/>
      <c r="D84" s="564"/>
      <c r="E84" s="574"/>
      <c r="F84" s="6"/>
      <c r="G84" s="6"/>
      <c r="H84" s="6"/>
    </row>
    <row r="85" spans="2:8">
      <c r="B85" s="895" t="s">
        <v>330</v>
      </c>
      <c r="C85" s="896"/>
      <c r="D85" s="896"/>
      <c r="E85" s="897"/>
      <c r="F85" s="6"/>
      <c r="G85" s="6"/>
      <c r="H85" s="6"/>
    </row>
    <row r="86" spans="2:8">
      <c r="B86" s="575" t="s">
        <v>6</v>
      </c>
      <c r="C86" s="576">
        <v>0.63560000000000005</v>
      </c>
      <c r="D86" s="577">
        <v>0.15</v>
      </c>
      <c r="E86" s="577">
        <f>C86*D86</f>
        <v>9.5340000000000008E-2</v>
      </c>
      <c r="F86" s="6"/>
      <c r="G86" s="6"/>
      <c r="H86" s="6"/>
    </row>
    <row r="87" spans="2:8">
      <c r="B87" s="575" t="s">
        <v>256</v>
      </c>
      <c r="C87" s="576">
        <v>0.1042</v>
      </c>
      <c r="D87" s="577">
        <v>0.4</v>
      </c>
      <c r="E87" s="577">
        <f t="shared" ref="E87:E94" si="8">C87*D87</f>
        <v>4.1680000000000002E-2</v>
      </c>
      <c r="F87" s="6"/>
      <c r="G87" s="6"/>
      <c r="H87" s="6"/>
    </row>
    <row r="88" spans="2:8">
      <c r="B88" s="575" t="s">
        <v>2</v>
      </c>
      <c r="C88" s="576">
        <v>0</v>
      </c>
      <c r="D88" s="577">
        <v>0.43</v>
      </c>
      <c r="E88" s="577">
        <f t="shared" si="8"/>
        <v>0</v>
      </c>
      <c r="F88" s="6"/>
      <c r="G88" s="6"/>
      <c r="H88" s="6"/>
    </row>
    <row r="89" spans="2:8">
      <c r="B89" s="575" t="s">
        <v>16</v>
      </c>
      <c r="C89" s="576">
        <v>0</v>
      </c>
      <c r="D89" s="577">
        <v>0.24</v>
      </c>
      <c r="E89" s="577">
        <f t="shared" si="8"/>
        <v>0</v>
      </c>
      <c r="F89" s="6"/>
      <c r="G89" s="6"/>
      <c r="H89" s="6"/>
    </row>
    <row r="90" spans="2:8">
      <c r="B90" s="575" t="s">
        <v>331</v>
      </c>
      <c r="C90" s="576">
        <v>0</v>
      </c>
      <c r="D90" s="577">
        <v>0.39</v>
      </c>
      <c r="E90" s="577">
        <f t="shared" si="8"/>
        <v>0</v>
      </c>
    </row>
    <row r="91" spans="2:8">
      <c r="B91" s="575" t="s">
        <v>332</v>
      </c>
      <c r="C91" s="576">
        <v>1.4500000000000001E-2</v>
      </c>
      <c r="D91" s="577">
        <v>0</v>
      </c>
      <c r="E91" s="577">
        <f t="shared" si="8"/>
        <v>0</v>
      </c>
    </row>
    <row r="92" spans="2:8">
      <c r="B92" s="575" t="s">
        <v>231</v>
      </c>
      <c r="C92" s="576">
        <v>9.7600000000000006E-2</v>
      </c>
      <c r="D92" s="577">
        <v>0</v>
      </c>
      <c r="E92" s="577">
        <f t="shared" si="8"/>
        <v>0</v>
      </c>
    </row>
    <row r="93" spans="2:8">
      <c r="B93" s="575" t="s">
        <v>232</v>
      </c>
      <c r="C93" s="576">
        <v>1.7000000000000001E-2</v>
      </c>
      <c r="D93" s="577">
        <v>0</v>
      </c>
      <c r="E93" s="577">
        <f t="shared" si="8"/>
        <v>0</v>
      </c>
    </row>
    <row r="94" spans="2:8">
      <c r="B94" s="575" t="s">
        <v>233</v>
      </c>
      <c r="C94" s="576">
        <f>(0.95+12.16)/100</f>
        <v>0.13109999999999999</v>
      </c>
      <c r="D94" s="577">
        <v>0</v>
      </c>
      <c r="E94" s="577">
        <f t="shared" si="8"/>
        <v>0</v>
      </c>
    </row>
    <row r="95" spans="2:8">
      <c r="B95" s="898" t="s">
        <v>333</v>
      </c>
      <c r="C95" s="898"/>
      <c r="D95" s="898"/>
      <c r="E95" s="578">
        <f>SUM(E86:E94)</f>
        <v>0.13702</v>
      </c>
    </row>
    <row r="96" spans="2:8">
      <c r="B96" s="895" t="s">
        <v>334</v>
      </c>
      <c r="C96" s="896"/>
      <c r="D96" s="896"/>
      <c r="E96" s="897"/>
    </row>
    <row r="97" spans="2:5">
      <c r="B97" s="575" t="s">
        <v>6</v>
      </c>
      <c r="C97" s="576">
        <f>79.37/100</f>
        <v>0.79370000000000007</v>
      </c>
      <c r="D97" s="577">
        <v>0.15</v>
      </c>
      <c r="E97" s="577">
        <f>C97*D97</f>
        <v>0.11905500000000001</v>
      </c>
    </row>
    <row r="98" spans="2:5">
      <c r="B98" s="575" t="s">
        <v>256</v>
      </c>
      <c r="C98" s="576">
        <f>8.57/100</f>
        <v>8.5699999999999998E-2</v>
      </c>
      <c r="D98" s="577">
        <v>0.4</v>
      </c>
      <c r="E98" s="577">
        <f t="shared" ref="E98:E105" si="9">C98*D98</f>
        <v>3.4279999999999998E-2</v>
      </c>
    </row>
    <row r="99" spans="2:5">
      <c r="B99" s="575" t="s">
        <v>2</v>
      </c>
      <c r="C99" s="576">
        <f>0.75/100</f>
        <v>7.4999999999999997E-3</v>
      </c>
      <c r="D99" s="577">
        <v>0.43</v>
      </c>
      <c r="E99" s="577">
        <f t="shared" si="9"/>
        <v>3.225E-3</v>
      </c>
    </row>
    <row r="100" spans="2:5">
      <c r="B100" s="575" t="s">
        <v>16</v>
      </c>
      <c r="C100" s="576">
        <f>0.79/100</f>
        <v>7.9000000000000008E-3</v>
      </c>
      <c r="D100" s="577">
        <v>0.24</v>
      </c>
      <c r="E100" s="577">
        <f t="shared" si="9"/>
        <v>1.8960000000000001E-3</v>
      </c>
    </row>
    <row r="101" spans="2:5">
      <c r="B101" s="575" t="s">
        <v>331</v>
      </c>
      <c r="C101" s="576">
        <f>0.35/100</f>
        <v>3.4999999999999996E-3</v>
      </c>
      <c r="D101" s="577">
        <v>0.39</v>
      </c>
      <c r="E101" s="577">
        <f t="shared" si="9"/>
        <v>1.3649999999999999E-3</v>
      </c>
    </row>
    <row r="102" spans="2:5">
      <c r="B102" s="575" t="s">
        <v>332</v>
      </c>
      <c r="C102" s="576">
        <f>6.51/100</f>
        <v>6.5099999999999991E-2</v>
      </c>
      <c r="D102" s="577">
        <v>0</v>
      </c>
      <c r="E102" s="577">
        <f t="shared" si="9"/>
        <v>0</v>
      </c>
    </row>
    <row r="103" spans="2:5">
      <c r="B103" s="575" t="s">
        <v>231</v>
      </c>
      <c r="C103" s="576">
        <f>1.45/100</f>
        <v>1.4499999999999999E-2</v>
      </c>
      <c r="D103" s="577">
        <v>0</v>
      </c>
      <c r="E103" s="577">
        <f t="shared" si="9"/>
        <v>0</v>
      </c>
    </row>
    <row r="104" spans="2:5">
      <c r="B104" s="575" t="s">
        <v>232</v>
      </c>
      <c r="C104" s="576">
        <f>1.54/100</f>
        <v>1.54E-2</v>
      </c>
      <c r="D104" s="577">
        <v>0</v>
      </c>
      <c r="E104" s="577">
        <f t="shared" si="9"/>
        <v>0</v>
      </c>
    </row>
    <row r="105" spans="2:5">
      <c r="B105" s="575" t="s">
        <v>233</v>
      </c>
      <c r="C105" s="576">
        <f>0.67/100</f>
        <v>6.7000000000000002E-3</v>
      </c>
      <c r="D105" s="577">
        <v>0</v>
      </c>
      <c r="E105" s="577">
        <f t="shared" si="9"/>
        <v>0</v>
      </c>
    </row>
    <row r="106" spans="2:5">
      <c r="B106" s="898" t="s">
        <v>333</v>
      </c>
      <c r="C106" s="898"/>
      <c r="D106" s="898"/>
      <c r="E106" s="578">
        <f>SUM(E97:E105)</f>
        <v>0.15982100000000002</v>
      </c>
    </row>
    <row r="107" spans="2:5">
      <c r="B107" s="895" t="s">
        <v>335</v>
      </c>
      <c r="C107" s="896"/>
      <c r="D107" s="896"/>
      <c r="E107" s="897"/>
    </row>
    <row r="108" spans="2:5">
      <c r="B108" s="575" t="s">
        <v>6</v>
      </c>
      <c r="C108" s="576">
        <f>(59.47+6.92)/100</f>
        <v>0.66390000000000005</v>
      </c>
      <c r="D108" s="577">
        <v>0.15</v>
      </c>
      <c r="E108" s="577">
        <f>C108*D108</f>
        <v>9.9585000000000007E-2</v>
      </c>
    </row>
    <row r="109" spans="2:5">
      <c r="B109" s="575" t="s">
        <v>256</v>
      </c>
      <c r="C109" s="576">
        <f>12.85/100</f>
        <v>0.1285</v>
      </c>
      <c r="D109" s="577">
        <v>0.4</v>
      </c>
      <c r="E109" s="577">
        <f t="shared" ref="E109:E116" si="10">C109*D109</f>
        <v>5.1400000000000001E-2</v>
      </c>
    </row>
    <row r="110" spans="2:5">
      <c r="B110" s="575" t="s">
        <v>2</v>
      </c>
      <c r="C110" s="576">
        <v>0</v>
      </c>
      <c r="D110" s="577">
        <v>0.43</v>
      </c>
      <c r="E110" s="577">
        <f t="shared" si="10"/>
        <v>0</v>
      </c>
    </row>
    <row r="111" spans="2:5">
      <c r="B111" s="575" t="s">
        <v>16</v>
      </c>
      <c r="C111" s="576">
        <f>0.81/100</f>
        <v>8.1000000000000013E-3</v>
      </c>
      <c r="D111" s="577">
        <v>0.24</v>
      </c>
      <c r="E111" s="577">
        <f t="shared" si="10"/>
        <v>1.9440000000000002E-3</v>
      </c>
    </row>
    <row r="112" spans="2:5">
      <c r="B112" s="575" t="s">
        <v>331</v>
      </c>
      <c r="C112" s="576">
        <v>0</v>
      </c>
      <c r="D112" s="577">
        <v>0.39</v>
      </c>
      <c r="E112" s="577">
        <f t="shared" si="10"/>
        <v>0</v>
      </c>
    </row>
    <row r="113" spans="2:5">
      <c r="B113" s="575" t="s">
        <v>332</v>
      </c>
      <c r="C113" s="576">
        <f>10.71/100</f>
        <v>0.10710000000000001</v>
      </c>
      <c r="D113" s="577">
        <v>0</v>
      </c>
      <c r="E113" s="577">
        <f t="shared" si="10"/>
        <v>0</v>
      </c>
    </row>
    <row r="114" spans="2:5">
      <c r="B114" s="575" t="s">
        <v>231</v>
      </c>
      <c r="C114" s="576">
        <f>1.77/100</f>
        <v>1.77E-2</v>
      </c>
      <c r="D114" s="577">
        <v>0</v>
      </c>
      <c r="E114" s="577">
        <f t="shared" si="10"/>
        <v>0</v>
      </c>
    </row>
    <row r="115" spans="2:5">
      <c r="B115" s="575" t="s">
        <v>232</v>
      </c>
      <c r="C115" s="576">
        <f>1.33/100</f>
        <v>1.3300000000000001E-2</v>
      </c>
      <c r="D115" s="577">
        <v>0</v>
      </c>
      <c r="E115" s="577">
        <f t="shared" si="10"/>
        <v>0</v>
      </c>
    </row>
    <row r="116" spans="2:5">
      <c r="B116" s="575" t="s">
        <v>233</v>
      </c>
      <c r="C116" s="576">
        <f>6.21/100</f>
        <v>6.2100000000000002E-2</v>
      </c>
      <c r="D116" s="577">
        <v>0</v>
      </c>
      <c r="E116" s="577">
        <f t="shared" si="10"/>
        <v>0</v>
      </c>
    </row>
    <row r="117" spans="2:5">
      <c r="B117" s="898" t="s">
        <v>333</v>
      </c>
      <c r="C117" s="898"/>
      <c r="D117" s="898"/>
      <c r="E117" s="57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19" sqref="K19"/>
    </sheetView>
  </sheetViews>
  <sheetFormatPr defaultColWidth="8.85546875" defaultRowHeight="12.75"/>
  <cols>
    <col min="1" max="1" width="3.42578125" style="764" customWidth="1"/>
    <col min="2" max="2" width="5.28515625" style="764" customWidth="1"/>
    <col min="3" max="4" width="9" style="764" customWidth="1"/>
    <col min="5" max="5" width="7.42578125" style="778" customWidth="1"/>
    <col min="6" max="6" width="10.85546875" style="764" customWidth="1"/>
    <col min="7" max="7" width="10.7109375" style="764" customWidth="1"/>
    <col min="8" max="8" width="10.140625" style="764" customWidth="1"/>
    <col min="9" max="9" width="14.42578125" style="764" customWidth="1"/>
    <col min="10" max="10" width="12" style="764" customWidth="1"/>
    <col min="11" max="11" width="10.28515625" style="764" customWidth="1"/>
    <col min="12" max="12" width="8.85546875" style="769"/>
    <col min="13" max="13" width="2.7109375" style="770" customWidth="1"/>
    <col min="14" max="16384" width="8.85546875" style="769"/>
  </cols>
  <sheetData>
    <row r="2" spans="1:23" ht="15.75">
      <c r="B2" s="765" t="s">
        <v>309</v>
      </c>
      <c r="C2" s="766"/>
      <c r="D2" s="766"/>
      <c r="E2" s="767"/>
      <c r="F2" s="768"/>
      <c r="G2" s="768"/>
      <c r="H2" s="768"/>
      <c r="I2" s="768"/>
      <c r="J2" s="768"/>
      <c r="K2" s="768"/>
    </row>
    <row r="3" spans="1:23" ht="15">
      <c r="B3" s="771" t="str">
        <f>IF(Select2=1,"This sheet applies only to the bulk waste option and can be deleted when the waste composition option has been chosen","")</f>
        <v>This sheet applies only to the bulk waste option and can be deleted when the waste composition option has been chosen</v>
      </c>
      <c r="C3" s="766"/>
      <c r="D3" s="766"/>
      <c r="E3" s="767"/>
      <c r="F3" s="768"/>
      <c r="G3" s="768"/>
      <c r="H3" s="768"/>
      <c r="I3" s="768"/>
      <c r="J3" s="768"/>
      <c r="K3" s="768"/>
    </row>
    <row r="4" spans="1:23" ht="16.5" thickBot="1">
      <c r="B4" s="772"/>
      <c r="C4" s="773"/>
      <c r="D4" s="773"/>
      <c r="E4" s="774"/>
      <c r="F4" s="775"/>
      <c r="G4" s="775"/>
      <c r="H4" s="775"/>
      <c r="I4" s="775"/>
      <c r="J4" s="775"/>
      <c r="K4" s="775"/>
    </row>
    <row r="5" spans="1:23" ht="26.25" thickBot="1">
      <c r="B5" s="776"/>
      <c r="C5" s="777"/>
      <c r="D5" s="777"/>
      <c r="F5" s="779"/>
      <c r="G5" s="780"/>
      <c r="H5" s="780"/>
      <c r="I5" s="780"/>
      <c r="J5" s="780"/>
      <c r="K5" s="781" t="s">
        <v>7</v>
      </c>
      <c r="O5" s="776"/>
      <c r="P5" s="777"/>
      <c r="Q5" s="778"/>
      <c r="R5" s="779"/>
      <c r="S5" s="780"/>
      <c r="T5" s="780"/>
      <c r="U5" s="780"/>
      <c r="V5" s="780"/>
      <c r="W5" s="781" t="s">
        <v>7</v>
      </c>
    </row>
    <row r="6" spans="1:23">
      <c r="B6" s="776"/>
      <c r="C6" s="777"/>
      <c r="D6" s="777"/>
      <c r="F6" s="782" t="s">
        <v>9</v>
      </c>
      <c r="G6" s="783"/>
      <c r="H6" s="783"/>
      <c r="I6" s="784"/>
      <c r="J6" s="785" t="s">
        <v>9</v>
      </c>
      <c r="K6" s="786">
        <f>Parameters!O26</f>
        <v>0</v>
      </c>
      <c r="O6" s="776"/>
      <c r="P6" s="777"/>
      <c r="Q6" s="778"/>
      <c r="R6" s="782" t="s">
        <v>9</v>
      </c>
      <c r="S6" s="783"/>
      <c r="T6" s="783"/>
      <c r="U6" s="784"/>
      <c r="V6" s="785" t="s">
        <v>9</v>
      </c>
      <c r="W6" s="786">
        <f>Parameters!R26</f>
        <v>0</v>
      </c>
    </row>
    <row r="7" spans="1:23" ht="13.5" thickBot="1">
      <c r="B7" s="776"/>
      <c r="C7" s="777"/>
      <c r="D7" s="777"/>
      <c r="F7" s="787" t="s">
        <v>12</v>
      </c>
      <c r="G7" s="788"/>
      <c r="H7" s="788"/>
      <c r="I7" s="789"/>
      <c r="J7" s="790" t="s">
        <v>12</v>
      </c>
      <c r="K7" s="791">
        <f>DOCF</f>
        <v>0.5</v>
      </c>
      <c r="O7" s="776"/>
      <c r="P7" s="777"/>
      <c r="Q7" s="778"/>
      <c r="R7" s="787" t="s">
        <v>12</v>
      </c>
      <c r="S7" s="788"/>
      <c r="T7" s="788"/>
      <c r="U7" s="789"/>
      <c r="V7" s="790" t="s">
        <v>12</v>
      </c>
      <c r="W7" s="791">
        <f>DOCF</f>
        <v>0.5</v>
      </c>
    </row>
    <row r="8" spans="1:23">
      <c r="F8" s="782" t="s">
        <v>192</v>
      </c>
      <c r="G8" s="783"/>
      <c r="H8" s="783"/>
      <c r="I8" s="784"/>
      <c r="J8" s="785" t="s">
        <v>188</v>
      </c>
      <c r="K8" s="792">
        <f>Parameters!O45</f>
        <v>0</v>
      </c>
      <c r="O8" s="764"/>
      <c r="P8" s="764"/>
      <c r="Q8" s="778"/>
      <c r="R8" s="782" t="s">
        <v>192</v>
      </c>
      <c r="S8" s="783"/>
      <c r="T8" s="783"/>
      <c r="U8" s="784"/>
      <c r="V8" s="785" t="s">
        <v>188</v>
      </c>
      <c r="W8" s="792">
        <f>Parameters!O45</f>
        <v>0</v>
      </c>
    </row>
    <row r="9" spans="1:23" ht="15.75">
      <c r="F9" s="793" t="s">
        <v>190</v>
      </c>
      <c r="G9" s="794"/>
      <c r="H9" s="794"/>
      <c r="I9" s="795"/>
      <c r="J9" s="796" t="s">
        <v>189</v>
      </c>
      <c r="K9" s="797" t="e">
        <f>LN(2)/$K$8</f>
        <v>#DIV/0!</v>
      </c>
      <c r="O9" s="764"/>
      <c r="P9" s="764"/>
      <c r="Q9" s="778"/>
      <c r="R9" s="793" t="s">
        <v>190</v>
      </c>
      <c r="S9" s="794"/>
      <c r="T9" s="794"/>
      <c r="U9" s="795"/>
      <c r="V9" s="796" t="s">
        <v>189</v>
      </c>
      <c r="W9" s="797" t="e">
        <f>LN(2)/$W$8</f>
        <v>#DIV/0!</v>
      </c>
    </row>
    <row r="10" spans="1:23">
      <c r="F10" s="798" t="s">
        <v>84</v>
      </c>
      <c r="G10" s="799"/>
      <c r="H10" s="799"/>
      <c r="I10" s="800"/>
      <c r="J10" s="801" t="s">
        <v>148</v>
      </c>
      <c r="K10" s="802">
        <f>EXP(-$K$8)</f>
        <v>1</v>
      </c>
      <c r="O10" s="764"/>
      <c r="P10" s="764"/>
      <c r="Q10" s="778"/>
      <c r="R10" s="798" t="s">
        <v>84</v>
      </c>
      <c r="S10" s="799"/>
      <c r="T10" s="799"/>
      <c r="U10" s="800"/>
      <c r="V10" s="801" t="s">
        <v>148</v>
      </c>
      <c r="W10" s="802">
        <f>EXP(-$W$8)</f>
        <v>1</v>
      </c>
    </row>
    <row r="11" spans="1:23">
      <c r="F11" s="798" t="s">
        <v>8</v>
      </c>
      <c r="G11" s="799"/>
      <c r="H11" s="799"/>
      <c r="I11" s="800"/>
      <c r="J11" s="801" t="s">
        <v>83</v>
      </c>
      <c r="K11" s="802">
        <v>13</v>
      </c>
      <c r="O11" s="764"/>
      <c r="P11" s="764"/>
      <c r="Q11" s="778"/>
      <c r="R11" s="798" t="s">
        <v>8</v>
      </c>
      <c r="S11" s="799"/>
      <c r="T11" s="799"/>
      <c r="U11" s="800"/>
      <c r="V11" s="801" t="s">
        <v>83</v>
      </c>
      <c r="W11" s="802">
        <v>13</v>
      </c>
    </row>
    <row r="12" spans="1:23" ht="13.5" thickBot="1">
      <c r="F12" s="803" t="s">
        <v>85</v>
      </c>
      <c r="G12" s="804"/>
      <c r="H12" s="804"/>
      <c r="I12" s="805"/>
      <c r="J12" s="806" t="s">
        <v>179</v>
      </c>
      <c r="K12" s="807">
        <f>EXP(-$K$8*((13-K11)/12))</f>
        <v>1</v>
      </c>
      <c r="O12" s="764"/>
      <c r="P12" s="764"/>
      <c r="Q12" s="778"/>
      <c r="R12" s="803" t="s">
        <v>85</v>
      </c>
      <c r="S12" s="804"/>
      <c r="T12" s="804"/>
      <c r="U12" s="805"/>
      <c r="V12" s="806" t="s">
        <v>179</v>
      </c>
      <c r="W12" s="807">
        <f>EXP(-$W$8*((13-W11)/12))</f>
        <v>1</v>
      </c>
    </row>
    <row r="13" spans="1:23" ht="13.5" thickBot="1">
      <c r="C13" s="808"/>
      <c r="D13" s="808"/>
      <c r="F13" s="809" t="s">
        <v>86</v>
      </c>
      <c r="G13" s="810"/>
      <c r="H13" s="810"/>
      <c r="I13" s="811"/>
      <c r="J13" s="812" t="s">
        <v>82</v>
      </c>
      <c r="K13" s="813">
        <f>CH4_fraction</f>
        <v>0.5</v>
      </c>
      <c r="O13" s="764"/>
      <c r="P13" s="808"/>
      <c r="Q13" s="778"/>
      <c r="R13" s="809" t="s">
        <v>86</v>
      </c>
      <c r="S13" s="810"/>
      <c r="T13" s="810"/>
      <c r="U13" s="811"/>
      <c r="V13" s="812" t="s">
        <v>82</v>
      </c>
      <c r="W13" s="813">
        <f>CH4_fraction</f>
        <v>0.5</v>
      </c>
    </row>
    <row r="14" spans="1:23" ht="13.5" thickBot="1">
      <c r="F14" s="814"/>
      <c r="G14" s="814"/>
      <c r="H14" s="814"/>
      <c r="I14" s="814"/>
      <c r="J14" s="814"/>
      <c r="K14" s="814"/>
      <c r="O14" s="764"/>
      <c r="P14" s="764"/>
      <c r="Q14" s="778"/>
      <c r="R14" s="814"/>
      <c r="S14" s="814"/>
      <c r="T14" s="814"/>
      <c r="U14" s="814"/>
      <c r="V14" s="814"/>
      <c r="W14" s="814"/>
    </row>
    <row r="15" spans="1:23" ht="89.25">
      <c r="B15" s="815" t="s">
        <v>1</v>
      </c>
      <c r="C15" s="816" t="s">
        <v>10</v>
      </c>
      <c r="D15" s="817" t="s">
        <v>239</v>
      </c>
      <c r="E15" s="818" t="s">
        <v>11</v>
      </c>
      <c r="F15" s="819" t="s">
        <v>180</v>
      </c>
      <c r="G15" s="819" t="s">
        <v>181</v>
      </c>
      <c r="H15" s="819" t="s">
        <v>182</v>
      </c>
      <c r="I15" s="819" t="s">
        <v>183</v>
      </c>
      <c r="J15" s="819" t="s">
        <v>184</v>
      </c>
      <c r="K15" s="820" t="s">
        <v>185</v>
      </c>
      <c r="O15" s="815" t="s">
        <v>1</v>
      </c>
      <c r="P15" s="816" t="s">
        <v>10</v>
      </c>
      <c r="Q15" s="818" t="s">
        <v>11</v>
      </c>
      <c r="R15" s="819" t="s">
        <v>180</v>
      </c>
      <c r="S15" s="819" t="s">
        <v>181</v>
      </c>
      <c r="T15" s="819" t="s">
        <v>182</v>
      </c>
      <c r="U15" s="819" t="s">
        <v>183</v>
      </c>
      <c r="V15" s="819" t="s">
        <v>184</v>
      </c>
      <c r="W15" s="820" t="s">
        <v>185</v>
      </c>
    </row>
    <row r="16" spans="1:23" ht="45">
      <c r="A16" s="821"/>
      <c r="B16" s="822"/>
      <c r="C16" s="823" t="s">
        <v>186</v>
      </c>
      <c r="D16" s="823" t="s">
        <v>240</v>
      </c>
      <c r="E16" s="824" t="s">
        <v>11</v>
      </c>
      <c r="F16" s="825" t="s">
        <v>254</v>
      </c>
      <c r="G16" s="825" t="s">
        <v>149</v>
      </c>
      <c r="H16" s="825" t="s">
        <v>150</v>
      </c>
      <c r="I16" s="825" t="s">
        <v>151</v>
      </c>
      <c r="J16" s="825" t="s">
        <v>191</v>
      </c>
      <c r="K16" s="826" t="s">
        <v>152</v>
      </c>
      <c r="O16" s="822"/>
      <c r="P16" s="823" t="s">
        <v>186</v>
      </c>
      <c r="Q16" s="824" t="s">
        <v>11</v>
      </c>
      <c r="R16" s="825" t="s">
        <v>187</v>
      </c>
      <c r="S16" s="825" t="s">
        <v>149</v>
      </c>
      <c r="T16" s="825" t="s">
        <v>150</v>
      </c>
      <c r="U16" s="825" t="s">
        <v>151</v>
      </c>
      <c r="V16" s="825" t="s">
        <v>191</v>
      </c>
      <c r="W16" s="826" t="s">
        <v>152</v>
      </c>
    </row>
    <row r="17" spans="2:23" ht="13.5" thickBot="1">
      <c r="B17" s="827"/>
      <c r="C17" s="828" t="s">
        <v>15</v>
      </c>
      <c r="D17" s="829" t="s">
        <v>20</v>
      </c>
      <c r="E17" s="829" t="s">
        <v>20</v>
      </c>
      <c r="F17" s="830" t="s">
        <v>15</v>
      </c>
      <c r="G17" s="830" t="s">
        <v>15</v>
      </c>
      <c r="H17" s="830" t="s">
        <v>15</v>
      </c>
      <c r="I17" s="830" t="s">
        <v>15</v>
      </c>
      <c r="J17" s="830" t="s">
        <v>15</v>
      </c>
      <c r="K17" s="831" t="s">
        <v>15</v>
      </c>
      <c r="O17" s="827"/>
      <c r="P17" s="828" t="s">
        <v>15</v>
      </c>
      <c r="Q17" s="829" t="s">
        <v>20</v>
      </c>
      <c r="R17" s="830" t="s">
        <v>15</v>
      </c>
      <c r="S17" s="830" t="s">
        <v>15</v>
      </c>
      <c r="T17" s="830" t="s">
        <v>15</v>
      </c>
      <c r="U17" s="830" t="s">
        <v>15</v>
      </c>
      <c r="V17" s="830" t="s">
        <v>15</v>
      </c>
      <c r="W17" s="831" t="s">
        <v>15</v>
      </c>
    </row>
    <row r="18" spans="2:23" ht="13.5" thickBot="1">
      <c r="B18" s="832"/>
      <c r="C18" s="833"/>
      <c r="D18" s="833"/>
      <c r="E18" s="834"/>
      <c r="F18" s="835"/>
      <c r="G18" s="836"/>
      <c r="H18" s="836"/>
      <c r="I18" s="836"/>
      <c r="J18" s="836"/>
      <c r="K18" s="837"/>
      <c r="O18" s="832"/>
      <c r="P18" s="833"/>
      <c r="Q18" s="834"/>
      <c r="R18" s="835"/>
      <c r="S18" s="836"/>
      <c r="T18" s="836"/>
      <c r="U18" s="836"/>
      <c r="V18" s="836"/>
      <c r="W18" s="837"/>
    </row>
    <row r="19" spans="2:23">
      <c r="B19" s="838">
        <f>Amnt_Deposited!B14</f>
        <v>2000</v>
      </c>
      <c r="C19" s="839">
        <f>Amnt_Deposited!O14</f>
        <v>0</v>
      </c>
      <c r="D19" s="840">
        <f>Dry_Matter_Content!O6</f>
        <v>0</v>
      </c>
      <c r="E19" s="841">
        <f>MCF!R18</f>
        <v>0.6</v>
      </c>
      <c r="F19" s="842">
        <f t="shared" ref="F19:F82" si="0">C19*D19*$K$6*DOCF*E19</f>
        <v>0</v>
      </c>
      <c r="G19" s="843">
        <f t="shared" ref="G19:G82" si="1">F19*$K$12</f>
        <v>0</v>
      </c>
      <c r="H19" s="843">
        <f t="shared" ref="H19:H82" si="2">F19*(1-$K$12)</f>
        <v>0</v>
      </c>
      <c r="I19" s="843">
        <f t="shared" ref="I19:I82" si="3">G19+I18*$K$10</f>
        <v>0</v>
      </c>
      <c r="J19" s="843">
        <f t="shared" ref="J19:J82" si="4">I18*(1-$K$10)+H19</f>
        <v>0</v>
      </c>
      <c r="K19" s="844">
        <f>J19*CH4_fraction*conv</f>
        <v>0</v>
      </c>
      <c r="O19" s="838">
        <f>Amnt_Deposited!B14</f>
        <v>2000</v>
      </c>
      <c r="P19" s="839">
        <f>Amnt_Deposited!O14</f>
        <v>0</v>
      </c>
      <c r="Q19" s="841">
        <f>MCF!R18</f>
        <v>0.6</v>
      </c>
      <c r="R19" s="842">
        <f t="shared" ref="R19:R82" si="5">P19*$W$6*DOCF*Q19</f>
        <v>0</v>
      </c>
      <c r="S19" s="843">
        <f>R19*$W$12</f>
        <v>0</v>
      </c>
      <c r="T19" s="843">
        <f>R19*(1-$W$12)</f>
        <v>0</v>
      </c>
      <c r="U19" s="843">
        <f>S19+U18*$W$10</f>
        <v>0</v>
      </c>
      <c r="V19" s="843">
        <f>U18*(1-$W$10)+T19</f>
        <v>0</v>
      </c>
      <c r="W19" s="844">
        <f>V19*CH4_fraction*conv</f>
        <v>0</v>
      </c>
    </row>
    <row r="20" spans="2:23">
      <c r="B20" s="845">
        <f>Amnt_Deposited!B15</f>
        <v>2001</v>
      </c>
      <c r="C20" s="846">
        <f>Amnt_Deposited!O15</f>
        <v>0</v>
      </c>
      <c r="D20" s="847">
        <f>Dry_Matter_Content!O7</f>
        <v>0</v>
      </c>
      <c r="E20" s="848">
        <f>MCF!R19</f>
        <v>0.6</v>
      </c>
      <c r="F20" s="849">
        <f t="shared" si="0"/>
        <v>0</v>
      </c>
      <c r="G20" s="849">
        <f t="shared" si="1"/>
        <v>0</v>
      </c>
      <c r="H20" s="849">
        <f t="shared" si="2"/>
        <v>0</v>
      </c>
      <c r="I20" s="849">
        <f t="shared" si="3"/>
        <v>0</v>
      </c>
      <c r="J20" s="849">
        <f t="shared" si="4"/>
        <v>0</v>
      </c>
      <c r="K20" s="850">
        <f>J20*CH4_fraction*conv</f>
        <v>0</v>
      </c>
      <c r="M20" s="851"/>
      <c r="O20" s="845">
        <f>Amnt_Deposited!B15</f>
        <v>2001</v>
      </c>
      <c r="P20" s="846">
        <f>Amnt_Deposited!O15</f>
        <v>0</v>
      </c>
      <c r="Q20" s="848">
        <f>MCF!R19</f>
        <v>0.6</v>
      </c>
      <c r="R20" s="849">
        <f t="shared" si="5"/>
        <v>0</v>
      </c>
      <c r="S20" s="849">
        <f>R20*$W$12</f>
        <v>0</v>
      </c>
      <c r="T20" s="849">
        <f>R20*(1-$W$12)</f>
        <v>0</v>
      </c>
      <c r="U20" s="849">
        <f>S20+U19*$W$10</f>
        <v>0</v>
      </c>
      <c r="V20" s="849">
        <f>U19*(1-$W$10)+T20</f>
        <v>0</v>
      </c>
      <c r="W20" s="850">
        <f>V20*CH4_fraction*conv</f>
        <v>0</v>
      </c>
    </row>
    <row r="21" spans="2:23">
      <c r="B21" s="845">
        <f>Amnt_Deposited!B16</f>
        <v>2002</v>
      </c>
      <c r="C21" s="846">
        <f>Amnt_Deposited!O16</f>
        <v>0</v>
      </c>
      <c r="D21" s="847">
        <f>Dry_Matter_Content!O8</f>
        <v>0</v>
      </c>
      <c r="E21" s="848">
        <f>MCF!R20</f>
        <v>0.6</v>
      </c>
      <c r="F21" s="849">
        <f t="shared" si="0"/>
        <v>0</v>
      </c>
      <c r="G21" s="849">
        <f t="shared" si="1"/>
        <v>0</v>
      </c>
      <c r="H21" s="849">
        <f t="shared" si="2"/>
        <v>0</v>
      </c>
      <c r="I21" s="849">
        <f t="shared" si="3"/>
        <v>0</v>
      </c>
      <c r="J21" s="849">
        <f t="shared" si="4"/>
        <v>0</v>
      </c>
      <c r="K21" s="850">
        <f t="shared" ref="K21:K84" si="6">J21*CH4_fraction*conv</f>
        <v>0</v>
      </c>
      <c r="O21" s="845">
        <f>Amnt_Deposited!B16</f>
        <v>2002</v>
      </c>
      <c r="P21" s="846">
        <f>Amnt_Deposited!O16</f>
        <v>0</v>
      </c>
      <c r="Q21" s="848">
        <f>MCF!R20</f>
        <v>0.6</v>
      </c>
      <c r="R21" s="849">
        <f t="shared" si="5"/>
        <v>0</v>
      </c>
      <c r="S21" s="849">
        <f t="shared" ref="S21:S84" si="7">R21*$W$12</f>
        <v>0</v>
      </c>
      <c r="T21" s="849">
        <f t="shared" ref="T21:T84" si="8">R21*(1-$W$12)</f>
        <v>0</v>
      </c>
      <c r="U21" s="849">
        <f t="shared" ref="U21:U84" si="9">S21+U20*$W$10</f>
        <v>0</v>
      </c>
      <c r="V21" s="849">
        <f t="shared" ref="V21:V84" si="10">U20*(1-$W$10)+T21</f>
        <v>0</v>
      </c>
      <c r="W21" s="850">
        <f t="shared" ref="W21:W84" si="11">V21*CH4_fraction*conv</f>
        <v>0</v>
      </c>
    </row>
    <row r="22" spans="2:23">
      <c r="B22" s="845">
        <f>Amnt_Deposited!B17</f>
        <v>2003</v>
      </c>
      <c r="C22" s="846">
        <f>Amnt_Deposited!O17</f>
        <v>0</v>
      </c>
      <c r="D22" s="847">
        <f>Dry_Matter_Content!O9</f>
        <v>0</v>
      </c>
      <c r="E22" s="848">
        <f>MCF!R21</f>
        <v>0.6</v>
      </c>
      <c r="F22" s="849">
        <f t="shared" si="0"/>
        <v>0</v>
      </c>
      <c r="G22" s="849">
        <f t="shared" si="1"/>
        <v>0</v>
      </c>
      <c r="H22" s="849">
        <f t="shared" si="2"/>
        <v>0</v>
      </c>
      <c r="I22" s="849">
        <f t="shared" si="3"/>
        <v>0</v>
      </c>
      <c r="J22" s="849">
        <f t="shared" si="4"/>
        <v>0</v>
      </c>
      <c r="K22" s="850">
        <f t="shared" si="6"/>
        <v>0</v>
      </c>
      <c r="N22" s="852"/>
      <c r="O22" s="845">
        <f>Amnt_Deposited!B17</f>
        <v>2003</v>
      </c>
      <c r="P22" s="846">
        <f>Amnt_Deposited!O17</f>
        <v>0</v>
      </c>
      <c r="Q22" s="848">
        <f>MCF!R21</f>
        <v>0.6</v>
      </c>
      <c r="R22" s="849">
        <f t="shared" si="5"/>
        <v>0</v>
      </c>
      <c r="S22" s="849">
        <f t="shared" si="7"/>
        <v>0</v>
      </c>
      <c r="T22" s="849">
        <f t="shared" si="8"/>
        <v>0</v>
      </c>
      <c r="U22" s="849">
        <f t="shared" si="9"/>
        <v>0</v>
      </c>
      <c r="V22" s="849">
        <f t="shared" si="10"/>
        <v>0</v>
      </c>
      <c r="W22" s="850">
        <f t="shared" si="11"/>
        <v>0</v>
      </c>
    </row>
    <row r="23" spans="2:23">
      <c r="B23" s="845">
        <f>Amnt_Deposited!B18</f>
        <v>2004</v>
      </c>
      <c r="C23" s="846">
        <f>Amnt_Deposited!O18</f>
        <v>0</v>
      </c>
      <c r="D23" s="847">
        <f>Dry_Matter_Content!O10</f>
        <v>0</v>
      </c>
      <c r="E23" s="848">
        <f>MCF!R22</f>
        <v>0.6</v>
      </c>
      <c r="F23" s="849">
        <f t="shared" si="0"/>
        <v>0</v>
      </c>
      <c r="G23" s="849">
        <f t="shared" si="1"/>
        <v>0</v>
      </c>
      <c r="H23" s="849">
        <f t="shared" si="2"/>
        <v>0</v>
      </c>
      <c r="I23" s="849">
        <f t="shared" si="3"/>
        <v>0</v>
      </c>
      <c r="J23" s="849">
        <f t="shared" si="4"/>
        <v>0</v>
      </c>
      <c r="K23" s="850">
        <f t="shared" si="6"/>
        <v>0</v>
      </c>
      <c r="N23" s="852"/>
      <c r="O23" s="845">
        <f>Amnt_Deposited!B18</f>
        <v>2004</v>
      </c>
      <c r="P23" s="846">
        <f>Amnt_Deposited!O18</f>
        <v>0</v>
      </c>
      <c r="Q23" s="848">
        <f>MCF!R22</f>
        <v>0.6</v>
      </c>
      <c r="R23" s="849">
        <f t="shared" si="5"/>
        <v>0</v>
      </c>
      <c r="S23" s="849">
        <f t="shared" si="7"/>
        <v>0</v>
      </c>
      <c r="T23" s="849">
        <f t="shared" si="8"/>
        <v>0</v>
      </c>
      <c r="U23" s="849">
        <f t="shared" si="9"/>
        <v>0</v>
      </c>
      <c r="V23" s="849">
        <f t="shared" si="10"/>
        <v>0</v>
      </c>
      <c r="W23" s="850">
        <f t="shared" si="11"/>
        <v>0</v>
      </c>
    </row>
    <row r="24" spans="2:23">
      <c r="B24" s="845">
        <f>Amnt_Deposited!B19</f>
        <v>2005</v>
      </c>
      <c r="C24" s="846">
        <f>Amnt_Deposited!O19</f>
        <v>0</v>
      </c>
      <c r="D24" s="847">
        <f>Dry_Matter_Content!O11</f>
        <v>0</v>
      </c>
      <c r="E24" s="848">
        <f>MCF!R23</f>
        <v>0.6</v>
      </c>
      <c r="F24" s="849">
        <f t="shared" si="0"/>
        <v>0</v>
      </c>
      <c r="G24" s="849">
        <f t="shared" si="1"/>
        <v>0</v>
      </c>
      <c r="H24" s="849">
        <f t="shared" si="2"/>
        <v>0</v>
      </c>
      <c r="I24" s="849">
        <f t="shared" si="3"/>
        <v>0</v>
      </c>
      <c r="J24" s="849">
        <f t="shared" si="4"/>
        <v>0</v>
      </c>
      <c r="K24" s="850">
        <f t="shared" si="6"/>
        <v>0</v>
      </c>
      <c r="N24" s="852"/>
      <c r="O24" s="845">
        <f>Amnt_Deposited!B19</f>
        <v>2005</v>
      </c>
      <c r="P24" s="846">
        <f>Amnt_Deposited!O19</f>
        <v>0</v>
      </c>
      <c r="Q24" s="848">
        <f>MCF!R23</f>
        <v>0.6</v>
      </c>
      <c r="R24" s="849">
        <f t="shared" si="5"/>
        <v>0</v>
      </c>
      <c r="S24" s="849">
        <f t="shared" si="7"/>
        <v>0</v>
      </c>
      <c r="T24" s="849">
        <f t="shared" si="8"/>
        <v>0</v>
      </c>
      <c r="U24" s="849">
        <f t="shared" si="9"/>
        <v>0</v>
      </c>
      <c r="V24" s="849">
        <f t="shared" si="10"/>
        <v>0</v>
      </c>
      <c r="W24" s="850">
        <f t="shared" si="11"/>
        <v>0</v>
      </c>
    </row>
    <row r="25" spans="2:23">
      <c r="B25" s="845">
        <f>Amnt_Deposited!B20</f>
        <v>2006</v>
      </c>
      <c r="C25" s="846">
        <f>Amnt_Deposited!O20</f>
        <v>0</v>
      </c>
      <c r="D25" s="847">
        <f>Dry_Matter_Content!O12</f>
        <v>0</v>
      </c>
      <c r="E25" s="848">
        <f>MCF!R24</f>
        <v>0.6</v>
      </c>
      <c r="F25" s="849">
        <f t="shared" si="0"/>
        <v>0</v>
      </c>
      <c r="G25" s="849">
        <f t="shared" si="1"/>
        <v>0</v>
      </c>
      <c r="H25" s="849">
        <f t="shared" si="2"/>
        <v>0</v>
      </c>
      <c r="I25" s="849">
        <f t="shared" si="3"/>
        <v>0</v>
      </c>
      <c r="J25" s="849">
        <f t="shared" si="4"/>
        <v>0</v>
      </c>
      <c r="K25" s="850">
        <f t="shared" si="6"/>
        <v>0</v>
      </c>
      <c r="N25" s="852"/>
      <c r="O25" s="845">
        <f>Amnt_Deposited!B20</f>
        <v>2006</v>
      </c>
      <c r="P25" s="846">
        <f>Amnt_Deposited!O20</f>
        <v>0</v>
      </c>
      <c r="Q25" s="848">
        <f>MCF!R24</f>
        <v>0.6</v>
      </c>
      <c r="R25" s="849">
        <f t="shared" si="5"/>
        <v>0</v>
      </c>
      <c r="S25" s="849">
        <f t="shared" si="7"/>
        <v>0</v>
      </c>
      <c r="T25" s="849">
        <f t="shared" si="8"/>
        <v>0</v>
      </c>
      <c r="U25" s="849">
        <f t="shared" si="9"/>
        <v>0</v>
      </c>
      <c r="V25" s="849">
        <f t="shared" si="10"/>
        <v>0</v>
      </c>
      <c r="W25" s="850">
        <f t="shared" si="11"/>
        <v>0</v>
      </c>
    </row>
    <row r="26" spans="2:23">
      <c r="B26" s="845">
        <f>Amnt_Deposited!B21</f>
        <v>2007</v>
      </c>
      <c r="C26" s="846">
        <f>Amnt_Deposited!O21</f>
        <v>0</v>
      </c>
      <c r="D26" s="847">
        <f>Dry_Matter_Content!O13</f>
        <v>0</v>
      </c>
      <c r="E26" s="848">
        <f>MCF!R25</f>
        <v>0.6</v>
      </c>
      <c r="F26" s="849">
        <f t="shared" si="0"/>
        <v>0</v>
      </c>
      <c r="G26" s="849">
        <f t="shared" si="1"/>
        <v>0</v>
      </c>
      <c r="H26" s="849">
        <f t="shared" si="2"/>
        <v>0</v>
      </c>
      <c r="I26" s="849">
        <f t="shared" si="3"/>
        <v>0</v>
      </c>
      <c r="J26" s="849">
        <f t="shared" si="4"/>
        <v>0</v>
      </c>
      <c r="K26" s="850">
        <f t="shared" si="6"/>
        <v>0</v>
      </c>
      <c r="N26" s="852"/>
      <c r="O26" s="845">
        <f>Amnt_Deposited!B21</f>
        <v>2007</v>
      </c>
      <c r="P26" s="846">
        <f>Amnt_Deposited!O21</f>
        <v>0</v>
      </c>
      <c r="Q26" s="848">
        <f>MCF!R25</f>
        <v>0.6</v>
      </c>
      <c r="R26" s="849">
        <f t="shared" si="5"/>
        <v>0</v>
      </c>
      <c r="S26" s="849">
        <f t="shared" si="7"/>
        <v>0</v>
      </c>
      <c r="T26" s="849">
        <f t="shared" si="8"/>
        <v>0</v>
      </c>
      <c r="U26" s="849">
        <f t="shared" si="9"/>
        <v>0</v>
      </c>
      <c r="V26" s="849">
        <f t="shared" si="10"/>
        <v>0</v>
      </c>
      <c r="W26" s="850">
        <f t="shared" si="11"/>
        <v>0</v>
      </c>
    </row>
    <row r="27" spans="2:23">
      <c r="B27" s="845">
        <f>Amnt_Deposited!B22</f>
        <v>2008</v>
      </c>
      <c r="C27" s="846">
        <f>Amnt_Deposited!O22</f>
        <v>0</v>
      </c>
      <c r="D27" s="847">
        <f>Dry_Matter_Content!O14</f>
        <v>0</v>
      </c>
      <c r="E27" s="848">
        <f>MCF!R26</f>
        <v>0.6</v>
      </c>
      <c r="F27" s="849">
        <f t="shared" si="0"/>
        <v>0</v>
      </c>
      <c r="G27" s="849">
        <f t="shared" si="1"/>
        <v>0</v>
      </c>
      <c r="H27" s="849">
        <f t="shared" si="2"/>
        <v>0</v>
      </c>
      <c r="I27" s="849">
        <f t="shared" si="3"/>
        <v>0</v>
      </c>
      <c r="J27" s="849">
        <f t="shared" si="4"/>
        <v>0</v>
      </c>
      <c r="K27" s="850">
        <f t="shared" si="6"/>
        <v>0</v>
      </c>
      <c r="N27" s="852"/>
      <c r="O27" s="845">
        <f>Amnt_Deposited!B22</f>
        <v>2008</v>
      </c>
      <c r="P27" s="846">
        <f>Amnt_Deposited!O22</f>
        <v>0</v>
      </c>
      <c r="Q27" s="848">
        <f>MCF!R26</f>
        <v>0.6</v>
      </c>
      <c r="R27" s="849">
        <f t="shared" si="5"/>
        <v>0</v>
      </c>
      <c r="S27" s="849">
        <f t="shared" si="7"/>
        <v>0</v>
      </c>
      <c r="T27" s="849">
        <f t="shared" si="8"/>
        <v>0</v>
      </c>
      <c r="U27" s="849">
        <f t="shared" si="9"/>
        <v>0</v>
      </c>
      <c r="V27" s="849">
        <f t="shared" si="10"/>
        <v>0</v>
      </c>
      <c r="W27" s="850">
        <f t="shared" si="11"/>
        <v>0</v>
      </c>
    </row>
    <row r="28" spans="2:23">
      <c r="B28" s="845">
        <f>Amnt_Deposited!B23</f>
        <v>2009</v>
      </c>
      <c r="C28" s="846">
        <f>Amnt_Deposited!O23</f>
        <v>0</v>
      </c>
      <c r="D28" s="847">
        <f>Dry_Matter_Content!O15</f>
        <v>0</v>
      </c>
      <c r="E28" s="848">
        <f>MCF!R27</f>
        <v>0.6</v>
      </c>
      <c r="F28" s="849">
        <f t="shared" si="0"/>
        <v>0</v>
      </c>
      <c r="G28" s="849">
        <f t="shared" si="1"/>
        <v>0</v>
      </c>
      <c r="H28" s="849">
        <f t="shared" si="2"/>
        <v>0</v>
      </c>
      <c r="I28" s="849">
        <f t="shared" si="3"/>
        <v>0</v>
      </c>
      <c r="J28" s="849">
        <f t="shared" si="4"/>
        <v>0</v>
      </c>
      <c r="K28" s="850">
        <f t="shared" si="6"/>
        <v>0</v>
      </c>
      <c r="N28" s="852"/>
      <c r="O28" s="845">
        <f>Amnt_Deposited!B23</f>
        <v>2009</v>
      </c>
      <c r="P28" s="846">
        <f>Amnt_Deposited!O23</f>
        <v>0</v>
      </c>
      <c r="Q28" s="848">
        <f>MCF!R27</f>
        <v>0.6</v>
      </c>
      <c r="R28" s="849">
        <f t="shared" si="5"/>
        <v>0</v>
      </c>
      <c r="S28" s="849">
        <f t="shared" si="7"/>
        <v>0</v>
      </c>
      <c r="T28" s="849">
        <f t="shared" si="8"/>
        <v>0</v>
      </c>
      <c r="U28" s="849">
        <f t="shared" si="9"/>
        <v>0</v>
      </c>
      <c r="V28" s="849">
        <f t="shared" si="10"/>
        <v>0</v>
      </c>
      <c r="W28" s="850">
        <f t="shared" si="11"/>
        <v>0</v>
      </c>
    </row>
    <row r="29" spans="2:23">
      <c r="B29" s="845">
        <f>Amnt_Deposited!B24</f>
        <v>2010</v>
      </c>
      <c r="C29" s="846">
        <f>Amnt_Deposited!O24</f>
        <v>0</v>
      </c>
      <c r="D29" s="847">
        <f>Dry_Matter_Content!O16</f>
        <v>0</v>
      </c>
      <c r="E29" s="848">
        <f>MCF!R28</f>
        <v>0.6</v>
      </c>
      <c r="F29" s="849">
        <f t="shared" si="0"/>
        <v>0</v>
      </c>
      <c r="G29" s="849">
        <f t="shared" si="1"/>
        <v>0</v>
      </c>
      <c r="H29" s="849">
        <f t="shared" si="2"/>
        <v>0</v>
      </c>
      <c r="I29" s="849">
        <f t="shared" si="3"/>
        <v>0</v>
      </c>
      <c r="J29" s="849">
        <f t="shared" si="4"/>
        <v>0</v>
      </c>
      <c r="K29" s="850">
        <f t="shared" si="6"/>
        <v>0</v>
      </c>
      <c r="O29" s="845">
        <f>Amnt_Deposited!B24</f>
        <v>2010</v>
      </c>
      <c r="P29" s="846">
        <f>Amnt_Deposited!O24</f>
        <v>0</v>
      </c>
      <c r="Q29" s="848">
        <f>MCF!R28</f>
        <v>0.6</v>
      </c>
      <c r="R29" s="849">
        <f t="shared" si="5"/>
        <v>0</v>
      </c>
      <c r="S29" s="849">
        <f t="shared" si="7"/>
        <v>0</v>
      </c>
      <c r="T29" s="849">
        <f t="shared" si="8"/>
        <v>0</v>
      </c>
      <c r="U29" s="849">
        <f t="shared" si="9"/>
        <v>0</v>
      </c>
      <c r="V29" s="849">
        <f t="shared" si="10"/>
        <v>0</v>
      </c>
      <c r="W29" s="850">
        <f t="shared" si="11"/>
        <v>0</v>
      </c>
    </row>
    <row r="30" spans="2:23">
      <c r="B30" s="845">
        <f>Amnt_Deposited!B25</f>
        <v>2011</v>
      </c>
      <c r="C30" s="846">
        <f>Amnt_Deposited!O25</f>
        <v>0</v>
      </c>
      <c r="D30" s="847">
        <f>Dry_Matter_Content!O17</f>
        <v>0</v>
      </c>
      <c r="E30" s="848">
        <f>MCF!R29</f>
        <v>0.6</v>
      </c>
      <c r="F30" s="849">
        <f t="shared" si="0"/>
        <v>0</v>
      </c>
      <c r="G30" s="849">
        <f t="shared" si="1"/>
        <v>0</v>
      </c>
      <c r="H30" s="849">
        <f t="shared" si="2"/>
        <v>0</v>
      </c>
      <c r="I30" s="849">
        <f t="shared" si="3"/>
        <v>0</v>
      </c>
      <c r="J30" s="849">
        <f t="shared" si="4"/>
        <v>0</v>
      </c>
      <c r="K30" s="850">
        <f t="shared" si="6"/>
        <v>0</v>
      </c>
      <c r="O30" s="845">
        <f>Amnt_Deposited!B25</f>
        <v>2011</v>
      </c>
      <c r="P30" s="846">
        <f>Amnt_Deposited!O25</f>
        <v>0</v>
      </c>
      <c r="Q30" s="848">
        <f>MCF!R29</f>
        <v>0.6</v>
      </c>
      <c r="R30" s="849">
        <f t="shared" si="5"/>
        <v>0</v>
      </c>
      <c r="S30" s="849">
        <f t="shared" si="7"/>
        <v>0</v>
      </c>
      <c r="T30" s="849">
        <f t="shared" si="8"/>
        <v>0</v>
      </c>
      <c r="U30" s="849">
        <f t="shared" si="9"/>
        <v>0</v>
      </c>
      <c r="V30" s="849">
        <f t="shared" si="10"/>
        <v>0</v>
      </c>
      <c r="W30" s="850">
        <f t="shared" si="11"/>
        <v>0</v>
      </c>
    </row>
    <row r="31" spans="2:23">
      <c r="B31" s="845">
        <f>Amnt_Deposited!B26</f>
        <v>2012</v>
      </c>
      <c r="C31" s="846">
        <f>Amnt_Deposited!O26</f>
        <v>0</v>
      </c>
      <c r="D31" s="847">
        <f>Dry_Matter_Content!O18</f>
        <v>0</v>
      </c>
      <c r="E31" s="848">
        <f>MCF!R30</f>
        <v>0.6</v>
      </c>
      <c r="F31" s="849">
        <f t="shared" si="0"/>
        <v>0</v>
      </c>
      <c r="G31" s="849">
        <f t="shared" si="1"/>
        <v>0</v>
      </c>
      <c r="H31" s="849">
        <f t="shared" si="2"/>
        <v>0</v>
      </c>
      <c r="I31" s="849">
        <f t="shared" si="3"/>
        <v>0</v>
      </c>
      <c r="J31" s="849">
        <f t="shared" si="4"/>
        <v>0</v>
      </c>
      <c r="K31" s="850">
        <f t="shared" si="6"/>
        <v>0</v>
      </c>
      <c r="O31" s="845">
        <f>Amnt_Deposited!B26</f>
        <v>2012</v>
      </c>
      <c r="P31" s="846">
        <f>Amnt_Deposited!O26</f>
        <v>0</v>
      </c>
      <c r="Q31" s="848">
        <f>MCF!R30</f>
        <v>0.6</v>
      </c>
      <c r="R31" s="849">
        <f t="shared" si="5"/>
        <v>0</v>
      </c>
      <c r="S31" s="849">
        <f t="shared" si="7"/>
        <v>0</v>
      </c>
      <c r="T31" s="849">
        <f t="shared" si="8"/>
        <v>0</v>
      </c>
      <c r="U31" s="849">
        <f t="shared" si="9"/>
        <v>0</v>
      </c>
      <c r="V31" s="849">
        <f t="shared" si="10"/>
        <v>0</v>
      </c>
      <c r="W31" s="850">
        <f t="shared" si="11"/>
        <v>0</v>
      </c>
    </row>
    <row r="32" spans="2:23">
      <c r="B32" s="845">
        <f>Amnt_Deposited!B27</f>
        <v>2013</v>
      </c>
      <c r="C32" s="846">
        <f>Amnt_Deposited!O27</f>
        <v>0</v>
      </c>
      <c r="D32" s="847">
        <f>Dry_Matter_Content!O19</f>
        <v>0</v>
      </c>
      <c r="E32" s="848">
        <f>MCF!R31</f>
        <v>0.6</v>
      </c>
      <c r="F32" s="849">
        <f t="shared" si="0"/>
        <v>0</v>
      </c>
      <c r="G32" s="849">
        <f t="shared" si="1"/>
        <v>0</v>
      </c>
      <c r="H32" s="849">
        <f t="shared" si="2"/>
        <v>0</v>
      </c>
      <c r="I32" s="849">
        <f t="shared" si="3"/>
        <v>0</v>
      </c>
      <c r="J32" s="849">
        <f t="shared" si="4"/>
        <v>0</v>
      </c>
      <c r="K32" s="850">
        <f t="shared" si="6"/>
        <v>0</v>
      </c>
      <c r="O32" s="845">
        <f>Amnt_Deposited!B27</f>
        <v>2013</v>
      </c>
      <c r="P32" s="846">
        <f>Amnt_Deposited!O27</f>
        <v>0</v>
      </c>
      <c r="Q32" s="848">
        <f>MCF!R31</f>
        <v>0.6</v>
      </c>
      <c r="R32" s="849">
        <f t="shared" si="5"/>
        <v>0</v>
      </c>
      <c r="S32" s="849">
        <f t="shared" si="7"/>
        <v>0</v>
      </c>
      <c r="T32" s="849">
        <f t="shared" si="8"/>
        <v>0</v>
      </c>
      <c r="U32" s="849">
        <f t="shared" si="9"/>
        <v>0</v>
      </c>
      <c r="V32" s="849">
        <f t="shared" si="10"/>
        <v>0</v>
      </c>
      <c r="W32" s="850">
        <f t="shared" si="11"/>
        <v>0</v>
      </c>
    </row>
    <row r="33" spans="2:23">
      <c r="B33" s="845">
        <f>Amnt_Deposited!B28</f>
        <v>2014</v>
      </c>
      <c r="C33" s="846">
        <f>Amnt_Deposited!O28</f>
        <v>0</v>
      </c>
      <c r="D33" s="847">
        <f>Dry_Matter_Content!O20</f>
        <v>0</v>
      </c>
      <c r="E33" s="848">
        <f>MCF!R32</f>
        <v>0.6</v>
      </c>
      <c r="F33" s="849">
        <f t="shared" si="0"/>
        <v>0</v>
      </c>
      <c r="G33" s="849">
        <f t="shared" si="1"/>
        <v>0</v>
      </c>
      <c r="H33" s="849">
        <f t="shared" si="2"/>
        <v>0</v>
      </c>
      <c r="I33" s="849">
        <f t="shared" si="3"/>
        <v>0</v>
      </c>
      <c r="J33" s="849">
        <f t="shared" si="4"/>
        <v>0</v>
      </c>
      <c r="K33" s="850">
        <f t="shared" si="6"/>
        <v>0</v>
      </c>
      <c r="O33" s="845">
        <f>Amnt_Deposited!B28</f>
        <v>2014</v>
      </c>
      <c r="P33" s="846">
        <f>Amnt_Deposited!O28</f>
        <v>0</v>
      </c>
      <c r="Q33" s="848">
        <f>MCF!R32</f>
        <v>0.6</v>
      </c>
      <c r="R33" s="849">
        <f t="shared" si="5"/>
        <v>0</v>
      </c>
      <c r="S33" s="849">
        <f t="shared" si="7"/>
        <v>0</v>
      </c>
      <c r="T33" s="849">
        <f t="shared" si="8"/>
        <v>0</v>
      </c>
      <c r="U33" s="849">
        <f t="shared" si="9"/>
        <v>0</v>
      </c>
      <c r="V33" s="849">
        <f t="shared" si="10"/>
        <v>0</v>
      </c>
      <c r="W33" s="850">
        <f t="shared" si="11"/>
        <v>0</v>
      </c>
    </row>
    <row r="34" spans="2:23">
      <c r="B34" s="845">
        <f>Amnt_Deposited!B29</f>
        <v>2015</v>
      </c>
      <c r="C34" s="846">
        <f>Amnt_Deposited!O29</f>
        <v>0</v>
      </c>
      <c r="D34" s="847">
        <f>Dry_Matter_Content!O21</f>
        <v>0</v>
      </c>
      <c r="E34" s="848">
        <f>MCF!R33</f>
        <v>0.6</v>
      </c>
      <c r="F34" s="849">
        <f t="shared" si="0"/>
        <v>0</v>
      </c>
      <c r="G34" s="849">
        <f t="shared" si="1"/>
        <v>0</v>
      </c>
      <c r="H34" s="849">
        <f t="shared" si="2"/>
        <v>0</v>
      </c>
      <c r="I34" s="849">
        <f t="shared" si="3"/>
        <v>0</v>
      </c>
      <c r="J34" s="849">
        <f t="shared" si="4"/>
        <v>0</v>
      </c>
      <c r="K34" s="850">
        <f t="shared" si="6"/>
        <v>0</v>
      </c>
      <c r="O34" s="845">
        <f>Amnt_Deposited!B29</f>
        <v>2015</v>
      </c>
      <c r="P34" s="846">
        <f>Amnt_Deposited!O29</f>
        <v>0</v>
      </c>
      <c r="Q34" s="848">
        <f>MCF!R33</f>
        <v>0.6</v>
      </c>
      <c r="R34" s="849">
        <f t="shared" si="5"/>
        <v>0</v>
      </c>
      <c r="S34" s="849">
        <f t="shared" si="7"/>
        <v>0</v>
      </c>
      <c r="T34" s="849">
        <f t="shared" si="8"/>
        <v>0</v>
      </c>
      <c r="U34" s="849">
        <f t="shared" si="9"/>
        <v>0</v>
      </c>
      <c r="V34" s="849">
        <f t="shared" si="10"/>
        <v>0</v>
      </c>
      <c r="W34" s="850">
        <f t="shared" si="11"/>
        <v>0</v>
      </c>
    </row>
    <row r="35" spans="2:23">
      <c r="B35" s="845">
        <f>Amnt_Deposited!B30</f>
        <v>2016</v>
      </c>
      <c r="C35" s="846">
        <f>Amnt_Deposited!O30</f>
        <v>0</v>
      </c>
      <c r="D35" s="847">
        <f>Dry_Matter_Content!O22</f>
        <v>0</v>
      </c>
      <c r="E35" s="848">
        <f>MCF!R34</f>
        <v>0.6</v>
      </c>
      <c r="F35" s="849">
        <f t="shared" si="0"/>
        <v>0</v>
      </c>
      <c r="G35" s="849">
        <f t="shared" si="1"/>
        <v>0</v>
      </c>
      <c r="H35" s="849">
        <f t="shared" si="2"/>
        <v>0</v>
      </c>
      <c r="I35" s="849">
        <f t="shared" si="3"/>
        <v>0</v>
      </c>
      <c r="J35" s="849">
        <f t="shared" si="4"/>
        <v>0</v>
      </c>
      <c r="K35" s="850">
        <f t="shared" si="6"/>
        <v>0</v>
      </c>
      <c r="O35" s="845">
        <f>Amnt_Deposited!B30</f>
        <v>2016</v>
      </c>
      <c r="P35" s="846">
        <f>Amnt_Deposited!O30</f>
        <v>0</v>
      </c>
      <c r="Q35" s="848">
        <f>MCF!R34</f>
        <v>0.6</v>
      </c>
      <c r="R35" s="849">
        <f t="shared" si="5"/>
        <v>0</v>
      </c>
      <c r="S35" s="849">
        <f t="shared" si="7"/>
        <v>0</v>
      </c>
      <c r="T35" s="849">
        <f t="shared" si="8"/>
        <v>0</v>
      </c>
      <c r="U35" s="849">
        <f t="shared" si="9"/>
        <v>0</v>
      </c>
      <c r="V35" s="849">
        <f t="shared" si="10"/>
        <v>0</v>
      </c>
      <c r="W35" s="850">
        <f t="shared" si="11"/>
        <v>0</v>
      </c>
    </row>
    <row r="36" spans="2:23">
      <c r="B36" s="845">
        <f>Amnt_Deposited!B31</f>
        <v>2017</v>
      </c>
      <c r="C36" s="846">
        <f>Amnt_Deposited!O31</f>
        <v>1.1069840000000002</v>
      </c>
      <c r="D36" s="847">
        <f>Dry_Matter_Content!O23</f>
        <v>0</v>
      </c>
      <c r="E36" s="848">
        <f>MCF!R35</f>
        <v>0.6</v>
      </c>
      <c r="F36" s="849">
        <f t="shared" si="0"/>
        <v>0</v>
      </c>
      <c r="G36" s="849">
        <f t="shared" si="1"/>
        <v>0</v>
      </c>
      <c r="H36" s="849">
        <f t="shared" si="2"/>
        <v>0</v>
      </c>
      <c r="I36" s="849">
        <f t="shared" si="3"/>
        <v>0</v>
      </c>
      <c r="J36" s="849">
        <f t="shared" si="4"/>
        <v>0</v>
      </c>
      <c r="K36" s="850">
        <f t="shared" si="6"/>
        <v>0</v>
      </c>
      <c r="O36" s="845">
        <f>Amnt_Deposited!B31</f>
        <v>2017</v>
      </c>
      <c r="P36" s="846">
        <f>Amnt_Deposited!O31</f>
        <v>1.1069840000000002</v>
      </c>
      <c r="Q36" s="848">
        <f>MCF!R35</f>
        <v>0.6</v>
      </c>
      <c r="R36" s="849">
        <f t="shared" si="5"/>
        <v>0</v>
      </c>
      <c r="S36" s="849">
        <f t="shared" si="7"/>
        <v>0</v>
      </c>
      <c r="T36" s="849">
        <f t="shared" si="8"/>
        <v>0</v>
      </c>
      <c r="U36" s="849">
        <f t="shared" si="9"/>
        <v>0</v>
      </c>
      <c r="V36" s="849">
        <f t="shared" si="10"/>
        <v>0</v>
      </c>
      <c r="W36" s="850">
        <f t="shared" si="11"/>
        <v>0</v>
      </c>
    </row>
    <row r="37" spans="2:23">
      <c r="B37" s="845">
        <f>Amnt_Deposited!B32</f>
        <v>2018</v>
      </c>
      <c r="C37" s="846">
        <f>Amnt_Deposited!O32</f>
        <v>1.222958188</v>
      </c>
      <c r="D37" s="847">
        <f>Dry_Matter_Content!O24</f>
        <v>0</v>
      </c>
      <c r="E37" s="848">
        <f>MCF!R36</f>
        <v>0.6</v>
      </c>
      <c r="F37" s="849">
        <f t="shared" si="0"/>
        <v>0</v>
      </c>
      <c r="G37" s="849">
        <f t="shared" si="1"/>
        <v>0</v>
      </c>
      <c r="H37" s="849">
        <f t="shared" si="2"/>
        <v>0</v>
      </c>
      <c r="I37" s="849">
        <f t="shared" si="3"/>
        <v>0</v>
      </c>
      <c r="J37" s="849">
        <f t="shared" si="4"/>
        <v>0</v>
      </c>
      <c r="K37" s="850">
        <f t="shared" si="6"/>
        <v>0</v>
      </c>
      <c r="O37" s="845">
        <f>Amnt_Deposited!B32</f>
        <v>2018</v>
      </c>
      <c r="P37" s="846">
        <f>Amnt_Deposited!O32</f>
        <v>1.222958188</v>
      </c>
      <c r="Q37" s="848">
        <f>MCF!R36</f>
        <v>0.6</v>
      </c>
      <c r="R37" s="849">
        <f t="shared" si="5"/>
        <v>0</v>
      </c>
      <c r="S37" s="849">
        <f t="shared" si="7"/>
        <v>0</v>
      </c>
      <c r="T37" s="849">
        <f t="shared" si="8"/>
        <v>0</v>
      </c>
      <c r="U37" s="849">
        <f t="shared" si="9"/>
        <v>0</v>
      </c>
      <c r="V37" s="849">
        <f t="shared" si="10"/>
        <v>0</v>
      </c>
      <c r="W37" s="850">
        <f t="shared" si="11"/>
        <v>0</v>
      </c>
    </row>
    <row r="38" spans="2:23">
      <c r="B38" s="845">
        <f>Amnt_Deposited!B33</f>
        <v>2019</v>
      </c>
      <c r="C38" s="846">
        <f>Amnt_Deposited!O33</f>
        <v>1.3499654897119999</v>
      </c>
      <c r="D38" s="847">
        <f>Dry_Matter_Content!O25</f>
        <v>0</v>
      </c>
      <c r="E38" s="848">
        <f>MCF!R37</f>
        <v>0.6</v>
      </c>
      <c r="F38" s="849">
        <f t="shared" si="0"/>
        <v>0</v>
      </c>
      <c r="G38" s="849">
        <f t="shared" si="1"/>
        <v>0</v>
      </c>
      <c r="H38" s="849">
        <f t="shared" si="2"/>
        <v>0</v>
      </c>
      <c r="I38" s="849">
        <f t="shared" si="3"/>
        <v>0</v>
      </c>
      <c r="J38" s="849">
        <f t="shared" si="4"/>
        <v>0</v>
      </c>
      <c r="K38" s="850">
        <f t="shared" si="6"/>
        <v>0</v>
      </c>
      <c r="O38" s="845">
        <f>Amnt_Deposited!B33</f>
        <v>2019</v>
      </c>
      <c r="P38" s="846">
        <f>Amnt_Deposited!O33</f>
        <v>1.3499654897119999</v>
      </c>
      <c r="Q38" s="848">
        <f>MCF!R37</f>
        <v>0.6</v>
      </c>
      <c r="R38" s="849">
        <f t="shared" si="5"/>
        <v>0</v>
      </c>
      <c r="S38" s="849">
        <f t="shared" si="7"/>
        <v>0</v>
      </c>
      <c r="T38" s="849">
        <f t="shared" si="8"/>
        <v>0</v>
      </c>
      <c r="U38" s="849">
        <f t="shared" si="9"/>
        <v>0</v>
      </c>
      <c r="V38" s="849">
        <f t="shared" si="10"/>
        <v>0</v>
      </c>
      <c r="W38" s="850">
        <f t="shared" si="11"/>
        <v>0</v>
      </c>
    </row>
    <row r="39" spans="2:23">
      <c r="B39" s="845">
        <f>Amnt_Deposited!B34</f>
        <v>2020</v>
      </c>
      <c r="C39" s="846">
        <f>Amnt_Deposited!O34</f>
        <v>1.4889987132900999</v>
      </c>
      <c r="D39" s="847">
        <f>Dry_Matter_Content!O26</f>
        <v>0</v>
      </c>
      <c r="E39" s="848">
        <f>MCF!R38</f>
        <v>0.6</v>
      </c>
      <c r="F39" s="849">
        <f t="shared" si="0"/>
        <v>0</v>
      </c>
      <c r="G39" s="849">
        <f t="shared" si="1"/>
        <v>0</v>
      </c>
      <c r="H39" s="849">
        <f t="shared" si="2"/>
        <v>0</v>
      </c>
      <c r="I39" s="849">
        <f t="shared" si="3"/>
        <v>0</v>
      </c>
      <c r="J39" s="849">
        <f t="shared" si="4"/>
        <v>0</v>
      </c>
      <c r="K39" s="850">
        <f t="shared" si="6"/>
        <v>0</v>
      </c>
      <c r="O39" s="845">
        <f>Amnt_Deposited!B34</f>
        <v>2020</v>
      </c>
      <c r="P39" s="846">
        <f>Amnt_Deposited!O34</f>
        <v>1.4889987132900999</v>
      </c>
      <c r="Q39" s="848">
        <f>MCF!R38</f>
        <v>0.6</v>
      </c>
      <c r="R39" s="849">
        <f t="shared" si="5"/>
        <v>0</v>
      </c>
      <c r="S39" s="849">
        <f t="shared" si="7"/>
        <v>0</v>
      </c>
      <c r="T39" s="849">
        <f t="shared" si="8"/>
        <v>0</v>
      </c>
      <c r="U39" s="849">
        <f t="shared" si="9"/>
        <v>0</v>
      </c>
      <c r="V39" s="849">
        <f t="shared" si="10"/>
        <v>0</v>
      </c>
      <c r="W39" s="850">
        <f t="shared" si="11"/>
        <v>0</v>
      </c>
    </row>
    <row r="40" spans="2:23">
      <c r="B40" s="845">
        <f>Amnt_Deposited!B35</f>
        <v>2021</v>
      </c>
      <c r="C40" s="846">
        <f>Amnt_Deposited!O35</f>
        <v>1.6411368214159272</v>
      </c>
      <c r="D40" s="847">
        <f>Dry_Matter_Content!O27</f>
        <v>0</v>
      </c>
      <c r="E40" s="848">
        <f>MCF!R39</f>
        <v>0.6</v>
      </c>
      <c r="F40" s="849">
        <f t="shared" si="0"/>
        <v>0</v>
      </c>
      <c r="G40" s="849">
        <f t="shared" si="1"/>
        <v>0</v>
      </c>
      <c r="H40" s="849">
        <f t="shared" si="2"/>
        <v>0</v>
      </c>
      <c r="I40" s="849">
        <f t="shared" si="3"/>
        <v>0</v>
      </c>
      <c r="J40" s="849">
        <f t="shared" si="4"/>
        <v>0</v>
      </c>
      <c r="K40" s="850">
        <f t="shared" si="6"/>
        <v>0</v>
      </c>
      <c r="O40" s="845">
        <f>Amnt_Deposited!B35</f>
        <v>2021</v>
      </c>
      <c r="P40" s="846">
        <f>Amnt_Deposited!O35</f>
        <v>1.6411368214159272</v>
      </c>
      <c r="Q40" s="848">
        <f>MCF!R39</f>
        <v>0.6</v>
      </c>
      <c r="R40" s="849">
        <f t="shared" si="5"/>
        <v>0</v>
      </c>
      <c r="S40" s="849">
        <f t="shared" si="7"/>
        <v>0</v>
      </c>
      <c r="T40" s="849">
        <f t="shared" si="8"/>
        <v>0</v>
      </c>
      <c r="U40" s="849">
        <f t="shared" si="9"/>
        <v>0</v>
      </c>
      <c r="V40" s="849">
        <f t="shared" si="10"/>
        <v>0</v>
      </c>
      <c r="W40" s="850">
        <f t="shared" si="11"/>
        <v>0</v>
      </c>
    </row>
    <row r="41" spans="2:23">
      <c r="B41" s="845">
        <f>Amnt_Deposited!B36</f>
        <v>2022</v>
      </c>
      <c r="C41" s="846">
        <f>Amnt_Deposited!O36</f>
        <v>1.8075522191850022</v>
      </c>
      <c r="D41" s="847">
        <f>Dry_Matter_Content!O28</f>
        <v>0</v>
      </c>
      <c r="E41" s="848">
        <f>MCF!R40</f>
        <v>0.6</v>
      </c>
      <c r="F41" s="849">
        <f t="shared" si="0"/>
        <v>0</v>
      </c>
      <c r="G41" s="849">
        <f t="shared" si="1"/>
        <v>0</v>
      </c>
      <c r="H41" s="849">
        <f t="shared" si="2"/>
        <v>0</v>
      </c>
      <c r="I41" s="849">
        <f t="shared" si="3"/>
        <v>0</v>
      </c>
      <c r="J41" s="849">
        <f t="shared" si="4"/>
        <v>0</v>
      </c>
      <c r="K41" s="850">
        <f t="shared" si="6"/>
        <v>0</v>
      </c>
      <c r="O41" s="845">
        <f>Amnt_Deposited!B36</f>
        <v>2022</v>
      </c>
      <c r="P41" s="846">
        <f>Amnt_Deposited!O36</f>
        <v>1.8075522191850022</v>
      </c>
      <c r="Q41" s="848">
        <f>MCF!R40</f>
        <v>0.6</v>
      </c>
      <c r="R41" s="849">
        <f t="shared" si="5"/>
        <v>0</v>
      </c>
      <c r="S41" s="849">
        <f t="shared" si="7"/>
        <v>0</v>
      </c>
      <c r="T41" s="849">
        <f t="shared" si="8"/>
        <v>0</v>
      </c>
      <c r="U41" s="849">
        <f t="shared" si="9"/>
        <v>0</v>
      </c>
      <c r="V41" s="849">
        <f t="shared" si="10"/>
        <v>0</v>
      </c>
      <c r="W41" s="850">
        <f t="shared" si="11"/>
        <v>0</v>
      </c>
    </row>
    <row r="42" spans="2:23">
      <c r="B42" s="845">
        <f>Amnt_Deposited!B37</f>
        <v>2023</v>
      </c>
      <c r="C42" s="846">
        <f>Amnt_Deposited!O37</f>
        <v>1.9895186469070369</v>
      </c>
      <c r="D42" s="847">
        <f>Dry_Matter_Content!O29</f>
        <v>0</v>
      </c>
      <c r="E42" s="848">
        <f>MCF!R41</f>
        <v>0.6</v>
      </c>
      <c r="F42" s="849">
        <f t="shared" si="0"/>
        <v>0</v>
      </c>
      <c r="G42" s="849">
        <f t="shared" si="1"/>
        <v>0</v>
      </c>
      <c r="H42" s="849">
        <f t="shared" si="2"/>
        <v>0</v>
      </c>
      <c r="I42" s="849">
        <f t="shared" si="3"/>
        <v>0</v>
      </c>
      <c r="J42" s="849">
        <f t="shared" si="4"/>
        <v>0</v>
      </c>
      <c r="K42" s="850">
        <f t="shared" si="6"/>
        <v>0</v>
      </c>
      <c r="O42" s="845">
        <f>Amnt_Deposited!B37</f>
        <v>2023</v>
      </c>
      <c r="P42" s="846">
        <f>Amnt_Deposited!O37</f>
        <v>1.9895186469070369</v>
      </c>
      <c r="Q42" s="848">
        <f>MCF!R41</f>
        <v>0.6</v>
      </c>
      <c r="R42" s="849">
        <f t="shared" si="5"/>
        <v>0</v>
      </c>
      <c r="S42" s="849">
        <f t="shared" si="7"/>
        <v>0</v>
      </c>
      <c r="T42" s="849">
        <f t="shared" si="8"/>
        <v>0</v>
      </c>
      <c r="U42" s="849">
        <f t="shared" si="9"/>
        <v>0</v>
      </c>
      <c r="V42" s="849">
        <f t="shared" si="10"/>
        <v>0</v>
      </c>
      <c r="W42" s="850">
        <f t="shared" si="11"/>
        <v>0</v>
      </c>
    </row>
    <row r="43" spans="2:23">
      <c r="B43" s="845">
        <f>Amnt_Deposited!B38</f>
        <v>2024</v>
      </c>
      <c r="C43" s="846">
        <f>Amnt_Deposited!O38</f>
        <v>2.1884197273004515</v>
      </c>
      <c r="D43" s="847">
        <f>Dry_Matter_Content!O30</f>
        <v>0</v>
      </c>
      <c r="E43" s="848">
        <f>MCF!R42</f>
        <v>0.6</v>
      </c>
      <c r="F43" s="849">
        <f t="shared" si="0"/>
        <v>0</v>
      </c>
      <c r="G43" s="849">
        <f t="shared" si="1"/>
        <v>0</v>
      </c>
      <c r="H43" s="849">
        <f t="shared" si="2"/>
        <v>0</v>
      </c>
      <c r="I43" s="849">
        <f t="shared" si="3"/>
        <v>0</v>
      </c>
      <c r="J43" s="849">
        <f t="shared" si="4"/>
        <v>0</v>
      </c>
      <c r="K43" s="850">
        <f t="shared" si="6"/>
        <v>0</v>
      </c>
      <c r="O43" s="845">
        <f>Amnt_Deposited!B38</f>
        <v>2024</v>
      </c>
      <c r="P43" s="846">
        <f>Amnt_Deposited!O38</f>
        <v>2.1884197273004515</v>
      </c>
      <c r="Q43" s="848">
        <f>MCF!R42</f>
        <v>0.6</v>
      </c>
      <c r="R43" s="849">
        <f t="shared" si="5"/>
        <v>0</v>
      </c>
      <c r="S43" s="849">
        <f t="shared" si="7"/>
        <v>0</v>
      </c>
      <c r="T43" s="849">
        <f t="shared" si="8"/>
        <v>0</v>
      </c>
      <c r="U43" s="849">
        <f t="shared" si="9"/>
        <v>0</v>
      </c>
      <c r="V43" s="849">
        <f t="shared" si="10"/>
        <v>0</v>
      </c>
      <c r="W43" s="850">
        <f t="shared" si="11"/>
        <v>0</v>
      </c>
    </row>
    <row r="44" spans="2:23">
      <c r="B44" s="845">
        <f>Amnt_Deposited!B39</f>
        <v>2025</v>
      </c>
      <c r="C44" s="846">
        <f>Amnt_Deposited!O39</f>
        <v>2.4057582205619372</v>
      </c>
      <c r="D44" s="847">
        <f>Dry_Matter_Content!O31</f>
        <v>0</v>
      </c>
      <c r="E44" s="848">
        <f>MCF!R43</f>
        <v>0.6</v>
      </c>
      <c r="F44" s="849">
        <f t="shared" si="0"/>
        <v>0</v>
      </c>
      <c r="G44" s="849">
        <f t="shared" si="1"/>
        <v>0</v>
      </c>
      <c r="H44" s="849">
        <f t="shared" si="2"/>
        <v>0</v>
      </c>
      <c r="I44" s="849">
        <f t="shared" si="3"/>
        <v>0</v>
      </c>
      <c r="J44" s="849">
        <f t="shared" si="4"/>
        <v>0</v>
      </c>
      <c r="K44" s="850">
        <f t="shared" si="6"/>
        <v>0</v>
      </c>
      <c r="O44" s="845">
        <f>Amnt_Deposited!B39</f>
        <v>2025</v>
      </c>
      <c r="P44" s="846">
        <f>Amnt_Deposited!O39</f>
        <v>2.4057582205619372</v>
      </c>
      <c r="Q44" s="848">
        <f>MCF!R43</f>
        <v>0.6</v>
      </c>
      <c r="R44" s="849">
        <f t="shared" si="5"/>
        <v>0</v>
      </c>
      <c r="S44" s="849">
        <f t="shared" si="7"/>
        <v>0</v>
      </c>
      <c r="T44" s="849">
        <f t="shared" si="8"/>
        <v>0</v>
      </c>
      <c r="U44" s="849">
        <f t="shared" si="9"/>
        <v>0</v>
      </c>
      <c r="V44" s="849">
        <f t="shared" si="10"/>
        <v>0</v>
      </c>
      <c r="W44" s="850">
        <f t="shared" si="11"/>
        <v>0</v>
      </c>
    </row>
    <row r="45" spans="2:23">
      <c r="B45" s="845">
        <f>Amnt_Deposited!B40</f>
        <v>2026</v>
      </c>
      <c r="C45" s="846">
        <f>Amnt_Deposited!O40</f>
        <v>2.6431660451128161</v>
      </c>
      <c r="D45" s="847">
        <f>Dry_Matter_Content!O32</f>
        <v>0</v>
      </c>
      <c r="E45" s="848">
        <f>MCF!R44</f>
        <v>0.6</v>
      </c>
      <c r="F45" s="849">
        <f t="shared" si="0"/>
        <v>0</v>
      </c>
      <c r="G45" s="849">
        <f t="shared" si="1"/>
        <v>0</v>
      </c>
      <c r="H45" s="849">
        <f t="shared" si="2"/>
        <v>0</v>
      </c>
      <c r="I45" s="849">
        <f t="shared" si="3"/>
        <v>0</v>
      </c>
      <c r="J45" s="849">
        <f t="shared" si="4"/>
        <v>0</v>
      </c>
      <c r="K45" s="850">
        <f t="shared" si="6"/>
        <v>0</v>
      </c>
      <c r="O45" s="845">
        <f>Amnt_Deposited!B40</f>
        <v>2026</v>
      </c>
      <c r="P45" s="846">
        <f>Amnt_Deposited!O40</f>
        <v>2.6431660451128161</v>
      </c>
      <c r="Q45" s="848">
        <f>MCF!R44</f>
        <v>0.6</v>
      </c>
      <c r="R45" s="849">
        <f t="shared" si="5"/>
        <v>0</v>
      </c>
      <c r="S45" s="849">
        <f t="shared" si="7"/>
        <v>0</v>
      </c>
      <c r="T45" s="849">
        <f t="shared" si="8"/>
        <v>0</v>
      </c>
      <c r="U45" s="849">
        <f t="shared" si="9"/>
        <v>0</v>
      </c>
      <c r="V45" s="849">
        <f t="shared" si="10"/>
        <v>0</v>
      </c>
      <c r="W45" s="850">
        <f t="shared" si="11"/>
        <v>0</v>
      </c>
    </row>
    <row r="46" spans="2:23">
      <c r="B46" s="845">
        <f>Amnt_Deposited!B41</f>
        <v>2027</v>
      </c>
      <c r="C46" s="846">
        <f>Amnt_Deposited!O41</f>
        <v>2.9024151264907476</v>
      </c>
      <c r="D46" s="847">
        <f>Dry_Matter_Content!O33</f>
        <v>0</v>
      </c>
      <c r="E46" s="848">
        <f>MCF!R45</f>
        <v>0.6</v>
      </c>
      <c r="F46" s="849">
        <f t="shared" si="0"/>
        <v>0</v>
      </c>
      <c r="G46" s="849">
        <f t="shared" si="1"/>
        <v>0</v>
      </c>
      <c r="H46" s="849">
        <f t="shared" si="2"/>
        <v>0</v>
      </c>
      <c r="I46" s="849">
        <f t="shared" si="3"/>
        <v>0</v>
      </c>
      <c r="J46" s="849">
        <f t="shared" si="4"/>
        <v>0</v>
      </c>
      <c r="K46" s="850">
        <f t="shared" si="6"/>
        <v>0</v>
      </c>
      <c r="O46" s="845">
        <f>Amnt_Deposited!B41</f>
        <v>2027</v>
      </c>
      <c r="P46" s="846">
        <f>Amnt_Deposited!O41</f>
        <v>2.9024151264907476</v>
      </c>
      <c r="Q46" s="848">
        <f>MCF!R45</f>
        <v>0.6</v>
      </c>
      <c r="R46" s="849">
        <f t="shared" si="5"/>
        <v>0</v>
      </c>
      <c r="S46" s="849">
        <f t="shared" si="7"/>
        <v>0</v>
      </c>
      <c r="T46" s="849">
        <f t="shared" si="8"/>
        <v>0</v>
      </c>
      <c r="U46" s="849">
        <f t="shared" si="9"/>
        <v>0</v>
      </c>
      <c r="V46" s="849">
        <f t="shared" si="10"/>
        <v>0</v>
      </c>
      <c r="W46" s="850">
        <f t="shared" si="11"/>
        <v>0</v>
      </c>
    </row>
    <row r="47" spans="2:23">
      <c r="B47" s="845">
        <f>Amnt_Deposited!B42</f>
        <v>2028</v>
      </c>
      <c r="C47" s="846">
        <f>Amnt_Deposited!O42</f>
        <v>3.1854291418954523</v>
      </c>
      <c r="D47" s="847">
        <f>Dry_Matter_Content!O34</f>
        <v>0</v>
      </c>
      <c r="E47" s="848">
        <f>MCF!R46</f>
        <v>0.6</v>
      </c>
      <c r="F47" s="849">
        <f t="shared" si="0"/>
        <v>0</v>
      </c>
      <c r="G47" s="849">
        <f t="shared" si="1"/>
        <v>0</v>
      </c>
      <c r="H47" s="849">
        <f t="shared" si="2"/>
        <v>0</v>
      </c>
      <c r="I47" s="849">
        <f t="shared" si="3"/>
        <v>0</v>
      </c>
      <c r="J47" s="849">
        <f t="shared" si="4"/>
        <v>0</v>
      </c>
      <c r="K47" s="850">
        <f t="shared" si="6"/>
        <v>0</v>
      </c>
      <c r="O47" s="845">
        <f>Amnt_Deposited!B42</f>
        <v>2028</v>
      </c>
      <c r="P47" s="846">
        <f>Amnt_Deposited!O42</f>
        <v>3.1854291418954523</v>
      </c>
      <c r="Q47" s="848">
        <f>MCF!R46</f>
        <v>0.6</v>
      </c>
      <c r="R47" s="849">
        <f t="shared" si="5"/>
        <v>0</v>
      </c>
      <c r="S47" s="849">
        <f t="shared" si="7"/>
        <v>0</v>
      </c>
      <c r="T47" s="849">
        <f t="shared" si="8"/>
        <v>0</v>
      </c>
      <c r="U47" s="849">
        <f t="shared" si="9"/>
        <v>0</v>
      </c>
      <c r="V47" s="849">
        <f t="shared" si="10"/>
        <v>0</v>
      </c>
      <c r="W47" s="850">
        <f t="shared" si="11"/>
        <v>0</v>
      </c>
    </row>
    <row r="48" spans="2:23">
      <c r="B48" s="845">
        <f>Amnt_Deposited!B43</f>
        <v>2029</v>
      </c>
      <c r="C48" s="846">
        <f>Amnt_Deposited!O43</f>
        <v>3.4942962333401746</v>
      </c>
      <c r="D48" s="847">
        <f>Dry_Matter_Content!O35</f>
        <v>0</v>
      </c>
      <c r="E48" s="848">
        <f>MCF!R47</f>
        <v>0.6</v>
      </c>
      <c r="F48" s="849">
        <f t="shared" si="0"/>
        <v>0</v>
      </c>
      <c r="G48" s="849">
        <f t="shared" si="1"/>
        <v>0</v>
      </c>
      <c r="H48" s="849">
        <f t="shared" si="2"/>
        <v>0</v>
      </c>
      <c r="I48" s="849">
        <f t="shared" si="3"/>
        <v>0</v>
      </c>
      <c r="J48" s="849">
        <f t="shared" si="4"/>
        <v>0</v>
      </c>
      <c r="K48" s="850">
        <f t="shared" si="6"/>
        <v>0</v>
      </c>
      <c r="O48" s="845">
        <f>Amnt_Deposited!B43</f>
        <v>2029</v>
      </c>
      <c r="P48" s="846">
        <f>Amnt_Deposited!O43</f>
        <v>3.4942962333401746</v>
      </c>
      <c r="Q48" s="848">
        <f>MCF!R47</f>
        <v>0.6</v>
      </c>
      <c r="R48" s="849">
        <f t="shared" si="5"/>
        <v>0</v>
      </c>
      <c r="S48" s="849">
        <f t="shared" si="7"/>
        <v>0</v>
      </c>
      <c r="T48" s="849">
        <f t="shared" si="8"/>
        <v>0</v>
      </c>
      <c r="U48" s="849">
        <f t="shared" si="9"/>
        <v>0</v>
      </c>
      <c r="V48" s="849">
        <f t="shared" si="10"/>
        <v>0</v>
      </c>
      <c r="W48" s="850">
        <f t="shared" si="11"/>
        <v>0</v>
      </c>
    </row>
    <row r="49" spans="2:23">
      <c r="B49" s="845">
        <f>Amnt_Deposited!B44</f>
        <v>2030</v>
      </c>
      <c r="C49" s="846">
        <f>Amnt_Deposited!O44</f>
        <v>3.8325499999999999</v>
      </c>
      <c r="D49" s="847">
        <f>Dry_Matter_Content!O36</f>
        <v>0</v>
      </c>
      <c r="E49" s="848">
        <f>MCF!R48</f>
        <v>0.6</v>
      </c>
      <c r="F49" s="849">
        <f t="shared" si="0"/>
        <v>0</v>
      </c>
      <c r="G49" s="849">
        <f t="shared" si="1"/>
        <v>0</v>
      </c>
      <c r="H49" s="849">
        <f t="shared" si="2"/>
        <v>0</v>
      </c>
      <c r="I49" s="849">
        <f t="shared" si="3"/>
        <v>0</v>
      </c>
      <c r="J49" s="849">
        <f t="shared" si="4"/>
        <v>0</v>
      </c>
      <c r="K49" s="850">
        <f t="shared" si="6"/>
        <v>0</v>
      </c>
      <c r="O49" s="845">
        <f>Amnt_Deposited!B44</f>
        <v>2030</v>
      </c>
      <c r="P49" s="846">
        <f>Amnt_Deposited!O44</f>
        <v>3.8325499999999999</v>
      </c>
      <c r="Q49" s="848">
        <f>MCF!R48</f>
        <v>0.6</v>
      </c>
      <c r="R49" s="849">
        <f t="shared" si="5"/>
        <v>0</v>
      </c>
      <c r="S49" s="849">
        <f t="shared" si="7"/>
        <v>0</v>
      </c>
      <c r="T49" s="849">
        <f t="shared" si="8"/>
        <v>0</v>
      </c>
      <c r="U49" s="849">
        <f t="shared" si="9"/>
        <v>0</v>
      </c>
      <c r="V49" s="849">
        <f t="shared" si="10"/>
        <v>0</v>
      </c>
      <c r="W49" s="850">
        <f t="shared" si="11"/>
        <v>0</v>
      </c>
    </row>
    <row r="50" spans="2:23">
      <c r="B50" s="845">
        <f>Amnt_Deposited!B45</f>
        <v>2031</v>
      </c>
      <c r="C50" s="846">
        <f>Amnt_Deposited!O45</f>
        <v>0</v>
      </c>
      <c r="D50" s="847">
        <f>Dry_Matter_Content!O37</f>
        <v>0</v>
      </c>
      <c r="E50" s="848">
        <f>MCF!R49</f>
        <v>0.6</v>
      </c>
      <c r="F50" s="849">
        <f t="shared" si="0"/>
        <v>0</v>
      </c>
      <c r="G50" s="849">
        <f t="shared" si="1"/>
        <v>0</v>
      </c>
      <c r="H50" s="849">
        <f t="shared" si="2"/>
        <v>0</v>
      </c>
      <c r="I50" s="849">
        <f t="shared" si="3"/>
        <v>0</v>
      </c>
      <c r="J50" s="849">
        <f t="shared" si="4"/>
        <v>0</v>
      </c>
      <c r="K50" s="850">
        <f t="shared" si="6"/>
        <v>0</v>
      </c>
      <c r="O50" s="845">
        <f>Amnt_Deposited!B45</f>
        <v>2031</v>
      </c>
      <c r="P50" s="846">
        <f>Amnt_Deposited!O45</f>
        <v>0</v>
      </c>
      <c r="Q50" s="848">
        <f>MCF!R49</f>
        <v>0.6</v>
      </c>
      <c r="R50" s="849">
        <f t="shared" si="5"/>
        <v>0</v>
      </c>
      <c r="S50" s="849">
        <f t="shared" si="7"/>
        <v>0</v>
      </c>
      <c r="T50" s="849">
        <f t="shared" si="8"/>
        <v>0</v>
      </c>
      <c r="U50" s="849">
        <f t="shared" si="9"/>
        <v>0</v>
      </c>
      <c r="V50" s="849">
        <f t="shared" si="10"/>
        <v>0</v>
      </c>
      <c r="W50" s="850">
        <f t="shared" si="11"/>
        <v>0</v>
      </c>
    </row>
    <row r="51" spans="2:23">
      <c r="B51" s="845">
        <f>Amnt_Deposited!B46</f>
        <v>2032</v>
      </c>
      <c r="C51" s="846">
        <f>Amnt_Deposited!O46</f>
        <v>0</v>
      </c>
      <c r="D51" s="847">
        <f>Dry_Matter_Content!O38</f>
        <v>0</v>
      </c>
      <c r="E51" s="848">
        <f>MCF!R50</f>
        <v>0.6</v>
      </c>
      <c r="F51" s="849">
        <f t="shared" si="0"/>
        <v>0</v>
      </c>
      <c r="G51" s="849">
        <f t="shared" si="1"/>
        <v>0</v>
      </c>
      <c r="H51" s="849">
        <f t="shared" si="2"/>
        <v>0</v>
      </c>
      <c r="I51" s="849">
        <f t="shared" si="3"/>
        <v>0</v>
      </c>
      <c r="J51" s="849">
        <f t="shared" si="4"/>
        <v>0</v>
      </c>
      <c r="K51" s="850">
        <f t="shared" si="6"/>
        <v>0</v>
      </c>
      <c r="O51" s="845">
        <f>Amnt_Deposited!B46</f>
        <v>2032</v>
      </c>
      <c r="P51" s="846">
        <f>Amnt_Deposited!O46</f>
        <v>0</v>
      </c>
      <c r="Q51" s="848">
        <f>MCF!R50</f>
        <v>0.6</v>
      </c>
      <c r="R51" s="849">
        <f t="shared" si="5"/>
        <v>0</v>
      </c>
      <c r="S51" s="849">
        <f t="shared" si="7"/>
        <v>0</v>
      </c>
      <c r="T51" s="849">
        <f t="shared" si="8"/>
        <v>0</v>
      </c>
      <c r="U51" s="849">
        <f t="shared" si="9"/>
        <v>0</v>
      </c>
      <c r="V51" s="849">
        <f t="shared" si="10"/>
        <v>0</v>
      </c>
      <c r="W51" s="850">
        <f t="shared" si="11"/>
        <v>0</v>
      </c>
    </row>
    <row r="52" spans="2:23">
      <c r="B52" s="845">
        <f>Amnt_Deposited!B47</f>
        <v>2033</v>
      </c>
      <c r="C52" s="846">
        <f>Amnt_Deposited!O47</f>
        <v>0</v>
      </c>
      <c r="D52" s="847">
        <f>Dry_Matter_Content!O39</f>
        <v>0</v>
      </c>
      <c r="E52" s="848">
        <f>MCF!R51</f>
        <v>0.6</v>
      </c>
      <c r="F52" s="849">
        <f t="shared" si="0"/>
        <v>0</v>
      </c>
      <c r="G52" s="849">
        <f t="shared" si="1"/>
        <v>0</v>
      </c>
      <c r="H52" s="849">
        <f t="shared" si="2"/>
        <v>0</v>
      </c>
      <c r="I52" s="849">
        <f t="shared" si="3"/>
        <v>0</v>
      </c>
      <c r="J52" s="849">
        <f t="shared" si="4"/>
        <v>0</v>
      </c>
      <c r="K52" s="850">
        <f t="shared" si="6"/>
        <v>0</v>
      </c>
      <c r="O52" s="845">
        <f>Amnt_Deposited!B47</f>
        <v>2033</v>
      </c>
      <c r="P52" s="846">
        <f>Amnt_Deposited!O47</f>
        <v>0</v>
      </c>
      <c r="Q52" s="848">
        <f>MCF!R51</f>
        <v>0.6</v>
      </c>
      <c r="R52" s="849">
        <f t="shared" si="5"/>
        <v>0</v>
      </c>
      <c r="S52" s="849">
        <f t="shared" si="7"/>
        <v>0</v>
      </c>
      <c r="T52" s="849">
        <f t="shared" si="8"/>
        <v>0</v>
      </c>
      <c r="U52" s="849">
        <f t="shared" si="9"/>
        <v>0</v>
      </c>
      <c r="V52" s="849">
        <f t="shared" si="10"/>
        <v>0</v>
      </c>
      <c r="W52" s="850">
        <f t="shared" si="11"/>
        <v>0</v>
      </c>
    </row>
    <row r="53" spans="2:23">
      <c r="B53" s="845">
        <f>Amnt_Deposited!B48</f>
        <v>2034</v>
      </c>
      <c r="C53" s="846">
        <f>Amnt_Deposited!O48</f>
        <v>0</v>
      </c>
      <c r="D53" s="847">
        <f>Dry_Matter_Content!O40</f>
        <v>0</v>
      </c>
      <c r="E53" s="848">
        <f>MCF!R52</f>
        <v>0.6</v>
      </c>
      <c r="F53" s="849">
        <f t="shared" si="0"/>
        <v>0</v>
      </c>
      <c r="G53" s="849">
        <f t="shared" si="1"/>
        <v>0</v>
      </c>
      <c r="H53" s="849">
        <f t="shared" si="2"/>
        <v>0</v>
      </c>
      <c r="I53" s="849">
        <f t="shared" si="3"/>
        <v>0</v>
      </c>
      <c r="J53" s="849">
        <f t="shared" si="4"/>
        <v>0</v>
      </c>
      <c r="K53" s="850">
        <f t="shared" si="6"/>
        <v>0</v>
      </c>
      <c r="O53" s="845">
        <f>Amnt_Deposited!B48</f>
        <v>2034</v>
      </c>
      <c r="P53" s="846">
        <f>Amnt_Deposited!O48</f>
        <v>0</v>
      </c>
      <c r="Q53" s="848">
        <f>MCF!R52</f>
        <v>0.6</v>
      </c>
      <c r="R53" s="849">
        <f t="shared" si="5"/>
        <v>0</v>
      </c>
      <c r="S53" s="849">
        <f t="shared" si="7"/>
        <v>0</v>
      </c>
      <c r="T53" s="849">
        <f t="shared" si="8"/>
        <v>0</v>
      </c>
      <c r="U53" s="849">
        <f t="shared" si="9"/>
        <v>0</v>
      </c>
      <c r="V53" s="849">
        <f t="shared" si="10"/>
        <v>0</v>
      </c>
      <c r="W53" s="850">
        <f t="shared" si="11"/>
        <v>0</v>
      </c>
    </row>
    <row r="54" spans="2:23">
      <c r="B54" s="845">
        <f>Amnt_Deposited!B49</f>
        <v>2035</v>
      </c>
      <c r="C54" s="846">
        <f>Amnt_Deposited!O49</f>
        <v>0</v>
      </c>
      <c r="D54" s="847">
        <f>Dry_Matter_Content!O41</f>
        <v>0</v>
      </c>
      <c r="E54" s="848">
        <f>MCF!R53</f>
        <v>0.6</v>
      </c>
      <c r="F54" s="849">
        <f t="shared" si="0"/>
        <v>0</v>
      </c>
      <c r="G54" s="849">
        <f t="shared" si="1"/>
        <v>0</v>
      </c>
      <c r="H54" s="849">
        <f t="shared" si="2"/>
        <v>0</v>
      </c>
      <c r="I54" s="849">
        <f t="shared" si="3"/>
        <v>0</v>
      </c>
      <c r="J54" s="849">
        <f t="shared" si="4"/>
        <v>0</v>
      </c>
      <c r="K54" s="850">
        <f t="shared" si="6"/>
        <v>0</v>
      </c>
      <c r="O54" s="845">
        <f>Amnt_Deposited!B49</f>
        <v>2035</v>
      </c>
      <c r="P54" s="846">
        <f>Amnt_Deposited!O49</f>
        <v>0</v>
      </c>
      <c r="Q54" s="848">
        <f>MCF!R53</f>
        <v>0.6</v>
      </c>
      <c r="R54" s="849">
        <f t="shared" si="5"/>
        <v>0</v>
      </c>
      <c r="S54" s="849">
        <f t="shared" si="7"/>
        <v>0</v>
      </c>
      <c r="T54" s="849">
        <f t="shared" si="8"/>
        <v>0</v>
      </c>
      <c r="U54" s="849">
        <f t="shared" si="9"/>
        <v>0</v>
      </c>
      <c r="V54" s="849">
        <f t="shared" si="10"/>
        <v>0</v>
      </c>
      <c r="W54" s="850">
        <f t="shared" si="11"/>
        <v>0</v>
      </c>
    </row>
    <row r="55" spans="2:23">
      <c r="B55" s="845">
        <f>Amnt_Deposited!B50</f>
        <v>2036</v>
      </c>
      <c r="C55" s="846">
        <f>Amnt_Deposited!O50</f>
        <v>0</v>
      </c>
      <c r="D55" s="847">
        <f>Dry_Matter_Content!O42</f>
        <v>0</v>
      </c>
      <c r="E55" s="848">
        <f>MCF!R54</f>
        <v>0.6</v>
      </c>
      <c r="F55" s="849">
        <f t="shared" si="0"/>
        <v>0</v>
      </c>
      <c r="G55" s="849">
        <f t="shared" si="1"/>
        <v>0</v>
      </c>
      <c r="H55" s="849">
        <f t="shared" si="2"/>
        <v>0</v>
      </c>
      <c r="I55" s="849">
        <f t="shared" si="3"/>
        <v>0</v>
      </c>
      <c r="J55" s="849">
        <f t="shared" si="4"/>
        <v>0</v>
      </c>
      <c r="K55" s="850">
        <f t="shared" si="6"/>
        <v>0</v>
      </c>
      <c r="O55" s="845">
        <f>Amnt_Deposited!B50</f>
        <v>2036</v>
      </c>
      <c r="P55" s="846">
        <f>Amnt_Deposited!O50</f>
        <v>0</v>
      </c>
      <c r="Q55" s="848">
        <f>MCF!R54</f>
        <v>0.6</v>
      </c>
      <c r="R55" s="849">
        <f t="shared" si="5"/>
        <v>0</v>
      </c>
      <c r="S55" s="849">
        <f t="shared" si="7"/>
        <v>0</v>
      </c>
      <c r="T55" s="849">
        <f t="shared" si="8"/>
        <v>0</v>
      </c>
      <c r="U55" s="849">
        <f t="shared" si="9"/>
        <v>0</v>
      </c>
      <c r="V55" s="849">
        <f t="shared" si="10"/>
        <v>0</v>
      </c>
      <c r="W55" s="850">
        <f t="shared" si="11"/>
        <v>0</v>
      </c>
    </row>
    <row r="56" spans="2:23">
      <c r="B56" s="845">
        <f>Amnt_Deposited!B51</f>
        <v>2037</v>
      </c>
      <c r="C56" s="846">
        <f>Amnt_Deposited!O51</f>
        <v>0</v>
      </c>
      <c r="D56" s="847">
        <f>Dry_Matter_Content!O43</f>
        <v>0</v>
      </c>
      <c r="E56" s="848">
        <f>MCF!R55</f>
        <v>0.6</v>
      </c>
      <c r="F56" s="849">
        <f t="shared" si="0"/>
        <v>0</v>
      </c>
      <c r="G56" s="849">
        <f t="shared" si="1"/>
        <v>0</v>
      </c>
      <c r="H56" s="849">
        <f t="shared" si="2"/>
        <v>0</v>
      </c>
      <c r="I56" s="849">
        <f t="shared" si="3"/>
        <v>0</v>
      </c>
      <c r="J56" s="849">
        <f t="shared" si="4"/>
        <v>0</v>
      </c>
      <c r="K56" s="850">
        <f t="shared" si="6"/>
        <v>0</v>
      </c>
      <c r="O56" s="845">
        <f>Amnt_Deposited!B51</f>
        <v>2037</v>
      </c>
      <c r="P56" s="846">
        <f>Amnt_Deposited!O51</f>
        <v>0</v>
      </c>
      <c r="Q56" s="848">
        <f>MCF!R55</f>
        <v>0.6</v>
      </c>
      <c r="R56" s="849">
        <f t="shared" si="5"/>
        <v>0</v>
      </c>
      <c r="S56" s="849">
        <f t="shared" si="7"/>
        <v>0</v>
      </c>
      <c r="T56" s="849">
        <f t="shared" si="8"/>
        <v>0</v>
      </c>
      <c r="U56" s="849">
        <f t="shared" si="9"/>
        <v>0</v>
      </c>
      <c r="V56" s="849">
        <f t="shared" si="10"/>
        <v>0</v>
      </c>
      <c r="W56" s="850">
        <f t="shared" si="11"/>
        <v>0</v>
      </c>
    </row>
    <row r="57" spans="2:23">
      <c r="B57" s="845">
        <f>Amnt_Deposited!B52</f>
        <v>2038</v>
      </c>
      <c r="C57" s="846">
        <f>Amnt_Deposited!O52</f>
        <v>0</v>
      </c>
      <c r="D57" s="847">
        <f>Dry_Matter_Content!O44</f>
        <v>0</v>
      </c>
      <c r="E57" s="848">
        <f>MCF!R56</f>
        <v>0.6</v>
      </c>
      <c r="F57" s="849">
        <f t="shared" si="0"/>
        <v>0</v>
      </c>
      <c r="G57" s="849">
        <f t="shared" si="1"/>
        <v>0</v>
      </c>
      <c r="H57" s="849">
        <f t="shared" si="2"/>
        <v>0</v>
      </c>
      <c r="I57" s="849">
        <f t="shared" si="3"/>
        <v>0</v>
      </c>
      <c r="J57" s="849">
        <f t="shared" si="4"/>
        <v>0</v>
      </c>
      <c r="K57" s="850">
        <f t="shared" si="6"/>
        <v>0</v>
      </c>
      <c r="O57" s="845">
        <f>Amnt_Deposited!B52</f>
        <v>2038</v>
      </c>
      <c r="P57" s="846">
        <f>Amnt_Deposited!O52</f>
        <v>0</v>
      </c>
      <c r="Q57" s="848">
        <f>MCF!R56</f>
        <v>0.6</v>
      </c>
      <c r="R57" s="849">
        <f t="shared" si="5"/>
        <v>0</v>
      </c>
      <c r="S57" s="849">
        <f t="shared" si="7"/>
        <v>0</v>
      </c>
      <c r="T57" s="849">
        <f t="shared" si="8"/>
        <v>0</v>
      </c>
      <c r="U57" s="849">
        <f t="shared" si="9"/>
        <v>0</v>
      </c>
      <c r="V57" s="849">
        <f t="shared" si="10"/>
        <v>0</v>
      </c>
      <c r="W57" s="850">
        <f t="shared" si="11"/>
        <v>0</v>
      </c>
    </row>
    <row r="58" spans="2:23">
      <c r="B58" s="845">
        <f>Amnt_Deposited!B53</f>
        <v>2039</v>
      </c>
      <c r="C58" s="846">
        <f>Amnt_Deposited!O53</f>
        <v>0</v>
      </c>
      <c r="D58" s="847">
        <f>Dry_Matter_Content!O45</f>
        <v>0</v>
      </c>
      <c r="E58" s="848">
        <f>MCF!R57</f>
        <v>0.6</v>
      </c>
      <c r="F58" s="849">
        <f t="shared" si="0"/>
        <v>0</v>
      </c>
      <c r="G58" s="849">
        <f t="shared" si="1"/>
        <v>0</v>
      </c>
      <c r="H58" s="849">
        <f t="shared" si="2"/>
        <v>0</v>
      </c>
      <c r="I58" s="849">
        <f t="shared" si="3"/>
        <v>0</v>
      </c>
      <c r="J58" s="849">
        <f t="shared" si="4"/>
        <v>0</v>
      </c>
      <c r="K58" s="850">
        <f t="shared" si="6"/>
        <v>0</v>
      </c>
      <c r="O58" s="845">
        <f>Amnt_Deposited!B53</f>
        <v>2039</v>
      </c>
      <c r="P58" s="846">
        <f>Amnt_Deposited!O53</f>
        <v>0</v>
      </c>
      <c r="Q58" s="848">
        <f>MCF!R57</f>
        <v>0.6</v>
      </c>
      <c r="R58" s="849">
        <f t="shared" si="5"/>
        <v>0</v>
      </c>
      <c r="S58" s="849">
        <f t="shared" si="7"/>
        <v>0</v>
      </c>
      <c r="T58" s="849">
        <f t="shared" si="8"/>
        <v>0</v>
      </c>
      <c r="U58" s="849">
        <f t="shared" si="9"/>
        <v>0</v>
      </c>
      <c r="V58" s="849">
        <f t="shared" si="10"/>
        <v>0</v>
      </c>
      <c r="W58" s="850">
        <f t="shared" si="11"/>
        <v>0</v>
      </c>
    </row>
    <row r="59" spans="2:23">
      <c r="B59" s="845">
        <f>Amnt_Deposited!B54</f>
        <v>2040</v>
      </c>
      <c r="C59" s="846">
        <f>Amnt_Deposited!O54</f>
        <v>0</v>
      </c>
      <c r="D59" s="847">
        <f>Dry_Matter_Content!O46</f>
        <v>0</v>
      </c>
      <c r="E59" s="848">
        <f>MCF!R58</f>
        <v>0.6</v>
      </c>
      <c r="F59" s="849">
        <f t="shared" si="0"/>
        <v>0</v>
      </c>
      <c r="G59" s="849">
        <f t="shared" si="1"/>
        <v>0</v>
      </c>
      <c r="H59" s="849">
        <f t="shared" si="2"/>
        <v>0</v>
      </c>
      <c r="I59" s="849">
        <f t="shared" si="3"/>
        <v>0</v>
      </c>
      <c r="J59" s="849">
        <f t="shared" si="4"/>
        <v>0</v>
      </c>
      <c r="K59" s="850">
        <f t="shared" si="6"/>
        <v>0</v>
      </c>
      <c r="O59" s="845">
        <f>Amnt_Deposited!B54</f>
        <v>2040</v>
      </c>
      <c r="P59" s="846">
        <f>Amnt_Deposited!O54</f>
        <v>0</v>
      </c>
      <c r="Q59" s="848">
        <f>MCF!R58</f>
        <v>0.6</v>
      </c>
      <c r="R59" s="849">
        <f t="shared" si="5"/>
        <v>0</v>
      </c>
      <c r="S59" s="849">
        <f t="shared" si="7"/>
        <v>0</v>
      </c>
      <c r="T59" s="849">
        <f t="shared" si="8"/>
        <v>0</v>
      </c>
      <c r="U59" s="849">
        <f t="shared" si="9"/>
        <v>0</v>
      </c>
      <c r="V59" s="849">
        <f t="shared" si="10"/>
        <v>0</v>
      </c>
      <c r="W59" s="850">
        <f t="shared" si="11"/>
        <v>0</v>
      </c>
    </row>
    <row r="60" spans="2:23">
      <c r="B60" s="845">
        <f>Amnt_Deposited!B55</f>
        <v>2041</v>
      </c>
      <c r="C60" s="846">
        <f>Amnt_Deposited!O55</f>
        <v>0</v>
      </c>
      <c r="D60" s="847">
        <f>Dry_Matter_Content!O47</f>
        <v>0</v>
      </c>
      <c r="E60" s="848">
        <f>MCF!R59</f>
        <v>0.6</v>
      </c>
      <c r="F60" s="849">
        <f t="shared" si="0"/>
        <v>0</v>
      </c>
      <c r="G60" s="849">
        <f t="shared" si="1"/>
        <v>0</v>
      </c>
      <c r="H60" s="849">
        <f t="shared" si="2"/>
        <v>0</v>
      </c>
      <c r="I60" s="849">
        <f t="shared" si="3"/>
        <v>0</v>
      </c>
      <c r="J60" s="849">
        <f t="shared" si="4"/>
        <v>0</v>
      </c>
      <c r="K60" s="850">
        <f t="shared" si="6"/>
        <v>0</v>
      </c>
      <c r="O60" s="845">
        <f>Amnt_Deposited!B55</f>
        <v>2041</v>
      </c>
      <c r="P60" s="846">
        <f>Amnt_Deposited!O55</f>
        <v>0</v>
      </c>
      <c r="Q60" s="848">
        <f>MCF!R59</f>
        <v>0.6</v>
      </c>
      <c r="R60" s="849">
        <f t="shared" si="5"/>
        <v>0</v>
      </c>
      <c r="S60" s="849">
        <f t="shared" si="7"/>
        <v>0</v>
      </c>
      <c r="T60" s="849">
        <f t="shared" si="8"/>
        <v>0</v>
      </c>
      <c r="U60" s="849">
        <f t="shared" si="9"/>
        <v>0</v>
      </c>
      <c r="V60" s="849">
        <f t="shared" si="10"/>
        <v>0</v>
      </c>
      <c r="W60" s="850">
        <f t="shared" si="11"/>
        <v>0</v>
      </c>
    </row>
    <row r="61" spans="2:23">
      <c r="B61" s="845">
        <f>Amnt_Deposited!B56</f>
        <v>2042</v>
      </c>
      <c r="C61" s="846">
        <f>Amnt_Deposited!O56</f>
        <v>0</v>
      </c>
      <c r="D61" s="847">
        <f>Dry_Matter_Content!O48</f>
        <v>0</v>
      </c>
      <c r="E61" s="848">
        <f>MCF!R60</f>
        <v>0.6</v>
      </c>
      <c r="F61" s="849">
        <f t="shared" si="0"/>
        <v>0</v>
      </c>
      <c r="G61" s="849">
        <f t="shared" si="1"/>
        <v>0</v>
      </c>
      <c r="H61" s="849">
        <f t="shared" si="2"/>
        <v>0</v>
      </c>
      <c r="I61" s="849">
        <f t="shared" si="3"/>
        <v>0</v>
      </c>
      <c r="J61" s="849">
        <f t="shared" si="4"/>
        <v>0</v>
      </c>
      <c r="K61" s="850">
        <f t="shared" si="6"/>
        <v>0</v>
      </c>
      <c r="O61" s="845">
        <f>Amnt_Deposited!B56</f>
        <v>2042</v>
      </c>
      <c r="P61" s="846">
        <f>Amnt_Deposited!O56</f>
        <v>0</v>
      </c>
      <c r="Q61" s="848">
        <f>MCF!R60</f>
        <v>0.6</v>
      </c>
      <c r="R61" s="849">
        <f t="shared" si="5"/>
        <v>0</v>
      </c>
      <c r="S61" s="849">
        <f t="shared" si="7"/>
        <v>0</v>
      </c>
      <c r="T61" s="849">
        <f t="shared" si="8"/>
        <v>0</v>
      </c>
      <c r="U61" s="849">
        <f t="shared" si="9"/>
        <v>0</v>
      </c>
      <c r="V61" s="849">
        <f t="shared" si="10"/>
        <v>0</v>
      </c>
      <c r="W61" s="850">
        <f t="shared" si="11"/>
        <v>0</v>
      </c>
    </row>
    <row r="62" spans="2:23">
      <c r="B62" s="845">
        <f>Amnt_Deposited!B57</f>
        <v>2043</v>
      </c>
      <c r="C62" s="846">
        <f>Amnt_Deposited!O57</f>
        <v>0</v>
      </c>
      <c r="D62" s="847">
        <f>Dry_Matter_Content!O49</f>
        <v>0</v>
      </c>
      <c r="E62" s="848">
        <f>MCF!R61</f>
        <v>0.6</v>
      </c>
      <c r="F62" s="849">
        <f t="shared" si="0"/>
        <v>0</v>
      </c>
      <c r="G62" s="849">
        <f t="shared" si="1"/>
        <v>0</v>
      </c>
      <c r="H62" s="849">
        <f t="shared" si="2"/>
        <v>0</v>
      </c>
      <c r="I62" s="849">
        <f t="shared" si="3"/>
        <v>0</v>
      </c>
      <c r="J62" s="849">
        <f t="shared" si="4"/>
        <v>0</v>
      </c>
      <c r="K62" s="850">
        <f t="shared" si="6"/>
        <v>0</v>
      </c>
      <c r="O62" s="845">
        <f>Amnt_Deposited!B57</f>
        <v>2043</v>
      </c>
      <c r="P62" s="846">
        <f>Amnt_Deposited!O57</f>
        <v>0</v>
      </c>
      <c r="Q62" s="848">
        <f>MCF!R61</f>
        <v>0.6</v>
      </c>
      <c r="R62" s="849">
        <f t="shared" si="5"/>
        <v>0</v>
      </c>
      <c r="S62" s="849">
        <f t="shared" si="7"/>
        <v>0</v>
      </c>
      <c r="T62" s="849">
        <f t="shared" si="8"/>
        <v>0</v>
      </c>
      <c r="U62" s="849">
        <f t="shared" si="9"/>
        <v>0</v>
      </c>
      <c r="V62" s="849">
        <f t="shared" si="10"/>
        <v>0</v>
      </c>
      <c r="W62" s="850">
        <f t="shared" si="11"/>
        <v>0</v>
      </c>
    </row>
    <row r="63" spans="2:23">
      <c r="B63" s="845">
        <f>Amnt_Deposited!B58</f>
        <v>2044</v>
      </c>
      <c r="C63" s="846">
        <f>Amnt_Deposited!O58</f>
        <v>0</v>
      </c>
      <c r="D63" s="847">
        <f>Dry_Matter_Content!O50</f>
        <v>0</v>
      </c>
      <c r="E63" s="848">
        <f>MCF!R62</f>
        <v>0.6</v>
      </c>
      <c r="F63" s="849">
        <f t="shared" si="0"/>
        <v>0</v>
      </c>
      <c r="G63" s="849">
        <f t="shared" si="1"/>
        <v>0</v>
      </c>
      <c r="H63" s="849">
        <f t="shared" si="2"/>
        <v>0</v>
      </c>
      <c r="I63" s="849">
        <f t="shared" si="3"/>
        <v>0</v>
      </c>
      <c r="J63" s="849">
        <f t="shared" si="4"/>
        <v>0</v>
      </c>
      <c r="K63" s="850">
        <f t="shared" si="6"/>
        <v>0</v>
      </c>
      <c r="O63" s="845">
        <f>Amnt_Deposited!B58</f>
        <v>2044</v>
      </c>
      <c r="P63" s="846">
        <f>Amnt_Deposited!O58</f>
        <v>0</v>
      </c>
      <c r="Q63" s="848">
        <f>MCF!R62</f>
        <v>0.6</v>
      </c>
      <c r="R63" s="849">
        <f t="shared" si="5"/>
        <v>0</v>
      </c>
      <c r="S63" s="849">
        <f t="shared" si="7"/>
        <v>0</v>
      </c>
      <c r="T63" s="849">
        <f t="shared" si="8"/>
        <v>0</v>
      </c>
      <c r="U63" s="849">
        <f t="shared" si="9"/>
        <v>0</v>
      </c>
      <c r="V63" s="849">
        <f t="shared" si="10"/>
        <v>0</v>
      </c>
      <c r="W63" s="850">
        <f t="shared" si="11"/>
        <v>0</v>
      </c>
    </row>
    <row r="64" spans="2:23">
      <c r="B64" s="845">
        <f>Amnt_Deposited!B59</f>
        <v>2045</v>
      </c>
      <c r="C64" s="846">
        <f>Amnt_Deposited!O59</f>
        <v>0</v>
      </c>
      <c r="D64" s="847">
        <f>Dry_Matter_Content!O51</f>
        <v>0</v>
      </c>
      <c r="E64" s="848">
        <f>MCF!R63</f>
        <v>0.6</v>
      </c>
      <c r="F64" s="849">
        <f t="shared" si="0"/>
        <v>0</v>
      </c>
      <c r="G64" s="849">
        <f t="shared" si="1"/>
        <v>0</v>
      </c>
      <c r="H64" s="849">
        <f t="shared" si="2"/>
        <v>0</v>
      </c>
      <c r="I64" s="849">
        <f t="shared" si="3"/>
        <v>0</v>
      </c>
      <c r="J64" s="849">
        <f t="shared" si="4"/>
        <v>0</v>
      </c>
      <c r="K64" s="850">
        <f t="shared" si="6"/>
        <v>0</v>
      </c>
      <c r="O64" s="845">
        <f>Amnt_Deposited!B59</f>
        <v>2045</v>
      </c>
      <c r="P64" s="846">
        <f>Amnt_Deposited!O59</f>
        <v>0</v>
      </c>
      <c r="Q64" s="848">
        <f>MCF!R63</f>
        <v>0.6</v>
      </c>
      <c r="R64" s="849">
        <f t="shared" si="5"/>
        <v>0</v>
      </c>
      <c r="S64" s="849">
        <f t="shared" si="7"/>
        <v>0</v>
      </c>
      <c r="T64" s="849">
        <f t="shared" si="8"/>
        <v>0</v>
      </c>
      <c r="U64" s="849">
        <f t="shared" si="9"/>
        <v>0</v>
      </c>
      <c r="V64" s="849">
        <f t="shared" si="10"/>
        <v>0</v>
      </c>
      <c r="W64" s="850">
        <f t="shared" si="11"/>
        <v>0</v>
      </c>
    </row>
    <row r="65" spans="2:23">
      <c r="B65" s="845">
        <f>Amnt_Deposited!B60</f>
        <v>2046</v>
      </c>
      <c r="C65" s="846">
        <f>Amnt_Deposited!O60</f>
        <v>0</v>
      </c>
      <c r="D65" s="847">
        <f>Dry_Matter_Content!O52</f>
        <v>0</v>
      </c>
      <c r="E65" s="848">
        <f>MCF!R64</f>
        <v>0.6</v>
      </c>
      <c r="F65" s="849">
        <f t="shared" si="0"/>
        <v>0</v>
      </c>
      <c r="G65" s="849">
        <f t="shared" si="1"/>
        <v>0</v>
      </c>
      <c r="H65" s="849">
        <f t="shared" si="2"/>
        <v>0</v>
      </c>
      <c r="I65" s="849">
        <f t="shared" si="3"/>
        <v>0</v>
      </c>
      <c r="J65" s="849">
        <f t="shared" si="4"/>
        <v>0</v>
      </c>
      <c r="K65" s="850">
        <f t="shared" si="6"/>
        <v>0</v>
      </c>
      <c r="O65" s="845">
        <f>Amnt_Deposited!B60</f>
        <v>2046</v>
      </c>
      <c r="P65" s="846">
        <f>Amnt_Deposited!O60</f>
        <v>0</v>
      </c>
      <c r="Q65" s="848">
        <f>MCF!R64</f>
        <v>0.6</v>
      </c>
      <c r="R65" s="849">
        <f t="shared" si="5"/>
        <v>0</v>
      </c>
      <c r="S65" s="849">
        <f t="shared" si="7"/>
        <v>0</v>
      </c>
      <c r="T65" s="849">
        <f t="shared" si="8"/>
        <v>0</v>
      </c>
      <c r="U65" s="849">
        <f t="shared" si="9"/>
        <v>0</v>
      </c>
      <c r="V65" s="849">
        <f t="shared" si="10"/>
        <v>0</v>
      </c>
      <c r="W65" s="850">
        <f t="shared" si="11"/>
        <v>0</v>
      </c>
    </row>
    <row r="66" spans="2:23">
      <c r="B66" s="845">
        <f>Amnt_Deposited!B61</f>
        <v>2047</v>
      </c>
      <c r="C66" s="846">
        <f>Amnt_Deposited!O61</f>
        <v>0</v>
      </c>
      <c r="D66" s="847">
        <f>Dry_Matter_Content!O53</f>
        <v>0</v>
      </c>
      <c r="E66" s="848">
        <f>MCF!R65</f>
        <v>0.6</v>
      </c>
      <c r="F66" s="849">
        <f t="shared" si="0"/>
        <v>0</v>
      </c>
      <c r="G66" s="849">
        <f t="shared" si="1"/>
        <v>0</v>
      </c>
      <c r="H66" s="849">
        <f t="shared" si="2"/>
        <v>0</v>
      </c>
      <c r="I66" s="849">
        <f t="shared" si="3"/>
        <v>0</v>
      </c>
      <c r="J66" s="849">
        <f t="shared" si="4"/>
        <v>0</v>
      </c>
      <c r="K66" s="850">
        <f t="shared" si="6"/>
        <v>0</v>
      </c>
      <c r="O66" s="845">
        <f>Amnt_Deposited!B61</f>
        <v>2047</v>
      </c>
      <c r="P66" s="846">
        <f>Amnt_Deposited!O61</f>
        <v>0</v>
      </c>
      <c r="Q66" s="848">
        <f>MCF!R65</f>
        <v>0.6</v>
      </c>
      <c r="R66" s="849">
        <f t="shared" si="5"/>
        <v>0</v>
      </c>
      <c r="S66" s="849">
        <f t="shared" si="7"/>
        <v>0</v>
      </c>
      <c r="T66" s="849">
        <f t="shared" si="8"/>
        <v>0</v>
      </c>
      <c r="U66" s="849">
        <f t="shared" si="9"/>
        <v>0</v>
      </c>
      <c r="V66" s="849">
        <f t="shared" si="10"/>
        <v>0</v>
      </c>
      <c r="W66" s="850">
        <f t="shared" si="11"/>
        <v>0</v>
      </c>
    </row>
    <row r="67" spans="2:23">
      <c r="B67" s="845">
        <f>Amnt_Deposited!B62</f>
        <v>2048</v>
      </c>
      <c r="C67" s="846">
        <f>Amnt_Deposited!O62</f>
        <v>0</v>
      </c>
      <c r="D67" s="847">
        <f>Dry_Matter_Content!O54</f>
        <v>0</v>
      </c>
      <c r="E67" s="848">
        <f>MCF!R66</f>
        <v>0.6</v>
      </c>
      <c r="F67" s="849">
        <f t="shared" si="0"/>
        <v>0</v>
      </c>
      <c r="G67" s="849">
        <f t="shared" si="1"/>
        <v>0</v>
      </c>
      <c r="H67" s="849">
        <f t="shared" si="2"/>
        <v>0</v>
      </c>
      <c r="I67" s="849">
        <f t="shared" si="3"/>
        <v>0</v>
      </c>
      <c r="J67" s="849">
        <f t="shared" si="4"/>
        <v>0</v>
      </c>
      <c r="K67" s="850">
        <f t="shared" si="6"/>
        <v>0</v>
      </c>
      <c r="O67" s="845">
        <f>Amnt_Deposited!B62</f>
        <v>2048</v>
      </c>
      <c r="P67" s="846">
        <f>Amnt_Deposited!O62</f>
        <v>0</v>
      </c>
      <c r="Q67" s="848">
        <f>MCF!R66</f>
        <v>0.6</v>
      </c>
      <c r="R67" s="849">
        <f t="shared" si="5"/>
        <v>0</v>
      </c>
      <c r="S67" s="849">
        <f t="shared" si="7"/>
        <v>0</v>
      </c>
      <c r="T67" s="849">
        <f t="shared" si="8"/>
        <v>0</v>
      </c>
      <c r="U67" s="849">
        <f t="shared" si="9"/>
        <v>0</v>
      </c>
      <c r="V67" s="849">
        <f t="shared" si="10"/>
        <v>0</v>
      </c>
      <c r="W67" s="850">
        <f t="shared" si="11"/>
        <v>0</v>
      </c>
    </row>
    <row r="68" spans="2:23">
      <c r="B68" s="845">
        <f>Amnt_Deposited!B63</f>
        <v>2049</v>
      </c>
      <c r="C68" s="846">
        <f>Amnt_Deposited!O63</f>
        <v>0</v>
      </c>
      <c r="D68" s="847">
        <f>Dry_Matter_Content!O55</f>
        <v>0</v>
      </c>
      <c r="E68" s="848">
        <f>MCF!R67</f>
        <v>0.6</v>
      </c>
      <c r="F68" s="849">
        <f t="shared" si="0"/>
        <v>0</v>
      </c>
      <c r="G68" s="849">
        <f t="shared" si="1"/>
        <v>0</v>
      </c>
      <c r="H68" s="849">
        <f t="shared" si="2"/>
        <v>0</v>
      </c>
      <c r="I68" s="849">
        <f t="shared" si="3"/>
        <v>0</v>
      </c>
      <c r="J68" s="849">
        <f t="shared" si="4"/>
        <v>0</v>
      </c>
      <c r="K68" s="850">
        <f t="shared" si="6"/>
        <v>0</v>
      </c>
      <c r="O68" s="845">
        <f>Amnt_Deposited!B63</f>
        <v>2049</v>
      </c>
      <c r="P68" s="846">
        <f>Amnt_Deposited!O63</f>
        <v>0</v>
      </c>
      <c r="Q68" s="848">
        <f>MCF!R67</f>
        <v>0.6</v>
      </c>
      <c r="R68" s="849">
        <f t="shared" si="5"/>
        <v>0</v>
      </c>
      <c r="S68" s="849">
        <f t="shared" si="7"/>
        <v>0</v>
      </c>
      <c r="T68" s="849">
        <f t="shared" si="8"/>
        <v>0</v>
      </c>
      <c r="U68" s="849">
        <f t="shared" si="9"/>
        <v>0</v>
      </c>
      <c r="V68" s="849">
        <f t="shared" si="10"/>
        <v>0</v>
      </c>
      <c r="W68" s="850">
        <f t="shared" si="11"/>
        <v>0</v>
      </c>
    </row>
    <row r="69" spans="2:23">
      <c r="B69" s="845">
        <f>Amnt_Deposited!B64</f>
        <v>2050</v>
      </c>
      <c r="C69" s="846">
        <f>Amnt_Deposited!O64</f>
        <v>0</v>
      </c>
      <c r="D69" s="847">
        <f>Dry_Matter_Content!O56</f>
        <v>0</v>
      </c>
      <c r="E69" s="848">
        <f>MCF!R68</f>
        <v>0.6</v>
      </c>
      <c r="F69" s="849">
        <f t="shared" si="0"/>
        <v>0</v>
      </c>
      <c r="G69" s="849">
        <f t="shared" si="1"/>
        <v>0</v>
      </c>
      <c r="H69" s="849">
        <f t="shared" si="2"/>
        <v>0</v>
      </c>
      <c r="I69" s="849">
        <f t="shared" si="3"/>
        <v>0</v>
      </c>
      <c r="J69" s="849">
        <f t="shared" si="4"/>
        <v>0</v>
      </c>
      <c r="K69" s="850">
        <f t="shared" si="6"/>
        <v>0</v>
      </c>
      <c r="O69" s="845">
        <f>Amnt_Deposited!B64</f>
        <v>2050</v>
      </c>
      <c r="P69" s="846">
        <f>Amnt_Deposited!O64</f>
        <v>0</v>
      </c>
      <c r="Q69" s="848">
        <f>MCF!R68</f>
        <v>0.6</v>
      </c>
      <c r="R69" s="849">
        <f t="shared" si="5"/>
        <v>0</v>
      </c>
      <c r="S69" s="849">
        <f t="shared" si="7"/>
        <v>0</v>
      </c>
      <c r="T69" s="849">
        <f t="shared" si="8"/>
        <v>0</v>
      </c>
      <c r="U69" s="849">
        <f t="shared" si="9"/>
        <v>0</v>
      </c>
      <c r="V69" s="849">
        <f t="shared" si="10"/>
        <v>0</v>
      </c>
      <c r="W69" s="850">
        <f t="shared" si="11"/>
        <v>0</v>
      </c>
    </row>
    <row r="70" spans="2:23">
      <c r="B70" s="845">
        <f>Amnt_Deposited!B65</f>
        <v>2051</v>
      </c>
      <c r="C70" s="846">
        <f>Amnt_Deposited!O65</f>
        <v>0</v>
      </c>
      <c r="D70" s="847">
        <f>Dry_Matter_Content!O57</f>
        <v>0</v>
      </c>
      <c r="E70" s="848">
        <f>MCF!R69</f>
        <v>0.6</v>
      </c>
      <c r="F70" s="849">
        <f t="shared" si="0"/>
        <v>0</v>
      </c>
      <c r="G70" s="849">
        <f t="shared" si="1"/>
        <v>0</v>
      </c>
      <c r="H70" s="849">
        <f t="shared" si="2"/>
        <v>0</v>
      </c>
      <c r="I70" s="849">
        <f t="shared" si="3"/>
        <v>0</v>
      </c>
      <c r="J70" s="849">
        <f t="shared" si="4"/>
        <v>0</v>
      </c>
      <c r="K70" s="850">
        <f t="shared" si="6"/>
        <v>0</v>
      </c>
      <c r="O70" s="845">
        <f>Amnt_Deposited!B65</f>
        <v>2051</v>
      </c>
      <c r="P70" s="846">
        <f>Amnt_Deposited!O65</f>
        <v>0</v>
      </c>
      <c r="Q70" s="848">
        <f>MCF!R69</f>
        <v>0.6</v>
      </c>
      <c r="R70" s="849">
        <f t="shared" si="5"/>
        <v>0</v>
      </c>
      <c r="S70" s="849">
        <f t="shared" si="7"/>
        <v>0</v>
      </c>
      <c r="T70" s="849">
        <f t="shared" si="8"/>
        <v>0</v>
      </c>
      <c r="U70" s="849">
        <f t="shared" si="9"/>
        <v>0</v>
      </c>
      <c r="V70" s="849">
        <f t="shared" si="10"/>
        <v>0</v>
      </c>
      <c r="W70" s="850">
        <f t="shared" si="11"/>
        <v>0</v>
      </c>
    </row>
    <row r="71" spans="2:23">
      <c r="B71" s="845">
        <f>Amnt_Deposited!B66</f>
        <v>2052</v>
      </c>
      <c r="C71" s="846">
        <f>Amnt_Deposited!O66</f>
        <v>0</v>
      </c>
      <c r="D71" s="847">
        <f>Dry_Matter_Content!O58</f>
        <v>0</v>
      </c>
      <c r="E71" s="848">
        <f>MCF!R70</f>
        <v>0.6</v>
      </c>
      <c r="F71" s="849">
        <f t="shared" si="0"/>
        <v>0</v>
      </c>
      <c r="G71" s="849">
        <f t="shared" si="1"/>
        <v>0</v>
      </c>
      <c r="H71" s="849">
        <f t="shared" si="2"/>
        <v>0</v>
      </c>
      <c r="I71" s="849">
        <f t="shared" si="3"/>
        <v>0</v>
      </c>
      <c r="J71" s="849">
        <f t="shared" si="4"/>
        <v>0</v>
      </c>
      <c r="K71" s="850">
        <f t="shared" si="6"/>
        <v>0</v>
      </c>
      <c r="O71" s="845">
        <f>Amnt_Deposited!B66</f>
        <v>2052</v>
      </c>
      <c r="P71" s="846">
        <f>Amnt_Deposited!O66</f>
        <v>0</v>
      </c>
      <c r="Q71" s="848">
        <f>MCF!R70</f>
        <v>0.6</v>
      </c>
      <c r="R71" s="849">
        <f t="shared" si="5"/>
        <v>0</v>
      </c>
      <c r="S71" s="849">
        <f t="shared" si="7"/>
        <v>0</v>
      </c>
      <c r="T71" s="849">
        <f t="shared" si="8"/>
        <v>0</v>
      </c>
      <c r="U71" s="849">
        <f t="shared" si="9"/>
        <v>0</v>
      </c>
      <c r="V71" s="849">
        <f t="shared" si="10"/>
        <v>0</v>
      </c>
      <c r="W71" s="850">
        <f t="shared" si="11"/>
        <v>0</v>
      </c>
    </row>
    <row r="72" spans="2:23">
      <c r="B72" s="845">
        <f>Amnt_Deposited!B67</f>
        <v>2053</v>
      </c>
      <c r="C72" s="846">
        <f>Amnt_Deposited!O67</f>
        <v>0</v>
      </c>
      <c r="D72" s="847">
        <f>Dry_Matter_Content!O59</f>
        <v>0</v>
      </c>
      <c r="E72" s="848">
        <f>MCF!R71</f>
        <v>0.6</v>
      </c>
      <c r="F72" s="849">
        <f t="shared" si="0"/>
        <v>0</v>
      </c>
      <c r="G72" s="849">
        <f t="shared" si="1"/>
        <v>0</v>
      </c>
      <c r="H72" s="849">
        <f t="shared" si="2"/>
        <v>0</v>
      </c>
      <c r="I72" s="849">
        <f t="shared" si="3"/>
        <v>0</v>
      </c>
      <c r="J72" s="849">
        <f t="shared" si="4"/>
        <v>0</v>
      </c>
      <c r="K72" s="850">
        <f t="shared" si="6"/>
        <v>0</v>
      </c>
      <c r="O72" s="845">
        <f>Amnt_Deposited!B67</f>
        <v>2053</v>
      </c>
      <c r="P72" s="846">
        <f>Amnt_Deposited!O67</f>
        <v>0</v>
      </c>
      <c r="Q72" s="848">
        <f>MCF!R71</f>
        <v>0.6</v>
      </c>
      <c r="R72" s="849">
        <f t="shared" si="5"/>
        <v>0</v>
      </c>
      <c r="S72" s="849">
        <f t="shared" si="7"/>
        <v>0</v>
      </c>
      <c r="T72" s="849">
        <f t="shared" si="8"/>
        <v>0</v>
      </c>
      <c r="U72" s="849">
        <f t="shared" si="9"/>
        <v>0</v>
      </c>
      <c r="V72" s="849">
        <f t="shared" si="10"/>
        <v>0</v>
      </c>
      <c r="W72" s="850">
        <f t="shared" si="11"/>
        <v>0</v>
      </c>
    </row>
    <row r="73" spans="2:23">
      <c r="B73" s="845">
        <f>Amnt_Deposited!B68</f>
        <v>2054</v>
      </c>
      <c r="C73" s="846">
        <f>Amnt_Deposited!O68</f>
        <v>0</v>
      </c>
      <c r="D73" s="847">
        <f>Dry_Matter_Content!O60</f>
        <v>0</v>
      </c>
      <c r="E73" s="848">
        <f>MCF!R72</f>
        <v>0.6</v>
      </c>
      <c r="F73" s="849">
        <f t="shared" si="0"/>
        <v>0</v>
      </c>
      <c r="G73" s="849">
        <f t="shared" si="1"/>
        <v>0</v>
      </c>
      <c r="H73" s="849">
        <f t="shared" si="2"/>
        <v>0</v>
      </c>
      <c r="I73" s="849">
        <f t="shared" si="3"/>
        <v>0</v>
      </c>
      <c r="J73" s="849">
        <f t="shared" si="4"/>
        <v>0</v>
      </c>
      <c r="K73" s="850">
        <f t="shared" si="6"/>
        <v>0</v>
      </c>
      <c r="O73" s="845">
        <f>Amnt_Deposited!B68</f>
        <v>2054</v>
      </c>
      <c r="P73" s="846">
        <f>Amnt_Deposited!O68</f>
        <v>0</v>
      </c>
      <c r="Q73" s="848">
        <f>MCF!R72</f>
        <v>0.6</v>
      </c>
      <c r="R73" s="849">
        <f t="shared" si="5"/>
        <v>0</v>
      </c>
      <c r="S73" s="849">
        <f t="shared" si="7"/>
        <v>0</v>
      </c>
      <c r="T73" s="849">
        <f t="shared" si="8"/>
        <v>0</v>
      </c>
      <c r="U73" s="849">
        <f t="shared" si="9"/>
        <v>0</v>
      </c>
      <c r="V73" s="849">
        <f t="shared" si="10"/>
        <v>0</v>
      </c>
      <c r="W73" s="850">
        <f t="shared" si="11"/>
        <v>0</v>
      </c>
    </row>
    <row r="74" spans="2:23">
      <c r="B74" s="845">
        <f>Amnt_Deposited!B69</f>
        <v>2055</v>
      </c>
      <c r="C74" s="846">
        <f>Amnt_Deposited!O69</f>
        <v>0</v>
      </c>
      <c r="D74" s="847">
        <f>Dry_Matter_Content!O61</f>
        <v>0</v>
      </c>
      <c r="E74" s="848">
        <f>MCF!R73</f>
        <v>0.6</v>
      </c>
      <c r="F74" s="849">
        <f t="shared" si="0"/>
        <v>0</v>
      </c>
      <c r="G74" s="849">
        <f t="shared" si="1"/>
        <v>0</v>
      </c>
      <c r="H74" s="849">
        <f t="shared" si="2"/>
        <v>0</v>
      </c>
      <c r="I74" s="849">
        <f t="shared" si="3"/>
        <v>0</v>
      </c>
      <c r="J74" s="849">
        <f t="shared" si="4"/>
        <v>0</v>
      </c>
      <c r="K74" s="850">
        <f t="shared" si="6"/>
        <v>0</v>
      </c>
      <c r="O74" s="845">
        <f>Amnt_Deposited!B69</f>
        <v>2055</v>
      </c>
      <c r="P74" s="846">
        <f>Amnt_Deposited!O69</f>
        <v>0</v>
      </c>
      <c r="Q74" s="848">
        <f>MCF!R73</f>
        <v>0.6</v>
      </c>
      <c r="R74" s="849">
        <f t="shared" si="5"/>
        <v>0</v>
      </c>
      <c r="S74" s="849">
        <f t="shared" si="7"/>
        <v>0</v>
      </c>
      <c r="T74" s="849">
        <f t="shared" si="8"/>
        <v>0</v>
      </c>
      <c r="U74" s="849">
        <f t="shared" si="9"/>
        <v>0</v>
      </c>
      <c r="V74" s="849">
        <f t="shared" si="10"/>
        <v>0</v>
      </c>
      <c r="W74" s="850">
        <f t="shared" si="11"/>
        <v>0</v>
      </c>
    </row>
    <row r="75" spans="2:23">
      <c r="B75" s="845">
        <f>Amnt_Deposited!B70</f>
        <v>2056</v>
      </c>
      <c r="C75" s="846">
        <f>Amnt_Deposited!O70</f>
        <v>0</v>
      </c>
      <c r="D75" s="847">
        <f>Dry_Matter_Content!O62</f>
        <v>0</v>
      </c>
      <c r="E75" s="848">
        <f>MCF!R74</f>
        <v>0.6</v>
      </c>
      <c r="F75" s="849">
        <f t="shared" si="0"/>
        <v>0</v>
      </c>
      <c r="G75" s="849">
        <f t="shared" si="1"/>
        <v>0</v>
      </c>
      <c r="H75" s="849">
        <f t="shared" si="2"/>
        <v>0</v>
      </c>
      <c r="I75" s="849">
        <f t="shared" si="3"/>
        <v>0</v>
      </c>
      <c r="J75" s="849">
        <f t="shared" si="4"/>
        <v>0</v>
      </c>
      <c r="K75" s="850">
        <f t="shared" si="6"/>
        <v>0</v>
      </c>
      <c r="O75" s="845">
        <f>Amnt_Deposited!B70</f>
        <v>2056</v>
      </c>
      <c r="P75" s="846">
        <f>Amnt_Deposited!O70</f>
        <v>0</v>
      </c>
      <c r="Q75" s="848">
        <f>MCF!R74</f>
        <v>0.6</v>
      </c>
      <c r="R75" s="849">
        <f t="shared" si="5"/>
        <v>0</v>
      </c>
      <c r="S75" s="849">
        <f t="shared" si="7"/>
        <v>0</v>
      </c>
      <c r="T75" s="849">
        <f t="shared" si="8"/>
        <v>0</v>
      </c>
      <c r="U75" s="849">
        <f t="shared" si="9"/>
        <v>0</v>
      </c>
      <c r="V75" s="849">
        <f t="shared" si="10"/>
        <v>0</v>
      </c>
      <c r="W75" s="850">
        <f t="shared" si="11"/>
        <v>0</v>
      </c>
    </row>
    <row r="76" spans="2:23">
      <c r="B76" s="845">
        <f>Amnt_Deposited!B71</f>
        <v>2057</v>
      </c>
      <c r="C76" s="846">
        <f>Amnt_Deposited!O71</f>
        <v>0</v>
      </c>
      <c r="D76" s="847">
        <f>Dry_Matter_Content!O63</f>
        <v>0</v>
      </c>
      <c r="E76" s="848">
        <f>MCF!R75</f>
        <v>0.6</v>
      </c>
      <c r="F76" s="849">
        <f t="shared" si="0"/>
        <v>0</v>
      </c>
      <c r="G76" s="849">
        <f t="shared" si="1"/>
        <v>0</v>
      </c>
      <c r="H76" s="849">
        <f t="shared" si="2"/>
        <v>0</v>
      </c>
      <c r="I76" s="849">
        <f t="shared" si="3"/>
        <v>0</v>
      </c>
      <c r="J76" s="849">
        <f t="shared" si="4"/>
        <v>0</v>
      </c>
      <c r="K76" s="850">
        <f t="shared" si="6"/>
        <v>0</v>
      </c>
      <c r="O76" s="845">
        <f>Amnt_Deposited!B71</f>
        <v>2057</v>
      </c>
      <c r="P76" s="846">
        <f>Amnt_Deposited!O71</f>
        <v>0</v>
      </c>
      <c r="Q76" s="848">
        <f>MCF!R75</f>
        <v>0.6</v>
      </c>
      <c r="R76" s="849">
        <f t="shared" si="5"/>
        <v>0</v>
      </c>
      <c r="S76" s="849">
        <f t="shared" si="7"/>
        <v>0</v>
      </c>
      <c r="T76" s="849">
        <f t="shared" si="8"/>
        <v>0</v>
      </c>
      <c r="U76" s="849">
        <f t="shared" si="9"/>
        <v>0</v>
      </c>
      <c r="V76" s="849">
        <f t="shared" si="10"/>
        <v>0</v>
      </c>
      <c r="W76" s="850">
        <f t="shared" si="11"/>
        <v>0</v>
      </c>
    </row>
    <row r="77" spans="2:23">
      <c r="B77" s="845">
        <f>Amnt_Deposited!B72</f>
        <v>2058</v>
      </c>
      <c r="C77" s="846">
        <f>Amnt_Deposited!O72</f>
        <v>0</v>
      </c>
      <c r="D77" s="847">
        <f>Dry_Matter_Content!O64</f>
        <v>0</v>
      </c>
      <c r="E77" s="848">
        <f>MCF!R76</f>
        <v>0.6</v>
      </c>
      <c r="F77" s="849">
        <f t="shared" si="0"/>
        <v>0</v>
      </c>
      <c r="G77" s="849">
        <f t="shared" si="1"/>
        <v>0</v>
      </c>
      <c r="H77" s="849">
        <f t="shared" si="2"/>
        <v>0</v>
      </c>
      <c r="I77" s="849">
        <f t="shared" si="3"/>
        <v>0</v>
      </c>
      <c r="J77" s="849">
        <f t="shared" si="4"/>
        <v>0</v>
      </c>
      <c r="K77" s="850">
        <f t="shared" si="6"/>
        <v>0</v>
      </c>
      <c r="O77" s="845">
        <f>Amnt_Deposited!B72</f>
        <v>2058</v>
      </c>
      <c r="P77" s="846">
        <f>Amnt_Deposited!O72</f>
        <v>0</v>
      </c>
      <c r="Q77" s="848">
        <f>MCF!R76</f>
        <v>0.6</v>
      </c>
      <c r="R77" s="849">
        <f t="shared" si="5"/>
        <v>0</v>
      </c>
      <c r="S77" s="849">
        <f t="shared" si="7"/>
        <v>0</v>
      </c>
      <c r="T77" s="849">
        <f t="shared" si="8"/>
        <v>0</v>
      </c>
      <c r="U77" s="849">
        <f t="shared" si="9"/>
        <v>0</v>
      </c>
      <c r="V77" s="849">
        <f t="shared" si="10"/>
        <v>0</v>
      </c>
      <c r="W77" s="850">
        <f t="shared" si="11"/>
        <v>0</v>
      </c>
    </row>
    <row r="78" spans="2:23">
      <c r="B78" s="845">
        <f>Amnt_Deposited!B73</f>
        <v>2059</v>
      </c>
      <c r="C78" s="846">
        <f>Amnt_Deposited!O73</f>
        <v>0</v>
      </c>
      <c r="D78" s="847">
        <f>Dry_Matter_Content!O65</f>
        <v>0</v>
      </c>
      <c r="E78" s="848">
        <f>MCF!R77</f>
        <v>0.6</v>
      </c>
      <c r="F78" s="849">
        <f t="shared" si="0"/>
        <v>0</v>
      </c>
      <c r="G78" s="849">
        <f t="shared" si="1"/>
        <v>0</v>
      </c>
      <c r="H78" s="849">
        <f t="shared" si="2"/>
        <v>0</v>
      </c>
      <c r="I78" s="849">
        <f t="shared" si="3"/>
        <v>0</v>
      </c>
      <c r="J78" s="849">
        <f t="shared" si="4"/>
        <v>0</v>
      </c>
      <c r="K78" s="850">
        <f t="shared" si="6"/>
        <v>0</v>
      </c>
      <c r="O78" s="845">
        <f>Amnt_Deposited!B73</f>
        <v>2059</v>
      </c>
      <c r="P78" s="846">
        <f>Amnt_Deposited!O73</f>
        <v>0</v>
      </c>
      <c r="Q78" s="848">
        <f>MCF!R77</f>
        <v>0.6</v>
      </c>
      <c r="R78" s="849">
        <f t="shared" si="5"/>
        <v>0</v>
      </c>
      <c r="S78" s="849">
        <f t="shared" si="7"/>
        <v>0</v>
      </c>
      <c r="T78" s="849">
        <f t="shared" si="8"/>
        <v>0</v>
      </c>
      <c r="U78" s="849">
        <f t="shared" si="9"/>
        <v>0</v>
      </c>
      <c r="V78" s="849">
        <f t="shared" si="10"/>
        <v>0</v>
      </c>
      <c r="W78" s="850">
        <f t="shared" si="11"/>
        <v>0</v>
      </c>
    </row>
    <row r="79" spans="2:23">
      <c r="B79" s="845">
        <f>Amnt_Deposited!B74</f>
        <v>2060</v>
      </c>
      <c r="C79" s="846">
        <f>Amnt_Deposited!O74</f>
        <v>0</v>
      </c>
      <c r="D79" s="847">
        <f>Dry_Matter_Content!O66</f>
        <v>0</v>
      </c>
      <c r="E79" s="848">
        <f>MCF!R78</f>
        <v>0.6</v>
      </c>
      <c r="F79" s="849">
        <f t="shared" si="0"/>
        <v>0</v>
      </c>
      <c r="G79" s="849">
        <f t="shared" si="1"/>
        <v>0</v>
      </c>
      <c r="H79" s="849">
        <f t="shared" si="2"/>
        <v>0</v>
      </c>
      <c r="I79" s="849">
        <f t="shared" si="3"/>
        <v>0</v>
      </c>
      <c r="J79" s="849">
        <f t="shared" si="4"/>
        <v>0</v>
      </c>
      <c r="K79" s="850">
        <f t="shared" si="6"/>
        <v>0</v>
      </c>
      <c r="O79" s="845">
        <f>Amnt_Deposited!B74</f>
        <v>2060</v>
      </c>
      <c r="P79" s="846">
        <f>Amnt_Deposited!O74</f>
        <v>0</v>
      </c>
      <c r="Q79" s="848">
        <f>MCF!R78</f>
        <v>0.6</v>
      </c>
      <c r="R79" s="849">
        <f t="shared" si="5"/>
        <v>0</v>
      </c>
      <c r="S79" s="849">
        <f t="shared" si="7"/>
        <v>0</v>
      </c>
      <c r="T79" s="849">
        <f t="shared" si="8"/>
        <v>0</v>
      </c>
      <c r="U79" s="849">
        <f t="shared" si="9"/>
        <v>0</v>
      </c>
      <c r="V79" s="849">
        <f t="shared" si="10"/>
        <v>0</v>
      </c>
      <c r="W79" s="850">
        <f t="shared" si="11"/>
        <v>0</v>
      </c>
    </row>
    <row r="80" spans="2:23">
      <c r="B80" s="845">
        <f>Amnt_Deposited!B75</f>
        <v>2061</v>
      </c>
      <c r="C80" s="846">
        <f>Amnt_Deposited!O75</f>
        <v>0</v>
      </c>
      <c r="D80" s="847">
        <f>Dry_Matter_Content!O67</f>
        <v>0</v>
      </c>
      <c r="E80" s="848">
        <f>MCF!R79</f>
        <v>0.6</v>
      </c>
      <c r="F80" s="849">
        <f t="shared" si="0"/>
        <v>0</v>
      </c>
      <c r="G80" s="849">
        <f t="shared" si="1"/>
        <v>0</v>
      </c>
      <c r="H80" s="849">
        <f t="shared" si="2"/>
        <v>0</v>
      </c>
      <c r="I80" s="849">
        <f t="shared" si="3"/>
        <v>0</v>
      </c>
      <c r="J80" s="849">
        <f t="shared" si="4"/>
        <v>0</v>
      </c>
      <c r="K80" s="850">
        <f t="shared" si="6"/>
        <v>0</v>
      </c>
      <c r="O80" s="845">
        <f>Amnt_Deposited!B75</f>
        <v>2061</v>
      </c>
      <c r="P80" s="846">
        <f>Amnt_Deposited!O75</f>
        <v>0</v>
      </c>
      <c r="Q80" s="848">
        <f>MCF!R79</f>
        <v>0.6</v>
      </c>
      <c r="R80" s="849">
        <f t="shared" si="5"/>
        <v>0</v>
      </c>
      <c r="S80" s="849">
        <f t="shared" si="7"/>
        <v>0</v>
      </c>
      <c r="T80" s="849">
        <f t="shared" si="8"/>
        <v>0</v>
      </c>
      <c r="U80" s="849">
        <f t="shared" si="9"/>
        <v>0</v>
      </c>
      <c r="V80" s="849">
        <f t="shared" si="10"/>
        <v>0</v>
      </c>
      <c r="W80" s="850">
        <f t="shared" si="11"/>
        <v>0</v>
      </c>
    </row>
    <row r="81" spans="2:23">
      <c r="B81" s="845">
        <f>Amnt_Deposited!B76</f>
        <v>2062</v>
      </c>
      <c r="C81" s="846">
        <f>Amnt_Deposited!O76</f>
        <v>0</v>
      </c>
      <c r="D81" s="847">
        <f>Dry_Matter_Content!O68</f>
        <v>0</v>
      </c>
      <c r="E81" s="848">
        <f>MCF!R80</f>
        <v>0.6</v>
      </c>
      <c r="F81" s="849">
        <f t="shared" si="0"/>
        <v>0</v>
      </c>
      <c r="G81" s="849">
        <f t="shared" si="1"/>
        <v>0</v>
      </c>
      <c r="H81" s="849">
        <f t="shared" si="2"/>
        <v>0</v>
      </c>
      <c r="I81" s="849">
        <f t="shared" si="3"/>
        <v>0</v>
      </c>
      <c r="J81" s="849">
        <f t="shared" si="4"/>
        <v>0</v>
      </c>
      <c r="K81" s="850">
        <f t="shared" si="6"/>
        <v>0</v>
      </c>
      <c r="O81" s="845">
        <f>Amnt_Deposited!B76</f>
        <v>2062</v>
      </c>
      <c r="P81" s="846">
        <f>Amnt_Deposited!O76</f>
        <v>0</v>
      </c>
      <c r="Q81" s="848">
        <f>MCF!R80</f>
        <v>0.6</v>
      </c>
      <c r="R81" s="849">
        <f t="shared" si="5"/>
        <v>0</v>
      </c>
      <c r="S81" s="849">
        <f t="shared" si="7"/>
        <v>0</v>
      </c>
      <c r="T81" s="849">
        <f t="shared" si="8"/>
        <v>0</v>
      </c>
      <c r="U81" s="849">
        <f t="shared" si="9"/>
        <v>0</v>
      </c>
      <c r="V81" s="849">
        <f t="shared" si="10"/>
        <v>0</v>
      </c>
      <c r="W81" s="850">
        <f t="shared" si="11"/>
        <v>0</v>
      </c>
    </row>
    <row r="82" spans="2:23">
      <c r="B82" s="845">
        <f>Amnt_Deposited!B77</f>
        <v>2063</v>
      </c>
      <c r="C82" s="846">
        <f>Amnt_Deposited!O77</f>
        <v>0</v>
      </c>
      <c r="D82" s="847">
        <f>Dry_Matter_Content!O69</f>
        <v>0</v>
      </c>
      <c r="E82" s="848">
        <f>MCF!R81</f>
        <v>0.6</v>
      </c>
      <c r="F82" s="849">
        <f t="shared" si="0"/>
        <v>0</v>
      </c>
      <c r="G82" s="849">
        <f t="shared" si="1"/>
        <v>0</v>
      </c>
      <c r="H82" s="849">
        <f t="shared" si="2"/>
        <v>0</v>
      </c>
      <c r="I82" s="849">
        <f t="shared" si="3"/>
        <v>0</v>
      </c>
      <c r="J82" s="849">
        <f t="shared" si="4"/>
        <v>0</v>
      </c>
      <c r="K82" s="850">
        <f t="shared" si="6"/>
        <v>0</v>
      </c>
      <c r="O82" s="845">
        <f>Amnt_Deposited!B77</f>
        <v>2063</v>
      </c>
      <c r="P82" s="846">
        <f>Amnt_Deposited!O77</f>
        <v>0</v>
      </c>
      <c r="Q82" s="848">
        <f>MCF!R81</f>
        <v>0.6</v>
      </c>
      <c r="R82" s="849">
        <f t="shared" si="5"/>
        <v>0</v>
      </c>
      <c r="S82" s="849">
        <f t="shared" si="7"/>
        <v>0</v>
      </c>
      <c r="T82" s="849">
        <f t="shared" si="8"/>
        <v>0</v>
      </c>
      <c r="U82" s="849">
        <f t="shared" si="9"/>
        <v>0</v>
      </c>
      <c r="V82" s="849">
        <f t="shared" si="10"/>
        <v>0</v>
      </c>
      <c r="W82" s="850">
        <f t="shared" si="11"/>
        <v>0</v>
      </c>
    </row>
    <row r="83" spans="2:23">
      <c r="B83" s="845">
        <f>Amnt_Deposited!B78</f>
        <v>2064</v>
      </c>
      <c r="C83" s="846">
        <f>Amnt_Deposited!O78</f>
        <v>0</v>
      </c>
      <c r="D83" s="847">
        <f>Dry_Matter_Content!O70</f>
        <v>0</v>
      </c>
      <c r="E83" s="848">
        <f>MCF!R82</f>
        <v>0.6</v>
      </c>
      <c r="F83" s="849">
        <f t="shared" ref="F83:F99" si="12">C83*D83*$K$6*DOCF*E83</f>
        <v>0</v>
      </c>
      <c r="G83" s="849">
        <f t="shared" ref="G83:G99" si="13">F83*$K$12</f>
        <v>0</v>
      </c>
      <c r="H83" s="849">
        <f t="shared" ref="H83:H99" si="14">F83*(1-$K$12)</f>
        <v>0</v>
      </c>
      <c r="I83" s="849">
        <f t="shared" ref="I83:I99" si="15">G83+I82*$K$10</f>
        <v>0</v>
      </c>
      <c r="J83" s="849">
        <f t="shared" ref="J83:J99" si="16">I82*(1-$K$10)+H83</f>
        <v>0</v>
      </c>
      <c r="K83" s="850">
        <f t="shared" si="6"/>
        <v>0</v>
      </c>
      <c r="O83" s="845">
        <f>Amnt_Deposited!B78</f>
        <v>2064</v>
      </c>
      <c r="P83" s="846">
        <f>Amnt_Deposited!O78</f>
        <v>0</v>
      </c>
      <c r="Q83" s="848">
        <f>MCF!R82</f>
        <v>0.6</v>
      </c>
      <c r="R83" s="849">
        <f t="shared" ref="R83:R99" si="17">P83*$W$6*DOCF*Q83</f>
        <v>0</v>
      </c>
      <c r="S83" s="849">
        <f t="shared" si="7"/>
        <v>0</v>
      </c>
      <c r="T83" s="849">
        <f t="shared" si="8"/>
        <v>0</v>
      </c>
      <c r="U83" s="849">
        <f t="shared" si="9"/>
        <v>0</v>
      </c>
      <c r="V83" s="849">
        <f t="shared" si="10"/>
        <v>0</v>
      </c>
      <c r="W83" s="850">
        <f t="shared" si="11"/>
        <v>0</v>
      </c>
    </row>
    <row r="84" spans="2:23">
      <c r="B84" s="845">
        <f>Amnt_Deposited!B79</f>
        <v>2065</v>
      </c>
      <c r="C84" s="846">
        <f>Amnt_Deposited!O79</f>
        <v>0</v>
      </c>
      <c r="D84" s="847">
        <f>Dry_Matter_Content!O71</f>
        <v>0</v>
      </c>
      <c r="E84" s="848">
        <f>MCF!R83</f>
        <v>0.6</v>
      </c>
      <c r="F84" s="849">
        <f t="shared" si="12"/>
        <v>0</v>
      </c>
      <c r="G84" s="849">
        <f t="shared" si="13"/>
        <v>0</v>
      </c>
      <c r="H84" s="849">
        <f t="shared" si="14"/>
        <v>0</v>
      </c>
      <c r="I84" s="849">
        <f t="shared" si="15"/>
        <v>0</v>
      </c>
      <c r="J84" s="849">
        <f t="shared" si="16"/>
        <v>0</v>
      </c>
      <c r="K84" s="850">
        <f t="shared" si="6"/>
        <v>0</v>
      </c>
      <c r="O84" s="845">
        <f>Amnt_Deposited!B79</f>
        <v>2065</v>
      </c>
      <c r="P84" s="846">
        <f>Amnt_Deposited!O79</f>
        <v>0</v>
      </c>
      <c r="Q84" s="848">
        <f>MCF!R83</f>
        <v>0.6</v>
      </c>
      <c r="R84" s="849">
        <f t="shared" si="17"/>
        <v>0</v>
      </c>
      <c r="S84" s="849">
        <f t="shared" si="7"/>
        <v>0</v>
      </c>
      <c r="T84" s="849">
        <f t="shared" si="8"/>
        <v>0</v>
      </c>
      <c r="U84" s="849">
        <f t="shared" si="9"/>
        <v>0</v>
      </c>
      <c r="V84" s="849">
        <f t="shared" si="10"/>
        <v>0</v>
      </c>
      <c r="W84" s="850">
        <f t="shared" si="11"/>
        <v>0</v>
      </c>
    </row>
    <row r="85" spans="2:23">
      <c r="B85" s="845">
        <f>Amnt_Deposited!B80</f>
        <v>2066</v>
      </c>
      <c r="C85" s="846">
        <f>Amnt_Deposited!O80</f>
        <v>0</v>
      </c>
      <c r="D85" s="847">
        <f>Dry_Matter_Content!O72</f>
        <v>0</v>
      </c>
      <c r="E85" s="848">
        <f>MCF!R84</f>
        <v>0.6</v>
      </c>
      <c r="F85" s="849">
        <f t="shared" si="12"/>
        <v>0</v>
      </c>
      <c r="G85" s="849">
        <f t="shared" si="13"/>
        <v>0</v>
      </c>
      <c r="H85" s="849">
        <f t="shared" si="14"/>
        <v>0</v>
      </c>
      <c r="I85" s="849">
        <f t="shared" si="15"/>
        <v>0</v>
      </c>
      <c r="J85" s="849">
        <f t="shared" si="16"/>
        <v>0</v>
      </c>
      <c r="K85" s="850">
        <f t="shared" ref="K85:K99" si="18">J85*CH4_fraction*conv</f>
        <v>0</v>
      </c>
      <c r="O85" s="845">
        <f>Amnt_Deposited!B80</f>
        <v>2066</v>
      </c>
      <c r="P85" s="846">
        <f>Amnt_Deposited!O80</f>
        <v>0</v>
      </c>
      <c r="Q85" s="848">
        <f>MCF!R84</f>
        <v>0.6</v>
      </c>
      <c r="R85" s="849">
        <f t="shared" si="17"/>
        <v>0</v>
      </c>
      <c r="S85" s="849">
        <f t="shared" ref="S85:S98" si="19">R85*$W$12</f>
        <v>0</v>
      </c>
      <c r="T85" s="849">
        <f t="shared" ref="T85:T98" si="20">R85*(1-$W$12)</f>
        <v>0</v>
      </c>
      <c r="U85" s="849">
        <f t="shared" ref="U85:U98" si="21">S85+U84*$W$10</f>
        <v>0</v>
      </c>
      <c r="V85" s="849">
        <f t="shared" ref="V85:V98" si="22">U84*(1-$W$10)+T85</f>
        <v>0</v>
      </c>
      <c r="W85" s="850">
        <f t="shared" ref="W85:W99" si="23">V85*CH4_fraction*conv</f>
        <v>0</v>
      </c>
    </row>
    <row r="86" spans="2:23">
      <c r="B86" s="845">
        <f>Amnt_Deposited!B81</f>
        <v>2067</v>
      </c>
      <c r="C86" s="846">
        <f>Amnt_Deposited!O81</f>
        <v>0</v>
      </c>
      <c r="D86" s="847">
        <f>Dry_Matter_Content!O73</f>
        <v>0</v>
      </c>
      <c r="E86" s="848">
        <f>MCF!R85</f>
        <v>0.6</v>
      </c>
      <c r="F86" s="849">
        <f t="shared" si="12"/>
        <v>0</v>
      </c>
      <c r="G86" s="849">
        <f t="shared" si="13"/>
        <v>0</v>
      </c>
      <c r="H86" s="849">
        <f t="shared" si="14"/>
        <v>0</v>
      </c>
      <c r="I86" s="849">
        <f t="shared" si="15"/>
        <v>0</v>
      </c>
      <c r="J86" s="849">
        <f t="shared" si="16"/>
        <v>0</v>
      </c>
      <c r="K86" s="850">
        <f t="shared" si="18"/>
        <v>0</v>
      </c>
      <c r="O86" s="845">
        <f>Amnt_Deposited!B81</f>
        <v>2067</v>
      </c>
      <c r="P86" s="846">
        <f>Amnt_Deposited!O81</f>
        <v>0</v>
      </c>
      <c r="Q86" s="848">
        <f>MCF!R85</f>
        <v>0.6</v>
      </c>
      <c r="R86" s="849">
        <f t="shared" si="17"/>
        <v>0</v>
      </c>
      <c r="S86" s="849">
        <f t="shared" si="19"/>
        <v>0</v>
      </c>
      <c r="T86" s="849">
        <f t="shared" si="20"/>
        <v>0</v>
      </c>
      <c r="U86" s="849">
        <f t="shared" si="21"/>
        <v>0</v>
      </c>
      <c r="V86" s="849">
        <f t="shared" si="22"/>
        <v>0</v>
      </c>
      <c r="W86" s="850">
        <f t="shared" si="23"/>
        <v>0</v>
      </c>
    </row>
    <row r="87" spans="2:23">
      <c r="B87" s="845">
        <f>Amnt_Deposited!B82</f>
        <v>2068</v>
      </c>
      <c r="C87" s="846">
        <f>Amnt_Deposited!O82</f>
        <v>0</v>
      </c>
      <c r="D87" s="847">
        <f>Dry_Matter_Content!O74</f>
        <v>0</v>
      </c>
      <c r="E87" s="848">
        <f>MCF!R86</f>
        <v>0.6</v>
      </c>
      <c r="F87" s="849">
        <f t="shared" si="12"/>
        <v>0</v>
      </c>
      <c r="G87" s="849">
        <f t="shared" si="13"/>
        <v>0</v>
      </c>
      <c r="H87" s="849">
        <f t="shared" si="14"/>
        <v>0</v>
      </c>
      <c r="I87" s="849">
        <f t="shared" si="15"/>
        <v>0</v>
      </c>
      <c r="J87" s="849">
        <f t="shared" si="16"/>
        <v>0</v>
      </c>
      <c r="K87" s="850">
        <f t="shared" si="18"/>
        <v>0</v>
      </c>
      <c r="O87" s="845">
        <f>Amnt_Deposited!B82</f>
        <v>2068</v>
      </c>
      <c r="P87" s="846">
        <f>Amnt_Deposited!O82</f>
        <v>0</v>
      </c>
      <c r="Q87" s="848">
        <f>MCF!R86</f>
        <v>0.6</v>
      </c>
      <c r="R87" s="849">
        <f t="shared" si="17"/>
        <v>0</v>
      </c>
      <c r="S87" s="849">
        <f t="shared" si="19"/>
        <v>0</v>
      </c>
      <c r="T87" s="849">
        <f t="shared" si="20"/>
        <v>0</v>
      </c>
      <c r="U87" s="849">
        <f t="shared" si="21"/>
        <v>0</v>
      </c>
      <c r="V87" s="849">
        <f t="shared" si="22"/>
        <v>0</v>
      </c>
      <c r="W87" s="850">
        <f t="shared" si="23"/>
        <v>0</v>
      </c>
    </row>
    <row r="88" spans="2:23">
      <c r="B88" s="845">
        <f>Amnt_Deposited!B83</f>
        <v>2069</v>
      </c>
      <c r="C88" s="846">
        <f>Amnt_Deposited!O83</f>
        <v>0</v>
      </c>
      <c r="D88" s="847">
        <f>Dry_Matter_Content!O75</f>
        <v>0</v>
      </c>
      <c r="E88" s="848">
        <f>MCF!R87</f>
        <v>0.6</v>
      </c>
      <c r="F88" s="849">
        <f t="shared" si="12"/>
        <v>0</v>
      </c>
      <c r="G88" s="849">
        <f t="shared" si="13"/>
        <v>0</v>
      </c>
      <c r="H88" s="849">
        <f t="shared" si="14"/>
        <v>0</v>
      </c>
      <c r="I88" s="849">
        <f t="shared" si="15"/>
        <v>0</v>
      </c>
      <c r="J88" s="849">
        <f t="shared" si="16"/>
        <v>0</v>
      </c>
      <c r="K88" s="850">
        <f t="shared" si="18"/>
        <v>0</v>
      </c>
      <c r="O88" s="845">
        <f>Amnt_Deposited!B83</f>
        <v>2069</v>
      </c>
      <c r="P88" s="846">
        <f>Amnt_Deposited!O83</f>
        <v>0</v>
      </c>
      <c r="Q88" s="848">
        <f>MCF!R87</f>
        <v>0.6</v>
      </c>
      <c r="R88" s="849">
        <f t="shared" si="17"/>
        <v>0</v>
      </c>
      <c r="S88" s="849">
        <f t="shared" si="19"/>
        <v>0</v>
      </c>
      <c r="T88" s="849">
        <f t="shared" si="20"/>
        <v>0</v>
      </c>
      <c r="U88" s="849">
        <f t="shared" si="21"/>
        <v>0</v>
      </c>
      <c r="V88" s="849">
        <f t="shared" si="22"/>
        <v>0</v>
      </c>
      <c r="W88" s="850">
        <f t="shared" si="23"/>
        <v>0</v>
      </c>
    </row>
    <row r="89" spans="2:23">
      <c r="B89" s="845">
        <f>Amnt_Deposited!B84</f>
        <v>2070</v>
      </c>
      <c r="C89" s="846">
        <f>Amnt_Deposited!O84</f>
        <v>0</v>
      </c>
      <c r="D89" s="847">
        <f>Dry_Matter_Content!O76</f>
        <v>0</v>
      </c>
      <c r="E89" s="848">
        <f>MCF!R88</f>
        <v>0.6</v>
      </c>
      <c r="F89" s="849">
        <f t="shared" si="12"/>
        <v>0</v>
      </c>
      <c r="G89" s="849">
        <f t="shared" si="13"/>
        <v>0</v>
      </c>
      <c r="H89" s="849">
        <f t="shared" si="14"/>
        <v>0</v>
      </c>
      <c r="I89" s="849">
        <f t="shared" si="15"/>
        <v>0</v>
      </c>
      <c r="J89" s="849">
        <f t="shared" si="16"/>
        <v>0</v>
      </c>
      <c r="K89" s="850">
        <f t="shared" si="18"/>
        <v>0</v>
      </c>
      <c r="O89" s="845">
        <f>Amnt_Deposited!B84</f>
        <v>2070</v>
      </c>
      <c r="P89" s="846">
        <f>Amnt_Deposited!O84</f>
        <v>0</v>
      </c>
      <c r="Q89" s="848">
        <f>MCF!R88</f>
        <v>0.6</v>
      </c>
      <c r="R89" s="849">
        <f t="shared" si="17"/>
        <v>0</v>
      </c>
      <c r="S89" s="849">
        <f t="shared" si="19"/>
        <v>0</v>
      </c>
      <c r="T89" s="849">
        <f t="shared" si="20"/>
        <v>0</v>
      </c>
      <c r="U89" s="849">
        <f t="shared" si="21"/>
        <v>0</v>
      </c>
      <c r="V89" s="849">
        <f t="shared" si="22"/>
        <v>0</v>
      </c>
      <c r="W89" s="850">
        <f t="shared" si="23"/>
        <v>0</v>
      </c>
    </row>
    <row r="90" spans="2:23">
      <c r="B90" s="845">
        <f>Amnt_Deposited!B85</f>
        <v>2071</v>
      </c>
      <c r="C90" s="846">
        <f>Amnt_Deposited!O85</f>
        <v>0</v>
      </c>
      <c r="D90" s="847">
        <f>Dry_Matter_Content!O77</f>
        <v>0</v>
      </c>
      <c r="E90" s="848">
        <f>MCF!R89</f>
        <v>0.6</v>
      </c>
      <c r="F90" s="849">
        <f t="shared" si="12"/>
        <v>0</v>
      </c>
      <c r="G90" s="849">
        <f t="shared" si="13"/>
        <v>0</v>
      </c>
      <c r="H90" s="849">
        <f t="shared" si="14"/>
        <v>0</v>
      </c>
      <c r="I90" s="849">
        <f t="shared" si="15"/>
        <v>0</v>
      </c>
      <c r="J90" s="849">
        <f t="shared" si="16"/>
        <v>0</v>
      </c>
      <c r="K90" s="850">
        <f t="shared" si="18"/>
        <v>0</v>
      </c>
      <c r="O90" s="845">
        <f>Amnt_Deposited!B85</f>
        <v>2071</v>
      </c>
      <c r="P90" s="846">
        <f>Amnt_Deposited!O85</f>
        <v>0</v>
      </c>
      <c r="Q90" s="848">
        <f>MCF!R89</f>
        <v>0.6</v>
      </c>
      <c r="R90" s="849">
        <f t="shared" si="17"/>
        <v>0</v>
      </c>
      <c r="S90" s="849">
        <f t="shared" si="19"/>
        <v>0</v>
      </c>
      <c r="T90" s="849">
        <f t="shared" si="20"/>
        <v>0</v>
      </c>
      <c r="U90" s="849">
        <f t="shared" si="21"/>
        <v>0</v>
      </c>
      <c r="V90" s="849">
        <f t="shared" si="22"/>
        <v>0</v>
      </c>
      <c r="W90" s="850">
        <f t="shared" si="23"/>
        <v>0</v>
      </c>
    </row>
    <row r="91" spans="2:23">
      <c r="B91" s="845">
        <f>Amnt_Deposited!B86</f>
        <v>2072</v>
      </c>
      <c r="C91" s="846">
        <f>Amnt_Deposited!O86</f>
        <v>0</v>
      </c>
      <c r="D91" s="847">
        <f>Dry_Matter_Content!O78</f>
        <v>0</v>
      </c>
      <c r="E91" s="848">
        <f>MCF!R90</f>
        <v>0.6</v>
      </c>
      <c r="F91" s="849">
        <f t="shared" si="12"/>
        <v>0</v>
      </c>
      <c r="G91" s="849">
        <f t="shared" si="13"/>
        <v>0</v>
      </c>
      <c r="H91" s="849">
        <f t="shared" si="14"/>
        <v>0</v>
      </c>
      <c r="I91" s="849">
        <f t="shared" si="15"/>
        <v>0</v>
      </c>
      <c r="J91" s="849">
        <f t="shared" si="16"/>
        <v>0</v>
      </c>
      <c r="K91" s="850">
        <f t="shared" si="18"/>
        <v>0</v>
      </c>
      <c r="O91" s="845">
        <f>Amnt_Deposited!B86</f>
        <v>2072</v>
      </c>
      <c r="P91" s="846">
        <f>Amnt_Deposited!O86</f>
        <v>0</v>
      </c>
      <c r="Q91" s="848">
        <f>MCF!R90</f>
        <v>0.6</v>
      </c>
      <c r="R91" s="849">
        <f t="shared" si="17"/>
        <v>0</v>
      </c>
      <c r="S91" s="849">
        <f t="shared" si="19"/>
        <v>0</v>
      </c>
      <c r="T91" s="849">
        <f t="shared" si="20"/>
        <v>0</v>
      </c>
      <c r="U91" s="849">
        <f t="shared" si="21"/>
        <v>0</v>
      </c>
      <c r="V91" s="849">
        <f t="shared" si="22"/>
        <v>0</v>
      </c>
      <c r="W91" s="850">
        <f t="shared" si="23"/>
        <v>0</v>
      </c>
    </row>
    <row r="92" spans="2:23">
      <c r="B92" s="845">
        <f>Amnt_Deposited!B87</f>
        <v>2073</v>
      </c>
      <c r="C92" s="846">
        <f>Amnt_Deposited!O87</f>
        <v>0</v>
      </c>
      <c r="D92" s="847">
        <f>Dry_Matter_Content!O79</f>
        <v>0</v>
      </c>
      <c r="E92" s="848">
        <f>MCF!R91</f>
        <v>0.6</v>
      </c>
      <c r="F92" s="849">
        <f t="shared" si="12"/>
        <v>0</v>
      </c>
      <c r="G92" s="849">
        <f t="shared" si="13"/>
        <v>0</v>
      </c>
      <c r="H92" s="849">
        <f t="shared" si="14"/>
        <v>0</v>
      </c>
      <c r="I92" s="849">
        <f t="shared" si="15"/>
        <v>0</v>
      </c>
      <c r="J92" s="849">
        <f t="shared" si="16"/>
        <v>0</v>
      </c>
      <c r="K92" s="850">
        <f t="shared" si="18"/>
        <v>0</v>
      </c>
      <c r="O92" s="845">
        <f>Amnt_Deposited!B87</f>
        <v>2073</v>
      </c>
      <c r="P92" s="846">
        <f>Amnt_Deposited!O87</f>
        <v>0</v>
      </c>
      <c r="Q92" s="848">
        <f>MCF!R91</f>
        <v>0.6</v>
      </c>
      <c r="R92" s="849">
        <f t="shared" si="17"/>
        <v>0</v>
      </c>
      <c r="S92" s="849">
        <f t="shared" si="19"/>
        <v>0</v>
      </c>
      <c r="T92" s="849">
        <f t="shared" si="20"/>
        <v>0</v>
      </c>
      <c r="U92" s="849">
        <f t="shared" si="21"/>
        <v>0</v>
      </c>
      <c r="V92" s="849">
        <f t="shared" si="22"/>
        <v>0</v>
      </c>
      <c r="W92" s="850">
        <f t="shared" si="23"/>
        <v>0</v>
      </c>
    </row>
    <row r="93" spans="2:23">
      <c r="B93" s="845">
        <f>Amnt_Deposited!B88</f>
        <v>2074</v>
      </c>
      <c r="C93" s="846">
        <f>Amnt_Deposited!O88</f>
        <v>0</v>
      </c>
      <c r="D93" s="847">
        <f>Dry_Matter_Content!O80</f>
        <v>0</v>
      </c>
      <c r="E93" s="848">
        <f>MCF!R92</f>
        <v>0.6</v>
      </c>
      <c r="F93" s="849">
        <f t="shared" si="12"/>
        <v>0</v>
      </c>
      <c r="G93" s="849">
        <f t="shared" si="13"/>
        <v>0</v>
      </c>
      <c r="H93" s="849">
        <f t="shared" si="14"/>
        <v>0</v>
      </c>
      <c r="I93" s="849">
        <f t="shared" si="15"/>
        <v>0</v>
      </c>
      <c r="J93" s="849">
        <f t="shared" si="16"/>
        <v>0</v>
      </c>
      <c r="K93" s="850">
        <f t="shared" si="18"/>
        <v>0</v>
      </c>
      <c r="O93" s="845">
        <f>Amnt_Deposited!B88</f>
        <v>2074</v>
      </c>
      <c r="P93" s="846">
        <f>Amnt_Deposited!O88</f>
        <v>0</v>
      </c>
      <c r="Q93" s="848">
        <f>MCF!R92</f>
        <v>0.6</v>
      </c>
      <c r="R93" s="849">
        <f t="shared" si="17"/>
        <v>0</v>
      </c>
      <c r="S93" s="849">
        <f t="shared" si="19"/>
        <v>0</v>
      </c>
      <c r="T93" s="849">
        <f t="shared" si="20"/>
        <v>0</v>
      </c>
      <c r="U93" s="849">
        <f t="shared" si="21"/>
        <v>0</v>
      </c>
      <c r="V93" s="849">
        <f t="shared" si="22"/>
        <v>0</v>
      </c>
      <c r="W93" s="850">
        <f t="shared" si="23"/>
        <v>0</v>
      </c>
    </row>
    <row r="94" spans="2:23">
      <c r="B94" s="845">
        <f>Amnt_Deposited!B89</f>
        <v>2075</v>
      </c>
      <c r="C94" s="846">
        <f>Amnt_Deposited!O89</f>
        <v>0</v>
      </c>
      <c r="D94" s="847">
        <f>Dry_Matter_Content!O81</f>
        <v>0</v>
      </c>
      <c r="E94" s="848">
        <f>MCF!R93</f>
        <v>0.6</v>
      </c>
      <c r="F94" s="849">
        <f t="shared" si="12"/>
        <v>0</v>
      </c>
      <c r="G94" s="849">
        <f t="shared" si="13"/>
        <v>0</v>
      </c>
      <c r="H94" s="849">
        <f t="shared" si="14"/>
        <v>0</v>
      </c>
      <c r="I94" s="849">
        <f t="shared" si="15"/>
        <v>0</v>
      </c>
      <c r="J94" s="849">
        <f t="shared" si="16"/>
        <v>0</v>
      </c>
      <c r="K94" s="850">
        <f t="shared" si="18"/>
        <v>0</v>
      </c>
      <c r="O94" s="845">
        <f>Amnt_Deposited!B89</f>
        <v>2075</v>
      </c>
      <c r="P94" s="846">
        <f>Amnt_Deposited!O89</f>
        <v>0</v>
      </c>
      <c r="Q94" s="848">
        <f>MCF!R93</f>
        <v>0.6</v>
      </c>
      <c r="R94" s="849">
        <f t="shared" si="17"/>
        <v>0</v>
      </c>
      <c r="S94" s="849">
        <f t="shared" si="19"/>
        <v>0</v>
      </c>
      <c r="T94" s="849">
        <f t="shared" si="20"/>
        <v>0</v>
      </c>
      <c r="U94" s="849">
        <f t="shared" si="21"/>
        <v>0</v>
      </c>
      <c r="V94" s="849">
        <f t="shared" si="22"/>
        <v>0</v>
      </c>
      <c r="W94" s="850">
        <f t="shared" si="23"/>
        <v>0</v>
      </c>
    </row>
    <row r="95" spans="2:23">
      <c r="B95" s="845">
        <f>Amnt_Deposited!B90</f>
        <v>2076</v>
      </c>
      <c r="C95" s="846">
        <f>Amnt_Deposited!O90</f>
        <v>0</v>
      </c>
      <c r="D95" s="847">
        <f>Dry_Matter_Content!O82</f>
        <v>0</v>
      </c>
      <c r="E95" s="848">
        <f>MCF!R94</f>
        <v>0.6</v>
      </c>
      <c r="F95" s="849">
        <f t="shared" si="12"/>
        <v>0</v>
      </c>
      <c r="G95" s="849">
        <f t="shared" si="13"/>
        <v>0</v>
      </c>
      <c r="H95" s="849">
        <f t="shared" si="14"/>
        <v>0</v>
      </c>
      <c r="I95" s="849">
        <f t="shared" si="15"/>
        <v>0</v>
      </c>
      <c r="J95" s="849">
        <f t="shared" si="16"/>
        <v>0</v>
      </c>
      <c r="K95" s="850">
        <f t="shared" si="18"/>
        <v>0</v>
      </c>
      <c r="O95" s="845">
        <f>Amnt_Deposited!B90</f>
        <v>2076</v>
      </c>
      <c r="P95" s="846">
        <f>Amnt_Deposited!O90</f>
        <v>0</v>
      </c>
      <c r="Q95" s="848">
        <f>MCF!R94</f>
        <v>0.6</v>
      </c>
      <c r="R95" s="849">
        <f t="shared" si="17"/>
        <v>0</v>
      </c>
      <c r="S95" s="849">
        <f t="shared" si="19"/>
        <v>0</v>
      </c>
      <c r="T95" s="849">
        <f t="shared" si="20"/>
        <v>0</v>
      </c>
      <c r="U95" s="849">
        <f t="shared" si="21"/>
        <v>0</v>
      </c>
      <c r="V95" s="849">
        <f t="shared" si="22"/>
        <v>0</v>
      </c>
      <c r="W95" s="850">
        <f t="shared" si="23"/>
        <v>0</v>
      </c>
    </row>
    <row r="96" spans="2:23">
      <c r="B96" s="845">
        <f>Amnt_Deposited!B91</f>
        <v>2077</v>
      </c>
      <c r="C96" s="846">
        <f>Amnt_Deposited!O91</f>
        <v>0</v>
      </c>
      <c r="D96" s="847">
        <f>Dry_Matter_Content!O83</f>
        <v>0</v>
      </c>
      <c r="E96" s="848">
        <f>MCF!R95</f>
        <v>0.6</v>
      </c>
      <c r="F96" s="849">
        <f t="shared" si="12"/>
        <v>0</v>
      </c>
      <c r="G96" s="849">
        <f t="shared" si="13"/>
        <v>0</v>
      </c>
      <c r="H96" s="849">
        <f t="shared" si="14"/>
        <v>0</v>
      </c>
      <c r="I96" s="849">
        <f t="shared" si="15"/>
        <v>0</v>
      </c>
      <c r="J96" s="849">
        <f t="shared" si="16"/>
        <v>0</v>
      </c>
      <c r="K96" s="850">
        <f t="shared" si="18"/>
        <v>0</v>
      </c>
      <c r="O96" s="845">
        <f>Amnt_Deposited!B91</f>
        <v>2077</v>
      </c>
      <c r="P96" s="846">
        <f>Amnt_Deposited!O91</f>
        <v>0</v>
      </c>
      <c r="Q96" s="848">
        <f>MCF!R95</f>
        <v>0.6</v>
      </c>
      <c r="R96" s="849">
        <f t="shared" si="17"/>
        <v>0</v>
      </c>
      <c r="S96" s="849">
        <f t="shared" si="19"/>
        <v>0</v>
      </c>
      <c r="T96" s="849">
        <f t="shared" si="20"/>
        <v>0</v>
      </c>
      <c r="U96" s="849">
        <f t="shared" si="21"/>
        <v>0</v>
      </c>
      <c r="V96" s="849">
        <f t="shared" si="22"/>
        <v>0</v>
      </c>
      <c r="W96" s="850">
        <f t="shared" si="23"/>
        <v>0</v>
      </c>
    </row>
    <row r="97" spans="2:23">
      <c r="B97" s="845">
        <f>Amnt_Deposited!B92</f>
        <v>2078</v>
      </c>
      <c r="C97" s="846">
        <f>Amnt_Deposited!O92</f>
        <v>0</v>
      </c>
      <c r="D97" s="847">
        <f>Dry_Matter_Content!O84</f>
        <v>0</v>
      </c>
      <c r="E97" s="848">
        <f>MCF!R96</f>
        <v>0.6</v>
      </c>
      <c r="F97" s="849">
        <f t="shared" si="12"/>
        <v>0</v>
      </c>
      <c r="G97" s="849">
        <f t="shared" si="13"/>
        <v>0</v>
      </c>
      <c r="H97" s="849">
        <f t="shared" si="14"/>
        <v>0</v>
      </c>
      <c r="I97" s="849">
        <f t="shared" si="15"/>
        <v>0</v>
      </c>
      <c r="J97" s="849">
        <f t="shared" si="16"/>
        <v>0</v>
      </c>
      <c r="K97" s="850">
        <f t="shared" si="18"/>
        <v>0</v>
      </c>
      <c r="O97" s="845">
        <f>Amnt_Deposited!B92</f>
        <v>2078</v>
      </c>
      <c r="P97" s="846">
        <f>Amnt_Deposited!O92</f>
        <v>0</v>
      </c>
      <c r="Q97" s="848">
        <f>MCF!R96</f>
        <v>0.6</v>
      </c>
      <c r="R97" s="849">
        <f t="shared" si="17"/>
        <v>0</v>
      </c>
      <c r="S97" s="849">
        <f t="shared" si="19"/>
        <v>0</v>
      </c>
      <c r="T97" s="849">
        <f t="shared" si="20"/>
        <v>0</v>
      </c>
      <c r="U97" s="849">
        <f t="shared" si="21"/>
        <v>0</v>
      </c>
      <c r="V97" s="849">
        <f t="shared" si="22"/>
        <v>0</v>
      </c>
      <c r="W97" s="850">
        <f t="shared" si="23"/>
        <v>0</v>
      </c>
    </row>
    <row r="98" spans="2:23">
      <c r="B98" s="845">
        <f>Amnt_Deposited!B93</f>
        <v>2079</v>
      </c>
      <c r="C98" s="846">
        <f>Amnt_Deposited!O93</f>
        <v>0</v>
      </c>
      <c r="D98" s="847">
        <f>Dry_Matter_Content!O85</f>
        <v>0</v>
      </c>
      <c r="E98" s="848">
        <f>MCF!R97</f>
        <v>0.6</v>
      </c>
      <c r="F98" s="849">
        <f t="shared" si="12"/>
        <v>0</v>
      </c>
      <c r="G98" s="849">
        <f t="shared" si="13"/>
        <v>0</v>
      </c>
      <c r="H98" s="849">
        <f t="shared" si="14"/>
        <v>0</v>
      </c>
      <c r="I98" s="849">
        <f t="shared" si="15"/>
        <v>0</v>
      </c>
      <c r="J98" s="849">
        <f t="shared" si="16"/>
        <v>0</v>
      </c>
      <c r="K98" s="850">
        <f t="shared" si="18"/>
        <v>0</v>
      </c>
      <c r="O98" s="845">
        <f>Amnt_Deposited!B93</f>
        <v>2079</v>
      </c>
      <c r="P98" s="846">
        <f>Amnt_Deposited!O93</f>
        <v>0</v>
      </c>
      <c r="Q98" s="848">
        <f>MCF!R97</f>
        <v>0.6</v>
      </c>
      <c r="R98" s="849">
        <f t="shared" si="17"/>
        <v>0</v>
      </c>
      <c r="S98" s="849">
        <f t="shared" si="19"/>
        <v>0</v>
      </c>
      <c r="T98" s="849">
        <f t="shared" si="20"/>
        <v>0</v>
      </c>
      <c r="U98" s="849">
        <f t="shared" si="21"/>
        <v>0</v>
      </c>
      <c r="V98" s="849">
        <f t="shared" si="22"/>
        <v>0</v>
      </c>
      <c r="W98" s="850">
        <f t="shared" si="23"/>
        <v>0</v>
      </c>
    </row>
    <row r="99" spans="2:23" ht="13.5" thickBot="1">
      <c r="B99" s="853">
        <f>Amnt_Deposited!B94</f>
        <v>2080</v>
      </c>
      <c r="C99" s="846">
        <f>Amnt_Deposited!O94</f>
        <v>0</v>
      </c>
      <c r="D99" s="854">
        <f>Dry_Matter_Content!O86</f>
        <v>0</v>
      </c>
      <c r="E99" s="855">
        <f>MCF!R98</f>
        <v>0.6</v>
      </c>
      <c r="F99" s="856">
        <f t="shared" si="12"/>
        <v>0</v>
      </c>
      <c r="G99" s="856">
        <f t="shared" si="13"/>
        <v>0</v>
      </c>
      <c r="H99" s="856">
        <f t="shared" si="14"/>
        <v>0</v>
      </c>
      <c r="I99" s="856">
        <f t="shared" si="15"/>
        <v>0</v>
      </c>
      <c r="J99" s="856">
        <f t="shared" si="16"/>
        <v>0</v>
      </c>
      <c r="K99" s="857">
        <f t="shared" si="18"/>
        <v>0</v>
      </c>
      <c r="O99" s="853">
        <f>Amnt_Deposited!B94</f>
        <v>2080</v>
      </c>
      <c r="P99" s="846">
        <f>Amnt_Deposited!O94</f>
        <v>0</v>
      </c>
      <c r="Q99" s="855">
        <f>MCF!R98</f>
        <v>0.6</v>
      </c>
      <c r="R99" s="856">
        <f t="shared" si="17"/>
        <v>0</v>
      </c>
      <c r="S99" s="856">
        <f>R99*$W$12</f>
        <v>0</v>
      </c>
      <c r="T99" s="856">
        <f>R99*(1-$W$12)</f>
        <v>0</v>
      </c>
      <c r="U99" s="856">
        <f>S99+U98*$W$10</f>
        <v>0</v>
      </c>
      <c r="V99" s="856">
        <f>U98*(1-$W$10)+T99</f>
        <v>0</v>
      </c>
      <c r="W99" s="857">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Parameters!O28</f>
        <v>0</v>
      </c>
      <c r="O6" s="230"/>
      <c r="P6" s="231"/>
      <c r="Q6" s="222"/>
      <c r="R6" s="108" t="s">
        <v>9</v>
      </c>
      <c r="S6" s="109"/>
      <c r="T6" s="109"/>
      <c r="U6" s="113"/>
      <c r="V6" s="120" t="s">
        <v>9</v>
      </c>
      <c r="W6" s="261">
        <f>Parameters!R28</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Parameters!O47</f>
        <v>0.17</v>
      </c>
      <c r="O8" s="47"/>
      <c r="P8" s="47"/>
      <c r="Q8" s="222"/>
      <c r="R8" s="108" t="s">
        <v>192</v>
      </c>
      <c r="S8" s="109"/>
      <c r="T8" s="109"/>
      <c r="U8" s="113"/>
      <c r="V8" s="120" t="s">
        <v>188</v>
      </c>
      <c r="W8" s="114">
        <f>Parameters!O47</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16">
        <f>Dry_Matter_Content!P6</f>
        <v>0</v>
      </c>
      <c r="E19" s="283">
        <f>MCF!R18</f>
        <v>0.6</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283">
        <f>MCF!R18</f>
        <v>0.6</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18">
        <f>Dry_Matter_Content!P7</f>
        <v>0</v>
      </c>
      <c r="E20" s="284">
        <f>MCF!R19</f>
        <v>0.6</v>
      </c>
      <c r="F20" s="67">
        <f t="shared" si="0"/>
        <v>0</v>
      </c>
      <c r="G20" s="67">
        <f t="shared" si="1"/>
        <v>0</v>
      </c>
      <c r="H20" s="67">
        <f t="shared" si="2"/>
        <v>0</v>
      </c>
      <c r="I20" s="67">
        <f t="shared" si="3"/>
        <v>0</v>
      </c>
      <c r="J20" s="67">
        <f t="shared" si="4"/>
        <v>0</v>
      </c>
      <c r="K20" s="100">
        <f>J20*CH4_fraction*conv</f>
        <v>0</v>
      </c>
      <c r="M20" s="393"/>
      <c r="O20" s="96">
        <f>Amnt_Deposited!B15</f>
        <v>2001</v>
      </c>
      <c r="P20" s="99">
        <f>Amnt_Deposited!P15</f>
        <v>0</v>
      </c>
      <c r="Q20" s="284">
        <f>MCF!R19</f>
        <v>0.6</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18">
        <f>Dry_Matter_Content!P8</f>
        <v>0</v>
      </c>
      <c r="E21" s="284">
        <f>MCF!R20</f>
        <v>0.6</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284">
        <f>MCF!R20</f>
        <v>0.6</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18">
        <f>Dry_Matter_Content!P9</f>
        <v>0</v>
      </c>
      <c r="E22" s="284">
        <f>MCF!R21</f>
        <v>0.6</v>
      </c>
      <c r="F22" s="67">
        <f t="shared" si="0"/>
        <v>0</v>
      </c>
      <c r="G22" s="67">
        <f t="shared" si="1"/>
        <v>0</v>
      </c>
      <c r="H22" s="67">
        <f t="shared" si="2"/>
        <v>0</v>
      </c>
      <c r="I22" s="67">
        <f t="shared" si="3"/>
        <v>0</v>
      </c>
      <c r="J22" s="67">
        <f t="shared" si="4"/>
        <v>0</v>
      </c>
      <c r="K22" s="100">
        <f t="shared" si="6"/>
        <v>0</v>
      </c>
      <c r="N22" s="258"/>
      <c r="O22" s="96">
        <f>Amnt_Deposited!B17</f>
        <v>2003</v>
      </c>
      <c r="P22" s="99">
        <f>Amnt_Deposited!P17</f>
        <v>0</v>
      </c>
      <c r="Q22" s="284">
        <f>MCF!R21</f>
        <v>0.6</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18">
        <f>Dry_Matter_Content!P10</f>
        <v>0</v>
      </c>
      <c r="E23" s="284">
        <f>MCF!R22</f>
        <v>0.6</v>
      </c>
      <c r="F23" s="67">
        <f t="shared" si="0"/>
        <v>0</v>
      </c>
      <c r="G23" s="67">
        <f t="shared" si="1"/>
        <v>0</v>
      </c>
      <c r="H23" s="67">
        <f t="shared" si="2"/>
        <v>0</v>
      </c>
      <c r="I23" s="67">
        <f t="shared" si="3"/>
        <v>0</v>
      </c>
      <c r="J23" s="67">
        <f t="shared" si="4"/>
        <v>0</v>
      </c>
      <c r="K23" s="100">
        <f t="shared" si="6"/>
        <v>0</v>
      </c>
      <c r="N23" s="258"/>
      <c r="O23" s="96">
        <f>Amnt_Deposited!B18</f>
        <v>2004</v>
      </c>
      <c r="P23" s="99">
        <f>Amnt_Deposited!P18</f>
        <v>0</v>
      </c>
      <c r="Q23" s="284">
        <f>MCF!R22</f>
        <v>0.6</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18">
        <f>Dry_Matter_Content!P11</f>
        <v>0</v>
      </c>
      <c r="E24" s="284">
        <f>MCF!R23</f>
        <v>0.6</v>
      </c>
      <c r="F24" s="67">
        <f t="shared" si="0"/>
        <v>0</v>
      </c>
      <c r="G24" s="67">
        <f t="shared" si="1"/>
        <v>0</v>
      </c>
      <c r="H24" s="67">
        <f t="shared" si="2"/>
        <v>0</v>
      </c>
      <c r="I24" s="67">
        <f t="shared" si="3"/>
        <v>0</v>
      </c>
      <c r="J24" s="67">
        <f t="shared" si="4"/>
        <v>0</v>
      </c>
      <c r="K24" s="100">
        <f t="shared" si="6"/>
        <v>0</v>
      </c>
      <c r="N24" s="258"/>
      <c r="O24" s="96">
        <f>Amnt_Deposited!B19</f>
        <v>2005</v>
      </c>
      <c r="P24" s="99">
        <f>Amnt_Deposited!P19</f>
        <v>0</v>
      </c>
      <c r="Q24" s="284">
        <f>MCF!R23</f>
        <v>0.6</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18">
        <f>Dry_Matter_Content!P12</f>
        <v>0</v>
      </c>
      <c r="E25" s="284">
        <f>MCF!R24</f>
        <v>0.6</v>
      </c>
      <c r="F25" s="67">
        <f t="shared" si="0"/>
        <v>0</v>
      </c>
      <c r="G25" s="67">
        <f t="shared" si="1"/>
        <v>0</v>
      </c>
      <c r="H25" s="67">
        <f t="shared" si="2"/>
        <v>0</v>
      </c>
      <c r="I25" s="67">
        <f t="shared" si="3"/>
        <v>0</v>
      </c>
      <c r="J25" s="67">
        <f t="shared" si="4"/>
        <v>0</v>
      </c>
      <c r="K25" s="100">
        <f t="shared" si="6"/>
        <v>0</v>
      </c>
      <c r="N25" s="258"/>
      <c r="O25" s="96">
        <f>Amnt_Deposited!B20</f>
        <v>2006</v>
      </c>
      <c r="P25" s="99">
        <f>Amnt_Deposited!P20</f>
        <v>0</v>
      </c>
      <c r="Q25" s="284">
        <f>MCF!R24</f>
        <v>0.6</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18">
        <f>Dry_Matter_Content!P13</f>
        <v>0</v>
      </c>
      <c r="E26" s="284">
        <f>MCF!R25</f>
        <v>0.6</v>
      </c>
      <c r="F26" s="67">
        <f t="shared" si="0"/>
        <v>0</v>
      </c>
      <c r="G26" s="67">
        <f t="shared" si="1"/>
        <v>0</v>
      </c>
      <c r="H26" s="67">
        <f t="shared" si="2"/>
        <v>0</v>
      </c>
      <c r="I26" s="67">
        <f t="shared" si="3"/>
        <v>0</v>
      </c>
      <c r="J26" s="67">
        <f t="shared" si="4"/>
        <v>0</v>
      </c>
      <c r="K26" s="100">
        <f t="shared" si="6"/>
        <v>0</v>
      </c>
      <c r="N26" s="258"/>
      <c r="O26" s="96">
        <f>Amnt_Deposited!B21</f>
        <v>2007</v>
      </c>
      <c r="P26" s="99">
        <f>Amnt_Deposited!P21</f>
        <v>0</v>
      </c>
      <c r="Q26" s="284">
        <f>MCF!R25</f>
        <v>0.6</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18">
        <f>Dry_Matter_Content!P14</f>
        <v>0</v>
      </c>
      <c r="E27" s="284">
        <f>MCF!R26</f>
        <v>0.6</v>
      </c>
      <c r="F27" s="67">
        <f t="shared" si="0"/>
        <v>0</v>
      </c>
      <c r="G27" s="67">
        <f t="shared" si="1"/>
        <v>0</v>
      </c>
      <c r="H27" s="67">
        <f t="shared" si="2"/>
        <v>0</v>
      </c>
      <c r="I27" s="67">
        <f t="shared" si="3"/>
        <v>0</v>
      </c>
      <c r="J27" s="67">
        <f t="shared" si="4"/>
        <v>0</v>
      </c>
      <c r="K27" s="100">
        <f t="shared" si="6"/>
        <v>0</v>
      </c>
      <c r="N27" s="258"/>
      <c r="O27" s="96">
        <f>Amnt_Deposited!B22</f>
        <v>2008</v>
      </c>
      <c r="P27" s="99">
        <f>Amnt_Deposited!P22</f>
        <v>0</v>
      </c>
      <c r="Q27" s="284">
        <f>MCF!R26</f>
        <v>0.6</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18">
        <f>Dry_Matter_Content!P15</f>
        <v>0</v>
      </c>
      <c r="E28" s="284">
        <f>MCF!R27</f>
        <v>0.6</v>
      </c>
      <c r="F28" s="67">
        <f t="shared" si="0"/>
        <v>0</v>
      </c>
      <c r="G28" s="67">
        <f t="shared" si="1"/>
        <v>0</v>
      </c>
      <c r="H28" s="67">
        <f t="shared" si="2"/>
        <v>0</v>
      </c>
      <c r="I28" s="67">
        <f t="shared" si="3"/>
        <v>0</v>
      </c>
      <c r="J28" s="67">
        <f t="shared" si="4"/>
        <v>0</v>
      </c>
      <c r="K28" s="100">
        <f t="shared" si="6"/>
        <v>0</v>
      </c>
      <c r="N28" s="258"/>
      <c r="O28" s="96">
        <f>Amnt_Deposited!B23</f>
        <v>2009</v>
      </c>
      <c r="P28" s="99">
        <f>Amnt_Deposited!P23</f>
        <v>0</v>
      </c>
      <c r="Q28" s="284">
        <f>MCF!R27</f>
        <v>0.6</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18">
        <f>Dry_Matter_Content!P16</f>
        <v>0</v>
      </c>
      <c r="E29" s="284">
        <f>MCF!R28</f>
        <v>0.6</v>
      </c>
      <c r="F29" s="67">
        <f t="shared" si="0"/>
        <v>0</v>
      </c>
      <c r="G29" s="67">
        <f t="shared" si="1"/>
        <v>0</v>
      </c>
      <c r="H29" s="67">
        <f t="shared" si="2"/>
        <v>0</v>
      </c>
      <c r="I29" s="67">
        <f t="shared" si="3"/>
        <v>0</v>
      </c>
      <c r="J29" s="67">
        <f t="shared" si="4"/>
        <v>0</v>
      </c>
      <c r="K29" s="100">
        <f t="shared" si="6"/>
        <v>0</v>
      </c>
      <c r="O29" s="96">
        <f>Amnt_Deposited!B24</f>
        <v>2010</v>
      </c>
      <c r="P29" s="99">
        <f>Amnt_Deposited!P24</f>
        <v>0</v>
      </c>
      <c r="Q29" s="284">
        <f>MCF!R28</f>
        <v>0.6</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18">
        <f>Dry_Matter_Content!P17</f>
        <v>0</v>
      </c>
      <c r="E30" s="284">
        <f>MCF!R29</f>
        <v>0.6</v>
      </c>
      <c r="F30" s="67">
        <f t="shared" si="0"/>
        <v>0</v>
      </c>
      <c r="G30" s="67">
        <f t="shared" si="1"/>
        <v>0</v>
      </c>
      <c r="H30" s="67">
        <f t="shared" si="2"/>
        <v>0</v>
      </c>
      <c r="I30" s="67">
        <f t="shared" si="3"/>
        <v>0</v>
      </c>
      <c r="J30" s="67">
        <f t="shared" si="4"/>
        <v>0</v>
      </c>
      <c r="K30" s="100">
        <f t="shared" si="6"/>
        <v>0</v>
      </c>
      <c r="O30" s="96">
        <f>Amnt_Deposited!B25</f>
        <v>2011</v>
      </c>
      <c r="P30" s="99">
        <f>Amnt_Deposited!P25</f>
        <v>0</v>
      </c>
      <c r="Q30" s="284">
        <f>MCF!R29</f>
        <v>0.6</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18">
        <f>Dry_Matter_Content!P18</f>
        <v>0</v>
      </c>
      <c r="E31" s="284">
        <f>MCF!R30</f>
        <v>0.6</v>
      </c>
      <c r="F31" s="67">
        <f t="shared" si="0"/>
        <v>0</v>
      </c>
      <c r="G31" s="67">
        <f t="shared" si="1"/>
        <v>0</v>
      </c>
      <c r="H31" s="67">
        <f t="shared" si="2"/>
        <v>0</v>
      </c>
      <c r="I31" s="67">
        <f t="shared" si="3"/>
        <v>0</v>
      </c>
      <c r="J31" s="67">
        <f t="shared" si="4"/>
        <v>0</v>
      </c>
      <c r="K31" s="100">
        <f t="shared" si="6"/>
        <v>0</v>
      </c>
      <c r="O31" s="96">
        <f>Amnt_Deposited!B26</f>
        <v>2012</v>
      </c>
      <c r="P31" s="99">
        <f>Amnt_Deposited!P26</f>
        <v>0</v>
      </c>
      <c r="Q31" s="284">
        <f>MCF!R30</f>
        <v>0.6</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18">
        <f>Dry_Matter_Content!P19</f>
        <v>0</v>
      </c>
      <c r="E32" s="284">
        <f>MCF!R31</f>
        <v>0.6</v>
      </c>
      <c r="F32" s="67">
        <f t="shared" si="0"/>
        <v>0</v>
      </c>
      <c r="G32" s="67">
        <f t="shared" si="1"/>
        <v>0</v>
      </c>
      <c r="H32" s="67">
        <f t="shared" si="2"/>
        <v>0</v>
      </c>
      <c r="I32" s="67">
        <f t="shared" si="3"/>
        <v>0</v>
      </c>
      <c r="J32" s="67">
        <f t="shared" si="4"/>
        <v>0</v>
      </c>
      <c r="K32" s="100">
        <f t="shared" si="6"/>
        <v>0</v>
      </c>
      <c r="O32" s="96">
        <f>Amnt_Deposited!B27</f>
        <v>2013</v>
      </c>
      <c r="P32" s="99">
        <f>Amnt_Deposited!P27</f>
        <v>0</v>
      </c>
      <c r="Q32" s="284">
        <f>MCF!R31</f>
        <v>0.6</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18">
        <f>Dry_Matter_Content!P20</f>
        <v>0</v>
      </c>
      <c r="E33" s="284">
        <f>MCF!R32</f>
        <v>0.6</v>
      </c>
      <c r="F33" s="67">
        <f t="shared" si="0"/>
        <v>0</v>
      </c>
      <c r="G33" s="67">
        <f t="shared" si="1"/>
        <v>0</v>
      </c>
      <c r="H33" s="67">
        <f t="shared" si="2"/>
        <v>0</v>
      </c>
      <c r="I33" s="67">
        <f t="shared" si="3"/>
        <v>0</v>
      </c>
      <c r="J33" s="67">
        <f t="shared" si="4"/>
        <v>0</v>
      </c>
      <c r="K33" s="100">
        <f t="shared" si="6"/>
        <v>0</v>
      </c>
      <c r="O33" s="96">
        <f>Amnt_Deposited!B28</f>
        <v>2014</v>
      </c>
      <c r="P33" s="99">
        <f>Amnt_Deposited!P28</f>
        <v>0</v>
      </c>
      <c r="Q33" s="284">
        <f>MCF!R32</f>
        <v>0.6</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18">
        <f>Dry_Matter_Content!P21</f>
        <v>0</v>
      </c>
      <c r="E34" s="284">
        <f>MCF!R33</f>
        <v>0.6</v>
      </c>
      <c r="F34" s="67">
        <f t="shared" si="0"/>
        <v>0</v>
      </c>
      <c r="G34" s="67">
        <f t="shared" si="1"/>
        <v>0</v>
      </c>
      <c r="H34" s="67">
        <f t="shared" si="2"/>
        <v>0</v>
      </c>
      <c r="I34" s="67">
        <f t="shared" si="3"/>
        <v>0</v>
      </c>
      <c r="J34" s="67">
        <f t="shared" si="4"/>
        <v>0</v>
      </c>
      <c r="K34" s="100">
        <f t="shared" si="6"/>
        <v>0</v>
      </c>
      <c r="O34" s="96">
        <f>Amnt_Deposited!B29</f>
        <v>2015</v>
      </c>
      <c r="P34" s="99">
        <f>Amnt_Deposited!P29</f>
        <v>0</v>
      </c>
      <c r="Q34" s="284">
        <f>MCF!R33</f>
        <v>0.6</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18">
        <f>Dry_Matter_Content!P22</f>
        <v>0</v>
      </c>
      <c r="E35" s="284">
        <f>MCF!R34</f>
        <v>0.6</v>
      </c>
      <c r="F35" s="67">
        <f t="shared" si="0"/>
        <v>0</v>
      </c>
      <c r="G35" s="67">
        <f t="shared" si="1"/>
        <v>0</v>
      </c>
      <c r="H35" s="67">
        <f t="shared" si="2"/>
        <v>0</v>
      </c>
      <c r="I35" s="67">
        <f t="shared" si="3"/>
        <v>0</v>
      </c>
      <c r="J35" s="67">
        <f t="shared" si="4"/>
        <v>0</v>
      </c>
      <c r="K35" s="100">
        <f t="shared" si="6"/>
        <v>0</v>
      </c>
      <c r="O35" s="96">
        <f>Amnt_Deposited!B30</f>
        <v>2016</v>
      </c>
      <c r="P35" s="99">
        <f>Amnt_Deposited!P30</f>
        <v>0</v>
      </c>
      <c r="Q35" s="284">
        <f>MCF!R34</f>
        <v>0.6</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18">
        <f>Dry_Matter_Content!P23</f>
        <v>0</v>
      </c>
      <c r="E36" s="284">
        <f>MCF!R35</f>
        <v>0.6</v>
      </c>
      <c r="F36" s="67">
        <f t="shared" si="0"/>
        <v>0</v>
      </c>
      <c r="G36" s="67">
        <f t="shared" si="1"/>
        <v>0</v>
      </c>
      <c r="H36" s="67">
        <f t="shared" si="2"/>
        <v>0</v>
      </c>
      <c r="I36" s="67">
        <f t="shared" si="3"/>
        <v>0</v>
      </c>
      <c r="J36" s="67">
        <f t="shared" si="4"/>
        <v>0</v>
      </c>
      <c r="K36" s="100">
        <f t="shared" si="6"/>
        <v>0</v>
      </c>
      <c r="O36" s="96">
        <f>Amnt_Deposited!B31</f>
        <v>2017</v>
      </c>
      <c r="P36" s="99">
        <f>Amnt_Deposited!P31</f>
        <v>0</v>
      </c>
      <c r="Q36" s="284">
        <f>MCF!R35</f>
        <v>0.6</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18">
        <f>Dry_Matter_Content!P24</f>
        <v>0</v>
      </c>
      <c r="E37" s="284">
        <f>MCF!R36</f>
        <v>0.6</v>
      </c>
      <c r="F37" s="67">
        <f t="shared" si="0"/>
        <v>0</v>
      </c>
      <c r="G37" s="67">
        <f t="shared" si="1"/>
        <v>0</v>
      </c>
      <c r="H37" s="67">
        <f t="shared" si="2"/>
        <v>0</v>
      </c>
      <c r="I37" s="67">
        <f t="shared" si="3"/>
        <v>0</v>
      </c>
      <c r="J37" s="67">
        <f t="shared" si="4"/>
        <v>0</v>
      </c>
      <c r="K37" s="100">
        <f t="shared" si="6"/>
        <v>0</v>
      </c>
      <c r="O37" s="96">
        <f>Amnt_Deposited!B32</f>
        <v>2018</v>
      </c>
      <c r="P37" s="99">
        <f>Amnt_Deposited!P32</f>
        <v>0</v>
      </c>
      <c r="Q37" s="284">
        <f>MCF!R36</f>
        <v>0.6</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18">
        <f>Dry_Matter_Content!P25</f>
        <v>0</v>
      </c>
      <c r="E38" s="284">
        <f>MCF!R37</f>
        <v>0.6</v>
      </c>
      <c r="F38" s="67">
        <f t="shared" si="0"/>
        <v>0</v>
      </c>
      <c r="G38" s="67">
        <f t="shared" si="1"/>
        <v>0</v>
      </c>
      <c r="H38" s="67">
        <f t="shared" si="2"/>
        <v>0</v>
      </c>
      <c r="I38" s="67">
        <f t="shared" si="3"/>
        <v>0</v>
      </c>
      <c r="J38" s="67">
        <f t="shared" si="4"/>
        <v>0</v>
      </c>
      <c r="K38" s="100">
        <f t="shared" si="6"/>
        <v>0</v>
      </c>
      <c r="O38" s="96">
        <f>Amnt_Deposited!B33</f>
        <v>2019</v>
      </c>
      <c r="P38" s="99">
        <f>Amnt_Deposited!P33</f>
        <v>0</v>
      </c>
      <c r="Q38" s="284">
        <f>MCF!R37</f>
        <v>0.6</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18">
        <f>Dry_Matter_Content!P26</f>
        <v>0</v>
      </c>
      <c r="E39" s="284">
        <f>MCF!R38</f>
        <v>0.6</v>
      </c>
      <c r="F39" s="67">
        <f t="shared" si="0"/>
        <v>0</v>
      </c>
      <c r="G39" s="67">
        <f t="shared" si="1"/>
        <v>0</v>
      </c>
      <c r="H39" s="67">
        <f t="shared" si="2"/>
        <v>0</v>
      </c>
      <c r="I39" s="67">
        <f t="shared" si="3"/>
        <v>0</v>
      </c>
      <c r="J39" s="67">
        <f t="shared" si="4"/>
        <v>0</v>
      </c>
      <c r="K39" s="100">
        <f t="shared" si="6"/>
        <v>0</v>
      </c>
      <c r="O39" s="96">
        <f>Amnt_Deposited!B34</f>
        <v>2020</v>
      </c>
      <c r="P39" s="99">
        <f>Amnt_Deposited!P34</f>
        <v>0</v>
      </c>
      <c r="Q39" s="284">
        <f>MCF!R38</f>
        <v>0.6</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18">
        <f>Dry_Matter_Content!P27</f>
        <v>0</v>
      </c>
      <c r="E40" s="284">
        <f>MCF!R39</f>
        <v>0.6</v>
      </c>
      <c r="F40" s="67">
        <f t="shared" si="0"/>
        <v>0</v>
      </c>
      <c r="G40" s="67">
        <f t="shared" si="1"/>
        <v>0</v>
      </c>
      <c r="H40" s="67">
        <f t="shared" si="2"/>
        <v>0</v>
      </c>
      <c r="I40" s="67">
        <f t="shared" si="3"/>
        <v>0</v>
      </c>
      <c r="J40" s="67">
        <f t="shared" si="4"/>
        <v>0</v>
      </c>
      <c r="K40" s="100">
        <f t="shared" si="6"/>
        <v>0</v>
      </c>
      <c r="O40" s="96">
        <f>Amnt_Deposited!B35</f>
        <v>2021</v>
      </c>
      <c r="P40" s="99">
        <f>Amnt_Deposited!P35</f>
        <v>0</v>
      </c>
      <c r="Q40" s="284">
        <f>MCF!R39</f>
        <v>0.6</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18">
        <f>Dry_Matter_Content!P28</f>
        <v>0</v>
      </c>
      <c r="E41" s="284">
        <f>MCF!R40</f>
        <v>0.6</v>
      </c>
      <c r="F41" s="67">
        <f t="shared" si="0"/>
        <v>0</v>
      </c>
      <c r="G41" s="67">
        <f t="shared" si="1"/>
        <v>0</v>
      </c>
      <c r="H41" s="67">
        <f t="shared" si="2"/>
        <v>0</v>
      </c>
      <c r="I41" s="67">
        <f t="shared" si="3"/>
        <v>0</v>
      </c>
      <c r="J41" s="67">
        <f t="shared" si="4"/>
        <v>0</v>
      </c>
      <c r="K41" s="100">
        <f t="shared" si="6"/>
        <v>0</v>
      </c>
      <c r="O41" s="96">
        <f>Amnt_Deposited!B36</f>
        <v>2022</v>
      </c>
      <c r="P41" s="99">
        <f>Amnt_Deposited!P36</f>
        <v>0</v>
      </c>
      <c r="Q41" s="284">
        <f>MCF!R40</f>
        <v>0.6</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18">
        <f>Dry_Matter_Content!P29</f>
        <v>0</v>
      </c>
      <c r="E42" s="284">
        <f>MCF!R41</f>
        <v>0.6</v>
      </c>
      <c r="F42" s="67">
        <f t="shared" si="0"/>
        <v>0</v>
      </c>
      <c r="G42" s="67">
        <f t="shared" si="1"/>
        <v>0</v>
      </c>
      <c r="H42" s="67">
        <f t="shared" si="2"/>
        <v>0</v>
      </c>
      <c r="I42" s="67">
        <f t="shared" si="3"/>
        <v>0</v>
      </c>
      <c r="J42" s="67">
        <f t="shared" si="4"/>
        <v>0</v>
      </c>
      <c r="K42" s="100">
        <f t="shared" si="6"/>
        <v>0</v>
      </c>
      <c r="O42" s="96">
        <f>Amnt_Deposited!B37</f>
        <v>2023</v>
      </c>
      <c r="P42" s="99">
        <f>Amnt_Deposited!P37</f>
        <v>0</v>
      </c>
      <c r="Q42" s="284">
        <f>MCF!R41</f>
        <v>0.6</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18">
        <f>Dry_Matter_Content!P30</f>
        <v>0</v>
      </c>
      <c r="E43" s="284">
        <f>MCF!R42</f>
        <v>0.6</v>
      </c>
      <c r="F43" s="67">
        <f t="shared" si="0"/>
        <v>0</v>
      </c>
      <c r="G43" s="67">
        <f t="shared" si="1"/>
        <v>0</v>
      </c>
      <c r="H43" s="67">
        <f t="shared" si="2"/>
        <v>0</v>
      </c>
      <c r="I43" s="67">
        <f t="shared" si="3"/>
        <v>0</v>
      </c>
      <c r="J43" s="67">
        <f t="shared" si="4"/>
        <v>0</v>
      </c>
      <c r="K43" s="100">
        <f t="shared" si="6"/>
        <v>0</v>
      </c>
      <c r="O43" s="96">
        <f>Amnt_Deposited!B38</f>
        <v>2024</v>
      </c>
      <c r="P43" s="99">
        <f>Amnt_Deposited!P38</f>
        <v>0</v>
      </c>
      <c r="Q43" s="284">
        <f>MCF!R42</f>
        <v>0.6</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18">
        <f>Dry_Matter_Content!P31</f>
        <v>0</v>
      </c>
      <c r="E44" s="284">
        <f>MCF!R43</f>
        <v>0.6</v>
      </c>
      <c r="F44" s="67">
        <f t="shared" si="0"/>
        <v>0</v>
      </c>
      <c r="G44" s="67">
        <f t="shared" si="1"/>
        <v>0</v>
      </c>
      <c r="H44" s="67">
        <f t="shared" si="2"/>
        <v>0</v>
      </c>
      <c r="I44" s="67">
        <f t="shared" si="3"/>
        <v>0</v>
      </c>
      <c r="J44" s="67">
        <f t="shared" si="4"/>
        <v>0</v>
      </c>
      <c r="K44" s="100">
        <f t="shared" si="6"/>
        <v>0</v>
      </c>
      <c r="O44" s="96">
        <f>Amnt_Deposited!B39</f>
        <v>2025</v>
      </c>
      <c r="P44" s="99">
        <f>Amnt_Deposited!P39</f>
        <v>0</v>
      </c>
      <c r="Q44" s="284">
        <f>MCF!R43</f>
        <v>0.6</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18">
        <f>Dry_Matter_Content!P32</f>
        <v>0</v>
      </c>
      <c r="E45" s="284">
        <f>MCF!R44</f>
        <v>0.6</v>
      </c>
      <c r="F45" s="67">
        <f t="shared" si="0"/>
        <v>0</v>
      </c>
      <c r="G45" s="67">
        <f t="shared" si="1"/>
        <v>0</v>
      </c>
      <c r="H45" s="67">
        <f t="shared" si="2"/>
        <v>0</v>
      </c>
      <c r="I45" s="67">
        <f t="shared" si="3"/>
        <v>0</v>
      </c>
      <c r="J45" s="67">
        <f t="shared" si="4"/>
        <v>0</v>
      </c>
      <c r="K45" s="100">
        <f t="shared" si="6"/>
        <v>0</v>
      </c>
      <c r="O45" s="96">
        <f>Amnt_Deposited!B40</f>
        <v>2026</v>
      </c>
      <c r="P45" s="99">
        <f>Amnt_Deposited!P40</f>
        <v>0</v>
      </c>
      <c r="Q45" s="284">
        <f>MCF!R44</f>
        <v>0.6</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18">
        <f>Dry_Matter_Content!P33</f>
        <v>0</v>
      </c>
      <c r="E46" s="284">
        <f>MCF!R45</f>
        <v>0.6</v>
      </c>
      <c r="F46" s="67">
        <f t="shared" si="0"/>
        <v>0</v>
      </c>
      <c r="G46" s="67">
        <f t="shared" si="1"/>
        <v>0</v>
      </c>
      <c r="H46" s="67">
        <f t="shared" si="2"/>
        <v>0</v>
      </c>
      <c r="I46" s="67">
        <f t="shared" si="3"/>
        <v>0</v>
      </c>
      <c r="J46" s="67">
        <f t="shared" si="4"/>
        <v>0</v>
      </c>
      <c r="K46" s="100">
        <f t="shared" si="6"/>
        <v>0</v>
      </c>
      <c r="O46" s="96">
        <f>Amnt_Deposited!B41</f>
        <v>2027</v>
      </c>
      <c r="P46" s="99">
        <f>Amnt_Deposited!P41</f>
        <v>0</v>
      </c>
      <c r="Q46" s="284">
        <f>MCF!R45</f>
        <v>0.6</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18">
        <f>Dry_Matter_Content!P34</f>
        <v>0</v>
      </c>
      <c r="E47" s="284">
        <f>MCF!R46</f>
        <v>0.6</v>
      </c>
      <c r="F47" s="67">
        <f t="shared" si="0"/>
        <v>0</v>
      </c>
      <c r="G47" s="67">
        <f t="shared" si="1"/>
        <v>0</v>
      </c>
      <c r="H47" s="67">
        <f t="shared" si="2"/>
        <v>0</v>
      </c>
      <c r="I47" s="67">
        <f t="shared" si="3"/>
        <v>0</v>
      </c>
      <c r="J47" s="67">
        <f t="shared" si="4"/>
        <v>0</v>
      </c>
      <c r="K47" s="100">
        <f t="shared" si="6"/>
        <v>0</v>
      </c>
      <c r="O47" s="96">
        <f>Amnt_Deposited!B42</f>
        <v>2028</v>
      </c>
      <c r="P47" s="99">
        <f>Amnt_Deposited!P42</f>
        <v>0</v>
      </c>
      <c r="Q47" s="284">
        <f>MCF!R46</f>
        <v>0.6</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18">
        <f>Dry_Matter_Content!P35</f>
        <v>0</v>
      </c>
      <c r="E48" s="284">
        <f>MCF!R47</f>
        <v>0.6</v>
      </c>
      <c r="F48" s="67">
        <f t="shared" si="0"/>
        <v>0</v>
      </c>
      <c r="G48" s="67">
        <f t="shared" si="1"/>
        <v>0</v>
      </c>
      <c r="H48" s="67">
        <f t="shared" si="2"/>
        <v>0</v>
      </c>
      <c r="I48" s="67">
        <f t="shared" si="3"/>
        <v>0</v>
      </c>
      <c r="J48" s="67">
        <f t="shared" si="4"/>
        <v>0</v>
      </c>
      <c r="K48" s="100">
        <f t="shared" si="6"/>
        <v>0</v>
      </c>
      <c r="O48" s="96">
        <f>Amnt_Deposited!B43</f>
        <v>2029</v>
      </c>
      <c r="P48" s="99">
        <f>Amnt_Deposited!P43</f>
        <v>0</v>
      </c>
      <c r="Q48" s="284">
        <f>MCF!R47</f>
        <v>0.6</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18">
        <f>Dry_Matter_Content!P36</f>
        <v>0</v>
      </c>
      <c r="E49" s="284">
        <f>MCF!R48</f>
        <v>0.6</v>
      </c>
      <c r="F49" s="67">
        <f t="shared" si="0"/>
        <v>0</v>
      </c>
      <c r="G49" s="67">
        <f t="shared" si="1"/>
        <v>0</v>
      </c>
      <c r="H49" s="67">
        <f t="shared" si="2"/>
        <v>0</v>
      </c>
      <c r="I49" s="67">
        <f t="shared" si="3"/>
        <v>0</v>
      </c>
      <c r="J49" s="67">
        <f t="shared" si="4"/>
        <v>0</v>
      </c>
      <c r="K49" s="100">
        <f t="shared" si="6"/>
        <v>0</v>
      </c>
      <c r="O49" s="96">
        <f>Amnt_Deposited!B44</f>
        <v>2030</v>
      </c>
      <c r="P49" s="99">
        <f>Amnt_Deposited!P44</f>
        <v>0</v>
      </c>
      <c r="Q49" s="284">
        <f>MCF!R48</f>
        <v>0.6</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18">
        <f>Dry_Matter_Content!P37</f>
        <v>0</v>
      </c>
      <c r="E50" s="284">
        <f>MCF!R49</f>
        <v>0.6</v>
      </c>
      <c r="F50" s="67">
        <f t="shared" si="0"/>
        <v>0</v>
      </c>
      <c r="G50" s="67">
        <f t="shared" si="1"/>
        <v>0</v>
      </c>
      <c r="H50" s="67">
        <f t="shared" si="2"/>
        <v>0</v>
      </c>
      <c r="I50" s="67">
        <f t="shared" si="3"/>
        <v>0</v>
      </c>
      <c r="J50" s="67">
        <f t="shared" si="4"/>
        <v>0</v>
      </c>
      <c r="K50" s="100">
        <f t="shared" si="6"/>
        <v>0</v>
      </c>
      <c r="O50" s="96">
        <f>Amnt_Deposited!B45</f>
        <v>2031</v>
      </c>
      <c r="P50" s="99">
        <f>Amnt_Deposited!P45</f>
        <v>0</v>
      </c>
      <c r="Q50" s="284">
        <f>MCF!R49</f>
        <v>0.6</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18">
        <f>Dry_Matter_Content!P38</f>
        <v>0</v>
      </c>
      <c r="E51" s="284">
        <f>MCF!R50</f>
        <v>0.6</v>
      </c>
      <c r="F51" s="67">
        <f t="shared" si="0"/>
        <v>0</v>
      </c>
      <c r="G51" s="67">
        <f t="shared" si="1"/>
        <v>0</v>
      </c>
      <c r="H51" s="67">
        <f t="shared" si="2"/>
        <v>0</v>
      </c>
      <c r="I51" s="67">
        <f t="shared" si="3"/>
        <v>0</v>
      </c>
      <c r="J51" s="67">
        <f t="shared" si="4"/>
        <v>0</v>
      </c>
      <c r="K51" s="100">
        <f t="shared" si="6"/>
        <v>0</v>
      </c>
      <c r="O51" s="96">
        <f>Amnt_Deposited!B46</f>
        <v>2032</v>
      </c>
      <c r="P51" s="99">
        <f>Amnt_Deposited!P46</f>
        <v>0</v>
      </c>
      <c r="Q51" s="284">
        <f>MCF!R50</f>
        <v>0.6</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18">
        <f>Dry_Matter_Content!P39</f>
        <v>0</v>
      </c>
      <c r="E52" s="284">
        <f>MCF!R51</f>
        <v>0.6</v>
      </c>
      <c r="F52" s="67">
        <f t="shared" si="0"/>
        <v>0</v>
      </c>
      <c r="G52" s="67">
        <f t="shared" si="1"/>
        <v>0</v>
      </c>
      <c r="H52" s="67">
        <f t="shared" si="2"/>
        <v>0</v>
      </c>
      <c r="I52" s="67">
        <f t="shared" si="3"/>
        <v>0</v>
      </c>
      <c r="J52" s="67">
        <f t="shared" si="4"/>
        <v>0</v>
      </c>
      <c r="K52" s="100">
        <f t="shared" si="6"/>
        <v>0</v>
      </c>
      <c r="O52" s="96">
        <f>Amnt_Deposited!B47</f>
        <v>2033</v>
      </c>
      <c r="P52" s="99">
        <f>Amnt_Deposited!P47</f>
        <v>0</v>
      </c>
      <c r="Q52" s="284">
        <f>MCF!R51</f>
        <v>0.6</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18">
        <f>Dry_Matter_Content!P40</f>
        <v>0</v>
      </c>
      <c r="E53" s="284">
        <f>MCF!R52</f>
        <v>0.6</v>
      </c>
      <c r="F53" s="67">
        <f t="shared" si="0"/>
        <v>0</v>
      </c>
      <c r="G53" s="67">
        <f t="shared" si="1"/>
        <v>0</v>
      </c>
      <c r="H53" s="67">
        <f t="shared" si="2"/>
        <v>0</v>
      </c>
      <c r="I53" s="67">
        <f t="shared" si="3"/>
        <v>0</v>
      </c>
      <c r="J53" s="67">
        <f t="shared" si="4"/>
        <v>0</v>
      </c>
      <c r="K53" s="100">
        <f t="shared" si="6"/>
        <v>0</v>
      </c>
      <c r="O53" s="96">
        <f>Amnt_Deposited!B48</f>
        <v>2034</v>
      </c>
      <c r="P53" s="99">
        <f>Amnt_Deposited!P48</f>
        <v>0</v>
      </c>
      <c r="Q53" s="284">
        <f>MCF!R52</f>
        <v>0.6</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18">
        <f>Dry_Matter_Content!P41</f>
        <v>0</v>
      </c>
      <c r="E54" s="284">
        <f>MCF!R53</f>
        <v>0.6</v>
      </c>
      <c r="F54" s="67">
        <f t="shared" si="0"/>
        <v>0</v>
      </c>
      <c r="G54" s="67">
        <f t="shared" si="1"/>
        <v>0</v>
      </c>
      <c r="H54" s="67">
        <f t="shared" si="2"/>
        <v>0</v>
      </c>
      <c r="I54" s="67">
        <f t="shared" si="3"/>
        <v>0</v>
      </c>
      <c r="J54" s="67">
        <f t="shared" si="4"/>
        <v>0</v>
      </c>
      <c r="K54" s="100">
        <f t="shared" si="6"/>
        <v>0</v>
      </c>
      <c r="O54" s="96">
        <f>Amnt_Deposited!B49</f>
        <v>2035</v>
      </c>
      <c r="P54" s="99">
        <f>Amnt_Deposited!P49</f>
        <v>0</v>
      </c>
      <c r="Q54" s="284">
        <f>MCF!R53</f>
        <v>0.6</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18">
        <f>Dry_Matter_Content!P42</f>
        <v>0</v>
      </c>
      <c r="E55" s="284">
        <f>MCF!R54</f>
        <v>0.6</v>
      </c>
      <c r="F55" s="67">
        <f t="shared" si="0"/>
        <v>0</v>
      </c>
      <c r="G55" s="67">
        <f t="shared" si="1"/>
        <v>0</v>
      </c>
      <c r="H55" s="67">
        <f t="shared" si="2"/>
        <v>0</v>
      </c>
      <c r="I55" s="67">
        <f t="shared" si="3"/>
        <v>0</v>
      </c>
      <c r="J55" s="67">
        <f t="shared" si="4"/>
        <v>0</v>
      </c>
      <c r="K55" s="100">
        <f t="shared" si="6"/>
        <v>0</v>
      </c>
      <c r="O55" s="96">
        <f>Amnt_Deposited!B50</f>
        <v>2036</v>
      </c>
      <c r="P55" s="99">
        <f>Amnt_Deposited!P50</f>
        <v>0</v>
      </c>
      <c r="Q55" s="284">
        <f>MCF!R54</f>
        <v>0.6</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18">
        <f>Dry_Matter_Content!P43</f>
        <v>0</v>
      </c>
      <c r="E56" s="284">
        <f>MCF!R55</f>
        <v>0.6</v>
      </c>
      <c r="F56" s="67">
        <f t="shared" si="0"/>
        <v>0</v>
      </c>
      <c r="G56" s="67">
        <f t="shared" si="1"/>
        <v>0</v>
      </c>
      <c r="H56" s="67">
        <f t="shared" si="2"/>
        <v>0</v>
      </c>
      <c r="I56" s="67">
        <f t="shared" si="3"/>
        <v>0</v>
      </c>
      <c r="J56" s="67">
        <f t="shared" si="4"/>
        <v>0</v>
      </c>
      <c r="K56" s="100">
        <f t="shared" si="6"/>
        <v>0</v>
      </c>
      <c r="O56" s="96">
        <f>Amnt_Deposited!B51</f>
        <v>2037</v>
      </c>
      <c r="P56" s="99">
        <f>Amnt_Deposited!P51</f>
        <v>0</v>
      </c>
      <c r="Q56" s="284">
        <f>MCF!R55</f>
        <v>0.6</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18">
        <f>Dry_Matter_Content!P44</f>
        <v>0</v>
      </c>
      <c r="E57" s="284">
        <f>MCF!R56</f>
        <v>0.6</v>
      </c>
      <c r="F57" s="67">
        <f t="shared" si="0"/>
        <v>0</v>
      </c>
      <c r="G57" s="67">
        <f t="shared" si="1"/>
        <v>0</v>
      </c>
      <c r="H57" s="67">
        <f t="shared" si="2"/>
        <v>0</v>
      </c>
      <c r="I57" s="67">
        <f t="shared" si="3"/>
        <v>0</v>
      </c>
      <c r="J57" s="67">
        <f t="shared" si="4"/>
        <v>0</v>
      </c>
      <c r="K57" s="100">
        <f t="shared" si="6"/>
        <v>0</v>
      </c>
      <c r="O57" s="96">
        <f>Amnt_Deposited!B52</f>
        <v>2038</v>
      </c>
      <c r="P57" s="99">
        <f>Amnt_Deposited!P52</f>
        <v>0</v>
      </c>
      <c r="Q57" s="284">
        <f>MCF!R56</f>
        <v>0.6</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18">
        <f>Dry_Matter_Content!P45</f>
        <v>0</v>
      </c>
      <c r="E58" s="284">
        <f>MCF!R57</f>
        <v>0.6</v>
      </c>
      <c r="F58" s="67">
        <f t="shared" si="0"/>
        <v>0</v>
      </c>
      <c r="G58" s="67">
        <f t="shared" si="1"/>
        <v>0</v>
      </c>
      <c r="H58" s="67">
        <f t="shared" si="2"/>
        <v>0</v>
      </c>
      <c r="I58" s="67">
        <f t="shared" si="3"/>
        <v>0</v>
      </c>
      <c r="J58" s="67">
        <f t="shared" si="4"/>
        <v>0</v>
      </c>
      <c r="K58" s="100">
        <f t="shared" si="6"/>
        <v>0</v>
      </c>
      <c r="O58" s="96">
        <f>Amnt_Deposited!B53</f>
        <v>2039</v>
      </c>
      <c r="P58" s="99">
        <f>Amnt_Deposited!P53</f>
        <v>0</v>
      </c>
      <c r="Q58" s="284">
        <f>MCF!R57</f>
        <v>0.6</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18">
        <f>Dry_Matter_Content!P46</f>
        <v>0</v>
      </c>
      <c r="E59" s="284">
        <f>MCF!R58</f>
        <v>0.6</v>
      </c>
      <c r="F59" s="67">
        <f t="shared" si="0"/>
        <v>0</v>
      </c>
      <c r="G59" s="67">
        <f t="shared" si="1"/>
        <v>0</v>
      </c>
      <c r="H59" s="67">
        <f t="shared" si="2"/>
        <v>0</v>
      </c>
      <c r="I59" s="67">
        <f t="shared" si="3"/>
        <v>0</v>
      </c>
      <c r="J59" s="67">
        <f t="shared" si="4"/>
        <v>0</v>
      </c>
      <c r="K59" s="100">
        <f t="shared" si="6"/>
        <v>0</v>
      </c>
      <c r="O59" s="96">
        <f>Amnt_Deposited!B54</f>
        <v>2040</v>
      </c>
      <c r="P59" s="99">
        <f>Amnt_Deposited!P54</f>
        <v>0</v>
      </c>
      <c r="Q59" s="284">
        <f>MCF!R58</f>
        <v>0.6</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18">
        <f>Dry_Matter_Content!P47</f>
        <v>0</v>
      </c>
      <c r="E60" s="284">
        <f>MCF!R59</f>
        <v>0.6</v>
      </c>
      <c r="F60" s="67">
        <f t="shared" si="0"/>
        <v>0</v>
      </c>
      <c r="G60" s="67">
        <f t="shared" si="1"/>
        <v>0</v>
      </c>
      <c r="H60" s="67">
        <f t="shared" si="2"/>
        <v>0</v>
      </c>
      <c r="I60" s="67">
        <f t="shared" si="3"/>
        <v>0</v>
      </c>
      <c r="J60" s="67">
        <f t="shared" si="4"/>
        <v>0</v>
      </c>
      <c r="K60" s="100">
        <f t="shared" si="6"/>
        <v>0</v>
      </c>
      <c r="O60" s="96">
        <f>Amnt_Deposited!B55</f>
        <v>2041</v>
      </c>
      <c r="P60" s="99">
        <f>Amnt_Deposited!P55</f>
        <v>0</v>
      </c>
      <c r="Q60" s="284">
        <f>MCF!R59</f>
        <v>0.6</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18">
        <f>Dry_Matter_Content!P48</f>
        <v>0</v>
      </c>
      <c r="E61" s="284">
        <f>MCF!R60</f>
        <v>0.6</v>
      </c>
      <c r="F61" s="67">
        <f t="shared" si="0"/>
        <v>0</v>
      </c>
      <c r="G61" s="67">
        <f t="shared" si="1"/>
        <v>0</v>
      </c>
      <c r="H61" s="67">
        <f t="shared" si="2"/>
        <v>0</v>
      </c>
      <c r="I61" s="67">
        <f t="shared" si="3"/>
        <v>0</v>
      </c>
      <c r="J61" s="67">
        <f t="shared" si="4"/>
        <v>0</v>
      </c>
      <c r="K61" s="100">
        <f t="shared" si="6"/>
        <v>0</v>
      </c>
      <c r="O61" s="96">
        <f>Amnt_Deposited!B56</f>
        <v>2042</v>
      </c>
      <c r="P61" s="99">
        <f>Amnt_Deposited!P56</f>
        <v>0</v>
      </c>
      <c r="Q61" s="284">
        <f>MCF!R60</f>
        <v>0.6</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18">
        <f>Dry_Matter_Content!P49</f>
        <v>0</v>
      </c>
      <c r="E62" s="284">
        <f>MCF!R61</f>
        <v>0.6</v>
      </c>
      <c r="F62" s="67">
        <f t="shared" si="0"/>
        <v>0</v>
      </c>
      <c r="G62" s="67">
        <f t="shared" si="1"/>
        <v>0</v>
      </c>
      <c r="H62" s="67">
        <f t="shared" si="2"/>
        <v>0</v>
      </c>
      <c r="I62" s="67">
        <f t="shared" si="3"/>
        <v>0</v>
      </c>
      <c r="J62" s="67">
        <f t="shared" si="4"/>
        <v>0</v>
      </c>
      <c r="K62" s="100">
        <f t="shared" si="6"/>
        <v>0</v>
      </c>
      <c r="O62" s="96">
        <f>Amnt_Deposited!B57</f>
        <v>2043</v>
      </c>
      <c r="P62" s="99">
        <f>Amnt_Deposited!P57</f>
        <v>0</v>
      </c>
      <c r="Q62" s="284">
        <f>MCF!R61</f>
        <v>0.6</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18">
        <f>Dry_Matter_Content!P50</f>
        <v>0</v>
      </c>
      <c r="E63" s="284">
        <f>MCF!R62</f>
        <v>0.6</v>
      </c>
      <c r="F63" s="67">
        <f t="shared" si="0"/>
        <v>0</v>
      </c>
      <c r="G63" s="67">
        <f t="shared" si="1"/>
        <v>0</v>
      </c>
      <c r="H63" s="67">
        <f t="shared" si="2"/>
        <v>0</v>
      </c>
      <c r="I63" s="67">
        <f t="shared" si="3"/>
        <v>0</v>
      </c>
      <c r="J63" s="67">
        <f t="shared" si="4"/>
        <v>0</v>
      </c>
      <c r="K63" s="100">
        <f t="shared" si="6"/>
        <v>0</v>
      </c>
      <c r="O63" s="96">
        <f>Amnt_Deposited!B58</f>
        <v>2044</v>
      </c>
      <c r="P63" s="99">
        <f>Amnt_Deposited!P58</f>
        <v>0</v>
      </c>
      <c r="Q63" s="284">
        <f>MCF!R62</f>
        <v>0.6</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18">
        <f>Dry_Matter_Content!P51</f>
        <v>0</v>
      </c>
      <c r="E64" s="284">
        <f>MCF!R63</f>
        <v>0.6</v>
      </c>
      <c r="F64" s="67">
        <f t="shared" si="0"/>
        <v>0</v>
      </c>
      <c r="G64" s="67">
        <f t="shared" si="1"/>
        <v>0</v>
      </c>
      <c r="H64" s="67">
        <f t="shared" si="2"/>
        <v>0</v>
      </c>
      <c r="I64" s="67">
        <f t="shared" si="3"/>
        <v>0</v>
      </c>
      <c r="J64" s="67">
        <f t="shared" si="4"/>
        <v>0</v>
      </c>
      <c r="K64" s="100">
        <f t="shared" si="6"/>
        <v>0</v>
      </c>
      <c r="O64" s="96">
        <f>Amnt_Deposited!B59</f>
        <v>2045</v>
      </c>
      <c r="P64" s="99">
        <f>Amnt_Deposited!P59</f>
        <v>0</v>
      </c>
      <c r="Q64" s="284">
        <f>MCF!R63</f>
        <v>0.6</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18">
        <f>Dry_Matter_Content!P52</f>
        <v>0</v>
      </c>
      <c r="E65" s="284">
        <f>MCF!R64</f>
        <v>0.6</v>
      </c>
      <c r="F65" s="67">
        <f t="shared" si="0"/>
        <v>0</v>
      </c>
      <c r="G65" s="67">
        <f t="shared" si="1"/>
        <v>0</v>
      </c>
      <c r="H65" s="67">
        <f t="shared" si="2"/>
        <v>0</v>
      </c>
      <c r="I65" s="67">
        <f t="shared" si="3"/>
        <v>0</v>
      </c>
      <c r="J65" s="67">
        <f t="shared" si="4"/>
        <v>0</v>
      </c>
      <c r="K65" s="100">
        <f t="shared" si="6"/>
        <v>0</v>
      </c>
      <c r="O65" s="96">
        <f>Amnt_Deposited!B60</f>
        <v>2046</v>
      </c>
      <c r="P65" s="99">
        <f>Amnt_Deposited!P60</f>
        <v>0</v>
      </c>
      <c r="Q65" s="284">
        <f>MCF!R64</f>
        <v>0.6</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18">
        <f>Dry_Matter_Content!P53</f>
        <v>0</v>
      </c>
      <c r="E66" s="284">
        <f>MCF!R65</f>
        <v>0.6</v>
      </c>
      <c r="F66" s="67">
        <f t="shared" si="0"/>
        <v>0</v>
      </c>
      <c r="G66" s="67">
        <f t="shared" si="1"/>
        <v>0</v>
      </c>
      <c r="H66" s="67">
        <f t="shared" si="2"/>
        <v>0</v>
      </c>
      <c r="I66" s="67">
        <f t="shared" si="3"/>
        <v>0</v>
      </c>
      <c r="J66" s="67">
        <f t="shared" si="4"/>
        <v>0</v>
      </c>
      <c r="K66" s="100">
        <f t="shared" si="6"/>
        <v>0</v>
      </c>
      <c r="O66" s="96">
        <f>Amnt_Deposited!B61</f>
        <v>2047</v>
      </c>
      <c r="P66" s="99">
        <f>Amnt_Deposited!P61</f>
        <v>0</v>
      </c>
      <c r="Q66" s="284">
        <f>MCF!R65</f>
        <v>0.6</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18">
        <f>Dry_Matter_Content!P54</f>
        <v>0</v>
      </c>
      <c r="E67" s="284">
        <f>MCF!R66</f>
        <v>0.6</v>
      </c>
      <c r="F67" s="67">
        <f t="shared" si="0"/>
        <v>0</v>
      </c>
      <c r="G67" s="67">
        <f t="shared" si="1"/>
        <v>0</v>
      </c>
      <c r="H67" s="67">
        <f t="shared" si="2"/>
        <v>0</v>
      </c>
      <c r="I67" s="67">
        <f t="shared" si="3"/>
        <v>0</v>
      </c>
      <c r="J67" s="67">
        <f t="shared" si="4"/>
        <v>0</v>
      </c>
      <c r="K67" s="100">
        <f t="shared" si="6"/>
        <v>0</v>
      </c>
      <c r="O67" s="96">
        <f>Amnt_Deposited!B62</f>
        <v>2048</v>
      </c>
      <c r="P67" s="99">
        <f>Amnt_Deposited!P62</f>
        <v>0</v>
      </c>
      <c r="Q67" s="284">
        <f>MCF!R66</f>
        <v>0.6</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18">
        <f>Dry_Matter_Content!P55</f>
        <v>0</v>
      </c>
      <c r="E68" s="284">
        <f>MCF!R67</f>
        <v>0.6</v>
      </c>
      <c r="F68" s="67">
        <f t="shared" si="0"/>
        <v>0</v>
      </c>
      <c r="G68" s="67">
        <f t="shared" si="1"/>
        <v>0</v>
      </c>
      <c r="H68" s="67">
        <f t="shared" si="2"/>
        <v>0</v>
      </c>
      <c r="I68" s="67">
        <f t="shared" si="3"/>
        <v>0</v>
      </c>
      <c r="J68" s="67">
        <f t="shared" si="4"/>
        <v>0</v>
      </c>
      <c r="K68" s="100">
        <f t="shared" si="6"/>
        <v>0</v>
      </c>
      <c r="O68" s="96">
        <f>Amnt_Deposited!B63</f>
        <v>2049</v>
      </c>
      <c r="P68" s="99">
        <f>Amnt_Deposited!P63</f>
        <v>0</v>
      </c>
      <c r="Q68" s="284">
        <f>MCF!R67</f>
        <v>0.6</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18">
        <f>Dry_Matter_Content!P56</f>
        <v>0</v>
      </c>
      <c r="E69" s="284">
        <f>MCF!R68</f>
        <v>0.6</v>
      </c>
      <c r="F69" s="67">
        <f t="shared" si="0"/>
        <v>0</v>
      </c>
      <c r="G69" s="67">
        <f t="shared" si="1"/>
        <v>0</v>
      </c>
      <c r="H69" s="67">
        <f t="shared" si="2"/>
        <v>0</v>
      </c>
      <c r="I69" s="67">
        <f t="shared" si="3"/>
        <v>0</v>
      </c>
      <c r="J69" s="67">
        <f t="shared" si="4"/>
        <v>0</v>
      </c>
      <c r="K69" s="100">
        <f t="shared" si="6"/>
        <v>0</v>
      </c>
      <c r="O69" s="96">
        <f>Amnt_Deposited!B64</f>
        <v>2050</v>
      </c>
      <c r="P69" s="99">
        <f>Amnt_Deposited!P64</f>
        <v>0</v>
      </c>
      <c r="Q69" s="284">
        <f>MCF!R68</f>
        <v>0.6</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18">
        <f>Dry_Matter_Content!P57</f>
        <v>0</v>
      </c>
      <c r="E70" s="284">
        <f>MCF!R69</f>
        <v>0.6</v>
      </c>
      <c r="F70" s="67">
        <f t="shared" si="0"/>
        <v>0</v>
      </c>
      <c r="G70" s="67">
        <f t="shared" si="1"/>
        <v>0</v>
      </c>
      <c r="H70" s="67">
        <f t="shared" si="2"/>
        <v>0</v>
      </c>
      <c r="I70" s="67">
        <f t="shared" si="3"/>
        <v>0</v>
      </c>
      <c r="J70" s="67">
        <f t="shared" si="4"/>
        <v>0</v>
      </c>
      <c r="K70" s="100">
        <f t="shared" si="6"/>
        <v>0</v>
      </c>
      <c r="O70" s="96">
        <f>Amnt_Deposited!B65</f>
        <v>2051</v>
      </c>
      <c r="P70" s="99">
        <f>Amnt_Deposited!P65</f>
        <v>0</v>
      </c>
      <c r="Q70" s="284">
        <f>MCF!R69</f>
        <v>0.6</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18">
        <f>Dry_Matter_Content!P58</f>
        <v>0</v>
      </c>
      <c r="E71" s="284">
        <f>MCF!R70</f>
        <v>0.6</v>
      </c>
      <c r="F71" s="67">
        <f t="shared" si="0"/>
        <v>0</v>
      </c>
      <c r="G71" s="67">
        <f t="shared" si="1"/>
        <v>0</v>
      </c>
      <c r="H71" s="67">
        <f t="shared" si="2"/>
        <v>0</v>
      </c>
      <c r="I71" s="67">
        <f t="shared" si="3"/>
        <v>0</v>
      </c>
      <c r="J71" s="67">
        <f t="shared" si="4"/>
        <v>0</v>
      </c>
      <c r="K71" s="100">
        <f t="shared" si="6"/>
        <v>0</v>
      </c>
      <c r="O71" s="96">
        <f>Amnt_Deposited!B66</f>
        <v>2052</v>
      </c>
      <c r="P71" s="99">
        <f>Amnt_Deposited!P66</f>
        <v>0</v>
      </c>
      <c r="Q71" s="284">
        <f>MCF!R70</f>
        <v>0.6</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18">
        <f>Dry_Matter_Content!P59</f>
        <v>0</v>
      </c>
      <c r="E72" s="284">
        <f>MCF!R71</f>
        <v>0.6</v>
      </c>
      <c r="F72" s="67">
        <f t="shared" si="0"/>
        <v>0</v>
      </c>
      <c r="G72" s="67">
        <f t="shared" si="1"/>
        <v>0</v>
      </c>
      <c r="H72" s="67">
        <f t="shared" si="2"/>
        <v>0</v>
      </c>
      <c r="I72" s="67">
        <f t="shared" si="3"/>
        <v>0</v>
      </c>
      <c r="J72" s="67">
        <f t="shared" si="4"/>
        <v>0</v>
      </c>
      <c r="K72" s="100">
        <f t="shared" si="6"/>
        <v>0</v>
      </c>
      <c r="O72" s="96">
        <f>Amnt_Deposited!B67</f>
        <v>2053</v>
      </c>
      <c r="P72" s="99">
        <f>Amnt_Deposited!P67</f>
        <v>0</v>
      </c>
      <c r="Q72" s="284">
        <f>MCF!R71</f>
        <v>0.6</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18">
        <f>Dry_Matter_Content!P60</f>
        <v>0</v>
      </c>
      <c r="E73" s="284">
        <f>MCF!R72</f>
        <v>0.6</v>
      </c>
      <c r="F73" s="67">
        <f t="shared" si="0"/>
        <v>0</v>
      </c>
      <c r="G73" s="67">
        <f t="shared" si="1"/>
        <v>0</v>
      </c>
      <c r="H73" s="67">
        <f t="shared" si="2"/>
        <v>0</v>
      </c>
      <c r="I73" s="67">
        <f t="shared" si="3"/>
        <v>0</v>
      </c>
      <c r="J73" s="67">
        <f t="shared" si="4"/>
        <v>0</v>
      </c>
      <c r="K73" s="100">
        <f t="shared" si="6"/>
        <v>0</v>
      </c>
      <c r="O73" s="96">
        <f>Amnt_Deposited!B68</f>
        <v>2054</v>
      </c>
      <c r="P73" s="99">
        <f>Amnt_Deposited!P68</f>
        <v>0</v>
      </c>
      <c r="Q73" s="284">
        <f>MCF!R72</f>
        <v>0.6</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18">
        <f>Dry_Matter_Content!P61</f>
        <v>0</v>
      </c>
      <c r="E74" s="284">
        <f>MCF!R73</f>
        <v>0.6</v>
      </c>
      <c r="F74" s="67">
        <f t="shared" si="0"/>
        <v>0</v>
      </c>
      <c r="G74" s="67">
        <f t="shared" si="1"/>
        <v>0</v>
      </c>
      <c r="H74" s="67">
        <f t="shared" si="2"/>
        <v>0</v>
      </c>
      <c r="I74" s="67">
        <f t="shared" si="3"/>
        <v>0</v>
      </c>
      <c r="J74" s="67">
        <f t="shared" si="4"/>
        <v>0</v>
      </c>
      <c r="K74" s="100">
        <f t="shared" si="6"/>
        <v>0</v>
      </c>
      <c r="O74" s="96">
        <f>Amnt_Deposited!B69</f>
        <v>2055</v>
      </c>
      <c r="P74" s="99">
        <f>Amnt_Deposited!P69</f>
        <v>0</v>
      </c>
      <c r="Q74" s="284">
        <f>MCF!R73</f>
        <v>0.6</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18">
        <f>Dry_Matter_Content!P62</f>
        <v>0</v>
      </c>
      <c r="E75" s="284">
        <f>MCF!R74</f>
        <v>0.6</v>
      </c>
      <c r="F75" s="67">
        <f t="shared" si="0"/>
        <v>0</v>
      </c>
      <c r="G75" s="67">
        <f t="shared" si="1"/>
        <v>0</v>
      </c>
      <c r="H75" s="67">
        <f t="shared" si="2"/>
        <v>0</v>
      </c>
      <c r="I75" s="67">
        <f t="shared" si="3"/>
        <v>0</v>
      </c>
      <c r="J75" s="67">
        <f t="shared" si="4"/>
        <v>0</v>
      </c>
      <c r="K75" s="100">
        <f t="shared" si="6"/>
        <v>0</v>
      </c>
      <c r="O75" s="96">
        <f>Amnt_Deposited!B70</f>
        <v>2056</v>
      </c>
      <c r="P75" s="99">
        <f>Amnt_Deposited!P70</f>
        <v>0</v>
      </c>
      <c r="Q75" s="284">
        <f>MCF!R74</f>
        <v>0.6</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18">
        <f>Dry_Matter_Content!P63</f>
        <v>0</v>
      </c>
      <c r="E76" s="284">
        <f>MCF!R75</f>
        <v>0.6</v>
      </c>
      <c r="F76" s="67">
        <f t="shared" si="0"/>
        <v>0</v>
      </c>
      <c r="G76" s="67">
        <f t="shared" si="1"/>
        <v>0</v>
      </c>
      <c r="H76" s="67">
        <f t="shared" si="2"/>
        <v>0</v>
      </c>
      <c r="I76" s="67">
        <f t="shared" si="3"/>
        <v>0</v>
      </c>
      <c r="J76" s="67">
        <f t="shared" si="4"/>
        <v>0</v>
      </c>
      <c r="K76" s="100">
        <f t="shared" si="6"/>
        <v>0</v>
      </c>
      <c r="O76" s="96">
        <f>Amnt_Deposited!B71</f>
        <v>2057</v>
      </c>
      <c r="P76" s="99">
        <f>Amnt_Deposited!P71</f>
        <v>0</v>
      </c>
      <c r="Q76" s="284">
        <f>MCF!R75</f>
        <v>0.6</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18">
        <f>Dry_Matter_Content!P64</f>
        <v>0</v>
      </c>
      <c r="E77" s="284">
        <f>MCF!R76</f>
        <v>0.6</v>
      </c>
      <c r="F77" s="67">
        <f t="shared" si="0"/>
        <v>0</v>
      </c>
      <c r="G77" s="67">
        <f t="shared" si="1"/>
        <v>0</v>
      </c>
      <c r="H77" s="67">
        <f t="shared" si="2"/>
        <v>0</v>
      </c>
      <c r="I77" s="67">
        <f t="shared" si="3"/>
        <v>0</v>
      </c>
      <c r="J77" s="67">
        <f t="shared" si="4"/>
        <v>0</v>
      </c>
      <c r="K77" s="100">
        <f t="shared" si="6"/>
        <v>0</v>
      </c>
      <c r="O77" s="96">
        <f>Amnt_Deposited!B72</f>
        <v>2058</v>
      </c>
      <c r="P77" s="99">
        <f>Amnt_Deposited!P72</f>
        <v>0</v>
      </c>
      <c r="Q77" s="284">
        <f>MCF!R76</f>
        <v>0.6</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18">
        <f>Dry_Matter_Content!P65</f>
        <v>0</v>
      </c>
      <c r="E78" s="284">
        <f>MCF!R77</f>
        <v>0.6</v>
      </c>
      <c r="F78" s="67">
        <f t="shared" si="0"/>
        <v>0</v>
      </c>
      <c r="G78" s="67">
        <f t="shared" si="1"/>
        <v>0</v>
      </c>
      <c r="H78" s="67">
        <f t="shared" si="2"/>
        <v>0</v>
      </c>
      <c r="I78" s="67">
        <f t="shared" si="3"/>
        <v>0</v>
      </c>
      <c r="J78" s="67">
        <f t="shared" si="4"/>
        <v>0</v>
      </c>
      <c r="K78" s="100">
        <f t="shared" si="6"/>
        <v>0</v>
      </c>
      <c r="O78" s="96">
        <f>Amnt_Deposited!B73</f>
        <v>2059</v>
      </c>
      <c r="P78" s="99">
        <f>Amnt_Deposited!P73</f>
        <v>0</v>
      </c>
      <c r="Q78" s="284">
        <f>MCF!R77</f>
        <v>0.6</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18">
        <f>Dry_Matter_Content!P66</f>
        <v>0</v>
      </c>
      <c r="E79" s="284">
        <f>MCF!R78</f>
        <v>0.6</v>
      </c>
      <c r="F79" s="67">
        <f t="shared" si="0"/>
        <v>0</v>
      </c>
      <c r="G79" s="67">
        <f t="shared" si="1"/>
        <v>0</v>
      </c>
      <c r="H79" s="67">
        <f t="shared" si="2"/>
        <v>0</v>
      </c>
      <c r="I79" s="67">
        <f t="shared" si="3"/>
        <v>0</v>
      </c>
      <c r="J79" s="67">
        <f t="shared" si="4"/>
        <v>0</v>
      </c>
      <c r="K79" s="100">
        <f t="shared" si="6"/>
        <v>0</v>
      </c>
      <c r="O79" s="96">
        <f>Amnt_Deposited!B74</f>
        <v>2060</v>
      </c>
      <c r="P79" s="99">
        <f>Amnt_Deposited!P74</f>
        <v>0</v>
      </c>
      <c r="Q79" s="284">
        <f>MCF!R78</f>
        <v>0.6</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18">
        <f>Dry_Matter_Content!P67</f>
        <v>0</v>
      </c>
      <c r="E80" s="284">
        <f>MCF!R79</f>
        <v>0.6</v>
      </c>
      <c r="F80" s="67">
        <f t="shared" si="0"/>
        <v>0</v>
      </c>
      <c r="G80" s="67">
        <f t="shared" si="1"/>
        <v>0</v>
      </c>
      <c r="H80" s="67">
        <f t="shared" si="2"/>
        <v>0</v>
      </c>
      <c r="I80" s="67">
        <f t="shared" si="3"/>
        <v>0</v>
      </c>
      <c r="J80" s="67">
        <f t="shared" si="4"/>
        <v>0</v>
      </c>
      <c r="K80" s="100">
        <f t="shared" si="6"/>
        <v>0</v>
      </c>
      <c r="O80" s="96">
        <f>Amnt_Deposited!B75</f>
        <v>2061</v>
      </c>
      <c r="P80" s="99">
        <f>Amnt_Deposited!P75</f>
        <v>0</v>
      </c>
      <c r="Q80" s="284">
        <f>MCF!R79</f>
        <v>0.6</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18">
        <f>Dry_Matter_Content!P68</f>
        <v>0</v>
      </c>
      <c r="E81" s="284">
        <f>MCF!R80</f>
        <v>0.6</v>
      </c>
      <c r="F81" s="67">
        <f t="shared" si="0"/>
        <v>0</v>
      </c>
      <c r="G81" s="67">
        <f t="shared" si="1"/>
        <v>0</v>
      </c>
      <c r="H81" s="67">
        <f t="shared" si="2"/>
        <v>0</v>
      </c>
      <c r="I81" s="67">
        <f t="shared" si="3"/>
        <v>0</v>
      </c>
      <c r="J81" s="67">
        <f t="shared" si="4"/>
        <v>0</v>
      </c>
      <c r="K81" s="100">
        <f t="shared" si="6"/>
        <v>0</v>
      </c>
      <c r="O81" s="96">
        <f>Amnt_Deposited!B76</f>
        <v>2062</v>
      </c>
      <c r="P81" s="99">
        <f>Amnt_Deposited!P76</f>
        <v>0</v>
      </c>
      <c r="Q81" s="284">
        <f>MCF!R80</f>
        <v>0.6</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18">
        <f>Dry_Matter_Content!P69</f>
        <v>0</v>
      </c>
      <c r="E82" s="284">
        <f>MCF!R81</f>
        <v>0.6</v>
      </c>
      <c r="F82" s="67">
        <f t="shared" si="0"/>
        <v>0</v>
      </c>
      <c r="G82" s="67">
        <f t="shared" si="1"/>
        <v>0</v>
      </c>
      <c r="H82" s="67">
        <f t="shared" si="2"/>
        <v>0</v>
      </c>
      <c r="I82" s="67">
        <f t="shared" si="3"/>
        <v>0</v>
      </c>
      <c r="J82" s="67">
        <f t="shared" si="4"/>
        <v>0</v>
      </c>
      <c r="K82" s="100">
        <f t="shared" si="6"/>
        <v>0</v>
      </c>
      <c r="O82" s="96">
        <f>Amnt_Deposited!B77</f>
        <v>2063</v>
      </c>
      <c r="P82" s="99">
        <f>Amnt_Deposited!P77</f>
        <v>0</v>
      </c>
      <c r="Q82" s="284">
        <f>MCF!R81</f>
        <v>0.6</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18">
        <f>Dry_Matter_Content!P70</f>
        <v>0</v>
      </c>
      <c r="E83" s="284">
        <f>MCF!R82</f>
        <v>0.6</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284">
        <f>MCF!R82</f>
        <v>0.6</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18">
        <f>Dry_Matter_Content!P71</f>
        <v>0</v>
      </c>
      <c r="E84" s="284">
        <f>MCF!R83</f>
        <v>0.6</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284">
        <f>MCF!R83</f>
        <v>0.6</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18">
        <f>Dry_Matter_Content!P72</f>
        <v>0</v>
      </c>
      <c r="E85" s="284">
        <f>MCF!R84</f>
        <v>0.6</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284">
        <f>MCF!R84</f>
        <v>0.6</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18">
        <f>Dry_Matter_Content!P73</f>
        <v>0</v>
      </c>
      <c r="E86" s="284">
        <f>MCF!R85</f>
        <v>0.6</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284">
        <f>MCF!R85</f>
        <v>0.6</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18">
        <f>Dry_Matter_Content!P74</f>
        <v>0</v>
      </c>
      <c r="E87" s="284">
        <f>MCF!R86</f>
        <v>0.6</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284">
        <f>MCF!R86</f>
        <v>0.6</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18">
        <f>Dry_Matter_Content!P75</f>
        <v>0</v>
      </c>
      <c r="E88" s="284">
        <f>MCF!R87</f>
        <v>0.6</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284">
        <f>MCF!R87</f>
        <v>0.6</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18">
        <f>Dry_Matter_Content!P76</f>
        <v>0</v>
      </c>
      <c r="E89" s="284">
        <f>MCF!R88</f>
        <v>0.6</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284">
        <f>MCF!R88</f>
        <v>0.6</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18">
        <f>Dry_Matter_Content!P77</f>
        <v>0</v>
      </c>
      <c r="E90" s="284">
        <f>MCF!R89</f>
        <v>0.6</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284">
        <f>MCF!R89</f>
        <v>0.6</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18">
        <f>Dry_Matter_Content!P78</f>
        <v>0</v>
      </c>
      <c r="E91" s="284">
        <f>MCF!R90</f>
        <v>0.6</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284">
        <f>MCF!R90</f>
        <v>0.6</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18">
        <f>Dry_Matter_Content!P79</f>
        <v>0</v>
      </c>
      <c r="E92" s="284">
        <f>MCF!R91</f>
        <v>0.6</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284">
        <f>MCF!R91</f>
        <v>0.6</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18">
        <f>Dry_Matter_Content!P80</f>
        <v>0</v>
      </c>
      <c r="E93" s="284">
        <f>MCF!R92</f>
        <v>0.6</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284">
        <f>MCF!R92</f>
        <v>0.6</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18">
        <f>Dry_Matter_Content!P81</f>
        <v>0</v>
      </c>
      <c r="E94" s="284">
        <f>MCF!R93</f>
        <v>0.6</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284">
        <f>MCF!R93</f>
        <v>0.6</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18">
        <f>Dry_Matter_Content!P82</f>
        <v>0</v>
      </c>
      <c r="E95" s="284">
        <f>MCF!R94</f>
        <v>0.6</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284">
        <f>MCF!R94</f>
        <v>0.6</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18">
        <f>Dry_Matter_Content!P83</f>
        <v>0</v>
      </c>
      <c r="E96" s="284">
        <f>MCF!R95</f>
        <v>0.6</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284">
        <f>MCF!R95</f>
        <v>0.6</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18">
        <f>Dry_Matter_Content!P84</f>
        <v>0</v>
      </c>
      <c r="E97" s="284">
        <f>MCF!R96</f>
        <v>0.6</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284">
        <f>MCF!R96</f>
        <v>0.6</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18">
        <f>Dry_Matter_Content!P85</f>
        <v>0</v>
      </c>
      <c r="E98" s="284">
        <f>MCF!R97</f>
        <v>0.6</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284">
        <f>MCF!R97</f>
        <v>0.6</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18">
        <f>Dry_Matter_Content!P86</f>
        <v>0</v>
      </c>
      <c r="E99" s="285">
        <f>MCF!R98</f>
        <v>0.6</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285">
        <f>MCF!R98</f>
        <v>0.6</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30" activePane="bottomRight" state="frozen"/>
      <selection activeCell="E19" sqref="E19"/>
      <selection pane="topRight" activeCell="E19" sqref="E19"/>
      <selection pane="bottomLeft" activeCell="E19" sqref="E19"/>
      <selection pane="bottomRight" activeCell="C16" sqref="C16:G16"/>
    </sheetView>
  </sheetViews>
  <sheetFormatPr defaultColWidth="11.42578125" defaultRowHeight="12.75"/>
  <cols>
    <col min="1" max="1" width="3.42578125" style="658" customWidth="1"/>
    <col min="2" max="2" width="15.28515625" style="658" customWidth="1"/>
    <col min="3" max="4" width="10.140625" style="658" bestFit="1" customWidth="1"/>
    <col min="5" max="5" width="9.42578125" style="658" customWidth="1"/>
    <col min="6" max="6" width="11.28515625" style="658" customWidth="1"/>
    <col min="7" max="7" width="9.42578125" style="658" customWidth="1"/>
    <col min="8" max="8" width="8.42578125" style="658" customWidth="1"/>
    <col min="9" max="10" width="10.85546875" style="658" customWidth="1"/>
    <col min="11" max="11" width="9.42578125" style="658" bestFit="1" customWidth="1"/>
    <col min="12" max="12" width="10.28515625" style="658" customWidth="1"/>
    <col min="13" max="13" width="10.140625" style="658" customWidth="1"/>
    <col min="14" max="14" width="8.42578125" style="658" customWidth="1"/>
    <col min="15" max="15" width="23.7109375" style="658" customWidth="1"/>
    <col min="16" max="16" width="9.28515625" style="658" customWidth="1"/>
    <col min="17" max="17" width="3.85546875" style="658" customWidth="1"/>
    <col min="18" max="19" width="13" style="658" customWidth="1"/>
    <col min="20" max="20" width="9.42578125" style="658" customWidth="1"/>
    <col min="21" max="16384" width="11.42578125" style="658"/>
  </cols>
  <sheetData>
    <row r="2" spans="2:20" ht="15.75">
      <c r="C2" s="659" t="s">
        <v>106</v>
      </c>
      <c r="Q2" s="905" t="s">
        <v>107</v>
      </c>
      <c r="R2" s="905"/>
      <c r="S2" s="905"/>
      <c r="T2" s="905"/>
    </row>
    <row r="4" spans="2:20">
      <c r="C4" s="658" t="s">
        <v>26</v>
      </c>
    </row>
    <row r="5" spans="2:20">
      <c r="C5" s="658" t="s">
        <v>281</v>
      </c>
    </row>
    <row r="6" spans="2:20">
      <c r="C6" s="658" t="s">
        <v>29</v>
      </c>
    </row>
    <row r="7" spans="2:20">
      <c r="C7" s="658" t="s">
        <v>109</v>
      </c>
    </row>
    <row r="8" spans="2:20" ht="13.5" thickBot="1"/>
    <row r="9" spans="2:20" ht="13.5" thickBot="1">
      <c r="C9" s="906" t="s">
        <v>95</v>
      </c>
      <c r="D9" s="907"/>
      <c r="E9" s="907"/>
      <c r="F9" s="907"/>
      <c r="G9" s="907"/>
      <c r="H9" s="908"/>
      <c r="I9" s="914" t="s">
        <v>308</v>
      </c>
      <c r="J9" s="915"/>
      <c r="K9" s="915"/>
      <c r="L9" s="915"/>
      <c r="M9" s="915"/>
      <c r="N9" s="916"/>
      <c r="R9" s="660" t="s">
        <v>95</v>
      </c>
      <c r="S9" s="661" t="s">
        <v>308</v>
      </c>
    </row>
    <row r="10" spans="2:20" s="668" customFormat="1" ht="38.25" customHeight="1">
      <c r="B10" s="662"/>
      <c r="C10" s="662" t="s">
        <v>104</v>
      </c>
      <c r="D10" s="663" t="s">
        <v>105</v>
      </c>
      <c r="E10" s="663" t="s">
        <v>0</v>
      </c>
      <c r="F10" s="663" t="s">
        <v>206</v>
      </c>
      <c r="G10" s="663" t="s">
        <v>103</v>
      </c>
      <c r="H10" s="664" t="s">
        <v>161</v>
      </c>
      <c r="I10" s="665" t="s">
        <v>104</v>
      </c>
      <c r="J10" s="666" t="s">
        <v>105</v>
      </c>
      <c r="K10" s="666" t="s">
        <v>0</v>
      </c>
      <c r="L10" s="666" t="s">
        <v>206</v>
      </c>
      <c r="M10" s="666" t="s">
        <v>103</v>
      </c>
      <c r="N10" s="667" t="s">
        <v>161</v>
      </c>
      <c r="O10" s="369" t="s">
        <v>28</v>
      </c>
      <c r="R10" s="909" t="s">
        <v>147</v>
      </c>
      <c r="S10" s="909" t="s">
        <v>315</v>
      </c>
    </row>
    <row r="11" spans="2:20" s="673" customFormat="1" ht="13.5" thickBot="1">
      <c r="B11" s="669"/>
      <c r="C11" s="669" t="s">
        <v>11</v>
      </c>
      <c r="D11" s="670" t="s">
        <v>11</v>
      </c>
      <c r="E11" s="670" t="s">
        <v>11</v>
      </c>
      <c r="F11" s="670" t="s">
        <v>11</v>
      </c>
      <c r="G11" s="670" t="s">
        <v>11</v>
      </c>
      <c r="H11" s="671"/>
      <c r="I11" s="669" t="s">
        <v>11</v>
      </c>
      <c r="J11" s="670" t="s">
        <v>11</v>
      </c>
      <c r="K11" s="670" t="s">
        <v>11</v>
      </c>
      <c r="L11" s="670" t="s">
        <v>11</v>
      </c>
      <c r="M11" s="670" t="s">
        <v>11</v>
      </c>
      <c r="N11" s="671"/>
      <c r="O11" s="672"/>
      <c r="R11" s="910"/>
      <c r="S11" s="910"/>
    </row>
    <row r="12" spans="2:20" s="673" customFormat="1" ht="13.5" thickBot="1">
      <c r="B12" s="674" t="s">
        <v>25</v>
      </c>
      <c r="C12" s="675">
        <v>0.4</v>
      </c>
      <c r="D12" s="676">
        <v>0.8</v>
      </c>
      <c r="E12" s="676">
        <v>1</v>
      </c>
      <c r="F12" s="676">
        <v>0.5</v>
      </c>
      <c r="G12" s="676">
        <v>0.6</v>
      </c>
      <c r="H12" s="677"/>
      <c r="I12" s="675">
        <v>0.4</v>
      </c>
      <c r="J12" s="676">
        <v>0.8</v>
      </c>
      <c r="K12" s="676">
        <v>1</v>
      </c>
      <c r="L12" s="676">
        <v>0.5</v>
      </c>
      <c r="M12" s="676">
        <v>0.6</v>
      </c>
      <c r="N12" s="677"/>
      <c r="O12" s="678"/>
      <c r="R12" s="910"/>
      <c r="S12" s="910"/>
    </row>
    <row r="13" spans="2:20" s="673" customFormat="1" ht="26.25" thickBot="1">
      <c r="B13" s="674" t="s">
        <v>159</v>
      </c>
      <c r="C13" s="679">
        <f>C12</f>
        <v>0.4</v>
      </c>
      <c r="D13" s="680">
        <f>D12</f>
        <v>0.8</v>
      </c>
      <c r="E13" s="680">
        <f>E12</f>
        <v>1</v>
      </c>
      <c r="F13" s="680">
        <f>F12</f>
        <v>0.5</v>
      </c>
      <c r="G13" s="680">
        <f>G12</f>
        <v>0.6</v>
      </c>
      <c r="H13" s="681"/>
      <c r="I13" s="679">
        <v>0.4</v>
      </c>
      <c r="J13" s="680">
        <v>0.8</v>
      </c>
      <c r="K13" s="680">
        <v>1</v>
      </c>
      <c r="L13" s="680">
        <v>0.5</v>
      </c>
      <c r="M13" s="680">
        <v>0.6</v>
      </c>
      <c r="N13" s="681"/>
      <c r="O13" s="682"/>
      <c r="R13" s="910"/>
      <c r="S13" s="910"/>
    </row>
    <row r="14" spans="2:20" s="673" customFormat="1" ht="13.5" thickBot="1">
      <c r="B14" s="683"/>
      <c r="C14" s="683"/>
      <c r="D14" s="684"/>
      <c r="E14" s="684"/>
      <c r="F14" s="684"/>
      <c r="G14" s="684"/>
      <c r="H14" s="685"/>
      <c r="I14" s="683"/>
      <c r="J14" s="684"/>
      <c r="K14" s="684"/>
      <c r="L14" s="684"/>
      <c r="M14" s="684"/>
      <c r="N14" s="685"/>
      <c r="O14" s="686"/>
      <c r="R14" s="910"/>
      <c r="S14" s="910"/>
    </row>
    <row r="15" spans="2:20" s="673" customFormat="1" ht="12.75" customHeight="1" thickBot="1">
      <c r="B15" s="687"/>
      <c r="C15" s="902" t="s">
        <v>158</v>
      </c>
      <c r="D15" s="903"/>
      <c r="E15" s="903"/>
      <c r="F15" s="903"/>
      <c r="G15" s="903"/>
      <c r="H15" s="904"/>
      <c r="I15" s="902" t="s">
        <v>158</v>
      </c>
      <c r="J15" s="903"/>
      <c r="K15" s="903"/>
      <c r="L15" s="903"/>
      <c r="M15" s="903"/>
      <c r="N15" s="904"/>
      <c r="O15" s="688"/>
      <c r="R15" s="910"/>
      <c r="S15" s="910"/>
    </row>
    <row r="16" spans="2:20" s="673" customFormat="1" ht="26.25" thickBot="1">
      <c r="B16" s="674" t="s">
        <v>160</v>
      </c>
      <c r="C16" s="860">
        <v>0</v>
      </c>
      <c r="D16" s="861">
        <v>0</v>
      </c>
      <c r="E16" s="861">
        <v>0</v>
      </c>
      <c r="F16" s="861">
        <v>0</v>
      </c>
      <c r="G16" s="861">
        <v>1</v>
      </c>
      <c r="H16" s="912" t="s">
        <v>36</v>
      </c>
      <c r="I16" s="689">
        <v>0.2</v>
      </c>
      <c r="J16" s="690">
        <v>0.3</v>
      </c>
      <c r="K16" s="690">
        <v>0.25</v>
      </c>
      <c r="L16" s="690">
        <v>0.05</v>
      </c>
      <c r="M16" s="690">
        <v>0.2</v>
      </c>
      <c r="N16" s="912" t="s">
        <v>36</v>
      </c>
      <c r="O16" s="691"/>
      <c r="R16" s="911"/>
      <c r="S16" s="911"/>
    </row>
    <row r="17" spans="2:19" s="673" customFormat="1" ht="13.5" thickBot="1">
      <c r="B17" s="692" t="s">
        <v>1</v>
      </c>
      <c r="C17" s="692" t="s">
        <v>24</v>
      </c>
      <c r="D17" s="693" t="s">
        <v>24</v>
      </c>
      <c r="E17" s="693" t="s">
        <v>24</v>
      </c>
      <c r="F17" s="693" t="s">
        <v>24</v>
      </c>
      <c r="G17" s="693" t="s">
        <v>24</v>
      </c>
      <c r="H17" s="913"/>
      <c r="I17" s="692" t="s">
        <v>24</v>
      </c>
      <c r="J17" s="693" t="s">
        <v>24</v>
      </c>
      <c r="K17" s="693" t="s">
        <v>24</v>
      </c>
      <c r="L17" s="693" t="s">
        <v>24</v>
      </c>
      <c r="M17" s="693" t="s">
        <v>24</v>
      </c>
      <c r="N17" s="913"/>
      <c r="O17" s="672"/>
      <c r="R17" s="674" t="s">
        <v>157</v>
      </c>
      <c r="S17" s="694" t="s">
        <v>157</v>
      </c>
    </row>
    <row r="18" spans="2:19">
      <c r="B18" s="695">
        <f>year</f>
        <v>2000</v>
      </c>
      <c r="C18" s="696">
        <f>C$16</f>
        <v>0</v>
      </c>
      <c r="D18" s="697">
        <f t="shared" ref="D18:G33" si="0">D$16</f>
        <v>0</v>
      </c>
      <c r="E18" s="697">
        <f t="shared" si="0"/>
        <v>0</v>
      </c>
      <c r="F18" s="697">
        <f t="shared" si="0"/>
        <v>0</v>
      </c>
      <c r="G18" s="697">
        <f t="shared" si="0"/>
        <v>1</v>
      </c>
      <c r="H18" s="698">
        <f>SUM(C18:G18)</f>
        <v>1</v>
      </c>
      <c r="I18" s="696">
        <f>I$16</f>
        <v>0.2</v>
      </c>
      <c r="J18" s="697">
        <f t="shared" ref="J18:M33" si="1">J$16</f>
        <v>0.3</v>
      </c>
      <c r="K18" s="697">
        <f t="shared" si="1"/>
        <v>0.25</v>
      </c>
      <c r="L18" s="697">
        <f t="shared" si="1"/>
        <v>0.05</v>
      </c>
      <c r="M18" s="697">
        <f t="shared" si="1"/>
        <v>0.2</v>
      </c>
      <c r="N18" s="698">
        <f>SUM(I18:M18)</f>
        <v>1</v>
      </c>
      <c r="O18" s="699"/>
      <c r="R18" s="700">
        <f>C18*C$13+D18*D$13+E18*E$13+F18*F$13+G18*G$13</f>
        <v>0.6</v>
      </c>
      <c r="S18" s="701">
        <f>I18*I$13+J18*J$13+K18*K$13+L18*L$13+M18*M$13</f>
        <v>0.71500000000000008</v>
      </c>
    </row>
    <row r="19" spans="2:19">
      <c r="B19" s="702">
        <f t="shared" ref="B19:B50" si="2">B18+1</f>
        <v>2001</v>
      </c>
      <c r="C19" s="703">
        <f t="shared" ref="C19:G50" si="3">C$16</f>
        <v>0</v>
      </c>
      <c r="D19" s="704">
        <f t="shared" si="0"/>
        <v>0</v>
      </c>
      <c r="E19" s="704">
        <f t="shared" si="0"/>
        <v>0</v>
      </c>
      <c r="F19" s="704">
        <f t="shared" si="0"/>
        <v>0</v>
      </c>
      <c r="G19" s="704">
        <f t="shared" si="0"/>
        <v>1</v>
      </c>
      <c r="H19" s="705">
        <f t="shared" ref="H19:H82" si="4">SUM(C19:G19)</f>
        <v>1</v>
      </c>
      <c r="I19" s="703">
        <f t="shared" ref="I19:M50" si="5">I$16</f>
        <v>0.2</v>
      </c>
      <c r="J19" s="704">
        <f t="shared" si="1"/>
        <v>0.3</v>
      </c>
      <c r="K19" s="704">
        <f t="shared" si="1"/>
        <v>0.25</v>
      </c>
      <c r="L19" s="704">
        <f t="shared" si="1"/>
        <v>0.05</v>
      </c>
      <c r="M19" s="704">
        <f t="shared" si="1"/>
        <v>0.2</v>
      </c>
      <c r="N19" s="705">
        <f t="shared" ref="N19:N82" si="6">SUM(I19:M19)</f>
        <v>1</v>
      </c>
      <c r="O19" s="706"/>
      <c r="R19" s="700">
        <f t="shared" ref="R19:R82" si="7">C19*C$13+D19*D$13+E19*E$13+F19*F$13+G19*G$13</f>
        <v>0.6</v>
      </c>
      <c r="S19" s="701">
        <f t="shared" ref="S19:S82" si="8">I19*I$13+J19*J$13+K19*K$13+L19*L$13+M19*M$13</f>
        <v>0.71500000000000008</v>
      </c>
    </row>
    <row r="20" spans="2:19">
      <c r="B20" s="702">
        <f t="shared" si="2"/>
        <v>2002</v>
      </c>
      <c r="C20" s="703">
        <f t="shared" si="3"/>
        <v>0</v>
      </c>
      <c r="D20" s="704">
        <f t="shared" si="0"/>
        <v>0</v>
      </c>
      <c r="E20" s="704">
        <f t="shared" si="0"/>
        <v>0</v>
      </c>
      <c r="F20" s="704">
        <f t="shared" si="0"/>
        <v>0</v>
      </c>
      <c r="G20" s="704">
        <f t="shared" si="0"/>
        <v>1</v>
      </c>
      <c r="H20" s="705">
        <f t="shared" si="4"/>
        <v>1</v>
      </c>
      <c r="I20" s="703">
        <f t="shared" si="5"/>
        <v>0.2</v>
      </c>
      <c r="J20" s="704">
        <f t="shared" si="1"/>
        <v>0.3</v>
      </c>
      <c r="K20" s="704">
        <f t="shared" si="1"/>
        <v>0.25</v>
      </c>
      <c r="L20" s="704">
        <f t="shared" si="1"/>
        <v>0.05</v>
      </c>
      <c r="M20" s="704">
        <f t="shared" si="1"/>
        <v>0.2</v>
      </c>
      <c r="N20" s="705">
        <f t="shared" si="6"/>
        <v>1</v>
      </c>
      <c r="O20" s="706"/>
      <c r="R20" s="700">
        <f t="shared" si="7"/>
        <v>0.6</v>
      </c>
      <c r="S20" s="701">
        <f t="shared" si="8"/>
        <v>0.71500000000000008</v>
      </c>
    </row>
    <row r="21" spans="2:19">
      <c r="B21" s="702">
        <f t="shared" si="2"/>
        <v>2003</v>
      </c>
      <c r="C21" s="703">
        <f t="shared" si="3"/>
        <v>0</v>
      </c>
      <c r="D21" s="704">
        <f t="shared" si="0"/>
        <v>0</v>
      </c>
      <c r="E21" s="704">
        <f t="shared" si="0"/>
        <v>0</v>
      </c>
      <c r="F21" s="704">
        <f t="shared" si="0"/>
        <v>0</v>
      </c>
      <c r="G21" s="704">
        <f t="shared" si="0"/>
        <v>1</v>
      </c>
      <c r="H21" s="705">
        <f t="shared" si="4"/>
        <v>1</v>
      </c>
      <c r="I21" s="703">
        <f t="shared" si="5"/>
        <v>0.2</v>
      </c>
      <c r="J21" s="704">
        <f t="shared" si="1"/>
        <v>0.3</v>
      </c>
      <c r="K21" s="704">
        <f t="shared" si="1"/>
        <v>0.25</v>
      </c>
      <c r="L21" s="704">
        <f t="shared" si="1"/>
        <v>0.05</v>
      </c>
      <c r="M21" s="704">
        <f t="shared" si="1"/>
        <v>0.2</v>
      </c>
      <c r="N21" s="705">
        <f t="shared" si="6"/>
        <v>1</v>
      </c>
      <c r="O21" s="706"/>
      <c r="R21" s="700">
        <f t="shared" si="7"/>
        <v>0.6</v>
      </c>
      <c r="S21" s="701">
        <f t="shared" si="8"/>
        <v>0.71500000000000008</v>
      </c>
    </row>
    <row r="22" spans="2:19">
      <c r="B22" s="702">
        <f t="shared" si="2"/>
        <v>2004</v>
      </c>
      <c r="C22" s="703">
        <f t="shared" si="3"/>
        <v>0</v>
      </c>
      <c r="D22" s="704">
        <f t="shared" si="0"/>
        <v>0</v>
      </c>
      <c r="E22" s="704">
        <f t="shared" si="0"/>
        <v>0</v>
      </c>
      <c r="F22" s="704">
        <f t="shared" si="0"/>
        <v>0</v>
      </c>
      <c r="G22" s="704">
        <f t="shared" si="0"/>
        <v>1</v>
      </c>
      <c r="H22" s="705">
        <f t="shared" si="4"/>
        <v>1</v>
      </c>
      <c r="I22" s="703">
        <f t="shared" si="5"/>
        <v>0.2</v>
      </c>
      <c r="J22" s="704">
        <f t="shared" si="1"/>
        <v>0.3</v>
      </c>
      <c r="K22" s="704">
        <f t="shared" si="1"/>
        <v>0.25</v>
      </c>
      <c r="L22" s="704">
        <f t="shared" si="1"/>
        <v>0.05</v>
      </c>
      <c r="M22" s="704">
        <f t="shared" si="1"/>
        <v>0.2</v>
      </c>
      <c r="N22" s="705">
        <f t="shared" si="6"/>
        <v>1</v>
      </c>
      <c r="O22" s="706"/>
      <c r="R22" s="700">
        <f t="shared" si="7"/>
        <v>0.6</v>
      </c>
      <c r="S22" s="701">
        <f t="shared" si="8"/>
        <v>0.71500000000000008</v>
      </c>
    </row>
    <row r="23" spans="2:19">
      <c r="B23" s="702">
        <f t="shared" si="2"/>
        <v>2005</v>
      </c>
      <c r="C23" s="703">
        <f t="shared" si="3"/>
        <v>0</v>
      </c>
      <c r="D23" s="704">
        <f t="shared" si="0"/>
        <v>0</v>
      </c>
      <c r="E23" s="704">
        <f t="shared" si="0"/>
        <v>0</v>
      </c>
      <c r="F23" s="704">
        <f t="shared" si="0"/>
        <v>0</v>
      </c>
      <c r="G23" s="704">
        <f t="shared" si="0"/>
        <v>1</v>
      </c>
      <c r="H23" s="705">
        <f t="shared" si="4"/>
        <v>1</v>
      </c>
      <c r="I23" s="703">
        <f t="shared" si="5"/>
        <v>0.2</v>
      </c>
      <c r="J23" s="704">
        <f t="shared" si="1"/>
        <v>0.3</v>
      </c>
      <c r="K23" s="704">
        <f t="shared" si="1"/>
        <v>0.25</v>
      </c>
      <c r="L23" s="704">
        <f t="shared" si="1"/>
        <v>0.05</v>
      </c>
      <c r="M23" s="704">
        <f t="shared" si="1"/>
        <v>0.2</v>
      </c>
      <c r="N23" s="705">
        <f t="shared" si="6"/>
        <v>1</v>
      </c>
      <c r="O23" s="706"/>
      <c r="R23" s="700">
        <f t="shared" si="7"/>
        <v>0.6</v>
      </c>
      <c r="S23" s="701">
        <f t="shared" si="8"/>
        <v>0.71500000000000008</v>
      </c>
    </row>
    <row r="24" spans="2:19">
      <c r="B24" s="702">
        <f t="shared" si="2"/>
        <v>2006</v>
      </c>
      <c r="C24" s="703">
        <f t="shared" si="3"/>
        <v>0</v>
      </c>
      <c r="D24" s="704">
        <f t="shared" si="0"/>
        <v>0</v>
      </c>
      <c r="E24" s="704">
        <f t="shared" si="0"/>
        <v>0</v>
      </c>
      <c r="F24" s="704">
        <f t="shared" si="0"/>
        <v>0</v>
      </c>
      <c r="G24" s="704">
        <f t="shared" si="0"/>
        <v>1</v>
      </c>
      <c r="H24" s="705">
        <f t="shared" si="4"/>
        <v>1</v>
      </c>
      <c r="I24" s="703">
        <f t="shared" si="5"/>
        <v>0.2</v>
      </c>
      <c r="J24" s="704">
        <f t="shared" si="1"/>
        <v>0.3</v>
      </c>
      <c r="K24" s="704">
        <f t="shared" si="1"/>
        <v>0.25</v>
      </c>
      <c r="L24" s="704">
        <f t="shared" si="1"/>
        <v>0.05</v>
      </c>
      <c r="M24" s="704">
        <f t="shared" si="1"/>
        <v>0.2</v>
      </c>
      <c r="N24" s="705">
        <f t="shared" si="6"/>
        <v>1</v>
      </c>
      <c r="O24" s="706"/>
      <c r="R24" s="700">
        <f t="shared" si="7"/>
        <v>0.6</v>
      </c>
      <c r="S24" s="701">
        <f t="shared" si="8"/>
        <v>0.71500000000000008</v>
      </c>
    </row>
    <row r="25" spans="2:19">
      <c r="B25" s="702">
        <f t="shared" si="2"/>
        <v>2007</v>
      </c>
      <c r="C25" s="703">
        <f t="shared" si="3"/>
        <v>0</v>
      </c>
      <c r="D25" s="704">
        <f t="shared" si="0"/>
        <v>0</v>
      </c>
      <c r="E25" s="704">
        <f t="shared" si="0"/>
        <v>0</v>
      </c>
      <c r="F25" s="704">
        <f t="shared" si="0"/>
        <v>0</v>
      </c>
      <c r="G25" s="704">
        <f t="shared" si="0"/>
        <v>1</v>
      </c>
      <c r="H25" s="705">
        <f t="shared" si="4"/>
        <v>1</v>
      </c>
      <c r="I25" s="703">
        <f t="shared" si="5"/>
        <v>0.2</v>
      </c>
      <c r="J25" s="704">
        <f t="shared" si="1"/>
        <v>0.3</v>
      </c>
      <c r="K25" s="704">
        <f t="shared" si="1"/>
        <v>0.25</v>
      </c>
      <c r="L25" s="704">
        <f t="shared" si="1"/>
        <v>0.05</v>
      </c>
      <c r="M25" s="704">
        <f t="shared" si="1"/>
        <v>0.2</v>
      </c>
      <c r="N25" s="705">
        <f t="shared" si="6"/>
        <v>1</v>
      </c>
      <c r="O25" s="706"/>
      <c r="R25" s="700">
        <f t="shared" si="7"/>
        <v>0.6</v>
      </c>
      <c r="S25" s="701">
        <f t="shared" si="8"/>
        <v>0.71500000000000008</v>
      </c>
    </row>
    <row r="26" spans="2:19">
      <c r="B26" s="702">
        <f t="shared" si="2"/>
        <v>2008</v>
      </c>
      <c r="C26" s="703">
        <f t="shared" si="3"/>
        <v>0</v>
      </c>
      <c r="D26" s="704">
        <f t="shared" si="0"/>
        <v>0</v>
      </c>
      <c r="E26" s="704">
        <f t="shared" si="0"/>
        <v>0</v>
      </c>
      <c r="F26" s="704">
        <f t="shared" si="0"/>
        <v>0</v>
      </c>
      <c r="G26" s="704">
        <f t="shared" si="0"/>
        <v>1</v>
      </c>
      <c r="H26" s="705">
        <f t="shared" si="4"/>
        <v>1</v>
      </c>
      <c r="I26" s="703">
        <f t="shared" si="5"/>
        <v>0.2</v>
      </c>
      <c r="J26" s="704">
        <f t="shared" si="1"/>
        <v>0.3</v>
      </c>
      <c r="K26" s="704">
        <f t="shared" si="1"/>
        <v>0.25</v>
      </c>
      <c r="L26" s="704">
        <f t="shared" si="1"/>
        <v>0.05</v>
      </c>
      <c r="M26" s="704">
        <f t="shared" si="1"/>
        <v>0.2</v>
      </c>
      <c r="N26" s="705">
        <f t="shared" si="6"/>
        <v>1</v>
      </c>
      <c r="O26" s="706"/>
      <c r="R26" s="700">
        <f t="shared" si="7"/>
        <v>0.6</v>
      </c>
      <c r="S26" s="701">
        <f t="shared" si="8"/>
        <v>0.71500000000000008</v>
      </c>
    </row>
    <row r="27" spans="2:19">
      <c r="B27" s="702">
        <f t="shared" si="2"/>
        <v>2009</v>
      </c>
      <c r="C27" s="703">
        <f t="shared" si="3"/>
        <v>0</v>
      </c>
      <c r="D27" s="704">
        <f t="shared" si="0"/>
        <v>0</v>
      </c>
      <c r="E27" s="704">
        <f t="shared" si="0"/>
        <v>0</v>
      </c>
      <c r="F27" s="704">
        <f t="shared" si="0"/>
        <v>0</v>
      </c>
      <c r="G27" s="704">
        <f t="shared" si="0"/>
        <v>1</v>
      </c>
      <c r="H27" s="705">
        <f t="shared" si="4"/>
        <v>1</v>
      </c>
      <c r="I27" s="703">
        <f t="shared" si="5"/>
        <v>0.2</v>
      </c>
      <c r="J27" s="704">
        <f t="shared" si="1"/>
        <v>0.3</v>
      </c>
      <c r="K27" s="704">
        <f t="shared" si="1"/>
        <v>0.25</v>
      </c>
      <c r="L27" s="704">
        <f t="shared" si="1"/>
        <v>0.05</v>
      </c>
      <c r="M27" s="704">
        <f t="shared" si="1"/>
        <v>0.2</v>
      </c>
      <c r="N27" s="705">
        <f t="shared" si="6"/>
        <v>1</v>
      </c>
      <c r="O27" s="706"/>
      <c r="R27" s="700">
        <f t="shared" si="7"/>
        <v>0.6</v>
      </c>
      <c r="S27" s="701">
        <f t="shared" si="8"/>
        <v>0.71500000000000008</v>
      </c>
    </row>
    <row r="28" spans="2:19">
      <c r="B28" s="702">
        <f t="shared" si="2"/>
        <v>2010</v>
      </c>
      <c r="C28" s="703">
        <f t="shared" si="3"/>
        <v>0</v>
      </c>
      <c r="D28" s="704">
        <f t="shared" si="0"/>
        <v>0</v>
      </c>
      <c r="E28" s="704">
        <f t="shared" si="0"/>
        <v>0</v>
      </c>
      <c r="F28" s="704">
        <f t="shared" si="0"/>
        <v>0</v>
      </c>
      <c r="G28" s="704">
        <f t="shared" si="0"/>
        <v>1</v>
      </c>
      <c r="H28" s="705">
        <f t="shared" si="4"/>
        <v>1</v>
      </c>
      <c r="I28" s="703">
        <f t="shared" si="5"/>
        <v>0.2</v>
      </c>
      <c r="J28" s="704">
        <f t="shared" si="1"/>
        <v>0.3</v>
      </c>
      <c r="K28" s="704">
        <f t="shared" si="1"/>
        <v>0.25</v>
      </c>
      <c r="L28" s="704">
        <f t="shared" si="1"/>
        <v>0.05</v>
      </c>
      <c r="M28" s="704">
        <f t="shared" si="1"/>
        <v>0.2</v>
      </c>
      <c r="N28" s="705">
        <f t="shared" si="6"/>
        <v>1</v>
      </c>
      <c r="O28" s="706"/>
      <c r="R28" s="700">
        <f t="shared" si="7"/>
        <v>0.6</v>
      </c>
      <c r="S28" s="701">
        <f t="shared" si="8"/>
        <v>0.71500000000000008</v>
      </c>
    </row>
    <row r="29" spans="2:19">
      <c r="B29" s="702">
        <f t="shared" si="2"/>
        <v>2011</v>
      </c>
      <c r="C29" s="703">
        <f t="shared" si="3"/>
        <v>0</v>
      </c>
      <c r="D29" s="704">
        <f t="shared" si="0"/>
        <v>0</v>
      </c>
      <c r="E29" s="704">
        <f t="shared" si="0"/>
        <v>0</v>
      </c>
      <c r="F29" s="704">
        <f t="shared" si="0"/>
        <v>0</v>
      </c>
      <c r="G29" s="704">
        <f t="shared" si="0"/>
        <v>1</v>
      </c>
      <c r="H29" s="705">
        <f t="shared" si="4"/>
        <v>1</v>
      </c>
      <c r="I29" s="703">
        <f t="shared" si="5"/>
        <v>0.2</v>
      </c>
      <c r="J29" s="704">
        <f t="shared" si="1"/>
        <v>0.3</v>
      </c>
      <c r="K29" s="704">
        <f t="shared" si="1"/>
        <v>0.25</v>
      </c>
      <c r="L29" s="704">
        <f t="shared" si="1"/>
        <v>0.05</v>
      </c>
      <c r="M29" s="704">
        <f t="shared" si="1"/>
        <v>0.2</v>
      </c>
      <c r="N29" s="705">
        <f t="shared" si="6"/>
        <v>1</v>
      </c>
      <c r="O29" s="706"/>
      <c r="R29" s="700">
        <f t="shared" si="7"/>
        <v>0.6</v>
      </c>
      <c r="S29" s="701">
        <f t="shared" si="8"/>
        <v>0.71500000000000008</v>
      </c>
    </row>
    <row r="30" spans="2:19">
      <c r="B30" s="702">
        <f t="shared" si="2"/>
        <v>2012</v>
      </c>
      <c r="C30" s="703">
        <f t="shared" si="3"/>
        <v>0</v>
      </c>
      <c r="D30" s="704">
        <f t="shared" si="0"/>
        <v>0</v>
      </c>
      <c r="E30" s="704">
        <f t="shared" si="0"/>
        <v>0</v>
      </c>
      <c r="F30" s="704">
        <f t="shared" si="0"/>
        <v>0</v>
      </c>
      <c r="G30" s="704">
        <f t="shared" si="0"/>
        <v>1</v>
      </c>
      <c r="H30" s="705">
        <f t="shared" si="4"/>
        <v>1</v>
      </c>
      <c r="I30" s="703">
        <f t="shared" si="5"/>
        <v>0.2</v>
      </c>
      <c r="J30" s="704">
        <f t="shared" si="1"/>
        <v>0.3</v>
      </c>
      <c r="K30" s="704">
        <f t="shared" si="1"/>
        <v>0.25</v>
      </c>
      <c r="L30" s="704">
        <f t="shared" si="1"/>
        <v>0.05</v>
      </c>
      <c r="M30" s="704">
        <f t="shared" si="1"/>
        <v>0.2</v>
      </c>
      <c r="N30" s="705">
        <f t="shared" si="6"/>
        <v>1</v>
      </c>
      <c r="O30" s="706"/>
      <c r="R30" s="700">
        <f t="shared" si="7"/>
        <v>0.6</v>
      </c>
      <c r="S30" s="701">
        <f t="shared" si="8"/>
        <v>0.71500000000000008</v>
      </c>
    </row>
    <row r="31" spans="2:19">
      <c r="B31" s="702">
        <f t="shared" si="2"/>
        <v>2013</v>
      </c>
      <c r="C31" s="703">
        <f t="shared" si="3"/>
        <v>0</v>
      </c>
      <c r="D31" s="704">
        <f t="shared" si="0"/>
        <v>0</v>
      </c>
      <c r="E31" s="704">
        <f t="shared" si="0"/>
        <v>0</v>
      </c>
      <c r="F31" s="704">
        <f t="shared" si="0"/>
        <v>0</v>
      </c>
      <c r="G31" s="704">
        <f t="shared" si="0"/>
        <v>1</v>
      </c>
      <c r="H31" s="705">
        <f t="shared" si="4"/>
        <v>1</v>
      </c>
      <c r="I31" s="703">
        <f t="shared" si="5"/>
        <v>0.2</v>
      </c>
      <c r="J31" s="704">
        <f t="shared" si="1"/>
        <v>0.3</v>
      </c>
      <c r="K31" s="704">
        <f t="shared" si="1"/>
        <v>0.25</v>
      </c>
      <c r="L31" s="704">
        <f t="shared" si="1"/>
        <v>0.05</v>
      </c>
      <c r="M31" s="704">
        <f t="shared" si="1"/>
        <v>0.2</v>
      </c>
      <c r="N31" s="705">
        <f t="shared" si="6"/>
        <v>1</v>
      </c>
      <c r="O31" s="706"/>
      <c r="R31" s="700">
        <f t="shared" si="7"/>
        <v>0.6</v>
      </c>
      <c r="S31" s="701">
        <f t="shared" si="8"/>
        <v>0.71500000000000008</v>
      </c>
    </row>
    <row r="32" spans="2:19">
      <c r="B32" s="702">
        <f t="shared" si="2"/>
        <v>2014</v>
      </c>
      <c r="C32" s="703">
        <f t="shared" si="3"/>
        <v>0</v>
      </c>
      <c r="D32" s="704">
        <f t="shared" si="0"/>
        <v>0</v>
      </c>
      <c r="E32" s="704">
        <f t="shared" si="0"/>
        <v>0</v>
      </c>
      <c r="F32" s="704">
        <f t="shared" si="0"/>
        <v>0</v>
      </c>
      <c r="G32" s="704">
        <f t="shared" si="0"/>
        <v>1</v>
      </c>
      <c r="H32" s="705">
        <f t="shared" si="4"/>
        <v>1</v>
      </c>
      <c r="I32" s="703">
        <f t="shared" si="5"/>
        <v>0.2</v>
      </c>
      <c r="J32" s="704">
        <f t="shared" si="1"/>
        <v>0.3</v>
      </c>
      <c r="K32" s="704">
        <f t="shared" si="1"/>
        <v>0.25</v>
      </c>
      <c r="L32" s="704">
        <f t="shared" si="1"/>
        <v>0.05</v>
      </c>
      <c r="M32" s="704">
        <f t="shared" si="1"/>
        <v>0.2</v>
      </c>
      <c r="N32" s="705">
        <f t="shared" si="6"/>
        <v>1</v>
      </c>
      <c r="O32" s="706"/>
      <c r="R32" s="700">
        <f t="shared" si="7"/>
        <v>0.6</v>
      </c>
      <c r="S32" s="701">
        <f t="shared" si="8"/>
        <v>0.71500000000000008</v>
      </c>
    </row>
    <row r="33" spans="2:19">
      <c r="B33" s="702">
        <f t="shared" si="2"/>
        <v>2015</v>
      </c>
      <c r="C33" s="703">
        <f t="shared" si="3"/>
        <v>0</v>
      </c>
      <c r="D33" s="704">
        <f t="shared" si="0"/>
        <v>0</v>
      </c>
      <c r="E33" s="704">
        <f t="shared" si="0"/>
        <v>0</v>
      </c>
      <c r="F33" s="704">
        <f t="shared" si="0"/>
        <v>0</v>
      </c>
      <c r="G33" s="704">
        <f t="shared" si="0"/>
        <v>1</v>
      </c>
      <c r="H33" s="705">
        <f t="shared" si="4"/>
        <v>1</v>
      </c>
      <c r="I33" s="703">
        <f t="shared" si="5"/>
        <v>0.2</v>
      </c>
      <c r="J33" s="704">
        <f t="shared" si="1"/>
        <v>0.3</v>
      </c>
      <c r="K33" s="704">
        <f t="shared" si="1"/>
        <v>0.25</v>
      </c>
      <c r="L33" s="704">
        <f t="shared" si="1"/>
        <v>0.05</v>
      </c>
      <c r="M33" s="704">
        <f t="shared" si="1"/>
        <v>0.2</v>
      </c>
      <c r="N33" s="705">
        <f t="shared" si="6"/>
        <v>1</v>
      </c>
      <c r="O33" s="706"/>
      <c r="R33" s="700">
        <f t="shared" si="7"/>
        <v>0.6</v>
      </c>
      <c r="S33" s="701">
        <f t="shared" si="8"/>
        <v>0.71500000000000008</v>
      </c>
    </row>
    <row r="34" spans="2:19">
      <c r="B34" s="702">
        <f t="shared" si="2"/>
        <v>2016</v>
      </c>
      <c r="C34" s="703">
        <f t="shared" si="3"/>
        <v>0</v>
      </c>
      <c r="D34" s="704">
        <f t="shared" si="3"/>
        <v>0</v>
      </c>
      <c r="E34" s="704">
        <f t="shared" si="3"/>
        <v>0</v>
      </c>
      <c r="F34" s="704">
        <f t="shared" si="3"/>
        <v>0</v>
      </c>
      <c r="G34" s="704">
        <f t="shared" si="3"/>
        <v>1</v>
      </c>
      <c r="H34" s="705">
        <f t="shared" si="4"/>
        <v>1</v>
      </c>
      <c r="I34" s="703">
        <f t="shared" si="5"/>
        <v>0.2</v>
      </c>
      <c r="J34" s="704">
        <f t="shared" si="5"/>
        <v>0.3</v>
      </c>
      <c r="K34" s="704">
        <f t="shared" si="5"/>
        <v>0.25</v>
      </c>
      <c r="L34" s="704">
        <f t="shared" si="5"/>
        <v>0.05</v>
      </c>
      <c r="M34" s="704">
        <f t="shared" si="5"/>
        <v>0.2</v>
      </c>
      <c r="N34" s="705">
        <f t="shared" si="6"/>
        <v>1</v>
      </c>
      <c r="O34" s="706"/>
      <c r="R34" s="700">
        <f t="shared" si="7"/>
        <v>0.6</v>
      </c>
      <c r="S34" s="701">
        <f t="shared" si="8"/>
        <v>0.71500000000000008</v>
      </c>
    </row>
    <row r="35" spans="2:19">
      <c r="B35" s="702">
        <f t="shared" si="2"/>
        <v>2017</v>
      </c>
      <c r="C35" s="703">
        <f t="shared" si="3"/>
        <v>0</v>
      </c>
      <c r="D35" s="704">
        <f t="shared" si="3"/>
        <v>0</v>
      </c>
      <c r="E35" s="704">
        <f t="shared" si="3"/>
        <v>0</v>
      </c>
      <c r="F35" s="704">
        <f t="shared" si="3"/>
        <v>0</v>
      </c>
      <c r="G35" s="704">
        <f t="shared" si="3"/>
        <v>1</v>
      </c>
      <c r="H35" s="705">
        <f t="shared" si="4"/>
        <v>1</v>
      </c>
      <c r="I35" s="703">
        <f t="shared" si="5"/>
        <v>0.2</v>
      </c>
      <c r="J35" s="704">
        <f t="shared" si="5"/>
        <v>0.3</v>
      </c>
      <c r="K35" s="704">
        <f t="shared" si="5"/>
        <v>0.25</v>
      </c>
      <c r="L35" s="704">
        <f t="shared" si="5"/>
        <v>0.05</v>
      </c>
      <c r="M35" s="704">
        <f t="shared" si="5"/>
        <v>0.2</v>
      </c>
      <c r="N35" s="705">
        <f t="shared" si="6"/>
        <v>1</v>
      </c>
      <c r="O35" s="706"/>
      <c r="R35" s="700">
        <f t="shared" si="7"/>
        <v>0.6</v>
      </c>
      <c r="S35" s="701">
        <f t="shared" si="8"/>
        <v>0.71500000000000008</v>
      </c>
    </row>
    <row r="36" spans="2:19">
      <c r="B36" s="702">
        <f t="shared" si="2"/>
        <v>2018</v>
      </c>
      <c r="C36" s="703">
        <f t="shared" si="3"/>
        <v>0</v>
      </c>
      <c r="D36" s="704">
        <f t="shared" si="3"/>
        <v>0</v>
      </c>
      <c r="E36" s="704">
        <f t="shared" si="3"/>
        <v>0</v>
      </c>
      <c r="F36" s="704">
        <f t="shared" si="3"/>
        <v>0</v>
      </c>
      <c r="G36" s="704">
        <f t="shared" si="3"/>
        <v>1</v>
      </c>
      <c r="H36" s="705">
        <f t="shared" si="4"/>
        <v>1</v>
      </c>
      <c r="I36" s="703">
        <f t="shared" si="5"/>
        <v>0.2</v>
      </c>
      <c r="J36" s="704">
        <f t="shared" si="5"/>
        <v>0.3</v>
      </c>
      <c r="K36" s="704">
        <f t="shared" si="5"/>
        <v>0.25</v>
      </c>
      <c r="L36" s="704">
        <f t="shared" si="5"/>
        <v>0.05</v>
      </c>
      <c r="M36" s="704">
        <f t="shared" si="5"/>
        <v>0.2</v>
      </c>
      <c r="N36" s="705">
        <f t="shared" si="6"/>
        <v>1</v>
      </c>
      <c r="O36" s="706"/>
      <c r="R36" s="700">
        <f t="shared" si="7"/>
        <v>0.6</v>
      </c>
      <c r="S36" s="701">
        <f t="shared" si="8"/>
        <v>0.71500000000000008</v>
      </c>
    </row>
    <row r="37" spans="2:19">
      <c r="B37" s="702">
        <f t="shared" si="2"/>
        <v>2019</v>
      </c>
      <c r="C37" s="703">
        <f t="shared" si="3"/>
        <v>0</v>
      </c>
      <c r="D37" s="704">
        <f t="shared" si="3"/>
        <v>0</v>
      </c>
      <c r="E37" s="704">
        <f t="shared" si="3"/>
        <v>0</v>
      </c>
      <c r="F37" s="704">
        <f t="shared" si="3"/>
        <v>0</v>
      </c>
      <c r="G37" s="704">
        <f t="shared" si="3"/>
        <v>1</v>
      </c>
      <c r="H37" s="705">
        <f t="shared" si="4"/>
        <v>1</v>
      </c>
      <c r="I37" s="703">
        <f t="shared" si="5"/>
        <v>0.2</v>
      </c>
      <c r="J37" s="704">
        <f t="shared" si="5"/>
        <v>0.3</v>
      </c>
      <c r="K37" s="704">
        <f t="shared" si="5"/>
        <v>0.25</v>
      </c>
      <c r="L37" s="704">
        <f t="shared" si="5"/>
        <v>0.05</v>
      </c>
      <c r="M37" s="704">
        <f t="shared" si="5"/>
        <v>0.2</v>
      </c>
      <c r="N37" s="705">
        <f t="shared" si="6"/>
        <v>1</v>
      </c>
      <c r="O37" s="706"/>
      <c r="R37" s="700">
        <f t="shared" si="7"/>
        <v>0.6</v>
      </c>
      <c r="S37" s="701">
        <f t="shared" si="8"/>
        <v>0.71500000000000008</v>
      </c>
    </row>
    <row r="38" spans="2:19">
      <c r="B38" s="702">
        <f t="shared" si="2"/>
        <v>2020</v>
      </c>
      <c r="C38" s="703">
        <f t="shared" si="3"/>
        <v>0</v>
      </c>
      <c r="D38" s="704">
        <f t="shared" si="3"/>
        <v>0</v>
      </c>
      <c r="E38" s="704">
        <f t="shared" si="3"/>
        <v>0</v>
      </c>
      <c r="F38" s="704">
        <f t="shared" si="3"/>
        <v>0</v>
      </c>
      <c r="G38" s="704">
        <f t="shared" si="3"/>
        <v>1</v>
      </c>
      <c r="H38" s="705">
        <f t="shared" si="4"/>
        <v>1</v>
      </c>
      <c r="I38" s="703">
        <f t="shared" si="5"/>
        <v>0.2</v>
      </c>
      <c r="J38" s="704">
        <f t="shared" si="5"/>
        <v>0.3</v>
      </c>
      <c r="K38" s="704">
        <f t="shared" si="5"/>
        <v>0.25</v>
      </c>
      <c r="L38" s="704">
        <f t="shared" si="5"/>
        <v>0.05</v>
      </c>
      <c r="M38" s="704">
        <f t="shared" si="5"/>
        <v>0.2</v>
      </c>
      <c r="N38" s="705">
        <f t="shared" si="6"/>
        <v>1</v>
      </c>
      <c r="O38" s="706"/>
      <c r="R38" s="700">
        <f t="shared" si="7"/>
        <v>0.6</v>
      </c>
      <c r="S38" s="701">
        <f t="shared" si="8"/>
        <v>0.71500000000000008</v>
      </c>
    </row>
    <row r="39" spans="2:19">
      <c r="B39" s="702">
        <f t="shared" si="2"/>
        <v>2021</v>
      </c>
      <c r="C39" s="703">
        <f t="shared" si="3"/>
        <v>0</v>
      </c>
      <c r="D39" s="704">
        <f t="shared" si="3"/>
        <v>0</v>
      </c>
      <c r="E39" s="704">
        <f t="shared" si="3"/>
        <v>0</v>
      </c>
      <c r="F39" s="704">
        <f t="shared" si="3"/>
        <v>0</v>
      </c>
      <c r="G39" s="704">
        <f t="shared" si="3"/>
        <v>1</v>
      </c>
      <c r="H39" s="705">
        <f t="shared" si="4"/>
        <v>1</v>
      </c>
      <c r="I39" s="703">
        <f t="shared" si="5"/>
        <v>0.2</v>
      </c>
      <c r="J39" s="704">
        <f t="shared" si="5"/>
        <v>0.3</v>
      </c>
      <c r="K39" s="704">
        <f t="shared" si="5"/>
        <v>0.25</v>
      </c>
      <c r="L39" s="704">
        <f t="shared" si="5"/>
        <v>0.05</v>
      </c>
      <c r="M39" s="704">
        <f t="shared" si="5"/>
        <v>0.2</v>
      </c>
      <c r="N39" s="705">
        <f t="shared" si="6"/>
        <v>1</v>
      </c>
      <c r="O39" s="706"/>
      <c r="R39" s="700">
        <f t="shared" si="7"/>
        <v>0.6</v>
      </c>
      <c r="S39" s="701">
        <f t="shared" si="8"/>
        <v>0.71500000000000008</v>
      </c>
    </row>
    <row r="40" spans="2:19">
      <c r="B40" s="702">
        <f t="shared" si="2"/>
        <v>2022</v>
      </c>
      <c r="C40" s="703">
        <f t="shared" si="3"/>
        <v>0</v>
      </c>
      <c r="D40" s="704">
        <f t="shared" si="3"/>
        <v>0</v>
      </c>
      <c r="E40" s="704">
        <f t="shared" si="3"/>
        <v>0</v>
      </c>
      <c r="F40" s="704">
        <f t="shared" si="3"/>
        <v>0</v>
      </c>
      <c r="G40" s="704">
        <f t="shared" si="3"/>
        <v>1</v>
      </c>
      <c r="H40" s="705">
        <f t="shared" si="4"/>
        <v>1</v>
      </c>
      <c r="I40" s="703">
        <f t="shared" si="5"/>
        <v>0.2</v>
      </c>
      <c r="J40" s="704">
        <f t="shared" si="5"/>
        <v>0.3</v>
      </c>
      <c r="K40" s="704">
        <f t="shared" si="5"/>
        <v>0.25</v>
      </c>
      <c r="L40" s="704">
        <f t="shared" si="5"/>
        <v>0.05</v>
      </c>
      <c r="M40" s="704">
        <f t="shared" si="5"/>
        <v>0.2</v>
      </c>
      <c r="N40" s="705">
        <f t="shared" si="6"/>
        <v>1</v>
      </c>
      <c r="O40" s="706"/>
      <c r="R40" s="700">
        <f t="shared" si="7"/>
        <v>0.6</v>
      </c>
      <c r="S40" s="701">
        <f t="shared" si="8"/>
        <v>0.71500000000000008</v>
      </c>
    </row>
    <row r="41" spans="2:19">
      <c r="B41" s="702">
        <f t="shared" si="2"/>
        <v>2023</v>
      </c>
      <c r="C41" s="703">
        <f t="shared" si="3"/>
        <v>0</v>
      </c>
      <c r="D41" s="704">
        <f t="shared" si="3"/>
        <v>0</v>
      </c>
      <c r="E41" s="704">
        <f t="shared" si="3"/>
        <v>0</v>
      </c>
      <c r="F41" s="704">
        <f t="shared" si="3"/>
        <v>0</v>
      </c>
      <c r="G41" s="704">
        <f t="shared" si="3"/>
        <v>1</v>
      </c>
      <c r="H41" s="705">
        <f t="shared" si="4"/>
        <v>1</v>
      </c>
      <c r="I41" s="703">
        <f t="shared" si="5"/>
        <v>0.2</v>
      </c>
      <c r="J41" s="704">
        <f t="shared" si="5"/>
        <v>0.3</v>
      </c>
      <c r="K41" s="704">
        <f t="shared" si="5"/>
        <v>0.25</v>
      </c>
      <c r="L41" s="704">
        <f t="shared" si="5"/>
        <v>0.05</v>
      </c>
      <c r="M41" s="704">
        <f t="shared" si="5"/>
        <v>0.2</v>
      </c>
      <c r="N41" s="705">
        <f t="shared" si="6"/>
        <v>1</v>
      </c>
      <c r="O41" s="706"/>
      <c r="R41" s="700">
        <f t="shared" si="7"/>
        <v>0.6</v>
      </c>
      <c r="S41" s="701">
        <f t="shared" si="8"/>
        <v>0.71500000000000008</v>
      </c>
    </row>
    <row r="42" spans="2:19">
      <c r="B42" s="702">
        <f t="shared" si="2"/>
        <v>2024</v>
      </c>
      <c r="C42" s="703">
        <f t="shared" si="3"/>
        <v>0</v>
      </c>
      <c r="D42" s="704">
        <f t="shared" si="3"/>
        <v>0</v>
      </c>
      <c r="E42" s="704">
        <f t="shared" si="3"/>
        <v>0</v>
      </c>
      <c r="F42" s="704">
        <f t="shared" si="3"/>
        <v>0</v>
      </c>
      <c r="G42" s="704">
        <f t="shared" si="3"/>
        <v>1</v>
      </c>
      <c r="H42" s="705">
        <f t="shared" si="4"/>
        <v>1</v>
      </c>
      <c r="I42" s="703">
        <f t="shared" si="5"/>
        <v>0.2</v>
      </c>
      <c r="J42" s="704">
        <f t="shared" si="5"/>
        <v>0.3</v>
      </c>
      <c r="K42" s="704">
        <f t="shared" si="5"/>
        <v>0.25</v>
      </c>
      <c r="L42" s="704">
        <f t="shared" si="5"/>
        <v>0.05</v>
      </c>
      <c r="M42" s="704">
        <f t="shared" si="5"/>
        <v>0.2</v>
      </c>
      <c r="N42" s="705">
        <f t="shared" si="6"/>
        <v>1</v>
      </c>
      <c r="O42" s="706"/>
      <c r="R42" s="700">
        <f t="shared" si="7"/>
        <v>0.6</v>
      </c>
      <c r="S42" s="701">
        <f t="shared" si="8"/>
        <v>0.71500000000000008</v>
      </c>
    </row>
    <row r="43" spans="2:19">
      <c r="B43" s="702">
        <f t="shared" si="2"/>
        <v>2025</v>
      </c>
      <c r="C43" s="703">
        <f t="shared" si="3"/>
        <v>0</v>
      </c>
      <c r="D43" s="704">
        <f t="shared" si="3"/>
        <v>0</v>
      </c>
      <c r="E43" s="704">
        <f t="shared" si="3"/>
        <v>0</v>
      </c>
      <c r="F43" s="704">
        <f t="shared" si="3"/>
        <v>0</v>
      </c>
      <c r="G43" s="704">
        <f t="shared" si="3"/>
        <v>1</v>
      </c>
      <c r="H43" s="705">
        <f t="shared" si="4"/>
        <v>1</v>
      </c>
      <c r="I43" s="703">
        <f t="shared" si="5"/>
        <v>0.2</v>
      </c>
      <c r="J43" s="704">
        <f t="shared" si="5"/>
        <v>0.3</v>
      </c>
      <c r="K43" s="704">
        <f t="shared" si="5"/>
        <v>0.25</v>
      </c>
      <c r="L43" s="704">
        <f t="shared" si="5"/>
        <v>0.05</v>
      </c>
      <c r="M43" s="704">
        <f t="shared" si="5"/>
        <v>0.2</v>
      </c>
      <c r="N43" s="705">
        <f t="shared" si="6"/>
        <v>1</v>
      </c>
      <c r="O43" s="706"/>
      <c r="R43" s="700">
        <f t="shared" si="7"/>
        <v>0.6</v>
      </c>
      <c r="S43" s="701">
        <f t="shared" si="8"/>
        <v>0.71500000000000008</v>
      </c>
    </row>
    <row r="44" spans="2:19">
      <c r="B44" s="702">
        <f t="shared" si="2"/>
        <v>2026</v>
      </c>
      <c r="C44" s="703">
        <f t="shared" si="3"/>
        <v>0</v>
      </c>
      <c r="D44" s="704">
        <f t="shared" si="3"/>
        <v>0</v>
      </c>
      <c r="E44" s="704">
        <f t="shared" si="3"/>
        <v>0</v>
      </c>
      <c r="F44" s="704">
        <f t="shared" si="3"/>
        <v>0</v>
      </c>
      <c r="G44" s="704">
        <f t="shared" si="3"/>
        <v>1</v>
      </c>
      <c r="H44" s="705">
        <f t="shared" si="4"/>
        <v>1</v>
      </c>
      <c r="I44" s="703">
        <f t="shared" si="5"/>
        <v>0.2</v>
      </c>
      <c r="J44" s="704">
        <f t="shared" si="5"/>
        <v>0.3</v>
      </c>
      <c r="K44" s="704">
        <f t="shared" si="5"/>
        <v>0.25</v>
      </c>
      <c r="L44" s="704">
        <f t="shared" si="5"/>
        <v>0.05</v>
      </c>
      <c r="M44" s="704">
        <f t="shared" si="5"/>
        <v>0.2</v>
      </c>
      <c r="N44" s="705">
        <f t="shared" si="6"/>
        <v>1</v>
      </c>
      <c r="O44" s="706"/>
      <c r="R44" s="700">
        <f t="shared" si="7"/>
        <v>0.6</v>
      </c>
      <c r="S44" s="701">
        <f t="shared" si="8"/>
        <v>0.71500000000000008</v>
      </c>
    </row>
    <row r="45" spans="2:19">
      <c r="B45" s="702">
        <f t="shared" si="2"/>
        <v>2027</v>
      </c>
      <c r="C45" s="703">
        <f t="shared" si="3"/>
        <v>0</v>
      </c>
      <c r="D45" s="704">
        <f t="shared" si="3"/>
        <v>0</v>
      </c>
      <c r="E45" s="704">
        <f t="shared" si="3"/>
        <v>0</v>
      </c>
      <c r="F45" s="704">
        <f t="shared" si="3"/>
        <v>0</v>
      </c>
      <c r="G45" s="704">
        <f t="shared" si="3"/>
        <v>1</v>
      </c>
      <c r="H45" s="705">
        <f t="shared" si="4"/>
        <v>1</v>
      </c>
      <c r="I45" s="703">
        <f t="shared" si="5"/>
        <v>0.2</v>
      </c>
      <c r="J45" s="704">
        <f t="shared" si="5"/>
        <v>0.3</v>
      </c>
      <c r="K45" s="704">
        <f t="shared" si="5"/>
        <v>0.25</v>
      </c>
      <c r="L45" s="704">
        <f t="shared" si="5"/>
        <v>0.05</v>
      </c>
      <c r="M45" s="704">
        <f t="shared" si="5"/>
        <v>0.2</v>
      </c>
      <c r="N45" s="705">
        <f t="shared" si="6"/>
        <v>1</v>
      </c>
      <c r="O45" s="706"/>
      <c r="R45" s="700">
        <f t="shared" si="7"/>
        <v>0.6</v>
      </c>
      <c r="S45" s="701">
        <f t="shared" si="8"/>
        <v>0.71500000000000008</v>
      </c>
    </row>
    <row r="46" spans="2:19">
      <c r="B46" s="702">
        <f t="shared" si="2"/>
        <v>2028</v>
      </c>
      <c r="C46" s="703">
        <f t="shared" si="3"/>
        <v>0</v>
      </c>
      <c r="D46" s="704">
        <f t="shared" si="3"/>
        <v>0</v>
      </c>
      <c r="E46" s="704">
        <f t="shared" si="3"/>
        <v>0</v>
      </c>
      <c r="F46" s="704">
        <f t="shared" si="3"/>
        <v>0</v>
      </c>
      <c r="G46" s="704">
        <f t="shared" si="3"/>
        <v>1</v>
      </c>
      <c r="H46" s="705">
        <f t="shared" si="4"/>
        <v>1</v>
      </c>
      <c r="I46" s="703">
        <f t="shared" si="5"/>
        <v>0.2</v>
      </c>
      <c r="J46" s="704">
        <f t="shared" si="5"/>
        <v>0.3</v>
      </c>
      <c r="K46" s="704">
        <f t="shared" si="5"/>
        <v>0.25</v>
      </c>
      <c r="L46" s="704">
        <f t="shared" si="5"/>
        <v>0.05</v>
      </c>
      <c r="M46" s="704">
        <f t="shared" si="5"/>
        <v>0.2</v>
      </c>
      <c r="N46" s="705">
        <f t="shared" si="6"/>
        <v>1</v>
      </c>
      <c r="O46" s="706"/>
      <c r="R46" s="700">
        <f t="shared" si="7"/>
        <v>0.6</v>
      </c>
      <c r="S46" s="701">
        <f t="shared" si="8"/>
        <v>0.71500000000000008</v>
      </c>
    </row>
    <row r="47" spans="2:19">
      <c r="B47" s="702">
        <f t="shared" si="2"/>
        <v>2029</v>
      </c>
      <c r="C47" s="703">
        <f t="shared" si="3"/>
        <v>0</v>
      </c>
      <c r="D47" s="704">
        <f t="shared" si="3"/>
        <v>0</v>
      </c>
      <c r="E47" s="704">
        <f t="shared" si="3"/>
        <v>0</v>
      </c>
      <c r="F47" s="704">
        <f t="shared" si="3"/>
        <v>0</v>
      </c>
      <c r="G47" s="704">
        <f t="shared" si="3"/>
        <v>1</v>
      </c>
      <c r="H47" s="705">
        <f t="shared" si="4"/>
        <v>1</v>
      </c>
      <c r="I47" s="703">
        <f t="shared" si="5"/>
        <v>0.2</v>
      </c>
      <c r="J47" s="704">
        <f t="shared" si="5"/>
        <v>0.3</v>
      </c>
      <c r="K47" s="704">
        <f t="shared" si="5"/>
        <v>0.25</v>
      </c>
      <c r="L47" s="704">
        <f t="shared" si="5"/>
        <v>0.05</v>
      </c>
      <c r="M47" s="704">
        <f t="shared" si="5"/>
        <v>0.2</v>
      </c>
      <c r="N47" s="705">
        <f t="shared" si="6"/>
        <v>1</v>
      </c>
      <c r="O47" s="706"/>
      <c r="R47" s="700">
        <f t="shared" si="7"/>
        <v>0.6</v>
      </c>
      <c r="S47" s="701">
        <f t="shared" si="8"/>
        <v>0.71500000000000008</v>
      </c>
    </row>
    <row r="48" spans="2:19">
      <c r="B48" s="702">
        <f t="shared" si="2"/>
        <v>2030</v>
      </c>
      <c r="C48" s="703">
        <f t="shared" si="3"/>
        <v>0</v>
      </c>
      <c r="D48" s="704">
        <f t="shared" si="3"/>
        <v>0</v>
      </c>
      <c r="E48" s="704">
        <f t="shared" si="3"/>
        <v>0</v>
      </c>
      <c r="F48" s="704">
        <f t="shared" si="3"/>
        <v>0</v>
      </c>
      <c r="G48" s="704">
        <f t="shared" si="3"/>
        <v>1</v>
      </c>
      <c r="H48" s="705">
        <f t="shared" si="4"/>
        <v>1</v>
      </c>
      <c r="I48" s="703">
        <f t="shared" si="5"/>
        <v>0.2</v>
      </c>
      <c r="J48" s="704">
        <f t="shared" si="5"/>
        <v>0.3</v>
      </c>
      <c r="K48" s="704">
        <f t="shared" si="5"/>
        <v>0.25</v>
      </c>
      <c r="L48" s="704">
        <f t="shared" si="5"/>
        <v>0.05</v>
      </c>
      <c r="M48" s="704">
        <f t="shared" si="5"/>
        <v>0.2</v>
      </c>
      <c r="N48" s="705">
        <f t="shared" si="6"/>
        <v>1</v>
      </c>
      <c r="O48" s="706"/>
      <c r="R48" s="700">
        <f t="shared" si="7"/>
        <v>0.6</v>
      </c>
      <c r="S48" s="701">
        <f t="shared" si="8"/>
        <v>0.71500000000000008</v>
      </c>
    </row>
    <row r="49" spans="2:19">
      <c r="B49" s="702">
        <f t="shared" si="2"/>
        <v>2031</v>
      </c>
      <c r="C49" s="703">
        <f t="shared" si="3"/>
        <v>0</v>
      </c>
      <c r="D49" s="704">
        <f t="shared" si="3"/>
        <v>0</v>
      </c>
      <c r="E49" s="704">
        <f t="shared" si="3"/>
        <v>0</v>
      </c>
      <c r="F49" s="704">
        <f t="shared" si="3"/>
        <v>0</v>
      </c>
      <c r="G49" s="704">
        <f t="shared" si="3"/>
        <v>1</v>
      </c>
      <c r="H49" s="705">
        <f t="shared" si="4"/>
        <v>1</v>
      </c>
      <c r="I49" s="703">
        <f t="shared" si="5"/>
        <v>0.2</v>
      </c>
      <c r="J49" s="704">
        <f t="shared" si="5"/>
        <v>0.3</v>
      </c>
      <c r="K49" s="704">
        <f t="shared" si="5"/>
        <v>0.25</v>
      </c>
      <c r="L49" s="704">
        <f t="shared" si="5"/>
        <v>0.05</v>
      </c>
      <c r="M49" s="704">
        <f t="shared" si="5"/>
        <v>0.2</v>
      </c>
      <c r="N49" s="705">
        <f t="shared" si="6"/>
        <v>1</v>
      </c>
      <c r="O49" s="706"/>
      <c r="R49" s="700">
        <f t="shared" si="7"/>
        <v>0.6</v>
      </c>
      <c r="S49" s="701">
        <f t="shared" si="8"/>
        <v>0.71500000000000008</v>
      </c>
    </row>
    <row r="50" spans="2:19">
      <c r="B50" s="702">
        <f t="shared" si="2"/>
        <v>2032</v>
      </c>
      <c r="C50" s="703">
        <f t="shared" si="3"/>
        <v>0</v>
      </c>
      <c r="D50" s="704">
        <f t="shared" si="3"/>
        <v>0</v>
      </c>
      <c r="E50" s="704">
        <f t="shared" si="3"/>
        <v>0</v>
      </c>
      <c r="F50" s="704">
        <f t="shared" si="3"/>
        <v>0</v>
      </c>
      <c r="G50" s="704">
        <f t="shared" si="3"/>
        <v>1</v>
      </c>
      <c r="H50" s="705">
        <f t="shared" si="4"/>
        <v>1</v>
      </c>
      <c r="I50" s="703">
        <f t="shared" si="5"/>
        <v>0.2</v>
      </c>
      <c r="J50" s="704">
        <f t="shared" si="5"/>
        <v>0.3</v>
      </c>
      <c r="K50" s="704">
        <f t="shared" si="5"/>
        <v>0.25</v>
      </c>
      <c r="L50" s="704">
        <f t="shared" si="5"/>
        <v>0.05</v>
      </c>
      <c r="M50" s="704">
        <f t="shared" si="5"/>
        <v>0.2</v>
      </c>
      <c r="N50" s="705">
        <f t="shared" si="6"/>
        <v>1</v>
      </c>
      <c r="O50" s="706"/>
      <c r="R50" s="700">
        <f t="shared" si="7"/>
        <v>0.6</v>
      </c>
      <c r="S50" s="701">
        <f t="shared" si="8"/>
        <v>0.71500000000000008</v>
      </c>
    </row>
    <row r="51" spans="2:19">
      <c r="B51" s="702">
        <f t="shared" ref="B51:B82" si="9">B50+1</f>
        <v>2033</v>
      </c>
      <c r="C51" s="703">
        <f t="shared" ref="C51:G98" si="10">C$16</f>
        <v>0</v>
      </c>
      <c r="D51" s="704">
        <f t="shared" si="10"/>
        <v>0</v>
      </c>
      <c r="E51" s="704">
        <f t="shared" si="10"/>
        <v>0</v>
      </c>
      <c r="F51" s="704">
        <f t="shared" si="10"/>
        <v>0</v>
      </c>
      <c r="G51" s="704">
        <f t="shared" si="10"/>
        <v>1</v>
      </c>
      <c r="H51" s="705">
        <f t="shared" si="4"/>
        <v>1</v>
      </c>
      <c r="I51" s="703">
        <f t="shared" ref="I51:M98" si="11">I$16</f>
        <v>0.2</v>
      </c>
      <c r="J51" s="704">
        <f t="shared" si="11"/>
        <v>0.3</v>
      </c>
      <c r="K51" s="704">
        <f t="shared" si="11"/>
        <v>0.25</v>
      </c>
      <c r="L51" s="704">
        <f t="shared" si="11"/>
        <v>0.05</v>
      </c>
      <c r="M51" s="704">
        <f t="shared" si="11"/>
        <v>0.2</v>
      </c>
      <c r="N51" s="705">
        <f t="shared" si="6"/>
        <v>1</v>
      </c>
      <c r="O51" s="706"/>
      <c r="R51" s="700">
        <f t="shared" si="7"/>
        <v>0.6</v>
      </c>
      <c r="S51" s="701">
        <f t="shared" si="8"/>
        <v>0.71500000000000008</v>
      </c>
    </row>
    <row r="52" spans="2:19">
      <c r="B52" s="702">
        <f t="shared" si="9"/>
        <v>2034</v>
      </c>
      <c r="C52" s="703">
        <f t="shared" si="10"/>
        <v>0</v>
      </c>
      <c r="D52" s="704">
        <f t="shared" si="10"/>
        <v>0</v>
      </c>
      <c r="E52" s="704">
        <f t="shared" si="10"/>
        <v>0</v>
      </c>
      <c r="F52" s="704">
        <f t="shared" si="10"/>
        <v>0</v>
      </c>
      <c r="G52" s="704">
        <f t="shared" si="10"/>
        <v>1</v>
      </c>
      <c r="H52" s="705">
        <f t="shared" si="4"/>
        <v>1</v>
      </c>
      <c r="I52" s="703">
        <f t="shared" si="11"/>
        <v>0.2</v>
      </c>
      <c r="J52" s="704">
        <f t="shared" si="11"/>
        <v>0.3</v>
      </c>
      <c r="K52" s="704">
        <f t="shared" si="11"/>
        <v>0.25</v>
      </c>
      <c r="L52" s="704">
        <f t="shared" si="11"/>
        <v>0.05</v>
      </c>
      <c r="M52" s="704">
        <f t="shared" si="11"/>
        <v>0.2</v>
      </c>
      <c r="N52" s="705">
        <f t="shared" si="6"/>
        <v>1</v>
      </c>
      <c r="O52" s="706"/>
      <c r="R52" s="700">
        <f t="shared" si="7"/>
        <v>0.6</v>
      </c>
      <c r="S52" s="701">
        <f t="shared" si="8"/>
        <v>0.71500000000000008</v>
      </c>
    </row>
    <row r="53" spans="2:19">
      <c r="B53" s="702">
        <f t="shared" si="9"/>
        <v>2035</v>
      </c>
      <c r="C53" s="703">
        <f t="shared" si="10"/>
        <v>0</v>
      </c>
      <c r="D53" s="704">
        <f t="shared" si="10"/>
        <v>0</v>
      </c>
      <c r="E53" s="704">
        <f t="shared" si="10"/>
        <v>0</v>
      </c>
      <c r="F53" s="704">
        <f t="shared" si="10"/>
        <v>0</v>
      </c>
      <c r="G53" s="704">
        <f t="shared" si="10"/>
        <v>1</v>
      </c>
      <c r="H53" s="705">
        <f t="shared" si="4"/>
        <v>1</v>
      </c>
      <c r="I53" s="703">
        <f t="shared" si="11"/>
        <v>0.2</v>
      </c>
      <c r="J53" s="704">
        <f t="shared" si="11"/>
        <v>0.3</v>
      </c>
      <c r="K53" s="704">
        <f t="shared" si="11"/>
        <v>0.25</v>
      </c>
      <c r="L53" s="704">
        <f t="shared" si="11"/>
        <v>0.05</v>
      </c>
      <c r="M53" s="704">
        <f t="shared" si="11"/>
        <v>0.2</v>
      </c>
      <c r="N53" s="705">
        <f t="shared" si="6"/>
        <v>1</v>
      </c>
      <c r="O53" s="706"/>
      <c r="R53" s="700">
        <f t="shared" si="7"/>
        <v>0.6</v>
      </c>
      <c r="S53" s="701">
        <f t="shared" si="8"/>
        <v>0.71500000000000008</v>
      </c>
    </row>
    <row r="54" spans="2:19">
      <c r="B54" s="702">
        <f t="shared" si="9"/>
        <v>2036</v>
      </c>
      <c r="C54" s="703">
        <f t="shared" si="10"/>
        <v>0</v>
      </c>
      <c r="D54" s="704">
        <f t="shared" si="10"/>
        <v>0</v>
      </c>
      <c r="E54" s="704">
        <f t="shared" si="10"/>
        <v>0</v>
      </c>
      <c r="F54" s="704">
        <f t="shared" si="10"/>
        <v>0</v>
      </c>
      <c r="G54" s="704">
        <f t="shared" si="10"/>
        <v>1</v>
      </c>
      <c r="H54" s="705">
        <f t="shared" si="4"/>
        <v>1</v>
      </c>
      <c r="I54" s="703">
        <f t="shared" si="11"/>
        <v>0.2</v>
      </c>
      <c r="J54" s="704">
        <f t="shared" si="11"/>
        <v>0.3</v>
      </c>
      <c r="K54" s="704">
        <f t="shared" si="11"/>
        <v>0.25</v>
      </c>
      <c r="L54" s="704">
        <f t="shared" si="11"/>
        <v>0.05</v>
      </c>
      <c r="M54" s="704">
        <f t="shared" si="11"/>
        <v>0.2</v>
      </c>
      <c r="N54" s="705">
        <f t="shared" si="6"/>
        <v>1</v>
      </c>
      <c r="O54" s="706"/>
      <c r="R54" s="700">
        <f t="shared" si="7"/>
        <v>0.6</v>
      </c>
      <c r="S54" s="701">
        <f t="shared" si="8"/>
        <v>0.71500000000000008</v>
      </c>
    </row>
    <row r="55" spans="2:19">
      <c r="B55" s="702">
        <f t="shared" si="9"/>
        <v>2037</v>
      </c>
      <c r="C55" s="703">
        <f t="shared" si="10"/>
        <v>0</v>
      </c>
      <c r="D55" s="704">
        <f t="shared" si="10"/>
        <v>0</v>
      </c>
      <c r="E55" s="704">
        <f t="shared" si="10"/>
        <v>0</v>
      </c>
      <c r="F55" s="704">
        <f t="shared" si="10"/>
        <v>0</v>
      </c>
      <c r="G55" s="704">
        <f t="shared" si="10"/>
        <v>1</v>
      </c>
      <c r="H55" s="705">
        <f t="shared" si="4"/>
        <v>1</v>
      </c>
      <c r="I55" s="703">
        <f t="shared" si="11"/>
        <v>0.2</v>
      </c>
      <c r="J55" s="704">
        <f t="shared" si="11"/>
        <v>0.3</v>
      </c>
      <c r="K55" s="704">
        <f t="shared" si="11"/>
        <v>0.25</v>
      </c>
      <c r="L55" s="704">
        <f t="shared" si="11"/>
        <v>0.05</v>
      </c>
      <c r="M55" s="704">
        <f t="shared" si="11"/>
        <v>0.2</v>
      </c>
      <c r="N55" s="705">
        <f t="shared" si="6"/>
        <v>1</v>
      </c>
      <c r="O55" s="706"/>
      <c r="R55" s="700">
        <f t="shared" si="7"/>
        <v>0.6</v>
      </c>
      <c r="S55" s="701">
        <f t="shared" si="8"/>
        <v>0.71500000000000008</v>
      </c>
    </row>
    <row r="56" spans="2:19">
      <c r="B56" s="702">
        <f t="shared" si="9"/>
        <v>2038</v>
      </c>
      <c r="C56" s="703">
        <f t="shared" si="10"/>
        <v>0</v>
      </c>
      <c r="D56" s="704">
        <f t="shared" si="10"/>
        <v>0</v>
      </c>
      <c r="E56" s="704">
        <f t="shared" si="10"/>
        <v>0</v>
      </c>
      <c r="F56" s="704">
        <f t="shared" si="10"/>
        <v>0</v>
      </c>
      <c r="G56" s="704">
        <f t="shared" si="10"/>
        <v>1</v>
      </c>
      <c r="H56" s="705">
        <f t="shared" si="4"/>
        <v>1</v>
      </c>
      <c r="I56" s="703">
        <f t="shared" si="11"/>
        <v>0.2</v>
      </c>
      <c r="J56" s="704">
        <f t="shared" si="11"/>
        <v>0.3</v>
      </c>
      <c r="K56" s="704">
        <f t="shared" si="11"/>
        <v>0.25</v>
      </c>
      <c r="L56" s="704">
        <f t="shared" si="11"/>
        <v>0.05</v>
      </c>
      <c r="M56" s="704">
        <f t="shared" si="11"/>
        <v>0.2</v>
      </c>
      <c r="N56" s="705">
        <f t="shared" si="6"/>
        <v>1</v>
      </c>
      <c r="O56" s="706"/>
      <c r="R56" s="700">
        <f t="shared" si="7"/>
        <v>0.6</v>
      </c>
      <c r="S56" s="701">
        <f t="shared" si="8"/>
        <v>0.71500000000000008</v>
      </c>
    </row>
    <row r="57" spans="2:19">
      <c r="B57" s="702">
        <f t="shared" si="9"/>
        <v>2039</v>
      </c>
      <c r="C57" s="703">
        <f t="shared" si="10"/>
        <v>0</v>
      </c>
      <c r="D57" s="704">
        <f t="shared" si="10"/>
        <v>0</v>
      </c>
      <c r="E57" s="704">
        <f t="shared" si="10"/>
        <v>0</v>
      </c>
      <c r="F57" s="704">
        <f t="shared" si="10"/>
        <v>0</v>
      </c>
      <c r="G57" s="704">
        <f t="shared" si="10"/>
        <v>1</v>
      </c>
      <c r="H57" s="705">
        <f t="shared" si="4"/>
        <v>1</v>
      </c>
      <c r="I57" s="703">
        <f t="shared" si="11"/>
        <v>0.2</v>
      </c>
      <c r="J57" s="704">
        <f t="shared" si="11"/>
        <v>0.3</v>
      </c>
      <c r="K57" s="704">
        <f t="shared" si="11"/>
        <v>0.25</v>
      </c>
      <c r="L57" s="704">
        <f t="shared" si="11"/>
        <v>0.05</v>
      </c>
      <c r="M57" s="704">
        <f t="shared" si="11"/>
        <v>0.2</v>
      </c>
      <c r="N57" s="705">
        <f t="shared" si="6"/>
        <v>1</v>
      </c>
      <c r="O57" s="706"/>
      <c r="R57" s="700">
        <f t="shared" si="7"/>
        <v>0.6</v>
      </c>
      <c r="S57" s="701">
        <f t="shared" si="8"/>
        <v>0.71500000000000008</v>
      </c>
    </row>
    <row r="58" spans="2:19">
      <c r="B58" s="702">
        <f t="shared" si="9"/>
        <v>2040</v>
      </c>
      <c r="C58" s="703">
        <f t="shared" si="10"/>
        <v>0</v>
      </c>
      <c r="D58" s="704">
        <f t="shared" si="10"/>
        <v>0</v>
      </c>
      <c r="E58" s="704">
        <f t="shared" si="10"/>
        <v>0</v>
      </c>
      <c r="F58" s="704">
        <f t="shared" si="10"/>
        <v>0</v>
      </c>
      <c r="G58" s="704">
        <f t="shared" si="10"/>
        <v>1</v>
      </c>
      <c r="H58" s="705">
        <f t="shared" si="4"/>
        <v>1</v>
      </c>
      <c r="I58" s="703">
        <f t="shared" si="11"/>
        <v>0.2</v>
      </c>
      <c r="J58" s="704">
        <f t="shared" si="11"/>
        <v>0.3</v>
      </c>
      <c r="K58" s="704">
        <f t="shared" si="11"/>
        <v>0.25</v>
      </c>
      <c r="L58" s="704">
        <f t="shared" si="11"/>
        <v>0.05</v>
      </c>
      <c r="M58" s="704">
        <f t="shared" si="11"/>
        <v>0.2</v>
      </c>
      <c r="N58" s="705">
        <f t="shared" si="6"/>
        <v>1</v>
      </c>
      <c r="O58" s="706"/>
      <c r="R58" s="700">
        <f t="shared" si="7"/>
        <v>0.6</v>
      </c>
      <c r="S58" s="701">
        <f t="shared" si="8"/>
        <v>0.71500000000000008</v>
      </c>
    </row>
    <row r="59" spans="2:19">
      <c r="B59" s="702">
        <f t="shared" si="9"/>
        <v>2041</v>
      </c>
      <c r="C59" s="703">
        <f t="shared" si="10"/>
        <v>0</v>
      </c>
      <c r="D59" s="704">
        <f t="shared" si="10"/>
        <v>0</v>
      </c>
      <c r="E59" s="704">
        <f t="shared" si="10"/>
        <v>0</v>
      </c>
      <c r="F59" s="704">
        <f t="shared" si="10"/>
        <v>0</v>
      </c>
      <c r="G59" s="704">
        <f t="shared" si="10"/>
        <v>1</v>
      </c>
      <c r="H59" s="705">
        <f t="shared" si="4"/>
        <v>1</v>
      </c>
      <c r="I59" s="703">
        <f t="shared" si="11"/>
        <v>0.2</v>
      </c>
      <c r="J59" s="704">
        <f t="shared" si="11"/>
        <v>0.3</v>
      </c>
      <c r="K59" s="704">
        <f t="shared" si="11"/>
        <v>0.25</v>
      </c>
      <c r="L59" s="704">
        <f t="shared" si="11"/>
        <v>0.05</v>
      </c>
      <c r="M59" s="704">
        <f t="shared" si="11"/>
        <v>0.2</v>
      </c>
      <c r="N59" s="705">
        <f t="shared" si="6"/>
        <v>1</v>
      </c>
      <c r="O59" s="706"/>
      <c r="R59" s="700">
        <f t="shared" si="7"/>
        <v>0.6</v>
      </c>
      <c r="S59" s="701">
        <f t="shared" si="8"/>
        <v>0.71500000000000008</v>
      </c>
    </row>
    <row r="60" spans="2:19">
      <c r="B60" s="702">
        <f t="shared" si="9"/>
        <v>2042</v>
      </c>
      <c r="C60" s="703">
        <f t="shared" si="10"/>
        <v>0</v>
      </c>
      <c r="D60" s="704">
        <f t="shared" si="10"/>
        <v>0</v>
      </c>
      <c r="E60" s="704">
        <f t="shared" si="10"/>
        <v>0</v>
      </c>
      <c r="F60" s="704">
        <f t="shared" si="10"/>
        <v>0</v>
      </c>
      <c r="G60" s="704">
        <f t="shared" si="10"/>
        <v>1</v>
      </c>
      <c r="H60" s="705">
        <f t="shared" si="4"/>
        <v>1</v>
      </c>
      <c r="I60" s="703">
        <f t="shared" si="11"/>
        <v>0.2</v>
      </c>
      <c r="J60" s="704">
        <f t="shared" si="11"/>
        <v>0.3</v>
      </c>
      <c r="K60" s="704">
        <f t="shared" si="11"/>
        <v>0.25</v>
      </c>
      <c r="L60" s="704">
        <f t="shared" si="11"/>
        <v>0.05</v>
      </c>
      <c r="M60" s="704">
        <f t="shared" si="11"/>
        <v>0.2</v>
      </c>
      <c r="N60" s="705">
        <f t="shared" si="6"/>
        <v>1</v>
      </c>
      <c r="O60" s="706"/>
      <c r="R60" s="700">
        <f t="shared" si="7"/>
        <v>0.6</v>
      </c>
      <c r="S60" s="701">
        <f t="shared" si="8"/>
        <v>0.71500000000000008</v>
      </c>
    </row>
    <row r="61" spans="2:19">
      <c r="B61" s="702">
        <f t="shared" si="9"/>
        <v>2043</v>
      </c>
      <c r="C61" s="703">
        <f t="shared" si="10"/>
        <v>0</v>
      </c>
      <c r="D61" s="704">
        <f t="shared" si="10"/>
        <v>0</v>
      </c>
      <c r="E61" s="704">
        <f t="shared" si="10"/>
        <v>0</v>
      </c>
      <c r="F61" s="704">
        <f t="shared" si="10"/>
        <v>0</v>
      </c>
      <c r="G61" s="704">
        <f t="shared" si="10"/>
        <v>1</v>
      </c>
      <c r="H61" s="705">
        <f t="shared" si="4"/>
        <v>1</v>
      </c>
      <c r="I61" s="703">
        <f t="shared" si="11"/>
        <v>0.2</v>
      </c>
      <c r="J61" s="704">
        <f t="shared" si="11"/>
        <v>0.3</v>
      </c>
      <c r="K61" s="704">
        <f t="shared" si="11"/>
        <v>0.25</v>
      </c>
      <c r="L61" s="704">
        <f t="shared" si="11"/>
        <v>0.05</v>
      </c>
      <c r="M61" s="704">
        <f t="shared" si="11"/>
        <v>0.2</v>
      </c>
      <c r="N61" s="705">
        <f t="shared" si="6"/>
        <v>1</v>
      </c>
      <c r="O61" s="706"/>
      <c r="R61" s="700">
        <f t="shared" si="7"/>
        <v>0.6</v>
      </c>
      <c r="S61" s="701">
        <f t="shared" si="8"/>
        <v>0.71500000000000008</v>
      </c>
    </row>
    <row r="62" spans="2:19">
      <c r="B62" s="702">
        <f t="shared" si="9"/>
        <v>2044</v>
      </c>
      <c r="C62" s="703">
        <f t="shared" si="10"/>
        <v>0</v>
      </c>
      <c r="D62" s="704">
        <f t="shared" si="10"/>
        <v>0</v>
      </c>
      <c r="E62" s="704">
        <f t="shared" si="10"/>
        <v>0</v>
      </c>
      <c r="F62" s="704">
        <f t="shared" si="10"/>
        <v>0</v>
      </c>
      <c r="G62" s="704">
        <f t="shared" si="10"/>
        <v>1</v>
      </c>
      <c r="H62" s="705">
        <f t="shared" si="4"/>
        <v>1</v>
      </c>
      <c r="I62" s="703">
        <f t="shared" si="11"/>
        <v>0.2</v>
      </c>
      <c r="J62" s="704">
        <f t="shared" si="11"/>
        <v>0.3</v>
      </c>
      <c r="K62" s="704">
        <f t="shared" si="11"/>
        <v>0.25</v>
      </c>
      <c r="L62" s="704">
        <f t="shared" si="11"/>
        <v>0.05</v>
      </c>
      <c r="M62" s="704">
        <f t="shared" si="11"/>
        <v>0.2</v>
      </c>
      <c r="N62" s="705">
        <f t="shared" si="6"/>
        <v>1</v>
      </c>
      <c r="O62" s="706"/>
      <c r="R62" s="700">
        <f t="shared" si="7"/>
        <v>0.6</v>
      </c>
      <c r="S62" s="701">
        <f t="shared" si="8"/>
        <v>0.71500000000000008</v>
      </c>
    </row>
    <row r="63" spans="2:19">
      <c r="B63" s="702">
        <f t="shared" si="9"/>
        <v>2045</v>
      </c>
      <c r="C63" s="703">
        <f t="shared" si="10"/>
        <v>0</v>
      </c>
      <c r="D63" s="704">
        <f t="shared" si="10"/>
        <v>0</v>
      </c>
      <c r="E63" s="704">
        <f t="shared" si="10"/>
        <v>0</v>
      </c>
      <c r="F63" s="704">
        <f t="shared" si="10"/>
        <v>0</v>
      </c>
      <c r="G63" s="704">
        <f t="shared" si="10"/>
        <v>1</v>
      </c>
      <c r="H63" s="705">
        <f t="shared" si="4"/>
        <v>1</v>
      </c>
      <c r="I63" s="703">
        <f t="shared" si="11"/>
        <v>0.2</v>
      </c>
      <c r="J63" s="704">
        <f t="shared" si="11"/>
        <v>0.3</v>
      </c>
      <c r="K63" s="704">
        <f t="shared" si="11"/>
        <v>0.25</v>
      </c>
      <c r="L63" s="704">
        <f t="shared" si="11"/>
        <v>0.05</v>
      </c>
      <c r="M63" s="704">
        <f t="shared" si="11"/>
        <v>0.2</v>
      </c>
      <c r="N63" s="705">
        <f t="shared" si="6"/>
        <v>1</v>
      </c>
      <c r="O63" s="706"/>
      <c r="R63" s="700">
        <f t="shared" si="7"/>
        <v>0.6</v>
      </c>
      <c r="S63" s="701">
        <f t="shared" si="8"/>
        <v>0.71500000000000008</v>
      </c>
    </row>
    <row r="64" spans="2:19">
      <c r="B64" s="702">
        <f t="shared" si="9"/>
        <v>2046</v>
      </c>
      <c r="C64" s="703">
        <f t="shared" si="10"/>
        <v>0</v>
      </c>
      <c r="D64" s="704">
        <f t="shared" si="10"/>
        <v>0</v>
      </c>
      <c r="E64" s="704">
        <f t="shared" si="10"/>
        <v>0</v>
      </c>
      <c r="F64" s="704">
        <f t="shared" si="10"/>
        <v>0</v>
      </c>
      <c r="G64" s="704">
        <f t="shared" si="10"/>
        <v>1</v>
      </c>
      <c r="H64" s="705">
        <f t="shared" si="4"/>
        <v>1</v>
      </c>
      <c r="I64" s="703">
        <f t="shared" si="11"/>
        <v>0.2</v>
      </c>
      <c r="J64" s="704">
        <f t="shared" si="11"/>
        <v>0.3</v>
      </c>
      <c r="K64" s="704">
        <f t="shared" si="11"/>
        <v>0.25</v>
      </c>
      <c r="L64" s="704">
        <f t="shared" si="11"/>
        <v>0.05</v>
      </c>
      <c r="M64" s="704">
        <f t="shared" si="11"/>
        <v>0.2</v>
      </c>
      <c r="N64" s="705">
        <f t="shared" si="6"/>
        <v>1</v>
      </c>
      <c r="O64" s="706"/>
      <c r="R64" s="700">
        <f t="shared" si="7"/>
        <v>0.6</v>
      </c>
      <c r="S64" s="701">
        <f t="shared" si="8"/>
        <v>0.71500000000000008</v>
      </c>
    </row>
    <row r="65" spans="2:19">
      <c r="B65" s="702">
        <f t="shared" si="9"/>
        <v>2047</v>
      </c>
      <c r="C65" s="703">
        <f t="shared" si="10"/>
        <v>0</v>
      </c>
      <c r="D65" s="704">
        <f t="shared" si="10"/>
        <v>0</v>
      </c>
      <c r="E65" s="704">
        <f t="shared" si="10"/>
        <v>0</v>
      </c>
      <c r="F65" s="704">
        <f t="shared" si="10"/>
        <v>0</v>
      </c>
      <c r="G65" s="704">
        <f t="shared" si="10"/>
        <v>1</v>
      </c>
      <c r="H65" s="705">
        <f t="shared" si="4"/>
        <v>1</v>
      </c>
      <c r="I65" s="703">
        <f t="shared" si="11"/>
        <v>0.2</v>
      </c>
      <c r="J65" s="704">
        <f t="shared" si="11"/>
        <v>0.3</v>
      </c>
      <c r="K65" s="704">
        <f t="shared" si="11"/>
        <v>0.25</v>
      </c>
      <c r="L65" s="704">
        <f t="shared" si="11"/>
        <v>0.05</v>
      </c>
      <c r="M65" s="704">
        <f t="shared" si="11"/>
        <v>0.2</v>
      </c>
      <c r="N65" s="705">
        <f t="shared" si="6"/>
        <v>1</v>
      </c>
      <c r="O65" s="706"/>
      <c r="R65" s="700">
        <f t="shared" si="7"/>
        <v>0.6</v>
      </c>
      <c r="S65" s="701">
        <f t="shared" si="8"/>
        <v>0.71500000000000008</v>
      </c>
    </row>
    <row r="66" spans="2:19">
      <c r="B66" s="702">
        <f t="shared" si="9"/>
        <v>2048</v>
      </c>
      <c r="C66" s="703">
        <f t="shared" si="10"/>
        <v>0</v>
      </c>
      <c r="D66" s="704">
        <f t="shared" si="10"/>
        <v>0</v>
      </c>
      <c r="E66" s="704">
        <f t="shared" si="10"/>
        <v>0</v>
      </c>
      <c r="F66" s="704">
        <f t="shared" si="10"/>
        <v>0</v>
      </c>
      <c r="G66" s="704">
        <f t="shared" si="10"/>
        <v>1</v>
      </c>
      <c r="H66" s="705">
        <f t="shared" si="4"/>
        <v>1</v>
      </c>
      <c r="I66" s="703">
        <f t="shared" si="11"/>
        <v>0.2</v>
      </c>
      <c r="J66" s="704">
        <f t="shared" si="11"/>
        <v>0.3</v>
      </c>
      <c r="K66" s="704">
        <f t="shared" si="11"/>
        <v>0.25</v>
      </c>
      <c r="L66" s="704">
        <f t="shared" si="11"/>
        <v>0.05</v>
      </c>
      <c r="M66" s="704">
        <f t="shared" si="11"/>
        <v>0.2</v>
      </c>
      <c r="N66" s="705">
        <f t="shared" si="6"/>
        <v>1</v>
      </c>
      <c r="O66" s="706"/>
      <c r="R66" s="700">
        <f t="shared" si="7"/>
        <v>0.6</v>
      </c>
      <c r="S66" s="701">
        <f t="shared" si="8"/>
        <v>0.71500000000000008</v>
      </c>
    </row>
    <row r="67" spans="2:19">
      <c r="B67" s="702">
        <f t="shared" si="9"/>
        <v>2049</v>
      </c>
      <c r="C67" s="703">
        <f t="shared" si="10"/>
        <v>0</v>
      </c>
      <c r="D67" s="704">
        <f t="shared" si="10"/>
        <v>0</v>
      </c>
      <c r="E67" s="704">
        <f t="shared" si="10"/>
        <v>0</v>
      </c>
      <c r="F67" s="704">
        <f t="shared" si="10"/>
        <v>0</v>
      </c>
      <c r="G67" s="704">
        <f t="shared" si="10"/>
        <v>1</v>
      </c>
      <c r="H67" s="705">
        <f t="shared" si="4"/>
        <v>1</v>
      </c>
      <c r="I67" s="703">
        <f t="shared" si="11"/>
        <v>0.2</v>
      </c>
      <c r="J67" s="704">
        <f t="shared" si="11"/>
        <v>0.3</v>
      </c>
      <c r="K67" s="704">
        <f t="shared" si="11"/>
        <v>0.25</v>
      </c>
      <c r="L67" s="704">
        <f t="shared" si="11"/>
        <v>0.05</v>
      </c>
      <c r="M67" s="704">
        <f t="shared" si="11"/>
        <v>0.2</v>
      </c>
      <c r="N67" s="705">
        <f t="shared" si="6"/>
        <v>1</v>
      </c>
      <c r="O67" s="706"/>
      <c r="R67" s="700">
        <f t="shared" si="7"/>
        <v>0.6</v>
      </c>
      <c r="S67" s="701">
        <f t="shared" si="8"/>
        <v>0.71500000000000008</v>
      </c>
    </row>
    <row r="68" spans="2:19">
      <c r="B68" s="702">
        <f t="shared" si="9"/>
        <v>2050</v>
      </c>
      <c r="C68" s="703">
        <f t="shared" si="10"/>
        <v>0</v>
      </c>
      <c r="D68" s="704">
        <f t="shared" si="10"/>
        <v>0</v>
      </c>
      <c r="E68" s="704">
        <f t="shared" si="10"/>
        <v>0</v>
      </c>
      <c r="F68" s="704">
        <f t="shared" si="10"/>
        <v>0</v>
      </c>
      <c r="G68" s="704">
        <f t="shared" si="10"/>
        <v>1</v>
      </c>
      <c r="H68" s="705">
        <f t="shared" si="4"/>
        <v>1</v>
      </c>
      <c r="I68" s="703">
        <f t="shared" si="11"/>
        <v>0.2</v>
      </c>
      <c r="J68" s="704">
        <f t="shared" si="11"/>
        <v>0.3</v>
      </c>
      <c r="K68" s="704">
        <f t="shared" si="11"/>
        <v>0.25</v>
      </c>
      <c r="L68" s="704">
        <f t="shared" si="11"/>
        <v>0.05</v>
      </c>
      <c r="M68" s="704">
        <f t="shared" si="11"/>
        <v>0.2</v>
      </c>
      <c r="N68" s="705">
        <f t="shared" si="6"/>
        <v>1</v>
      </c>
      <c r="O68" s="706"/>
      <c r="R68" s="700">
        <f t="shared" si="7"/>
        <v>0.6</v>
      </c>
      <c r="S68" s="701">
        <f t="shared" si="8"/>
        <v>0.71500000000000008</v>
      </c>
    </row>
    <row r="69" spans="2:19">
      <c r="B69" s="702">
        <f t="shared" si="9"/>
        <v>2051</v>
      </c>
      <c r="C69" s="703">
        <f t="shared" si="10"/>
        <v>0</v>
      </c>
      <c r="D69" s="704">
        <f t="shared" si="10"/>
        <v>0</v>
      </c>
      <c r="E69" s="704">
        <f t="shared" si="10"/>
        <v>0</v>
      </c>
      <c r="F69" s="704">
        <f t="shared" si="10"/>
        <v>0</v>
      </c>
      <c r="G69" s="704">
        <f t="shared" si="10"/>
        <v>1</v>
      </c>
      <c r="H69" s="705">
        <f t="shared" si="4"/>
        <v>1</v>
      </c>
      <c r="I69" s="703">
        <f t="shared" si="11"/>
        <v>0.2</v>
      </c>
      <c r="J69" s="704">
        <f t="shared" si="11"/>
        <v>0.3</v>
      </c>
      <c r="K69" s="704">
        <f t="shared" si="11"/>
        <v>0.25</v>
      </c>
      <c r="L69" s="704">
        <f t="shared" si="11"/>
        <v>0.05</v>
      </c>
      <c r="M69" s="704">
        <f t="shared" si="11"/>
        <v>0.2</v>
      </c>
      <c r="N69" s="705">
        <f t="shared" si="6"/>
        <v>1</v>
      </c>
      <c r="O69" s="706"/>
      <c r="R69" s="700">
        <f t="shared" si="7"/>
        <v>0.6</v>
      </c>
      <c r="S69" s="701">
        <f t="shared" si="8"/>
        <v>0.71500000000000008</v>
      </c>
    </row>
    <row r="70" spans="2:19">
      <c r="B70" s="702">
        <f t="shared" si="9"/>
        <v>2052</v>
      </c>
      <c r="C70" s="703">
        <f t="shared" si="10"/>
        <v>0</v>
      </c>
      <c r="D70" s="704">
        <f t="shared" si="10"/>
        <v>0</v>
      </c>
      <c r="E70" s="704">
        <f t="shared" si="10"/>
        <v>0</v>
      </c>
      <c r="F70" s="704">
        <f t="shared" si="10"/>
        <v>0</v>
      </c>
      <c r="G70" s="704">
        <f t="shared" si="10"/>
        <v>1</v>
      </c>
      <c r="H70" s="705">
        <f t="shared" si="4"/>
        <v>1</v>
      </c>
      <c r="I70" s="703">
        <f t="shared" si="11"/>
        <v>0.2</v>
      </c>
      <c r="J70" s="704">
        <f t="shared" si="11"/>
        <v>0.3</v>
      </c>
      <c r="K70" s="704">
        <f t="shared" si="11"/>
        <v>0.25</v>
      </c>
      <c r="L70" s="704">
        <f t="shared" si="11"/>
        <v>0.05</v>
      </c>
      <c r="M70" s="704">
        <f t="shared" si="11"/>
        <v>0.2</v>
      </c>
      <c r="N70" s="705">
        <f t="shared" si="6"/>
        <v>1</v>
      </c>
      <c r="O70" s="706"/>
      <c r="R70" s="700">
        <f t="shared" si="7"/>
        <v>0.6</v>
      </c>
      <c r="S70" s="701">
        <f t="shared" si="8"/>
        <v>0.71500000000000008</v>
      </c>
    </row>
    <row r="71" spans="2:19">
      <c r="B71" s="702">
        <f t="shared" si="9"/>
        <v>2053</v>
      </c>
      <c r="C71" s="703">
        <f t="shared" si="10"/>
        <v>0</v>
      </c>
      <c r="D71" s="704">
        <f t="shared" si="10"/>
        <v>0</v>
      </c>
      <c r="E71" s="704">
        <f t="shared" si="10"/>
        <v>0</v>
      </c>
      <c r="F71" s="704">
        <f t="shared" si="10"/>
        <v>0</v>
      </c>
      <c r="G71" s="704">
        <f t="shared" si="10"/>
        <v>1</v>
      </c>
      <c r="H71" s="705">
        <f t="shared" si="4"/>
        <v>1</v>
      </c>
      <c r="I71" s="703">
        <f t="shared" si="11"/>
        <v>0.2</v>
      </c>
      <c r="J71" s="704">
        <f t="shared" si="11"/>
        <v>0.3</v>
      </c>
      <c r="K71" s="704">
        <f t="shared" si="11"/>
        <v>0.25</v>
      </c>
      <c r="L71" s="704">
        <f t="shared" si="11"/>
        <v>0.05</v>
      </c>
      <c r="M71" s="704">
        <f t="shared" si="11"/>
        <v>0.2</v>
      </c>
      <c r="N71" s="705">
        <f t="shared" si="6"/>
        <v>1</v>
      </c>
      <c r="O71" s="706"/>
      <c r="R71" s="700">
        <f t="shared" si="7"/>
        <v>0.6</v>
      </c>
      <c r="S71" s="701">
        <f t="shared" si="8"/>
        <v>0.71500000000000008</v>
      </c>
    </row>
    <row r="72" spans="2:19">
      <c r="B72" s="702">
        <f t="shared" si="9"/>
        <v>2054</v>
      </c>
      <c r="C72" s="703">
        <f t="shared" si="10"/>
        <v>0</v>
      </c>
      <c r="D72" s="704">
        <f t="shared" si="10"/>
        <v>0</v>
      </c>
      <c r="E72" s="704">
        <f t="shared" si="10"/>
        <v>0</v>
      </c>
      <c r="F72" s="704">
        <f t="shared" si="10"/>
        <v>0</v>
      </c>
      <c r="G72" s="704">
        <f t="shared" si="10"/>
        <v>1</v>
      </c>
      <c r="H72" s="705">
        <f t="shared" si="4"/>
        <v>1</v>
      </c>
      <c r="I72" s="703">
        <f t="shared" si="11"/>
        <v>0.2</v>
      </c>
      <c r="J72" s="704">
        <f t="shared" si="11"/>
        <v>0.3</v>
      </c>
      <c r="K72" s="704">
        <f t="shared" si="11"/>
        <v>0.25</v>
      </c>
      <c r="L72" s="704">
        <f t="shared" si="11"/>
        <v>0.05</v>
      </c>
      <c r="M72" s="704">
        <f t="shared" si="11"/>
        <v>0.2</v>
      </c>
      <c r="N72" s="705">
        <f t="shared" si="6"/>
        <v>1</v>
      </c>
      <c r="O72" s="706"/>
      <c r="R72" s="700">
        <f t="shared" si="7"/>
        <v>0.6</v>
      </c>
      <c r="S72" s="701">
        <f t="shared" si="8"/>
        <v>0.71500000000000008</v>
      </c>
    </row>
    <row r="73" spans="2:19">
      <c r="B73" s="702">
        <f t="shared" si="9"/>
        <v>2055</v>
      </c>
      <c r="C73" s="703">
        <f t="shared" si="10"/>
        <v>0</v>
      </c>
      <c r="D73" s="704">
        <f t="shared" si="10"/>
        <v>0</v>
      </c>
      <c r="E73" s="704">
        <f t="shared" si="10"/>
        <v>0</v>
      </c>
      <c r="F73" s="704">
        <f t="shared" si="10"/>
        <v>0</v>
      </c>
      <c r="G73" s="704">
        <f t="shared" si="10"/>
        <v>1</v>
      </c>
      <c r="H73" s="705">
        <f t="shared" si="4"/>
        <v>1</v>
      </c>
      <c r="I73" s="703">
        <f t="shared" si="11"/>
        <v>0.2</v>
      </c>
      <c r="J73" s="704">
        <f t="shared" si="11"/>
        <v>0.3</v>
      </c>
      <c r="K73" s="704">
        <f t="shared" si="11"/>
        <v>0.25</v>
      </c>
      <c r="L73" s="704">
        <f t="shared" si="11"/>
        <v>0.05</v>
      </c>
      <c r="M73" s="704">
        <f t="shared" si="11"/>
        <v>0.2</v>
      </c>
      <c r="N73" s="705">
        <f t="shared" si="6"/>
        <v>1</v>
      </c>
      <c r="O73" s="706"/>
      <c r="R73" s="700">
        <f t="shared" si="7"/>
        <v>0.6</v>
      </c>
      <c r="S73" s="701">
        <f t="shared" si="8"/>
        <v>0.71500000000000008</v>
      </c>
    </row>
    <row r="74" spans="2:19">
      <c r="B74" s="702">
        <f t="shared" si="9"/>
        <v>2056</v>
      </c>
      <c r="C74" s="703">
        <f t="shared" si="10"/>
        <v>0</v>
      </c>
      <c r="D74" s="704">
        <f t="shared" si="10"/>
        <v>0</v>
      </c>
      <c r="E74" s="704">
        <f t="shared" si="10"/>
        <v>0</v>
      </c>
      <c r="F74" s="704">
        <f t="shared" si="10"/>
        <v>0</v>
      </c>
      <c r="G74" s="704">
        <f t="shared" si="10"/>
        <v>1</v>
      </c>
      <c r="H74" s="705">
        <f t="shared" si="4"/>
        <v>1</v>
      </c>
      <c r="I74" s="703">
        <f t="shared" si="11"/>
        <v>0.2</v>
      </c>
      <c r="J74" s="704">
        <f t="shared" si="11"/>
        <v>0.3</v>
      </c>
      <c r="K74" s="704">
        <f t="shared" si="11"/>
        <v>0.25</v>
      </c>
      <c r="L74" s="704">
        <f t="shared" si="11"/>
        <v>0.05</v>
      </c>
      <c r="M74" s="704">
        <f t="shared" si="11"/>
        <v>0.2</v>
      </c>
      <c r="N74" s="705">
        <f t="shared" si="6"/>
        <v>1</v>
      </c>
      <c r="O74" s="706"/>
      <c r="R74" s="700">
        <f t="shared" si="7"/>
        <v>0.6</v>
      </c>
      <c r="S74" s="701">
        <f t="shared" si="8"/>
        <v>0.71500000000000008</v>
      </c>
    </row>
    <row r="75" spans="2:19">
      <c r="B75" s="702">
        <f t="shared" si="9"/>
        <v>2057</v>
      </c>
      <c r="C75" s="703">
        <f t="shared" si="10"/>
        <v>0</v>
      </c>
      <c r="D75" s="704">
        <f t="shared" si="10"/>
        <v>0</v>
      </c>
      <c r="E75" s="704">
        <f t="shared" si="10"/>
        <v>0</v>
      </c>
      <c r="F75" s="704">
        <f t="shared" si="10"/>
        <v>0</v>
      </c>
      <c r="G75" s="704">
        <f t="shared" si="10"/>
        <v>1</v>
      </c>
      <c r="H75" s="705">
        <f t="shared" si="4"/>
        <v>1</v>
      </c>
      <c r="I75" s="703">
        <f t="shared" si="11"/>
        <v>0.2</v>
      </c>
      <c r="J75" s="704">
        <f t="shared" si="11"/>
        <v>0.3</v>
      </c>
      <c r="K75" s="704">
        <f t="shared" si="11"/>
        <v>0.25</v>
      </c>
      <c r="L75" s="704">
        <f t="shared" si="11"/>
        <v>0.05</v>
      </c>
      <c r="M75" s="704">
        <f t="shared" si="11"/>
        <v>0.2</v>
      </c>
      <c r="N75" s="705">
        <f t="shared" si="6"/>
        <v>1</v>
      </c>
      <c r="O75" s="706"/>
      <c r="R75" s="700">
        <f t="shared" si="7"/>
        <v>0.6</v>
      </c>
      <c r="S75" s="701">
        <f t="shared" si="8"/>
        <v>0.71500000000000008</v>
      </c>
    </row>
    <row r="76" spans="2:19">
      <c r="B76" s="702">
        <f t="shared" si="9"/>
        <v>2058</v>
      </c>
      <c r="C76" s="703">
        <f t="shared" si="10"/>
        <v>0</v>
      </c>
      <c r="D76" s="704">
        <f t="shared" si="10"/>
        <v>0</v>
      </c>
      <c r="E76" s="704">
        <f t="shared" si="10"/>
        <v>0</v>
      </c>
      <c r="F76" s="704">
        <f t="shared" si="10"/>
        <v>0</v>
      </c>
      <c r="G76" s="704">
        <f t="shared" si="10"/>
        <v>1</v>
      </c>
      <c r="H76" s="705">
        <f t="shared" si="4"/>
        <v>1</v>
      </c>
      <c r="I76" s="703">
        <f t="shared" si="11"/>
        <v>0.2</v>
      </c>
      <c r="J76" s="704">
        <f t="shared" si="11"/>
        <v>0.3</v>
      </c>
      <c r="K76" s="704">
        <f t="shared" si="11"/>
        <v>0.25</v>
      </c>
      <c r="L76" s="704">
        <f t="shared" si="11"/>
        <v>0.05</v>
      </c>
      <c r="M76" s="704">
        <f t="shared" si="11"/>
        <v>0.2</v>
      </c>
      <c r="N76" s="705">
        <f t="shared" si="6"/>
        <v>1</v>
      </c>
      <c r="O76" s="706"/>
      <c r="R76" s="700">
        <f t="shared" si="7"/>
        <v>0.6</v>
      </c>
      <c r="S76" s="701">
        <f t="shared" si="8"/>
        <v>0.71500000000000008</v>
      </c>
    </row>
    <row r="77" spans="2:19">
      <c r="B77" s="702">
        <f t="shared" si="9"/>
        <v>2059</v>
      </c>
      <c r="C77" s="703">
        <f t="shared" si="10"/>
        <v>0</v>
      </c>
      <c r="D77" s="704">
        <f t="shared" si="10"/>
        <v>0</v>
      </c>
      <c r="E77" s="704">
        <f t="shared" si="10"/>
        <v>0</v>
      </c>
      <c r="F77" s="704">
        <f t="shared" si="10"/>
        <v>0</v>
      </c>
      <c r="G77" s="704">
        <f t="shared" si="10"/>
        <v>1</v>
      </c>
      <c r="H77" s="705">
        <f t="shared" si="4"/>
        <v>1</v>
      </c>
      <c r="I77" s="703">
        <f t="shared" si="11"/>
        <v>0.2</v>
      </c>
      <c r="J77" s="704">
        <f t="shared" si="11"/>
        <v>0.3</v>
      </c>
      <c r="K77" s="704">
        <f t="shared" si="11"/>
        <v>0.25</v>
      </c>
      <c r="L77" s="704">
        <f t="shared" si="11"/>
        <v>0.05</v>
      </c>
      <c r="M77" s="704">
        <f t="shared" si="11"/>
        <v>0.2</v>
      </c>
      <c r="N77" s="705">
        <f t="shared" si="6"/>
        <v>1</v>
      </c>
      <c r="O77" s="706"/>
      <c r="R77" s="700">
        <f t="shared" si="7"/>
        <v>0.6</v>
      </c>
      <c r="S77" s="701">
        <f t="shared" si="8"/>
        <v>0.71500000000000008</v>
      </c>
    </row>
    <row r="78" spans="2:19">
      <c r="B78" s="702">
        <f t="shared" si="9"/>
        <v>2060</v>
      </c>
      <c r="C78" s="703">
        <f t="shared" si="10"/>
        <v>0</v>
      </c>
      <c r="D78" s="704">
        <f t="shared" si="10"/>
        <v>0</v>
      </c>
      <c r="E78" s="704">
        <f t="shared" si="10"/>
        <v>0</v>
      </c>
      <c r="F78" s="704">
        <f t="shared" si="10"/>
        <v>0</v>
      </c>
      <c r="G78" s="704">
        <f t="shared" si="10"/>
        <v>1</v>
      </c>
      <c r="H78" s="705">
        <f t="shared" si="4"/>
        <v>1</v>
      </c>
      <c r="I78" s="703">
        <f t="shared" si="11"/>
        <v>0.2</v>
      </c>
      <c r="J78" s="704">
        <f t="shared" si="11"/>
        <v>0.3</v>
      </c>
      <c r="K78" s="704">
        <f t="shared" si="11"/>
        <v>0.25</v>
      </c>
      <c r="L78" s="704">
        <f t="shared" si="11"/>
        <v>0.05</v>
      </c>
      <c r="M78" s="704">
        <f t="shared" si="11"/>
        <v>0.2</v>
      </c>
      <c r="N78" s="705">
        <f t="shared" si="6"/>
        <v>1</v>
      </c>
      <c r="O78" s="706"/>
      <c r="R78" s="700">
        <f t="shared" si="7"/>
        <v>0.6</v>
      </c>
      <c r="S78" s="701">
        <f t="shared" si="8"/>
        <v>0.71500000000000008</v>
      </c>
    </row>
    <row r="79" spans="2:19">
      <c r="B79" s="702">
        <f t="shared" si="9"/>
        <v>2061</v>
      </c>
      <c r="C79" s="703">
        <f t="shared" si="10"/>
        <v>0</v>
      </c>
      <c r="D79" s="704">
        <f t="shared" si="10"/>
        <v>0</v>
      </c>
      <c r="E79" s="704">
        <f t="shared" si="10"/>
        <v>0</v>
      </c>
      <c r="F79" s="704">
        <f t="shared" si="10"/>
        <v>0</v>
      </c>
      <c r="G79" s="704">
        <f t="shared" si="10"/>
        <v>1</v>
      </c>
      <c r="H79" s="705">
        <f t="shared" si="4"/>
        <v>1</v>
      </c>
      <c r="I79" s="703">
        <f t="shared" si="11"/>
        <v>0.2</v>
      </c>
      <c r="J79" s="704">
        <f t="shared" si="11"/>
        <v>0.3</v>
      </c>
      <c r="K79" s="704">
        <f t="shared" si="11"/>
        <v>0.25</v>
      </c>
      <c r="L79" s="704">
        <f t="shared" si="11"/>
        <v>0.05</v>
      </c>
      <c r="M79" s="704">
        <f t="shared" si="11"/>
        <v>0.2</v>
      </c>
      <c r="N79" s="705">
        <f t="shared" si="6"/>
        <v>1</v>
      </c>
      <c r="O79" s="706"/>
      <c r="R79" s="700">
        <f t="shared" si="7"/>
        <v>0.6</v>
      </c>
      <c r="S79" s="701">
        <f t="shared" si="8"/>
        <v>0.71500000000000008</v>
      </c>
    </row>
    <row r="80" spans="2:19">
      <c r="B80" s="702">
        <f t="shared" si="9"/>
        <v>2062</v>
      </c>
      <c r="C80" s="703">
        <f t="shared" si="10"/>
        <v>0</v>
      </c>
      <c r="D80" s="704">
        <f t="shared" si="10"/>
        <v>0</v>
      </c>
      <c r="E80" s="704">
        <f t="shared" si="10"/>
        <v>0</v>
      </c>
      <c r="F80" s="704">
        <f t="shared" si="10"/>
        <v>0</v>
      </c>
      <c r="G80" s="704">
        <f t="shared" si="10"/>
        <v>1</v>
      </c>
      <c r="H80" s="705">
        <f t="shared" si="4"/>
        <v>1</v>
      </c>
      <c r="I80" s="703">
        <f t="shared" si="11"/>
        <v>0.2</v>
      </c>
      <c r="J80" s="704">
        <f t="shared" si="11"/>
        <v>0.3</v>
      </c>
      <c r="K80" s="704">
        <f t="shared" si="11"/>
        <v>0.25</v>
      </c>
      <c r="L80" s="704">
        <f t="shared" si="11"/>
        <v>0.05</v>
      </c>
      <c r="M80" s="704">
        <f t="shared" si="11"/>
        <v>0.2</v>
      </c>
      <c r="N80" s="705">
        <f t="shared" si="6"/>
        <v>1</v>
      </c>
      <c r="O80" s="706"/>
      <c r="R80" s="700">
        <f t="shared" si="7"/>
        <v>0.6</v>
      </c>
      <c r="S80" s="701">
        <f t="shared" si="8"/>
        <v>0.71500000000000008</v>
      </c>
    </row>
    <row r="81" spans="2:19">
      <c r="B81" s="702">
        <f t="shared" si="9"/>
        <v>2063</v>
      </c>
      <c r="C81" s="703">
        <f t="shared" si="10"/>
        <v>0</v>
      </c>
      <c r="D81" s="704">
        <f t="shared" si="10"/>
        <v>0</v>
      </c>
      <c r="E81" s="704">
        <f t="shared" si="10"/>
        <v>0</v>
      </c>
      <c r="F81" s="704">
        <f t="shared" si="10"/>
        <v>0</v>
      </c>
      <c r="G81" s="704">
        <f t="shared" si="10"/>
        <v>1</v>
      </c>
      <c r="H81" s="705">
        <f t="shared" si="4"/>
        <v>1</v>
      </c>
      <c r="I81" s="703">
        <f t="shared" si="11"/>
        <v>0.2</v>
      </c>
      <c r="J81" s="704">
        <f t="shared" si="11"/>
        <v>0.3</v>
      </c>
      <c r="K81" s="704">
        <f t="shared" si="11"/>
        <v>0.25</v>
      </c>
      <c r="L81" s="704">
        <f t="shared" si="11"/>
        <v>0.05</v>
      </c>
      <c r="M81" s="704">
        <f t="shared" si="11"/>
        <v>0.2</v>
      </c>
      <c r="N81" s="705">
        <f t="shared" si="6"/>
        <v>1</v>
      </c>
      <c r="O81" s="706"/>
      <c r="R81" s="700">
        <f t="shared" si="7"/>
        <v>0.6</v>
      </c>
      <c r="S81" s="701">
        <f t="shared" si="8"/>
        <v>0.71500000000000008</v>
      </c>
    </row>
    <row r="82" spans="2:19">
      <c r="B82" s="702">
        <f t="shared" si="9"/>
        <v>2064</v>
      </c>
      <c r="C82" s="703">
        <f t="shared" si="10"/>
        <v>0</v>
      </c>
      <c r="D82" s="704">
        <f t="shared" si="10"/>
        <v>0</v>
      </c>
      <c r="E82" s="704">
        <f t="shared" si="10"/>
        <v>0</v>
      </c>
      <c r="F82" s="704">
        <f t="shared" si="10"/>
        <v>0</v>
      </c>
      <c r="G82" s="704">
        <f t="shared" si="10"/>
        <v>1</v>
      </c>
      <c r="H82" s="705">
        <f t="shared" si="4"/>
        <v>1</v>
      </c>
      <c r="I82" s="703">
        <f t="shared" si="11"/>
        <v>0.2</v>
      </c>
      <c r="J82" s="704">
        <f t="shared" si="11"/>
        <v>0.3</v>
      </c>
      <c r="K82" s="704">
        <f t="shared" si="11"/>
        <v>0.25</v>
      </c>
      <c r="L82" s="704">
        <f t="shared" si="11"/>
        <v>0.05</v>
      </c>
      <c r="M82" s="704">
        <f t="shared" si="11"/>
        <v>0.2</v>
      </c>
      <c r="N82" s="705">
        <f t="shared" si="6"/>
        <v>1</v>
      </c>
      <c r="O82" s="706"/>
      <c r="R82" s="700">
        <f t="shared" si="7"/>
        <v>0.6</v>
      </c>
      <c r="S82" s="701">
        <f t="shared" si="8"/>
        <v>0.71500000000000008</v>
      </c>
    </row>
    <row r="83" spans="2:19">
      <c r="B83" s="702">
        <f t="shared" ref="B83:B98" si="12">B82+1</f>
        <v>2065</v>
      </c>
      <c r="C83" s="703">
        <f t="shared" si="10"/>
        <v>0</v>
      </c>
      <c r="D83" s="704">
        <f t="shared" si="10"/>
        <v>0</v>
      </c>
      <c r="E83" s="704">
        <f t="shared" si="10"/>
        <v>0</v>
      </c>
      <c r="F83" s="704">
        <f t="shared" si="10"/>
        <v>0</v>
      </c>
      <c r="G83" s="704">
        <f t="shared" si="10"/>
        <v>1</v>
      </c>
      <c r="H83" s="705">
        <f t="shared" ref="H83:H98" si="13">SUM(C83:G83)</f>
        <v>1</v>
      </c>
      <c r="I83" s="703">
        <f t="shared" si="11"/>
        <v>0.2</v>
      </c>
      <c r="J83" s="704">
        <f t="shared" si="11"/>
        <v>0.3</v>
      </c>
      <c r="K83" s="704">
        <f t="shared" si="11"/>
        <v>0.25</v>
      </c>
      <c r="L83" s="704">
        <f t="shared" si="11"/>
        <v>0.05</v>
      </c>
      <c r="M83" s="704">
        <f t="shared" si="11"/>
        <v>0.2</v>
      </c>
      <c r="N83" s="705">
        <f t="shared" ref="N83:N98" si="14">SUM(I83:M83)</f>
        <v>1</v>
      </c>
      <c r="O83" s="706"/>
      <c r="R83" s="700">
        <f t="shared" ref="R83:R98" si="15">C83*C$13+D83*D$13+E83*E$13+F83*F$13+G83*G$13</f>
        <v>0.6</v>
      </c>
      <c r="S83" s="701">
        <f t="shared" ref="S83:S98" si="16">I83*I$13+J83*J$13+K83*K$13+L83*L$13+M83*M$13</f>
        <v>0.71500000000000008</v>
      </c>
    </row>
    <row r="84" spans="2:19">
      <c r="B84" s="702">
        <f t="shared" si="12"/>
        <v>2066</v>
      </c>
      <c r="C84" s="703">
        <f t="shared" si="10"/>
        <v>0</v>
      </c>
      <c r="D84" s="704">
        <f t="shared" si="10"/>
        <v>0</v>
      </c>
      <c r="E84" s="704">
        <f t="shared" si="10"/>
        <v>0</v>
      </c>
      <c r="F84" s="704">
        <f t="shared" si="10"/>
        <v>0</v>
      </c>
      <c r="G84" s="704">
        <f t="shared" si="10"/>
        <v>1</v>
      </c>
      <c r="H84" s="705">
        <f t="shared" si="13"/>
        <v>1</v>
      </c>
      <c r="I84" s="703">
        <f t="shared" si="11"/>
        <v>0.2</v>
      </c>
      <c r="J84" s="704">
        <f t="shared" si="11"/>
        <v>0.3</v>
      </c>
      <c r="K84" s="704">
        <f t="shared" si="11"/>
        <v>0.25</v>
      </c>
      <c r="L84" s="704">
        <f t="shared" si="11"/>
        <v>0.05</v>
      </c>
      <c r="M84" s="704">
        <f t="shared" si="11"/>
        <v>0.2</v>
      </c>
      <c r="N84" s="705">
        <f t="shared" si="14"/>
        <v>1</v>
      </c>
      <c r="O84" s="706"/>
      <c r="R84" s="700">
        <f t="shared" si="15"/>
        <v>0.6</v>
      </c>
      <c r="S84" s="701">
        <f t="shared" si="16"/>
        <v>0.71500000000000008</v>
      </c>
    </row>
    <row r="85" spans="2:19">
      <c r="B85" s="702">
        <f t="shared" si="12"/>
        <v>2067</v>
      </c>
      <c r="C85" s="703">
        <f t="shared" si="10"/>
        <v>0</v>
      </c>
      <c r="D85" s="704">
        <f t="shared" si="10"/>
        <v>0</v>
      </c>
      <c r="E85" s="704">
        <f t="shared" si="10"/>
        <v>0</v>
      </c>
      <c r="F85" s="704">
        <f t="shared" si="10"/>
        <v>0</v>
      </c>
      <c r="G85" s="704">
        <f t="shared" si="10"/>
        <v>1</v>
      </c>
      <c r="H85" s="705">
        <f t="shared" si="13"/>
        <v>1</v>
      </c>
      <c r="I85" s="703">
        <f t="shared" si="11"/>
        <v>0.2</v>
      </c>
      <c r="J85" s="704">
        <f t="shared" si="11"/>
        <v>0.3</v>
      </c>
      <c r="K85" s="704">
        <f t="shared" si="11"/>
        <v>0.25</v>
      </c>
      <c r="L85" s="704">
        <f t="shared" si="11"/>
        <v>0.05</v>
      </c>
      <c r="M85" s="704">
        <f t="shared" si="11"/>
        <v>0.2</v>
      </c>
      <c r="N85" s="705">
        <f t="shared" si="14"/>
        <v>1</v>
      </c>
      <c r="O85" s="706"/>
      <c r="R85" s="700">
        <f t="shared" si="15"/>
        <v>0.6</v>
      </c>
      <c r="S85" s="701">
        <f t="shared" si="16"/>
        <v>0.71500000000000008</v>
      </c>
    </row>
    <row r="86" spans="2:19">
      <c r="B86" s="702">
        <f t="shared" si="12"/>
        <v>2068</v>
      </c>
      <c r="C86" s="703">
        <f t="shared" si="10"/>
        <v>0</v>
      </c>
      <c r="D86" s="704">
        <f t="shared" si="10"/>
        <v>0</v>
      </c>
      <c r="E86" s="704">
        <f t="shared" si="10"/>
        <v>0</v>
      </c>
      <c r="F86" s="704">
        <f t="shared" si="10"/>
        <v>0</v>
      </c>
      <c r="G86" s="704">
        <f t="shared" si="10"/>
        <v>1</v>
      </c>
      <c r="H86" s="705">
        <f t="shared" si="13"/>
        <v>1</v>
      </c>
      <c r="I86" s="703">
        <f t="shared" si="11"/>
        <v>0.2</v>
      </c>
      <c r="J86" s="704">
        <f t="shared" si="11"/>
        <v>0.3</v>
      </c>
      <c r="K86" s="704">
        <f t="shared" si="11"/>
        <v>0.25</v>
      </c>
      <c r="L86" s="704">
        <f t="shared" si="11"/>
        <v>0.05</v>
      </c>
      <c r="M86" s="704">
        <f t="shared" si="11"/>
        <v>0.2</v>
      </c>
      <c r="N86" s="705">
        <f t="shared" si="14"/>
        <v>1</v>
      </c>
      <c r="O86" s="706"/>
      <c r="R86" s="700">
        <f t="shared" si="15"/>
        <v>0.6</v>
      </c>
      <c r="S86" s="701">
        <f t="shared" si="16"/>
        <v>0.71500000000000008</v>
      </c>
    </row>
    <row r="87" spans="2:19">
      <c r="B87" s="702">
        <f t="shared" si="12"/>
        <v>2069</v>
      </c>
      <c r="C87" s="703">
        <f t="shared" si="10"/>
        <v>0</v>
      </c>
      <c r="D87" s="704">
        <f t="shared" si="10"/>
        <v>0</v>
      </c>
      <c r="E87" s="704">
        <f t="shared" si="10"/>
        <v>0</v>
      </c>
      <c r="F87" s="704">
        <f t="shared" si="10"/>
        <v>0</v>
      </c>
      <c r="G87" s="704">
        <f t="shared" si="10"/>
        <v>1</v>
      </c>
      <c r="H87" s="705">
        <f t="shared" si="13"/>
        <v>1</v>
      </c>
      <c r="I87" s="703">
        <f t="shared" si="11"/>
        <v>0.2</v>
      </c>
      <c r="J87" s="704">
        <f t="shared" si="11"/>
        <v>0.3</v>
      </c>
      <c r="K87" s="704">
        <f t="shared" si="11"/>
        <v>0.25</v>
      </c>
      <c r="L87" s="704">
        <f t="shared" si="11"/>
        <v>0.05</v>
      </c>
      <c r="M87" s="704">
        <f t="shared" si="11"/>
        <v>0.2</v>
      </c>
      <c r="N87" s="705">
        <f t="shared" si="14"/>
        <v>1</v>
      </c>
      <c r="O87" s="706"/>
      <c r="R87" s="700">
        <f t="shared" si="15"/>
        <v>0.6</v>
      </c>
      <c r="S87" s="701">
        <f t="shared" si="16"/>
        <v>0.71500000000000008</v>
      </c>
    </row>
    <row r="88" spans="2:19">
      <c r="B88" s="702">
        <f t="shared" si="12"/>
        <v>2070</v>
      </c>
      <c r="C88" s="703">
        <f t="shared" si="10"/>
        <v>0</v>
      </c>
      <c r="D88" s="704">
        <f t="shared" si="10"/>
        <v>0</v>
      </c>
      <c r="E88" s="704">
        <f t="shared" si="10"/>
        <v>0</v>
      </c>
      <c r="F88" s="704">
        <f t="shared" si="10"/>
        <v>0</v>
      </c>
      <c r="G88" s="704">
        <f t="shared" si="10"/>
        <v>1</v>
      </c>
      <c r="H88" s="705">
        <f t="shared" si="13"/>
        <v>1</v>
      </c>
      <c r="I88" s="703">
        <f t="shared" si="11"/>
        <v>0.2</v>
      </c>
      <c r="J88" s="704">
        <f t="shared" si="11"/>
        <v>0.3</v>
      </c>
      <c r="K88" s="704">
        <f t="shared" si="11"/>
        <v>0.25</v>
      </c>
      <c r="L88" s="704">
        <f t="shared" si="11"/>
        <v>0.05</v>
      </c>
      <c r="M88" s="704">
        <f t="shared" si="11"/>
        <v>0.2</v>
      </c>
      <c r="N88" s="705">
        <f t="shared" si="14"/>
        <v>1</v>
      </c>
      <c r="O88" s="706"/>
      <c r="R88" s="700">
        <f t="shared" si="15"/>
        <v>0.6</v>
      </c>
      <c r="S88" s="701">
        <f t="shared" si="16"/>
        <v>0.71500000000000008</v>
      </c>
    </row>
    <row r="89" spans="2:19">
      <c r="B89" s="702">
        <f t="shared" si="12"/>
        <v>2071</v>
      </c>
      <c r="C89" s="703">
        <f t="shared" si="10"/>
        <v>0</v>
      </c>
      <c r="D89" s="704">
        <f t="shared" si="10"/>
        <v>0</v>
      </c>
      <c r="E89" s="704">
        <f t="shared" si="10"/>
        <v>0</v>
      </c>
      <c r="F89" s="704">
        <f t="shared" si="10"/>
        <v>0</v>
      </c>
      <c r="G89" s="704">
        <f t="shared" si="10"/>
        <v>1</v>
      </c>
      <c r="H89" s="705">
        <f t="shared" si="13"/>
        <v>1</v>
      </c>
      <c r="I89" s="703">
        <f t="shared" si="11"/>
        <v>0.2</v>
      </c>
      <c r="J89" s="704">
        <f t="shared" si="11"/>
        <v>0.3</v>
      </c>
      <c r="K89" s="704">
        <f t="shared" si="11"/>
        <v>0.25</v>
      </c>
      <c r="L89" s="704">
        <f t="shared" si="11"/>
        <v>0.05</v>
      </c>
      <c r="M89" s="704">
        <f t="shared" si="11"/>
        <v>0.2</v>
      </c>
      <c r="N89" s="705">
        <f t="shared" si="14"/>
        <v>1</v>
      </c>
      <c r="O89" s="706"/>
      <c r="R89" s="700">
        <f t="shared" si="15"/>
        <v>0.6</v>
      </c>
      <c r="S89" s="701">
        <f t="shared" si="16"/>
        <v>0.71500000000000008</v>
      </c>
    </row>
    <row r="90" spans="2:19">
      <c r="B90" s="702">
        <f t="shared" si="12"/>
        <v>2072</v>
      </c>
      <c r="C90" s="703">
        <f t="shared" si="10"/>
        <v>0</v>
      </c>
      <c r="D90" s="704">
        <f t="shared" si="10"/>
        <v>0</v>
      </c>
      <c r="E90" s="704">
        <f t="shared" si="10"/>
        <v>0</v>
      </c>
      <c r="F90" s="704">
        <f t="shared" si="10"/>
        <v>0</v>
      </c>
      <c r="G90" s="704">
        <f t="shared" si="10"/>
        <v>1</v>
      </c>
      <c r="H90" s="705">
        <f t="shared" si="13"/>
        <v>1</v>
      </c>
      <c r="I90" s="703">
        <f t="shared" si="11"/>
        <v>0.2</v>
      </c>
      <c r="J90" s="704">
        <f t="shared" si="11"/>
        <v>0.3</v>
      </c>
      <c r="K90" s="704">
        <f t="shared" si="11"/>
        <v>0.25</v>
      </c>
      <c r="L90" s="704">
        <f t="shared" si="11"/>
        <v>0.05</v>
      </c>
      <c r="M90" s="704">
        <f t="shared" si="11"/>
        <v>0.2</v>
      </c>
      <c r="N90" s="705">
        <f t="shared" si="14"/>
        <v>1</v>
      </c>
      <c r="O90" s="706"/>
      <c r="R90" s="700">
        <f t="shared" si="15"/>
        <v>0.6</v>
      </c>
      <c r="S90" s="701">
        <f t="shared" si="16"/>
        <v>0.71500000000000008</v>
      </c>
    </row>
    <row r="91" spans="2:19">
      <c r="B91" s="702">
        <f t="shared" si="12"/>
        <v>2073</v>
      </c>
      <c r="C91" s="703">
        <f t="shared" si="10"/>
        <v>0</v>
      </c>
      <c r="D91" s="704">
        <f t="shared" si="10"/>
        <v>0</v>
      </c>
      <c r="E91" s="704">
        <f t="shared" si="10"/>
        <v>0</v>
      </c>
      <c r="F91" s="704">
        <f t="shared" si="10"/>
        <v>0</v>
      </c>
      <c r="G91" s="704">
        <f t="shared" si="10"/>
        <v>1</v>
      </c>
      <c r="H91" s="705">
        <f t="shared" si="13"/>
        <v>1</v>
      </c>
      <c r="I91" s="703">
        <f t="shared" si="11"/>
        <v>0.2</v>
      </c>
      <c r="J91" s="704">
        <f t="shared" si="11"/>
        <v>0.3</v>
      </c>
      <c r="K91" s="704">
        <f t="shared" si="11"/>
        <v>0.25</v>
      </c>
      <c r="L91" s="704">
        <f t="shared" si="11"/>
        <v>0.05</v>
      </c>
      <c r="M91" s="704">
        <f t="shared" si="11"/>
        <v>0.2</v>
      </c>
      <c r="N91" s="705">
        <f t="shared" si="14"/>
        <v>1</v>
      </c>
      <c r="O91" s="706"/>
      <c r="R91" s="700">
        <f t="shared" si="15"/>
        <v>0.6</v>
      </c>
      <c r="S91" s="701">
        <f t="shared" si="16"/>
        <v>0.71500000000000008</v>
      </c>
    </row>
    <row r="92" spans="2:19">
      <c r="B92" s="702">
        <f t="shared" si="12"/>
        <v>2074</v>
      </c>
      <c r="C92" s="703">
        <f t="shared" si="10"/>
        <v>0</v>
      </c>
      <c r="D92" s="704">
        <f t="shared" si="10"/>
        <v>0</v>
      </c>
      <c r="E92" s="704">
        <f t="shared" si="10"/>
        <v>0</v>
      </c>
      <c r="F92" s="704">
        <f t="shared" si="10"/>
        <v>0</v>
      </c>
      <c r="G92" s="704">
        <f t="shared" si="10"/>
        <v>1</v>
      </c>
      <c r="H92" s="705">
        <f t="shared" si="13"/>
        <v>1</v>
      </c>
      <c r="I92" s="703">
        <f t="shared" si="11"/>
        <v>0.2</v>
      </c>
      <c r="J92" s="704">
        <f t="shared" si="11"/>
        <v>0.3</v>
      </c>
      <c r="K92" s="704">
        <f t="shared" si="11"/>
        <v>0.25</v>
      </c>
      <c r="L92" s="704">
        <f t="shared" si="11"/>
        <v>0.05</v>
      </c>
      <c r="M92" s="704">
        <f t="shared" si="11"/>
        <v>0.2</v>
      </c>
      <c r="N92" s="705">
        <f t="shared" si="14"/>
        <v>1</v>
      </c>
      <c r="O92" s="706"/>
      <c r="R92" s="700">
        <f t="shared" si="15"/>
        <v>0.6</v>
      </c>
      <c r="S92" s="701">
        <f t="shared" si="16"/>
        <v>0.71500000000000008</v>
      </c>
    </row>
    <row r="93" spans="2:19">
      <c r="B93" s="702">
        <f t="shared" si="12"/>
        <v>2075</v>
      </c>
      <c r="C93" s="703">
        <f t="shared" si="10"/>
        <v>0</v>
      </c>
      <c r="D93" s="704">
        <f t="shared" si="10"/>
        <v>0</v>
      </c>
      <c r="E93" s="704">
        <f t="shared" si="10"/>
        <v>0</v>
      </c>
      <c r="F93" s="704">
        <f t="shared" si="10"/>
        <v>0</v>
      </c>
      <c r="G93" s="704">
        <f t="shared" si="10"/>
        <v>1</v>
      </c>
      <c r="H93" s="705">
        <f t="shared" si="13"/>
        <v>1</v>
      </c>
      <c r="I93" s="703">
        <f t="shared" si="11"/>
        <v>0.2</v>
      </c>
      <c r="J93" s="704">
        <f t="shared" si="11"/>
        <v>0.3</v>
      </c>
      <c r="K93" s="704">
        <f t="shared" si="11"/>
        <v>0.25</v>
      </c>
      <c r="L93" s="704">
        <f t="shared" si="11"/>
        <v>0.05</v>
      </c>
      <c r="M93" s="704">
        <f t="shared" si="11"/>
        <v>0.2</v>
      </c>
      <c r="N93" s="705">
        <f t="shared" si="14"/>
        <v>1</v>
      </c>
      <c r="O93" s="706"/>
      <c r="R93" s="700">
        <f t="shared" si="15"/>
        <v>0.6</v>
      </c>
      <c r="S93" s="701">
        <f t="shared" si="16"/>
        <v>0.71500000000000008</v>
      </c>
    </row>
    <row r="94" spans="2:19">
      <c r="B94" s="702">
        <f t="shared" si="12"/>
        <v>2076</v>
      </c>
      <c r="C94" s="703">
        <f t="shared" si="10"/>
        <v>0</v>
      </c>
      <c r="D94" s="704">
        <f t="shared" si="10"/>
        <v>0</v>
      </c>
      <c r="E94" s="704">
        <f t="shared" si="10"/>
        <v>0</v>
      </c>
      <c r="F94" s="704">
        <f t="shared" si="10"/>
        <v>0</v>
      </c>
      <c r="G94" s="704">
        <f t="shared" si="10"/>
        <v>1</v>
      </c>
      <c r="H94" s="705">
        <f t="shared" si="13"/>
        <v>1</v>
      </c>
      <c r="I94" s="703">
        <f t="shared" si="11"/>
        <v>0.2</v>
      </c>
      <c r="J94" s="704">
        <f t="shared" si="11"/>
        <v>0.3</v>
      </c>
      <c r="K94" s="704">
        <f t="shared" si="11"/>
        <v>0.25</v>
      </c>
      <c r="L94" s="704">
        <f t="shared" si="11"/>
        <v>0.05</v>
      </c>
      <c r="M94" s="704">
        <f t="shared" si="11"/>
        <v>0.2</v>
      </c>
      <c r="N94" s="705">
        <f t="shared" si="14"/>
        <v>1</v>
      </c>
      <c r="O94" s="706"/>
      <c r="R94" s="700">
        <f t="shared" si="15"/>
        <v>0.6</v>
      </c>
      <c r="S94" s="701">
        <f t="shared" si="16"/>
        <v>0.71500000000000008</v>
      </c>
    </row>
    <row r="95" spans="2:19">
      <c r="B95" s="702">
        <f t="shared" si="12"/>
        <v>2077</v>
      </c>
      <c r="C95" s="703">
        <f t="shared" si="10"/>
        <v>0</v>
      </c>
      <c r="D95" s="704">
        <f t="shared" si="10"/>
        <v>0</v>
      </c>
      <c r="E95" s="704">
        <f t="shared" si="10"/>
        <v>0</v>
      </c>
      <c r="F95" s="704">
        <f t="shared" si="10"/>
        <v>0</v>
      </c>
      <c r="G95" s="704">
        <f t="shared" si="10"/>
        <v>1</v>
      </c>
      <c r="H95" s="705">
        <f t="shared" si="13"/>
        <v>1</v>
      </c>
      <c r="I95" s="703">
        <f t="shared" si="11"/>
        <v>0.2</v>
      </c>
      <c r="J95" s="704">
        <f t="shared" si="11"/>
        <v>0.3</v>
      </c>
      <c r="K95" s="704">
        <f t="shared" si="11"/>
        <v>0.25</v>
      </c>
      <c r="L95" s="704">
        <f t="shared" si="11"/>
        <v>0.05</v>
      </c>
      <c r="M95" s="704">
        <f t="shared" si="11"/>
        <v>0.2</v>
      </c>
      <c r="N95" s="705">
        <f t="shared" si="14"/>
        <v>1</v>
      </c>
      <c r="O95" s="706"/>
      <c r="R95" s="700">
        <f t="shared" si="15"/>
        <v>0.6</v>
      </c>
      <c r="S95" s="701">
        <f t="shared" si="16"/>
        <v>0.71500000000000008</v>
      </c>
    </row>
    <row r="96" spans="2:19">
      <c r="B96" s="702">
        <f t="shared" si="12"/>
        <v>2078</v>
      </c>
      <c r="C96" s="703">
        <f t="shared" si="10"/>
        <v>0</v>
      </c>
      <c r="D96" s="704">
        <f t="shared" si="10"/>
        <v>0</v>
      </c>
      <c r="E96" s="704">
        <f t="shared" si="10"/>
        <v>0</v>
      </c>
      <c r="F96" s="704">
        <f t="shared" si="10"/>
        <v>0</v>
      </c>
      <c r="G96" s="704">
        <f t="shared" si="10"/>
        <v>1</v>
      </c>
      <c r="H96" s="705">
        <f t="shared" si="13"/>
        <v>1</v>
      </c>
      <c r="I96" s="703">
        <f t="shared" si="11"/>
        <v>0.2</v>
      </c>
      <c r="J96" s="704">
        <f t="shared" si="11"/>
        <v>0.3</v>
      </c>
      <c r="K96" s="704">
        <f t="shared" si="11"/>
        <v>0.25</v>
      </c>
      <c r="L96" s="704">
        <f t="shared" si="11"/>
        <v>0.05</v>
      </c>
      <c r="M96" s="704">
        <f t="shared" si="11"/>
        <v>0.2</v>
      </c>
      <c r="N96" s="705">
        <f t="shared" si="14"/>
        <v>1</v>
      </c>
      <c r="O96" s="706"/>
      <c r="R96" s="700">
        <f t="shared" si="15"/>
        <v>0.6</v>
      </c>
      <c r="S96" s="701">
        <f t="shared" si="16"/>
        <v>0.71500000000000008</v>
      </c>
    </row>
    <row r="97" spans="2:19">
      <c r="B97" s="702">
        <f t="shared" si="12"/>
        <v>2079</v>
      </c>
      <c r="C97" s="703">
        <f t="shared" si="10"/>
        <v>0</v>
      </c>
      <c r="D97" s="704">
        <f t="shared" si="10"/>
        <v>0</v>
      </c>
      <c r="E97" s="704">
        <f t="shared" si="10"/>
        <v>0</v>
      </c>
      <c r="F97" s="704">
        <f t="shared" si="10"/>
        <v>0</v>
      </c>
      <c r="G97" s="704">
        <f t="shared" si="10"/>
        <v>1</v>
      </c>
      <c r="H97" s="705">
        <f t="shared" si="13"/>
        <v>1</v>
      </c>
      <c r="I97" s="703">
        <f t="shared" si="11"/>
        <v>0.2</v>
      </c>
      <c r="J97" s="704">
        <f t="shared" si="11"/>
        <v>0.3</v>
      </c>
      <c r="K97" s="704">
        <f t="shared" si="11"/>
        <v>0.25</v>
      </c>
      <c r="L97" s="704">
        <f t="shared" si="11"/>
        <v>0.05</v>
      </c>
      <c r="M97" s="704">
        <f t="shared" si="11"/>
        <v>0.2</v>
      </c>
      <c r="N97" s="705">
        <f t="shared" si="14"/>
        <v>1</v>
      </c>
      <c r="O97" s="706"/>
      <c r="R97" s="700">
        <f t="shared" si="15"/>
        <v>0.6</v>
      </c>
      <c r="S97" s="701">
        <f t="shared" si="16"/>
        <v>0.71500000000000008</v>
      </c>
    </row>
    <row r="98" spans="2:19" ht="13.5" thickBot="1">
      <c r="B98" s="707">
        <f t="shared" si="12"/>
        <v>2080</v>
      </c>
      <c r="C98" s="708">
        <f t="shared" si="10"/>
        <v>0</v>
      </c>
      <c r="D98" s="709">
        <f t="shared" si="10"/>
        <v>0</v>
      </c>
      <c r="E98" s="709">
        <f t="shared" si="10"/>
        <v>0</v>
      </c>
      <c r="F98" s="709">
        <f t="shared" si="10"/>
        <v>0</v>
      </c>
      <c r="G98" s="709">
        <f t="shared" si="10"/>
        <v>1</v>
      </c>
      <c r="H98" s="710">
        <f t="shared" si="13"/>
        <v>1</v>
      </c>
      <c r="I98" s="708">
        <f t="shared" si="11"/>
        <v>0.2</v>
      </c>
      <c r="J98" s="709">
        <f t="shared" si="11"/>
        <v>0.3</v>
      </c>
      <c r="K98" s="709">
        <f t="shared" si="11"/>
        <v>0.25</v>
      </c>
      <c r="L98" s="709">
        <f t="shared" si="11"/>
        <v>0.05</v>
      </c>
      <c r="M98" s="709">
        <f t="shared" si="11"/>
        <v>0.2</v>
      </c>
      <c r="N98" s="710">
        <f t="shared" si="14"/>
        <v>1</v>
      </c>
      <c r="O98" s="711"/>
      <c r="R98" s="712">
        <f t="shared" si="15"/>
        <v>0.6</v>
      </c>
      <c r="S98" s="712">
        <f t="shared" si="16"/>
        <v>0.71500000000000008</v>
      </c>
    </row>
    <row r="99" spans="2:19">
      <c r="H99" s="713"/>
    </row>
    <row r="100" spans="2:19">
      <c r="H100" s="713"/>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pageSetup paperSize="9" orientation="portrait" r:id="rId1"/>
  <headerFooter alignWithMargins="0"/>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26" activePane="bottomRight" state="frozen"/>
      <selection activeCell="E19" sqref="E19"/>
      <selection pane="topRight" activeCell="E19" sqref="E19"/>
      <selection pane="bottomLeft" activeCell="E19" sqref="E19"/>
      <selection pane="bottomRight" activeCell="AD11" sqref="AD11"/>
    </sheetView>
  </sheetViews>
  <sheetFormatPr defaultColWidth="11.42578125" defaultRowHeight="12.75"/>
  <cols>
    <col min="1" max="1" width="2.28515625" style="714" customWidth="1"/>
    <col min="2" max="2" width="6.28515625" style="714" customWidth="1"/>
    <col min="3" max="3" width="9.28515625" style="714" customWidth="1"/>
    <col min="4" max="4" width="7.42578125" style="714" customWidth="1"/>
    <col min="5" max="14" width="8" style="714" customWidth="1"/>
    <col min="15" max="16" width="8.42578125" style="714" customWidth="1"/>
    <col min="17" max="17" width="3.85546875" style="714" customWidth="1"/>
    <col min="18" max="18" width="3.42578125" style="714" customWidth="1"/>
    <col min="19" max="21" width="11.42578125" style="714" hidden="1" customWidth="1"/>
    <col min="22" max="22" width="10.28515625" style="714" hidden="1" customWidth="1"/>
    <col min="23" max="23" width="9.7109375" style="714" hidden="1" customWidth="1"/>
    <col min="24" max="24" width="9.42578125" style="714" hidden="1" customWidth="1"/>
    <col min="25" max="26" width="11.42578125" style="714" hidden="1" customWidth="1"/>
    <col min="27" max="27" width="2.85546875" style="714" hidden="1" customWidth="1"/>
    <col min="28" max="28" width="0" style="714" hidden="1" customWidth="1"/>
    <col min="29" max="29" width="11.42578125" style="714"/>
    <col min="30" max="30" width="10.85546875" style="714" customWidth="1"/>
    <col min="31" max="16384" width="11.42578125" style="714"/>
  </cols>
  <sheetData>
    <row r="2" spans="2:30">
      <c r="C2" s="715" t="s">
        <v>34</v>
      </c>
      <c r="S2" s="715" t="s">
        <v>300</v>
      </c>
      <c r="AC2" s="714" t="s">
        <v>6</v>
      </c>
      <c r="AD2" s="859">
        <v>0.435</v>
      </c>
    </row>
    <row r="3" spans="2:30">
      <c r="B3" s="716"/>
      <c r="C3" s="716"/>
      <c r="S3" s="716"/>
      <c r="AC3" s="714" t="s">
        <v>256</v>
      </c>
      <c r="AD3" s="859">
        <v>0.129</v>
      </c>
    </row>
    <row r="4" spans="2:30">
      <c r="B4" s="716"/>
      <c r="C4" s="716" t="s">
        <v>38</v>
      </c>
      <c r="S4" s="716" t="s">
        <v>301</v>
      </c>
      <c r="AC4" s="714" t="s">
        <v>2</v>
      </c>
      <c r="AD4" s="859">
        <v>9.9000000000000005E-2</v>
      </c>
    </row>
    <row r="5" spans="2:30">
      <c r="B5" s="716"/>
      <c r="C5" s="716"/>
      <c r="S5" s="716" t="s">
        <v>38</v>
      </c>
      <c r="AC5" s="714" t="s">
        <v>16</v>
      </c>
      <c r="AD5" s="859">
        <v>2.7E-2</v>
      </c>
    </row>
    <row r="6" spans="2:30">
      <c r="B6" s="716"/>
      <c r="S6" s="716"/>
      <c r="AC6" s="714" t="s">
        <v>331</v>
      </c>
      <c r="AD6" s="859">
        <v>8.9999999999999993E-3</v>
      </c>
    </row>
    <row r="7" spans="2:30" ht="13.5" thickBot="1">
      <c r="B7" s="716"/>
      <c r="C7" s="717"/>
      <c r="S7" s="716"/>
      <c r="AC7" s="714" t="s">
        <v>332</v>
      </c>
      <c r="AD7" s="859">
        <v>7.1999999999999995E-2</v>
      </c>
    </row>
    <row r="8" spans="2:30" ht="13.5" thickBot="1">
      <c r="B8" s="716"/>
      <c r="D8" s="763">
        <v>6.2100000000000002E-2</v>
      </c>
      <c r="E8" s="718">
        <f>AD2</f>
        <v>0.435</v>
      </c>
      <c r="F8" s="719">
        <f>AD3</f>
        <v>0.129</v>
      </c>
      <c r="G8" s="719">
        <v>0</v>
      </c>
      <c r="H8" s="719">
        <v>0</v>
      </c>
      <c r="I8" s="719">
        <f>AD4</f>
        <v>9.9000000000000005E-2</v>
      </c>
      <c r="J8" s="719">
        <f>AD5</f>
        <v>2.7E-2</v>
      </c>
      <c r="K8" s="719">
        <f>AD6</f>
        <v>8.9999999999999993E-3</v>
      </c>
      <c r="L8" s="719">
        <f>AD7</f>
        <v>7.1999999999999995E-2</v>
      </c>
      <c r="M8" s="719">
        <f>AD8</f>
        <v>3.3000000000000002E-2</v>
      </c>
      <c r="N8" s="719">
        <f>AD9</f>
        <v>0.04</v>
      </c>
      <c r="O8" s="719">
        <f>AD10</f>
        <v>0.156</v>
      </c>
      <c r="P8" s="720">
        <f>SUM(E8:O8)</f>
        <v>1</v>
      </c>
      <c r="S8" s="716"/>
      <c r="T8" s="716"/>
      <c r="AC8" s="714" t="s">
        <v>231</v>
      </c>
      <c r="AD8" s="859">
        <v>3.3000000000000002E-2</v>
      </c>
    </row>
    <row r="9" spans="2:30" ht="13.5" thickBot="1">
      <c r="B9" s="721"/>
      <c r="C9" s="722"/>
      <c r="D9" s="723"/>
      <c r="E9" s="917" t="s">
        <v>41</v>
      </c>
      <c r="F9" s="918"/>
      <c r="G9" s="918"/>
      <c r="H9" s="918"/>
      <c r="I9" s="918"/>
      <c r="J9" s="918"/>
      <c r="K9" s="918"/>
      <c r="L9" s="918"/>
      <c r="M9" s="918"/>
      <c r="N9" s="918"/>
      <c r="O9" s="918"/>
      <c r="P9" s="724"/>
      <c r="AC9" s="714" t="s">
        <v>232</v>
      </c>
      <c r="AD9" s="859">
        <v>0.04</v>
      </c>
    </row>
    <row r="10" spans="2:30" ht="21.75" customHeight="1" thickBot="1">
      <c r="B10" s="919" t="s">
        <v>1</v>
      </c>
      <c r="C10" s="919" t="s">
        <v>33</v>
      </c>
      <c r="D10" s="919" t="s">
        <v>40</v>
      </c>
      <c r="E10" s="919" t="s">
        <v>228</v>
      </c>
      <c r="F10" s="919" t="s">
        <v>271</v>
      </c>
      <c r="G10" s="909" t="s">
        <v>267</v>
      </c>
      <c r="H10" s="919" t="s">
        <v>270</v>
      </c>
      <c r="I10" s="909" t="s">
        <v>2</v>
      </c>
      <c r="J10" s="919" t="s">
        <v>16</v>
      </c>
      <c r="K10" s="909" t="s">
        <v>229</v>
      </c>
      <c r="L10" s="906" t="s">
        <v>273</v>
      </c>
      <c r="M10" s="907"/>
      <c r="N10" s="907"/>
      <c r="O10" s="908"/>
      <c r="P10" s="919" t="s">
        <v>27</v>
      </c>
      <c r="AC10" s="714" t="s">
        <v>233</v>
      </c>
      <c r="AD10" s="859">
        <v>0.156</v>
      </c>
    </row>
    <row r="11" spans="2:30" s="726" customFormat="1" ht="42" customHeight="1" thickBot="1">
      <c r="B11" s="920"/>
      <c r="C11" s="920"/>
      <c r="D11" s="920"/>
      <c r="E11" s="920"/>
      <c r="F11" s="920"/>
      <c r="G11" s="911"/>
      <c r="H11" s="920"/>
      <c r="I11" s="911"/>
      <c r="J11" s="920"/>
      <c r="K11" s="911"/>
      <c r="L11" s="725" t="s">
        <v>230</v>
      </c>
      <c r="M11" s="725" t="s">
        <v>231</v>
      </c>
      <c r="N11" s="725" t="s">
        <v>232</v>
      </c>
      <c r="O11" s="725" t="s">
        <v>233</v>
      </c>
      <c r="P11" s="920"/>
      <c r="S11" s="365" t="s">
        <v>1</v>
      </c>
      <c r="T11" s="369" t="s">
        <v>302</v>
      </c>
      <c r="U11" s="365" t="s">
        <v>303</v>
      </c>
      <c r="V11" s="369" t="s">
        <v>304</v>
      </c>
      <c r="W11" s="365" t="s">
        <v>40</v>
      </c>
      <c r="X11" s="369" t="s">
        <v>305</v>
      </c>
    </row>
    <row r="12" spans="2:30" s="733" customFormat="1" ht="26.25" thickBot="1">
      <c r="B12" s="727"/>
      <c r="C12" s="728" t="s">
        <v>15</v>
      </c>
      <c r="D12" s="728" t="s">
        <v>24</v>
      </c>
      <c r="E12" s="729" t="s">
        <v>24</v>
      </c>
      <c r="F12" s="730" t="s">
        <v>24</v>
      </c>
      <c r="G12" s="730" t="s">
        <v>24</v>
      </c>
      <c r="H12" s="730" t="s">
        <v>24</v>
      </c>
      <c r="I12" s="730" t="s">
        <v>24</v>
      </c>
      <c r="J12" s="730" t="s">
        <v>24</v>
      </c>
      <c r="K12" s="730" t="s">
        <v>24</v>
      </c>
      <c r="L12" s="730" t="s">
        <v>24</v>
      </c>
      <c r="M12" s="730" t="s">
        <v>24</v>
      </c>
      <c r="N12" s="730" t="s">
        <v>24</v>
      </c>
      <c r="O12" s="731" t="s">
        <v>24</v>
      </c>
      <c r="P12" s="732" t="s">
        <v>39</v>
      </c>
      <c r="S12" s="734"/>
      <c r="T12" s="735" t="s">
        <v>306</v>
      </c>
      <c r="U12" s="734" t="s">
        <v>307</v>
      </c>
      <c r="V12" s="735" t="s">
        <v>15</v>
      </c>
      <c r="W12" s="736" t="s">
        <v>24</v>
      </c>
      <c r="X12" s="735" t="s">
        <v>15</v>
      </c>
    </row>
    <row r="13" spans="2:30">
      <c r="B13" s="737">
        <f>year</f>
        <v>2000</v>
      </c>
      <c r="C13" s="738">
        <f>'[2]Fraksi pengelolaan sampah BaU'!F30</f>
        <v>0</v>
      </c>
      <c r="D13" s="739">
        <v>1</v>
      </c>
      <c r="E13" s="740">
        <f>E$8</f>
        <v>0.435</v>
      </c>
      <c r="F13" s="740">
        <f t="shared" ref="E13:O28" si="0">F$8</f>
        <v>0.129</v>
      </c>
      <c r="G13" s="740">
        <f t="shared" si="0"/>
        <v>0</v>
      </c>
      <c r="H13" s="740">
        <f>H$8</f>
        <v>0</v>
      </c>
      <c r="I13" s="740">
        <f t="shared" si="0"/>
        <v>9.9000000000000005E-2</v>
      </c>
      <c r="J13" s="740">
        <f t="shared" si="0"/>
        <v>2.7E-2</v>
      </c>
      <c r="K13" s="740">
        <f t="shared" si="0"/>
        <v>8.9999999999999993E-3</v>
      </c>
      <c r="L13" s="740">
        <f>L$8</f>
        <v>7.1999999999999995E-2</v>
      </c>
      <c r="M13" s="740">
        <f>M$8</f>
        <v>3.3000000000000002E-2</v>
      </c>
      <c r="N13" s="740">
        <f>N$8</f>
        <v>0.04</v>
      </c>
      <c r="O13" s="740">
        <f>O$8</f>
        <v>0.156</v>
      </c>
      <c r="P13" s="741">
        <f t="shared" ref="P13:P44" si="1">SUM(E13:O13)</f>
        <v>1</v>
      </c>
      <c r="S13" s="737">
        <f>year</f>
        <v>2000</v>
      </c>
      <c r="T13" s="742">
        <v>0</v>
      </c>
      <c r="U13" s="742">
        <v>5</v>
      </c>
      <c r="V13" s="743">
        <f>T13*U13</f>
        <v>0</v>
      </c>
      <c r="W13" s="744">
        <v>1</v>
      </c>
      <c r="X13" s="745">
        <f t="shared" ref="X13:X44" si="2">V13*W13</f>
        <v>0</v>
      </c>
    </row>
    <row r="14" spans="2:30">
      <c r="B14" s="746">
        <f t="shared" ref="B14:B45" si="3">B13+1</f>
        <v>2001</v>
      </c>
      <c r="C14" s="738">
        <f>'[2]Fraksi pengelolaan sampah BaU'!F31</f>
        <v>0</v>
      </c>
      <c r="D14" s="739">
        <v>1</v>
      </c>
      <c r="E14" s="740">
        <f t="shared" si="0"/>
        <v>0.435</v>
      </c>
      <c r="F14" s="740">
        <f t="shared" si="0"/>
        <v>0.129</v>
      </c>
      <c r="G14" s="740">
        <f t="shared" si="0"/>
        <v>0</v>
      </c>
      <c r="H14" s="740">
        <f t="shared" si="0"/>
        <v>0</v>
      </c>
      <c r="I14" s="740">
        <f t="shared" si="0"/>
        <v>9.9000000000000005E-2</v>
      </c>
      <c r="J14" s="740">
        <f t="shared" si="0"/>
        <v>2.7E-2</v>
      </c>
      <c r="K14" s="740">
        <f t="shared" si="0"/>
        <v>8.9999999999999993E-3</v>
      </c>
      <c r="L14" s="740">
        <f t="shared" si="0"/>
        <v>7.1999999999999995E-2</v>
      </c>
      <c r="M14" s="740">
        <f t="shared" si="0"/>
        <v>3.3000000000000002E-2</v>
      </c>
      <c r="N14" s="740">
        <f t="shared" si="0"/>
        <v>0.04</v>
      </c>
      <c r="O14" s="740">
        <f t="shared" si="0"/>
        <v>0.156</v>
      </c>
      <c r="P14" s="747">
        <f t="shared" si="1"/>
        <v>1</v>
      </c>
      <c r="S14" s="746">
        <f t="shared" ref="S14:S77" si="4">S13+1</f>
        <v>2001</v>
      </c>
      <c r="T14" s="748">
        <v>0</v>
      </c>
      <c r="U14" s="748">
        <v>5</v>
      </c>
      <c r="V14" s="749">
        <f>T14*U14</f>
        <v>0</v>
      </c>
      <c r="W14" s="750">
        <v>1</v>
      </c>
      <c r="X14" s="751">
        <f t="shared" si="2"/>
        <v>0</v>
      </c>
    </row>
    <row r="15" spans="2:30">
      <c r="B15" s="746">
        <f t="shared" si="3"/>
        <v>2002</v>
      </c>
      <c r="C15" s="738">
        <f>'[2]Fraksi pengelolaan sampah BaU'!F32</f>
        <v>0</v>
      </c>
      <c r="D15" s="739">
        <v>1</v>
      </c>
      <c r="E15" s="740">
        <f t="shared" si="0"/>
        <v>0.435</v>
      </c>
      <c r="F15" s="740">
        <f t="shared" si="0"/>
        <v>0.129</v>
      </c>
      <c r="G15" s="740">
        <f t="shared" si="0"/>
        <v>0</v>
      </c>
      <c r="H15" s="740">
        <f t="shared" si="0"/>
        <v>0</v>
      </c>
      <c r="I15" s="740">
        <f t="shared" si="0"/>
        <v>9.9000000000000005E-2</v>
      </c>
      <c r="J15" s="740">
        <f t="shared" si="0"/>
        <v>2.7E-2</v>
      </c>
      <c r="K15" s="740">
        <f t="shared" si="0"/>
        <v>8.9999999999999993E-3</v>
      </c>
      <c r="L15" s="740">
        <f t="shared" si="0"/>
        <v>7.1999999999999995E-2</v>
      </c>
      <c r="M15" s="740">
        <f t="shared" si="0"/>
        <v>3.3000000000000002E-2</v>
      </c>
      <c r="N15" s="740">
        <f t="shared" si="0"/>
        <v>0.04</v>
      </c>
      <c r="O15" s="740">
        <f t="shared" si="0"/>
        <v>0.156</v>
      </c>
      <c r="P15" s="747">
        <f t="shared" si="1"/>
        <v>1</v>
      </c>
      <c r="S15" s="746">
        <f t="shared" si="4"/>
        <v>2002</v>
      </c>
      <c r="T15" s="748">
        <v>0</v>
      </c>
      <c r="U15" s="748">
        <v>5</v>
      </c>
      <c r="V15" s="749">
        <f t="shared" ref="V15:V78" si="5">T15*U15</f>
        <v>0</v>
      </c>
      <c r="W15" s="750">
        <v>1</v>
      </c>
      <c r="X15" s="751">
        <f t="shared" si="2"/>
        <v>0</v>
      </c>
    </row>
    <row r="16" spans="2:30">
      <c r="B16" s="746">
        <f t="shared" si="3"/>
        <v>2003</v>
      </c>
      <c r="C16" s="738">
        <f>'[2]Fraksi pengelolaan sampah BaU'!F33</f>
        <v>0</v>
      </c>
      <c r="D16" s="739">
        <v>1</v>
      </c>
      <c r="E16" s="740">
        <f t="shared" si="0"/>
        <v>0.435</v>
      </c>
      <c r="F16" s="740">
        <f t="shared" si="0"/>
        <v>0.129</v>
      </c>
      <c r="G16" s="740">
        <f t="shared" si="0"/>
        <v>0</v>
      </c>
      <c r="H16" s="740">
        <f t="shared" si="0"/>
        <v>0</v>
      </c>
      <c r="I16" s="740">
        <f t="shared" si="0"/>
        <v>9.9000000000000005E-2</v>
      </c>
      <c r="J16" s="740">
        <f t="shared" si="0"/>
        <v>2.7E-2</v>
      </c>
      <c r="K16" s="740">
        <f t="shared" si="0"/>
        <v>8.9999999999999993E-3</v>
      </c>
      <c r="L16" s="740">
        <f t="shared" si="0"/>
        <v>7.1999999999999995E-2</v>
      </c>
      <c r="M16" s="740">
        <f t="shared" si="0"/>
        <v>3.3000000000000002E-2</v>
      </c>
      <c r="N16" s="740">
        <f t="shared" si="0"/>
        <v>0.04</v>
      </c>
      <c r="O16" s="740">
        <f t="shared" si="0"/>
        <v>0.156</v>
      </c>
      <c r="P16" s="747">
        <f t="shared" si="1"/>
        <v>1</v>
      </c>
      <c r="S16" s="746">
        <f t="shared" si="4"/>
        <v>2003</v>
      </c>
      <c r="T16" s="748">
        <v>0</v>
      </c>
      <c r="U16" s="748">
        <v>5</v>
      </c>
      <c r="V16" s="749">
        <f t="shared" si="5"/>
        <v>0</v>
      </c>
      <c r="W16" s="750">
        <v>1</v>
      </c>
      <c r="X16" s="751">
        <f t="shared" si="2"/>
        <v>0</v>
      </c>
    </row>
    <row r="17" spans="2:24">
      <c r="B17" s="746">
        <f t="shared" si="3"/>
        <v>2004</v>
      </c>
      <c r="C17" s="738">
        <f>'[2]Fraksi pengelolaan sampah BaU'!F34</f>
        <v>0</v>
      </c>
      <c r="D17" s="739">
        <v>1</v>
      </c>
      <c r="E17" s="740">
        <f t="shared" si="0"/>
        <v>0.435</v>
      </c>
      <c r="F17" s="740">
        <f t="shared" si="0"/>
        <v>0.129</v>
      </c>
      <c r="G17" s="740">
        <f t="shared" si="0"/>
        <v>0</v>
      </c>
      <c r="H17" s="740">
        <f t="shared" si="0"/>
        <v>0</v>
      </c>
      <c r="I17" s="740">
        <f t="shared" si="0"/>
        <v>9.9000000000000005E-2</v>
      </c>
      <c r="J17" s="740">
        <f t="shared" si="0"/>
        <v>2.7E-2</v>
      </c>
      <c r="K17" s="740">
        <f t="shared" si="0"/>
        <v>8.9999999999999993E-3</v>
      </c>
      <c r="L17" s="740">
        <f t="shared" si="0"/>
        <v>7.1999999999999995E-2</v>
      </c>
      <c r="M17" s="740">
        <f t="shared" si="0"/>
        <v>3.3000000000000002E-2</v>
      </c>
      <c r="N17" s="740">
        <f t="shared" si="0"/>
        <v>0.04</v>
      </c>
      <c r="O17" s="740">
        <f t="shared" si="0"/>
        <v>0.156</v>
      </c>
      <c r="P17" s="747">
        <f t="shared" si="1"/>
        <v>1</v>
      </c>
      <c r="S17" s="746">
        <f t="shared" si="4"/>
        <v>2004</v>
      </c>
      <c r="T17" s="748">
        <v>0</v>
      </c>
      <c r="U17" s="748">
        <v>5</v>
      </c>
      <c r="V17" s="749">
        <f t="shared" si="5"/>
        <v>0</v>
      </c>
      <c r="W17" s="750">
        <v>1</v>
      </c>
      <c r="X17" s="751">
        <f t="shared" si="2"/>
        <v>0</v>
      </c>
    </row>
    <row r="18" spans="2:24">
      <c r="B18" s="746">
        <f t="shared" si="3"/>
        <v>2005</v>
      </c>
      <c r="C18" s="738">
        <f>'[2]Fraksi pengelolaan sampah BaU'!F35</f>
        <v>0</v>
      </c>
      <c r="D18" s="739">
        <v>1</v>
      </c>
      <c r="E18" s="740">
        <f t="shared" si="0"/>
        <v>0.435</v>
      </c>
      <c r="F18" s="740">
        <f t="shared" si="0"/>
        <v>0.129</v>
      </c>
      <c r="G18" s="740">
        <f t="shared" si="0"/>
        <v>0</v>
      </c>
      <c r="H18" s="740">
        <f t="shared" si="0"/>
        <v>0</v>
      </c>
      <c r="I18" s="740">
        <f t="shared" si="0"/>
        <v>9.9000000000000005E-2</v>
      </c>
      <c r="J18" s="740">
        <f t="shared" si="0"/>
        <v>2.7E-2</v>
      </c>
      <c r="K18" s="740">
        <f t="shared" si="0"/>
        <v>8.9999999999999993E-3</v>
      </c>
      <c r="L18" s="740">
        <f t="shared" si="0"/>
        <v>7.1999999999999995E-2</v>
      </c>
      <c r="M18" s="740">
        <f t="shared" si="0"/>
        <v>3.3000000000000002E-2</v>
      </c>
      <c r="N18" s="740">
        <f t="shared" si="0"/>
        <v>0.04</v>
      </c>
      <c r="O18" s="740">
        <f t="shared" si="0"/>
        <v>0.156</v>
      </c>
      <c r="P18" s="747">
        <f t="shared" si="1"/>
        <v>1</v>
      </c>
      <c r="S18" s="746">
        <f t="shared" si="4"/>
        <v>2005</v>
      </c>
      <c r="T18" s="748">
        <v>0</v>
      </c>
      <c r="U18" s="748">
        <v>5</v>
      </c>
      <c r="V18" s="749">
        <f t="shared" si="5"/>
        <v>0</v>
      </c>
      <c r="W18" s="750">
        <v>1</v>
      </c>
      <c r="X18" s="751">
        <f t="shared" si="2"/>
        <v>0</v>
      </c>
    </row>
    <row r="19" spans="2:24">
      <c r="B19" s="746">
        <f t="shared" si="3"/>
        <v>2006</v>
      </c>
      <c r="C19" s="738">
        <f>'[2]Fraksi pengelolaan sampah BaU'!F36</f>
        <v>0</v>
      </c>
      <c r="D19" s="739">
        <v>1</v>
      </c>
      <c r="E19" s="740">
        <f t="shared" si="0"/>
        <v>0.435</v>
      </c>
      <c r="F19" s="740">
        <f t="shared" si="0"/>
        <v>0.129</v>
      </c>
      <c r="G19" s="740">
        <f t="shared" si="0"/>
        <v>0</v>
      </c>
      <c r="H19" s="740">
        <f t="shared" si="0"/>
        <v>0</v>
      </c>
      <c r="I19" s="740">
        <f t="shared" si="0"/>
        <v>9.9000000000000005E-2</v>
      </c>
      <c r="J19" s="740">
        <f t="shared" si="0"/>
        <v>2.7E-2</v>
      </c>
      <c r="K19" s="740">
        <f t="shared" si="0"/>
        <v>8.9999999999999993E-3</v>
      </c>
      <c r="L19" s="740">
        <f t="shared" si="0"/>
        <v>7.1999999999999995E-2</v>
      </c>
      <c r="M19" s="740">
        <f t="shared" si="0"/>
        <v>3.3000000000000002E-2</v>
      </c>
      <c r="N19" s="740">
        <f t="shared" si="0"/>
        <v>0.04</v>
      </c>
      <c r="O19" s="740">
        <f t="shared" si="0"/>
        <v>0.156</v>
      </c>
      <c r="P19" s="747">
        <f t="shared" si="1"/>
        <v>1</v>
      </c>
      <c r="S19" s="746">
        <f t="shared" si="4"/>
        <v>2006</v>
      </c>
      <c r="T19" s="748">
        <v>0</v>
      </c>
      <c r="U19" s="748">
        <v>5</v>
      </c>
      <c r="V19" s="749">
        <f t="shared" si="5"/>
        <v>0</v>
      </c>
      <c r="W19" s="750">
        <v>1</v>
      </c>
      <c r="X19" s="751">
        <f t="shared" si="2"/>
        <v>0</v>
      </c>
    </row>
    <row r="20" spans="2:24">
      <c r="B20" s="746">
        <f t="shared" si="3"/>
        <v>2007</v>
      </c>
      <c r="C20" s="738">
        <f>'[2]Fraksi pengelolaan sampah BaU'!F37</f>
        <v>0</v>
      </c>
      <c r="D20" s="739">
        <v>1</v>
      </c>
      <c r="E20" s="740">
        <f t="shared" si="0"/>
        <v>0.435</v>
      </c>
      <c r="F20" s="740">
        <f t="shared" si="0"/>
        <v>0.129</v>
      </c>
      <c r="G20" s="740">
        <f t="shared" si="0"/>
        <v>0</v>
      </c>
      <c r="H20" s="740">
        <f t="shared" si="0"/>
        <v>0</v>
      </c>
      <c r="I20" s="740">
        <f t="shared" si="0"/>
        <v>9.9000000000000005E-2</v>
      </c>
      <c r="J20" s="740">
        <f t="shared" si="0"/>
        <v>2.7E-2</v>
      </c>
      <c r="K20" s="740">
        <f t="shared" si="0"/>
        <v>8.9999999999999993E-3</v>
      </c>
      <c r="L20" s="740">
        <f t="shared" si="0"/>
        <v>7.1999999999999995E-2</v>
      </c>
      <c r="M20" s="740">
        <f t="shared" si="0"/>
        <v>3.3000000000000002E-2</v>
      </c>
      <c r="N20" s="740">
        <f t="shared" si="0"/>
        <v>0.04</v>
      </c>
      <c r="O20" s="740">
        <f t="shared" si="0"/>
        <v>0.156</v>
      </c>
      <c r="P20" s="747">
        <f t="shared" si="1"/>
        <v>1</v>
      </c>
      <c r="S20" s="746">
        <f t="shared" si="4"/>
        <v>2007</v>
      </c>
      <c r="T20" s="748">
        <v>0</v>
      </c>
      <c r="U20" s="748">
        <v>5</v>
      </c>
      <c r="V20" s="749">
        <f t="shared" si="5"/>
        <v>0</v>
      </c>
      <c r="W20" s="750">
        <v>1</v>
      </c>
      <c r="X20" s="751">
        <f t="shared" si="2"/>
        <v>0</v>
      </c>
    </row>
    <row r="21" spans="2:24">
      <c r="B21" s="746">
        <f t="shared" si="3"/>
        <v>2008</v>
      </c>
      <c r="C21" s="738">
        <f>'[2]Fraksi pengelolaan sampah BaU'!F38</f>
        <v>0</v>
      </c>
      <c r="D21" s="739">
        <v>1</v>
      </c>
      <c r="E21" s="740">
        <f t="shared" si="0"/>
        <v>0.435</v>
      </c>
      <c r="F21" s="740">
        <f t="shared" si="0"/>
        <v>0.129</v>
      </c>
      <c r="G21" s="740">
        <f t="shared" si="0"/>
        <v>0</v>
      </c>
      <c r="H21" s="740">
        <f t="shared" si="0"/>
        <v>0</v>
      </c>
      <c r="I21" s="740">
        <f t="shared" si="0"/>
        <v>9.9000000000000005E-2</v>
      </c>
      <c r="J21" s="740">
        <f t="shared" si="0"/>
        <v>2.7E-2</v>
      </c>
      <c r="K21" s="740">
        <f t="shared" si="0"/>
        <v>8.9999999999999993E-3</v>
      </c>
      <c r="L21" s="740">
        <f t="shared" si="0"/>
        <v>7.1999999999999995E-2</v>
      </c>
      <c r="M21" s="740">
        <f t="shared" si="0"/>
        <v>3.3000000000000002E-2</v>
      </c>
      <c r="N21" s="740">
        <f t="shared" si="0"/>
        <v>0.04</v>
      </c>
      <c r="O21" s="740">
        <f t="shared" si="0"/>
        <v>0.156</v>
      </c>
      <c r="P21" s="747">
        <f t="shared" si="1"/>
        <v>1</v>
      </c>
      <c r="S21" s="746">
        <f t="shared" si="4"/>
        <v>2008</v>
      </c>
      <c r="T21" s="748">
        <v>0</v>
      </c>
      <c r="U21" s="748">
        <v>5</v>
      </c>
      <c r="V21" s="749">
        <f t="shared" si="5"/>
        <v>0</v>
      </c>
      <c r="W21" s="750">
        <v>1</v>
      </c>
      <c r="X21" s="751">
        <f t="shared" si="2"/>
        <v>0</v>
      </c>
    </row>
    <row r="22" spans="2:24">
      <c r="B22" s="746">
        <f t="shared" si="3"/>
        <v>2009</v>
      </c>
      <c r="C22" s="738">
        <f>'[2]Fraksi pengelolaan sampah BaU'!F39</f>
        <v>0</v>
      </c>
      <c r="D22" s="739">
        <v>1</v>
      </c>
      <c r="E22" s="740">
        <f t="shared" si="0"/>
        <v>0.435</v>
      </c>
      <c r="F22" s="740">
        <f t="shared" si="0"/>
        <v>0.129</v>
      </c>
      <c r="G22" s="740">
        <f t="shared" si="0"/>
        <v>0</v>
      </c>
      <c r="H22" s="740">
        <f t="shared" si="0"/>
        <v>0</v>
      </c>
      <c r="I22" s="740">
        <f t="shared" si="0"/>
        <v>9.9000000000000005E-2</v>
      </c>
      <c r="J22" s="740">
        <f t="shared" si="0"/>
        <v>2.7E-2</v>
      </c>
      <c r="K22" s="740">
        <f t="shared" si="0"/>
        <v>8.9999999999999993E-3</v>
      </c>
      <c r="L22" s="740">
        <f t="shared" si="0"/>
        <v>7.1999999999999995E-2</v>
      </c>
      <c r="M22" s="740">
        <f t="shared" si="0"/>
        <v>3.3000000000000002E-2</v>
      </c>
      <c r="N22" s="740">
        <f t="shared" si="0"/>
        <v>0.04</v>
      </c>
      <c r="O22" s="740">
        <f t="shared" si="0"/>
        <v>0.156</v>
      </c>
      <c r="P22" s="747">
        <f t="shared" si="1"/>
        <v>1</v>
      </c>
      <c r="S22" s="746">
        <f t="shared" si="4"/>
        <v>2009</v>
      </c>
      <c r="T22" s="748">
        <v>0</v>
      </c>
      <c r="U22" s="748">
        <v>5</v>
      </c>
      <c r="V22" s="749">
        <f t="shared" si="5"/>
        <v>0</v>
      </c>
      <c r="W22" s="750">
        <v>1</v>
      </c>
      <c r="X22" s="751">
        <f t="shared" si="2"/>
        <v>0</v>
      </c>
    </row>
    <row r="23" spans="2:24">
      <c r="B23" s="746">
        <f t="shared" si="3"/>
        <v>2010</v>
      </c>
      <c r="C23" s="738">
        <f>'[2]Fraksi pengelolaan sampah BaU'!F40</f>
        <v>0</v>
      </c>
      <c r="D23" s="739">
        <v>1</v>
      </c>
      <c r="E23" s="740">
        <f t="shared" ref="E23:O38" si="6">E$8</f>
        <v>0.435</v>
      </c>
      <c r="F23" s="740">
        <f t="shared" si="6"/>
        <v>0.129</v>
      </c>
      <c r="G23" s="740">
        <f t="shared" si="0"/>
        <v>0</v>
      </c>
      <c r="H23" s="740">
        <f t="shared" si="6"/>
        <v>0</v>
      </c>
      <c r="I23" s="740">
        <f t="shared" si="0"/>
        <v>9.9000000000000005E-2</v>
      </c>
      <c r="J23" s="740">
        <f t="shared" si="6"/>
        <v>2.7E-2</v>
      </c>
      <c r="K23" s="740">
        <f t="shared" si="6"/>
        <v>8.9999999999999993E-3</v>
      </c>
      <c r="L23" s="740">
        <f t="shared" si="6"/>
        <v>7.1999999999999995E-2</v>
      </c>
      <c r="M23" s="740">
        <f t="shared" si="6"/>
        <v>3.3000000000000002E-2</v>
      </c>
      <c r="N23" s="740">
        <f t="shared" si="6"/>
        <v>0.04</v>
      </c>
      <c r="O23" s="740">
        <f t="shared" si="6"/>
        <v>0.156</v>
      </c>
      <c r="P23" s="747">
        <f t="shared" si="1"/>
        <v>1</v>
      </c>
      <c r="S23" s="746">
        <f t="shared" si="4"/>
        <v>2010</v>
      </c>
      <c r="T23" s="748">
        <v>0</v>
      </c>
      <c r="U23" s="748">
        <v>5</v>
      </c>
      <c r="V23" s="749">
        <f t="shared" si="5"/>
        <v>0</v>
      </c>
      <c r="W23" s="750">
        <v>1</v>
      </c>
      <c r="X23" s="751">
        <f t="shared" si="2"/>
        <v>0</v>
      </c>
    </row>
    <row r="24" spans="2:24">
      <c r="B24" s="746">
        <f t="shared" si="3"/>
        <v>2011</v>
      </c>
      <c r="C24" s="858">
        <f>'[3]Fraksi pengelolaan sampah BaU'!F29</f>
        <v>0</v>
      </c>
      <c r="D24" s="739">
        <v>1</v>
      </c>
      <c r="E24" s="740">
        <f t="shared" si="6"/>
        <v>0.435</v>
      </c>
      <c r="F24" s="740">
        <f t="shared" si="6"/>
        <v>0.129</v>
      </c>
      <c r="G24" s="740">
        <f t="shared" si="0"/>
        <v>0</v>
      </c>
      <c r="H24" s="740">
        <f t="shared" si="6"/>
        <v>0</v>
      </c>
      <c r="I24" s="740">
        <f t="shared" si="0"/>
        <v>9.9000000000000005E-2</v>
      </c>
      <c r="J24" s="740">
        <f t="shared" si="6"/>
        <v>2.7E-2</v>
      </c>
      <c r="K24" s="740">
        <f t="shared" si="6"/>
        <v>8.9999999999999993E-3</v>
      </c>
      <c r="L24" s="740">
        <f t="shared" si="6"/>
        <v>7.1999999999999995E-2</v>
      </c>
      <c r="M24" s="740">
        <f t="shared" si="6"/>
        <v>3.3000000000000002E-2</v>
      </c>
      <c r="N24" s="740">
        <f t="shared" si="6"/>
        <v>0.04</v>
      </c>
      <c r="O24" s="740">
        <f t="shared" si="6"/>
        <v>0.156</v>
      </c>
      <c r="P24" s="747">
        <f t="shared" si="1"/>
        <v>1</v>
      </c>
      <c r="S24" s="746">
        <f t="shared" si="4"/>
        <v>2011</v>
      </c>
      <c r="T24" s="748">
        <v>0</v>
      </c>
      <c r="U24" s="748">
        <v>5</v>
      </c>
      <c r="V24" s="749">
        <f t="shared" si="5"/>
        <v>0</v>
      </c>
      <c r="W24" s="750">
        <v>1</v>
      </c>
      <c r="X24" s="751">
        <f t="shared" si="2"/>
        <v>0</v>
      </c>
    </row>
    <row r="25" spans="2:24">
      <c r="B25" s="746">
        <f t="shared" si="3"/>
        <v>2012</v>
      </c>
      <c r="C25" s="858">
        <f>'[3]Fraksi pengelolaan sampah BaU'!F30</f>
        <v>0</v>
      </c>
      <c r="D25" s="739">
        <v>1</v>
      </c>
      <c r="E25" s="740">
        <f t="shared" si="6"/>
        <v>0.435</v>
      </c>
      <c r="F25" s="740">
        <f t="shared" si="6"/>
        <v>0.129</v>
      </c>
      <c r="G25" s="740">
        <f t="shared" si="0"/>
        <v>0</v>
      </c>
      <c r="H25" s="740">
        <f t="shared" si="6"/>
        <v>0</v>
      </c>
      <c r="I25" s="740">
        <f t="shared" si="0"/>
        <v>9.9000000000000005E-2</v>
      </c>
      <c r="J25" s="740">
        <f t="shared" si="6"/>
        <v>2.7E-2</v>
      </c>
      <c r="K25" s="740">
        <f t="shared" si="6"/>
        <v>8.9999999999999993E-3</v>
      </c>
      <c r="L25" s="740">
        <f t="shared" si="6"/>
        <v>7.1999999999999995E-2</v>
      </c>
      <c r="M25" s="740">
        <f t="shared" si="6"/>
        <v>3.3000000000000002E-2</v>
      </c>
      <c r="N25" s="740">
        <f t="shared" si="6"/>
        <v>0.04</v>
      </c>
      <c r="O25" s="740">
        <f t="shared" si="6"/>
        <v>0.156</v>
      </c>
      <c r="P25" s="747">
        <f t="shared" si="1"/>
        <v>1</v>
      </c>
      <c r="S25" s="746">
        <f t="shared" si="4"/>
        <v>2012</v>
      </c>
      <c r="T25" s="748">
        <v>0</v>
      </c>
      <c r="U25" s="748">
        <v>5</v>
      </c>
      <c r="V25" s="749">
        <f t="shared" si="5"/>
        <v>0</v>
      </c>
      <c r="W25" s="750">
        <v>1</v>
      </c>
      <c r="X25" s="751">
        <f t="shared" si="2"/>
        <v>0</v>
      </c>
    </row>
    <row r="26" spans="2:24">
      <c r="B26" s="746">
        <f t="shared" si="3"/>
        <v>2013</v>
      </c>
      <c r="C26" s="858">
        <f>'[3]Fraksi pengelolaan sampah BaU'!F31</f>
        <v>0</v>
      </c>
      <c r="D26" s="739">
        <v>1</v>
      </c>
      <c r="E26" s="740">
        <f t="shared" si="6"/>
        <v>0.435</v>
      </c>
      <c r="F26" s="740">
        <f t="shared" si="6"/>
        <v>0.129</v>
      </c>
      <c r="G26" s="740">
        <f t="shared" si="0"/>
        <v>0</v>
      </c>
      <c r="H26" s="740">
        <f t="shared" si="6"/>
        <v>0</v>
      </c>
      <c r="I26" s="740">
        <f t="shared" si="0"/>
        <v>9.9000000000000005E-2</v>
      </c>
      <c r="J26" s="740">
        <f t="shared" si="6"/>
        <v>2.7E-2</v>
      </c>
      <c r="K26" s="740">
        <f t="shared" si="6"/>
        <v>8.9999999999999993E-3</v>
      </c>
      <c r="L26" s="740">
        <f t="shared" si="6"/>
        <v>7.1999999999999995E-2</v>
      </c>
      <c r="M26" s="740">
        <f t="shared" si="6"/>
        <v>3.3000000000000002E-2</v>
      </c>
      <c r="N26" s="740">
        <f t="shared" si="6"/>
        <v>0.04</v>
      </c>
      <c r="O26" s="740">
        <f t="shared" si="6"/>
        <v>0.156</v>
      </c>
      <c r="P26" s="747">
        <f t="shared" si="1"/>
        <v>1</v>
      </c>
      <c r="S26" s="746">
        <f t="shared" si="4"/>
        <v>2013</v>
      </c>
      <c r="T26" s="748">
        <v>0</v>
      </c>
      <c r="U26" s="748">
        <v>5</v>
      </c>
      <c r="V26" s="749">
        <f t="shared" si="5"/>
        <v>0</v>
      </c>
      <c r="W26" s="750">
        <v>1</v>
      </c>
      <c r="X26" s="751">
        <f t="shared" si="2"/>
        <v>0</v>
      </c>
    </row>
    <row r="27" spans="2:24">
      <c r="B27" s="746">
        <f t="shared" si="3"/>
        <v>2014</v>
      </c>
      <c r="C27" s="858">
        <f>'[3]Fraksi pengelolaan sampah BaU'!F32</f>
        <v>0</v>
      </c>
      <c r="D27" s="739">
        <v>1</v>
      </c>
      <c r="E27" s="740">
        <f t="shared" si="6"/>
        <v>0.435</v>
      </c>
      <c r="F27" s="740">
        <f t="shared" si="6"/>
        <v>0.129</v>
      </c>
      <c r="G27" s="740">
        <f t="shared" si="0"/>
        <v>0</v>
      </c>
      <c r="H27" s="740">
        <f t="shared" si="6"/>
        <v>0</v>
      </c>
      <c r="I27" s="740">
        <f t="shared" si="0"/>
        <v>9.9000000000000005E-2</v>
      </c>
      <c r="J27" s="740">
        <f t="shared" si="6"/>
        <v>2.7E-2</v>
      </c>
      <c r="K27" s="740">
        <f t="shared" si="6"/>
        <v>8.9999999999999993E-3</v>
      </c>
      <c r="L27" s="740">
        <f t="shared" si="6"/>
        <v>7.1999999999999995E-2</v>
      </c>
      <c r="M27" s="740">
        <f t="shared" si="6"/>
        <v>3.3000000000000002E-2</v>
      </c>
      <c r="N27" s="740">
        <f t="shared" si="6"/>
        <v>0.04</v>
      </c>
      <c r="O27" s="740">
        <f t="shared" si="6"/>
        <v>0.156</v>
      </c>
      <c r="P27" s="747">
        <f t="shared" si="1"/>
        <v>1</v>
      </c>
      <c r="S27" s="746">
        <f t="shared" si="4"/>
        <v>2014</v>
      </c>
      <c r="T27" s="748">
        <v>0</v>
      </c>
      <c r="U27" s="748">
        <v>5</v>
      </c>
      <c r="V27" s="749">
        <f t="shared" si="5"/>
        <v>0</v>
      </c>
      <c r="W27" s="750">
        <v>1</v>
      </c>
      <c r="X27" s="751">
        <f t="shared" si="2"/>
        <v>0</v>
      </c>
    </row>
    <row r="28" spans="2:24">
      <c r="B28" s="746">
        <f t="shared" si="3"/>
        <v>2015</v>
      </c>
      <c r="C28" s="858">
        <f>'[3]Fraksi pengelolaan sampah BaU'!F33</f>
        <v>0</v>
      </c>
      <c r="D28" s="739">
        <v>1</v>
      </c>
      <c r="E28" s="740">
        <f t="shared" si="6"/>
        <v>0.435</v>
      </c>
      <c r="F28" s="740">
        <f t="shared" si="6"/>
        <v>0.129</v>
      </c>
      <c r="G28" s="740">
        <f t="shared" si="0"/>
        <v>0</v>
      </c>
      <c r="H28" s="740">
        <f t="shared" si="6"/>
        <v>0</v>
      </c>
      <c r="I28" s="740">
        <f t="shared" si="0"/>
        <v>9.9000000000000005E-2</v>
      </c>
      <c r="J28" s="740">
        <f t="shared" si="6"/>
        <v>2.7E-2</v>
      </c>
      <c r="K28" s="740">
        <f t="shared" si="6"/>
        <v>8.9999999999999993E-3</v>
      </c>
      <c r="L28" s="740">
        <f t="shared" si="6"/>
        <v>7.1999999999999995E-2</v>
      </c>
      <c r="M28" s="740">
        <f t="shared" si="6"/>
        <v>3.3000000000000002E-2</v>
      </c>
      <c r="N28" s="740">
        <f t="shared" si="6"/>
        <v>0.04</v>
      </c>
      <c r="O28" s="740">
        <f t="shared" si="6"/>
        <v>0.156</v>
      </c>
      <c r="P28" s="747">
        <f t="shared" si="1"/>
        <v>1</v>
      </c>
      <c r="S28" s="746">
        <f t="shared" si="4"/>
        <v>2015</v>
      </c>
      <c r="T28" s="748">
        <v>0</v>
      </c>
      <c r="U28" s="748">
        <v>5</v>
      </c>
      <c r="V28" s="749">
        <f t="shared" si="5"/>
        <v>0</v>
      </c>
      <c r="W28" s="750">
        <v>1</v>
      </c>
      <c r="X28" s="751">
        <f t="shared" si="2"/>
        <v>0</v>
      </c>
    </row>
    <row r="29" spans="2:24">
      <c r="B29" s="746">
        <f t="shared" si="3"/>
        <v>2016</v>
      </c>
      <c r="C29" s="858">
        <f>'[3]Fraksi pengelolaan sampah BaU'!F34</f>
        <v>0</v>
      </c>
      <c r="D29" s="739">
        <v>1</v>
      </c>
      <c r="E29" s="740">
        <f t="shared" si="6"/>
        <v>0.435</v>
      </c>
      <c r="F29" s="740">
        <f t="shared" si="6"/>
        <v>0.129</v>
      </c>
      <c r="G29" s="740">
        <f t="shared" si="6"/>
        <v>0</v>
      </c>
      <c r="H29" s="740">
        <f t="shared" si="6"/>
        <v>0</v>
      </c>
      <c r="I29" s="740">
        <f t="shared" si="6"/>
        <v>9.9000000000000005E-2</v>
      </c>
      <c r="J29" s="740">
        <f t="shared" si="6"/>
        <v>2.7E-2</v>
      </c>
      <c r="K29" s="740">
        <f t="shared" si="6"/>
        <v>8.9999999999999993E-3</v>
      </c>
      <c r="L29" s="740">
        <f t="shared" si="6"/>
        <v>7.1999999999999995E-2</v>
      </c>
      <c r="M29" s="740">
        <f t="shared" si="6"/>
        <v>3.3000000000000002E-2</v>
      </c>
      <c r="N29" s="740">
        <f t="shared" si="6"/>
        <v>0.04</v>
      </c>
      <c r="O29" s="740">
        <f t="shared" si="6"/>
        <v>0.156</v>
      </c>
      <c r="P29" s="747">
        <f t="shared" si="1"/>
        <v>1</v>
      </c>
      <c r="S29" s="746">
        <f t="shared" si="4"/>
        <v>2016</v>
      </c>
      <c r="T29" s="748">
        <v>0</v>
      </c>
      <c r="U29" s="748">
        <v>5</v>
      </c>
      <c r="V29" s="749">
        <f t="shared" si="5"/>
        <v>0</v>
      </c>
      <c r="W29" s="750">
        <v>1</v>
      </c>
      <c r="X29" s="751">
        <f t="shared" si="2"/>
        <v>0</v>
      </c>
    </row>
    <row r="30" spans="2:24">
      <c r="B30" s="746">
        <f t="shared" si="3"/>
        <v>2017</v>
      </c>
      <c r="C30" s="858">
        <f>'[3]Fraksi pengelolaan sampah BaU'!F35</f>
        <v>1.1069840000000002</v>
      </c>
      <c r="D30" s="739">
        <v>1</v>
      </c>
      <c r="E30" s="740">
        <f t="shared" si="6"/>
        <v>0.435</v>
      </c>
      <c r="F30" s="740">
        <f t="shared" si="6"/>
        <v>0.129</v>
      </c>
      <c r="G30" s="740">
        <f t="shared" si="6"/>
        <v>0</v>
      </c>
      <c r="H30" s="740">
        <f t="shared" si="6"/>
        <v>0</v>
      </c>
      <c r="I30" s="740">
        <f t="shared" si="6"/>
        <v>9.9000000000000005E-2</v>
      </c>
      <c r="J30" s="740">
        <f t="shared" si="6"/>
        <v>2.7E-2</v>
      </c>
      <c r="K30" s="740">
        <f t="shared" si="6"/>
        <v>8.9999999999999993E-3</v>
      </c>
      <c r="L30" s="740">
        <f t="shared" si="6"/>
        <v>7.1999999999999995E-2</v>
      </c>
      <c r="M30" s="740">
        <f t="shared" si="6"/>
        <v>3.3000000000000002E-2</v>
      </c>
      <c r="N30" s="740">
        <f t="shared" si="6"/>
        <v>0.04</v>
      </c>
      <c r="O30" s="740">
        <f t="shared" si="6"/>
        <v>0.156</v>
      </c>
      <c r="P30" s="747">
        <f t="shared" si="1"/>
        <v>1</v>
      </c>
      <c r="S30" s="746">
        <f t="shared" si="4"/>
        <v>2017</v>
      </c>
      <c r="T30" s="748">
        <v>0</v>
      </c>
      <c r="U30" s="748">
        <v>5</v>
      </c>
      <c r="V30" s="749">
        <f t="shared" si="5"/>
        <v>0</v>
      </c>
      <c r="W30" s="750">
        <v>1</v>
      </c>
      <c r="X30" s="751">
        <f t="shared" si="2"/>
        <v>0</v>
      </c>
    </row>
    <row r="31" spans="2:24">
      <c r="B31" s="746">
        <f t="shared" si="3"/>
        <v>2018</v>
      </c>
      <c r="C31" s="858">
        <f>'[3]Fraksi pengelolaan sampah BaU'!F36</f>
        <v>1.222958188</v>
      </c>
      <c r="D31" s="739">
        <v>1</v>
      </c>
      <c r="E31" s="740">
        <f t="shared" si="6"/>
        <v>0.435</v>
      </c>
      <c r="F31" s="740">
        <f t="shared" si="6"/>
        <v>0.129</v>
      </c>
      <c r="G31" s="740">
        <f t="shared" si="6"/>
        <v>0</v>
      </c>
      <c r="H31" s="740">
        <f t="shared" si="6"/>
        <v>0</v>
      </c>
      <c r="I31" s="740">
        <f t="shared" si="6"/>
        <v>9.9000000000000005E-2</v>
      </c>
      <c r="J31" s="740">
        <f t="shared" si="6"/>
        <v>2.7E-2</v>
      </c>
      <c r="K31" s="740">
        <f t="shared" si="6"/>
        <v>8.9999999999999993E-3</v>
      </c>
      <c r="L31" s="740">
        <f t="shared" si="6"/>
        <v>7.1999999999999995E-2</v>
      </c>
      <c r="M31" s="740">
        <f t="shared" si="6"/>
        <v>3.3000000000000002E-2</v>
      </c>
      <c r="N31" s="740">
        <f t="shared" si="6"/>
        <v>0.04</v>
      </c>
      <c r="O31" s="740">
        <f t="shared" si="6"/>
        <v>0.156</v>
      </c>
      <c r="P31" s="747">
        <f t="shared" si="1"/>
        <v>1</v>
      </c>
      <c r="S31" s="746">
        <f t="shared" si="4"/>
        <v>2018</v>
      </c>
      <c r="T31" s="748">
        <v>0</v>
      </c>
      <c r="U31" s="748">
        <v>5</v>
      </c>
      <c r="V31" s="749">
        <f t="shared" si="5"/>
        <v>0</v>
      </c>
      <c r="W31" s="750">
        <v>1</v>
      </c>
      <c r="X31" s="751">
        <f t="shared" si="2"/>
        <v>0</v>
      </c>
    </row>
    <row r="32" spans="2:24">
      <c r="B32" s="746">
        <f t="shared" si="3"/>
        <v>2019</v>
      </c>
      <c r="C32" s="858">
        <f>'[3]Fraksi pengelolaan sampah BaU'!F37</f>
        <v>1.3499654897119999</v>
      </c>
      <c r="D32" s="739">
        <v>1</v>
      </c>
      <c r="E32" s="740">
        <f t="shared" si="6"/>
        <v>0.435</v>
      </c>
      <c r="F32" s="740">
        <f t="shared" si="6"/>
        <v>0.129</v>
      </c>
      <c r="G32" s="740">
        <f t="shared" si="6"/>
        <v>0</v>
      </c>
      <c r="H32" s="740">
        <f t="shared" si="6"/>
        <v>0</v>
      </c>
      <c r="I32" s="740">
        <f t="shared" si="6"/>
        <v>9.9000000000000005E-2</v>
      </c>
      <c r="J32" s="740">
        <f t="shared" si="6"/>
        <v>2.7E-2</v>
      </c>
      <c r="K32" s="740">
        <f t="shared" si="6"/>
        <v>8.9999999999999993E-3</v>
      </c>
      <c r="L32" s="740">
        <f t="shared" si="6"/>
        <v>7.1999999999999995E-2</v>
      </c>
      <c r="M32" s="740">
        <f t="shared" si="6"/>
        <v>3.3000000000000002E-2</v>
      </c>
      <c r="N32" s="740">
        <f t="shared" si="6"/>
        <v>0.04</v>
      </c>
      <c r="O32" s="740">
        <f t="shared" si="6"/>
        <v>0.156</v>
      </c>
      <c r="P32" s="747">
        <f t="shared" si="1"/>
        <v>1</v>
      </c>
      <c r="S32" s="746">
        <f t="shared" si="4"/>
        <v>2019</v>
      </c>
      <c r="T32" s="748">
        <v>0</v>
      </c>
      <c r="U32" s="748">
        <v>5</v>
      </c>
      <c r="V32" s="749">
        <f t="shared" si="5"/>
        <v>0</v>
      </c>
      <c r="W32" s="750">
        <v>1</v>
      </c>
      <c r="X32" s="751">
        <f t="shared" si="2"/>
        <v>0</v>
      </c>
    </row>
    <row r="33" spans="2:24">
      <c r="B33" s="746">
        <f t="shared" si="3"/>
        <v>2020</v>
      </c>
      <c r="C33" s="858">
        <f>'[3]Fraksi pengelolaan sampah BaU'!F38</f>
        <v>1.4889987132900999</v>
      </c>
      <c r="D33" s="739">
        <v>1</v>
      </c>
      <c r="E33" s="740">
        <f t="shared" ref="E33:O48" si="7">E$8</f>
        <v>0.435</v>
      </c>
      <c r="F33" s="740">
        <f t="shared" si="7"/>
        <v>0.129</v>
      </c>
      <c r="G33" s="740">
        <f t="shared" si="6"/>
        <v>0</v>
      </c>
      <c r="H33" s="740">
        <f t="shared" si="7"/>
        <v>0</v>
      </c>
      <c r="I33" s="740">
        <f t="shared" si="6"/>
        <v>9.9000000000000005E-2</v>
      </c>
      <c r="J33" s="740">
        <f t="shared" si="7"/>
        <v>2.7E-2</v>
      </c>
      <c r="K33" s="740">
        <f t="shared" si="7"/>
        <v>8.9999999999999993E-3</v>
      </c>
      <c r="L33" s="740">
        <f t="shared" si="7"/>
        <v>7.1999999999999995E-2</v>
      </c>
      <c r="M33" s="740">
        <f t="shared" si="7"/>
        <v>3.3000000000000002E-2</v>
      </c>
      <c r="N33" s="740">
        <f t="shared" si="7"/>
        <v>0.04</v>
      </c>
      <c r="O33" s="740">
        <f t="shared" si="7"/>
        <v>0.156</v>
      </c>
      <c r="P33" s="747">
        <f t="shared" si="1"/>
        <v>1</v>
      </c>
      <c r="S33" s="746">
        <f t="shared" si="4"/>
        <v>2020</v>
      </c>
      <c r="T33" s="748">
        <v>0</v>
      </c>
      <c r="U33" s="748">
        <v>5</v>
      </c>
      <c r="V33" s="749">
        <f t="shared" si="5"/>
        <v>0</v>
      </c>
      <c r="W33" s="750">
        <v>1</v>
      </c>
      <c r="X33" s="751">
        <f t="shared" si="2"/>
        <v>0</v>
      </c>
    </row>
    <row r="34" spans="2:24">
      <c r="B34" s="746">
        <f t="shared" si="3"/>
        <v>2021</v>
      </c>
      <c r="C34" s="858">
        <f>'[3]Fraksi pengelolaan sampah BaU'!F39</f>
        <v>1.6411368214159272</v>
      </c>
      <c r="D34" s="739">
        <v>1</v>
      </c>
      <c r="E34" s="740">
        <f t="shared" si="7"/>
        <v>0.435</v>
      </c>
      <c r="F34" s="740">
        <f t="shared" si="7"/>
        <v>0.129</v>
      </c>
      <c r="G34" s="740">
        <f t="shared" si="6"/>
        <v>0</v>
      </c>
      <c r="H34" s="740">
        <f t="shared" si="7"/>
        <v>0</v>
      </c>
      <c r="I34" s="740">
        <f t="shared" si="6"/>
        <v>9.9000000000000005E-2</v>
      </c>
      <c r="J34" s="740">
        <f t="shared" si="7"/>
        <v>2.7E-2</v>
      </c>
      <c r="K34" s="740">
        <f t="shared" si="7"/>
        <v>8.9999999999999993E-3</v>
      </c>
      <c r="L34" s="740">
        <f t="shared" si="7"/>
        <v>7.1999999999999995E-2</v>
      </c>
      <c r="M34" s="740">
        <f t="shared" si="7"/>
        <v>3.3000000000000002E-2</v>
      </c>
      <c r="N34" s="740">
        <f t="shared" si="7"/>
        <v>0.04</v>
      </c>
      <c r="O34" s="740">
        <f t="shared" si="7"/>
        <v>0.156</v>
      </c>
      <c r="P34" s="747">
        <f t="shared" si="1"/>
        <v>1</v>
      </c>
      <c r="S34" s="746">
        <f t="shared" si="4"/>
        <v>2021</v>
      </c>
      <c r="T34" s="748">
        <v>0</v>
      </c>
      <c r="U34" s="748">
        <v>5</v>
      </c>
      <c r="V34" s="749">
        <f t="shared" si="5"/>
        <v>0</v>
      </c>
      <c r="W34" s="750">
        <v>1</v>
      </c>
      <c r="X34" s="751">
        <f t="shared" si="2"/>
        <v>0</v>
      </c>
    </row>
    <row r="35" spans="2:24">
      <c r="B35" s="746">
        <f t="shared" si="3"/>
        <v>2022</v>
      </c>
      <c r="C35" s="858">
        <f>'[3]Fraksi pengelolaan sampah BaU'!F40</f>
        <v>1.8075522191850022</v>
      </c>
      <c r="D35" s="739">
        <v>1</v>
      </c>
      <c r="E35" s="740">
        <f t="shared" si="7"/>
        <v>0.435</v>
      </c>
      <c r="F35" s="740">
        <f t="shared" si="7"/>
        <v>0.129</v>
      </c>
      <c r="G35" s="740">
        <f t="shared" si="6"/>
        <v>0</v>
      </c>
      <c r="H35" s="740">
        <f t="shared" si="7"/>
        <v>0</v>
      </c>
      <c r="I35" s="740">
        <f t="shared" si="6"/>
        <v>9.9000000000000005E-2</v>
      </c>
      <c r="J35" s="740">
        <f t="shared" si="7"/>
        <v>2.7E-2</v>
      </c>
      <c r="K35" s="740">
        <f t="shared" si="7"/>
        <v>8.9999999999999993E-3</v>
      </c>
      <c r="L35" s="740">
        <f t="shared" si="7"/>
        <v>7.1999999999999995E-2</v>
      </c>
      <c r="M35" s="740">
        <f t="shared" si="7"/>
        <v>3.3000000000000002E-2</v>
      </c>
      <c r="N35" s="740">
        <f t="shared" si="7"/>
        <v>0.04</v>
      </c>
      <c r="O35" s="740">
        <f t="shared" si="7"/>
        <v>0.156</v>
      </c>
      <c r="P35" s="747">
        <f t="shared" si="1"/>
        <v>1</v>
      </c>
      <c r="S35" s="746">
        <f t="shared" si="4"/>
        <v>2022</v>
      </c>
      <c r="T35" s="748">
        <v>0</v>
      </c>
      <c r="U35" s="748">
        <v>5</v>
      </c>
      <c r="V35" s="749">
        <f t="shared" si="5"/>
        <v>0</v>
      </c>
      <c r="W35" s="750">
        <v>1</v>
      </c>
      <c r="X35" s="751">
        <f t="shared" si="2"/>
        <v>0</v>
      </c>
    </row>
    <row r="36" spans="2:24">
      <c r="B36" s="746">
        <f t="shared" si="3"/>
        <v>2023</v>
      </c>
      <c r="C36" s="858">
        <f>'[3]Fraksi pengelolaan sampah BaU'!F41</f>
        <v>1.9895186469070369</v>
      </c>
      <c r="D36" s="739">
        <v>1</v>
      </c>
      <c r="E36" s="740">
        <f t="shared" si="7"/>
        <v>0.435</v>
      </c>
      <c r="F36" s="740">
        <f t="shared" si="7"/>
        <v>0.129</v>
      </c>
      <c r="G36" s="740">
        <f t="shared" si="6"/>
        <v>0</v>
      </c>
      <c r="H36" s="740">
        <f t="shared" si="7"/>
        <v>0</v>
      </c>
      <c r="I36" s="740">
        <f t="shared" si="6"/>
        <v>9.9000000000000005E-2</v>
      </c>
      <c r="J36" s="740">
        <f t="shared" si="7"/>
        <v>2.7E-2</v>
      </c>
      <c r="K36" s="740">
        <f t="shared" si="7"/>
        <v>8.9999999999999993E-3</v>
      </c>
      <c r="L36" s="740">
        <f t="shared" si="7"/>
        <v>7.1999999999999995E-2</v>
      </c>
      <c r="M36" s="740">
        <f t="shared" si="7"/>
        <v>3.3000000000000002E-2</v>
      </c>
      <c r="N36" s="740">
        <f t="shared" si="7"/>
        <v>0.04</v>
      </c>
      <c r="O36" s="740">
        <f t="shared" si="7"/>
        <v>0.156</v>
      </c>
      <c r="P36" s="747">
        <f t="shared" si="1"/>
        <v>1</v>
      </c>
      <c r="S36" s="746">
        <f t="shared" si="4"/>
        <v>2023</v>
      </c>
      <c r="T36" s="748">
        <v>0</v>
      </c>
      <c r="U36" s="748">
        <v>5</v>
      </c>
      <c r="V36" s="749">
        <f t="shared" si="5"/>
        <v>0</v>
      </c>
      <c r="W36" s="750">
        <v>1</v>
      </c>
      <c r="X36" s="751">
        <f t="shared" si="2"/>
        <v>0</v>
      </c>
    </row>
    <row r="37" spans="2:24">
      <c r="B37" s="746">
        <f t="shared" si="3"/>
        <v>2024</v>
      </c>
      <c r="C37" s="858">
        <f>'[3]Fraksi pengelolaan sampah BaU'!F42</f>
        <v>2.1884197273004515</v>
      </c>
      <c r="D37" s="739">
        <v>1</v>
      </c>
      <c r="E37" s="740">
        <f t="shared" si="7"/>
        <v>0.435</v>
      </c>
      <c r="F37" s="740">
        <f t="shared" si="7"/>
        <v>0.129</v>
      </c>
      <c r="G37" s="740">
        <f t="shared" si="6"/>
        <v>0</v>
      </c>
      <c r="H37" s="740">
        <f t="shared" si="7"/>
        <v>0</v>
      </c>
      <c r="I37" s="740">
        <f t="shared" si="6"/>
        <v>9.9000000000000005E-2</v>
      </c>
      <c r="J37" s="740">
        <f t="shared" si="7"/>
        <v>2.7E-2</v>
      </c>
      <c r="K37" s="740">
        <f t="shared" si="7"/>
        <v>8.9999999999999993E-3</v>
      </c>
      <c r="L37" s="740">
        <f t="shared" si="7"/>
        <v>7.1999999999999995E-2</v>
      </c>
      <c r="M37" s="740">
        <f t="shared" si="7"/>
        <v>3.3000000000000002E-2</v>
      </c>
      <c r="N37" s="740">
        <f t="shared" si="7"/>
        <v>0.04</v>
      </c>
      <c r="O37" s="740">
        <f t="shared" si="7"/>
        <v>0.156</v>
      </c>
      <c r="P37" s="747">
        <f t="shared" si="1"/>
        <v>1</v>
      </c>
      <c r="S37" s="746">
        <f t="shared" si="4"/>
        <v>2024</v>
      </c>
      <c r="T37" s="748">
        <v>0</v>
      </c>
      <c r="U37" s="748">
        <v>5</v>
      </c>
      <c r="V37" s="749">
        <f t="shared" si="5"/>
        <v>0</v>
      </c>
      <c r="W37" s="750">
        <v>1</v>
      </c>
      <c r="X37" s="751">
        <f t="shared" si="2"/>
        <v>0</v>
      </c>
    </row>
    <row r="38" spans="2:24">
      <c r="B38" s="746">
        <f t="shared" si="3"/>
        <v>2025</v>
      </c>
      <c r="C38" s="858">
        <f>'[3]Fraksi pengelolaan sampah BaU'!F43</f>
        <v>2.4057582205619372</v>
      </c>
      <c r="D38" s="739">
        <v>1</v>
      </c>
      <c r="E38" s="740">
        <f t="shared" si="7"/>
        <v>0.435</v>
      </c>
      <c r="F38" s="740">
        <f t="shared" si="7"/>
        <v>0.129</v>
      </c>
      <c r="G38" s="740">
        <f t="shared" si="6"/>
        <v>0</v>
      </c>
      <c r="H38" s="740">
        <f t="shared" si="7"/>
        <v>0</v>
      </c>
      <c r="I38" s="740">
        <f t="shared" si="6"/>
        <v>9.9000000000000005E-2</v>
      </c>
      <c r="J38" s="740">
        <f t="shared" si="7"/>
        <v>2.7E-2</v>
      </c>
      <c r="K38" s="740">
        <f t="shared" si="7"/>
        <v>8.9999999999999993E-3</v>
      </c>
      <c r="L38" s="740">
        <f t="shared" si="7"/>
        <v>7.1999999999999995E-2</v>
      </c>
      <c r="M38" s="740">
        <f t="shared" si="7"/>
        <v>3.3000000000000002E-2</v>
      </c>
      <c r="N38" s="740">
        <f t="shared" si="7"/>
        <v>0.04</v>
      </c>
      <c r="O38" s="740">
        <f t="shared" si="7"/>
        <v>0.156</v>
      </c>
      <c r="P38" s="747">
        <f t="shared" si="1"/>
        <v>1</v>
      </c>
      <c r="S38" s="746">
        <f t="shared" si="4"/>
        <v>2025</v>
      </c>
      <c r="T38" s="748">
        <v>0</v>
      </c>
      <c r="U38" s="748">
        <v>5</v>
      </c>
      <c r="V38" s="749">
        <f t="shared" si="5"/>
        <v>0</v>
      </c>
      <c r="W38" s="750">
        <v>1</v>
      </c>
      <c r="X38" s="751">
        <f t="shared" si="2"/>
        <v>0</v>
      </c>
    </row>
    <row r="39" spans="2:24">
      <c r="B39" s="746">
        <f t="shared" si="3"/>
        <v>2026</v>
      </c>
      <c r="C39" s="858">
        <f>'[3]Fraksi pengelolaan sampah BaU'!F44</f>
        <v>2.6431660451128161</v>
      </c>
      <c r="D39" s="739">
        <v>1</v>
      </c>
      <c r="E39" s="740">
        <f t="shared" si="7"/>
        <v>0.435</v>
      </c>
      <c r="F39" s="740">
        <f t="shared" si="7"/>
        <v>0.129</v>
      </c>
      <c r="G39" s="740">
        <f t="shared" si="7"/>
        <v>0</v>
      </c>
      <c r="H39" s="740">
        <f t="shared" si="7"/>
        <v>0</v>
      </c>
      <c r="I39" s="740">
        <f t="shared" si="7"/>
        <v>9.9000000000000005E-2</v>
      </c>
      <c r="J39" s="740">
        <f t="shared" si="7"/>
        <v>2.7E-2</v>
      </c>
      <c r="K39" s="740">
        <f t="shared" si="7"/>
        <v>8.9999999999999993E-3</v>
      </c>
      <c r="L39" s="740">
        <f t="shared" si="7"/>
        <v>7.1999999999999995E-2</v>
      </c>
      <c r="M39" s="740">
        <f t="shared" si="7"/>
        <v>3.3000000000000002E-2</v>
      </c>
      <c r="N39" s="740">
        <f t="shared" si="7"/>
        <v>0.04</v>
      </c>
      <c r="O39" s="740">
        <f t="shared" si="7"/>
        <v>0.156</v>
      </c>
      <c r="P39" s="747">
        <f t="shared" si="1"/>
        <v>1</v>
      </c>
      <c r="S39" s="746">
        <f t="shared" si="4"/>
        <v>2026</v>
      </c>
      <c r="T39" s="748">
        <v>0</v>
      </c>
      <c r="U39" s="748">
        <v>5</v>
      </c>
      <c r="V39" s="749">
        <f t="shared" si="5"/>
        <v>0</v>
      </c>
      <c r="W39" s="750">
        <v>1</v>
      </c>
      <c r="X39" s="751">
        <f t="shared" si="2"/>
        <v>0</v>
      </c>
    </row>
    <row r="40" spans="2:24">
      <c r="B40" s="746">
        <f t="shared" si="3"/>
        <v>2027</v>
      </c>
      <c r="C40" s="858">
        <f>'[3]Fraksi pengelolaan sampah BaU'!F45</f>
        <v>2.9024151264907476</v>
      </c>
      <c r="D40" s="739">
        <v>1</v>
      </c>
      <c r="E40" s="740">
        <f t="shared" si="7"/>
        <v>0.435</v>
      </c>
      <c r="F40" s="740">
        <f t="shared" si="7"/>
        <v>0.129</v>
      </c>
      <c r="G40" s="740">
        <f t="shared" si="7"/>
        <v>0</v>
      </c>
      <c r="H40" s="740">
        <f t="shared" si="7"/>
        <v>0</v>
      </c>
      <c r="I40" s="740">
        <f t="shared" si="7"/>
        <v>9.9000000000000005E-2</v>
      </c>
      <c r="J40" s="740">
        <f t="shared" si="7"/>
        <v>2.7E-2</v>
      </c>
      <c r="K40" s="740">
        <f t="shared" si="7"/>
        <v>8.9999999999999993E-3</v>
      </c>
      <c r="L40" s="740">
        <f t="shared" si="7"/>
        <v>7.1999999999999995E-2</v>
      </c>
      <c r="M40" s="740">
        <f t="shared" si="7"/>
        <v>3.3000000000000002E-2</v>
      </c>
      <c r="N40" s="740">
        <f t="shared" si="7"/>
        <v>0.04</v>
      </c>
      <c r="O40" s="740">
        <f t="shared" si="7"/>
        <v>0.156</v>
      </c>
      <c r="P40" s="747">
        <f t="shared" si="1"/>
        <v>1</v>
      </c>
      <c r="S40" s="746">
        <f t="shared" si="4"/>
        <v>2027</v>
      </c>
      <c r="T40" s="748">
        <v>0</v>
      </c>
      <c r="U40" s="748">
        <v>5</v>
      </c>
      <c r="V40" s="749">
        <f t="shared" si="5"/>
        <v>0</v>
      </c>
      <c r="W40" s="750">
        <v>1</v>
      </c>
      <c r="X40" s="751">
        <f t="shared" si="2"/>
        <v>0</v>
      </c>
    </row>
    <row r="41" spans="2:24">
      <c r="B41" s="746">
        <f t="shared" si="3"/>
        <v>2028</v>
      </c>
      <c r="C41" s="858">
        <f>'[3]Fraksi pengelolaan sampah BaU'!F46</f>
        <v>3.1854291418954523</v>
      </c>
      <c r="D41" s="739">
        <v>1</v>
      </c>
      <c r="E41" s="740">
        <f t="shared" si="7"/>
        <v>0.435</v>
      </c>
      <c r="F41" s="740">
        <f t="shared" si="7"/>
        <v>0.129</v>
      </c>
      <c r="G41" s="740">
        <f t="shared" si="7"/>
        <v>0</v>
      </c>
      <c r="H41" s="740">
        <f t="shared" si="7"/>
        <v>0</v>
      </c>
      <c r="I41" s="740">
        <f t="shared" si="7"/>
        <v>9.9000000000000005E-2</v>
      </c>
      <c r="J41" s="740">
        <f t="shared" si="7"/>
        <v>2.7E-2</v>
      </c>
      <c r="K41" s="740">
        <f t="shared" si="7"/>
        <v>8.9999999999999993E-3</v>
      </c>
      <c r="L41" s="740">
        <f t="shared" si="7"/>
        <v>7.1999999999999995E-2</v>
      </c>
      <c r="M41" s="740">
        <f t="shared" si="7"/>
        <v>3.3000000000000002E-2</v>
      </c>
      <c r="N41" s="740">
        <f t="shared" si="7"/>
        <v>0.04</v>
      </c>
      <c r="O41" s="740">
        <f t="shared" si="7"/>
        <v>0.156</v>
      </c>
      <c r="P41" s="747">
        <f t="shared" si="1"/>
        <v>1</v>
      </c>
      <c r="S41" s="746">
        <f t="shared" si="4"/>
        <v>2028</v>
      </c>
      <c r="T41" s="748">
        <v>0</v>
      </c>
      <c r="U41" s="748">
        <v>5</v>
      </c>
      <c r="V41" s="749">
        <f t="shared" si="5"/>
        <v>0</v>
      </c>
      <c r="W41" s="750">
        <v>1</v>
      </c>
      <c r="X41" s="751">
        <f t="shared" si="2"/>
        <v>0</v>
      </c>
    </row>
    <row r="42" spans="2:24">
      <c r="B42" s="746">
        <f t="shared" si="3"/>
        <v>2029</v>
      </c>
      <c r="C42" s="858">
        <f>'[3]Fraksi pengelolaan sampah BaU'!F47</f>
        <v>3.4942962333401746</v>
      </c>
      <c r="D42" s="739">
        <v>1</v>
      </c>
      <c r="E42" s="740">
        <f t="shared" si="7"/>
        <v>0.435</v>
      </c>
      <c r="F42" s="740">
        <f t="shared" si="7"/>
        <v>0.129</v>
      </c>
      <c r="G42" s="740">
        <f t="shared" si="7"/>
        <v>0</v>
      </c>
      <c r="H42" s="740">
        <f t="shared" si="7"/>
        <v>0</v>
      </c>
      <c r="I42" s="740">
        <f t="shared" si="7"/>
        <v>9.9000000000000005E-2</v>
      </c>
      <c r="J42" s="740">
        <f t="shared" si="7"/>
        <v>2.7E-2</v>
      </c>
      <c r="K42" s="740">
        <f t="shared" si="7"/>
        <v>8.9999999999999993E-3</v>
      </c>
      <c r="L42" s="740">
        <f t="shared" si="7"/>
        <v>7.1999999999999995E-2</v>
      </c>
      <c r="M42" s="740">
        <f t="shared" si="7"/>
        <v>3.3000000000000002E-2</v>
      </c>
      <c r="N42" s="740">
        <f t="shared" si="7"/>
        <v>0.04</v>
      </c>
      <c r="O42" s="740">
        <f t="shared" si="7"/>
        <v>0.156</v>
      </c>
      <c r="P42" s="747">
        <f t="shared" si="1"/>
        <v>1</v>
      </c>
      <c r="S42" s="746">
        <f t="shared" si="4"/>
        <v>2029</v>
      </c>
      <c r="T42" s="748">
        <v>0</v>
      </c>
      <c r="U42" s="748">
        <v>5</v>
      </c>
      <c r="V42" s="749">
        <f t="shared" si="5"/>
        <v>0</v>
      </c>
      <c r="W42" s="750">
        <v>1</v>
      </c>
      <c r="X42" s="751">
        <f t="shared" si="2"/>
        <v>0</v>
      </c>
    </row>
    <row r="43" spans="2:24">
      <c r="B43" s="746">
        <f t="shared" si="3"/>
        <v>2030</v>
      </c>
      <c r="C43" s="858">
        <f>'[3]Fraksi pengelolaan sampah BaU'!F48</f>
        <v>3.8325499999999999</v>
      </c>
      <c r="D43" s="739">
        <v>1</v>
      </c>
      <c r="E43" s="740">
        <f t="shared" ref="E43:O58" si="8">E$8</f>
        <v>0.435</v>
      </c>
      <c r="F43" s="740">
        <f t="shared" si="8"/>
        <v>0.129</v>
      </c>
      <c r="G43" s="740">
        <f t="shared" si="7"/>
        <v>0</v>
      </c>
      <c r="H43" s="740">
        <f t="shared" si="8"/>
        <v>0</v>
      </c>
      <c r="I43" s="740">
        <f t="shared" si="7"/>
        <v>9.9000000000000005E-2</v>
      </c>
      <c r="J43" s="740">
        <f t="shared" si="8"/>
        <v>2.7E-2</v>
      </c>
      <c r="K43" s="740">
        <f t="shared" si="8"/>
        <v>8.9999999999999993E-3</v>
      </c>
      <c r="L43" s="740">
        <f t="shared" si="8"/>
        <v>7.1999999999999995E-2</v>
      </c>
      <c r="M43" s="740">
        <f t="shared" si="8"/>
        <v>3.3000000000000002E-2</v>
      </c>
      <c r="N43" s="740">
        <f t="shared" si="8"/>
        <v>0.04</v>
      </c>
      <c r="O43" s="740">
        <f t="shared" si="8"/>
        <v>0.156</v>
      </c>
      <c r="P43" s="747">
        <f t="shared" si="1"/>
        <v>1</v>
      </c>
      <c r="S43" s="746">
        <f t="shared" si="4"/>
        <v>2030</v>
      </c>
      <c r="T43" s="748">
        <v>0</v>
      </c>
      <c r="U43" s="748">
        <v>5</v>
      </c>
      <c r="V43" s="749">
        <f t="shared" si="5"/>
        <v>0</v>
      </c>
      <c r="W43" s="750">
        <v>1</v>
      </c>
      <c r="X43" s="751">
        <f t="shared" si="2"/>
        <v>0</v>
      </c>
    </row>
    <row r="44" spans="2:24">
      <c r="B44" s="746">
        <f t="shared" si="3"/>
        <v>2031</v>
      </c>
      <c r="C44" s="752"/>
      <c r="D44" s="739">
        <v>1</v>
      </c>
      <c r="E44" s="740">
        <f t="shared" si="8"/>
        <v>0.435</v>
      </c>
      <c r="F44" s="740">
        <f t="shared" si="8"/>
        <v>0.129</v>
      </c>
      <c r="G44" s="740">
        <f t="shared" si="7"/>
        <v>0</v>
      </c>
      <c r="H44" s="740">
        <f t="shared" si="8"/>
        <v>0</v>
      </c>
      <c r="I44" s="740">
        <f t="shared" si="7"/>
        <v>9.9000000000000005E-2</v>
      </c>
      <c r="J44" s="740">
        <f t="shared" si="8"/>
        <v>2.7E-2</v>
      </c>
      <c r="K44" s="740">
        <f t="shared" si="8"/>
        <v>8.9999999999999993E-3</v>
      </c>
      <c r="L44" s="740">
        <f t="shared" si="8"/>
        <v>7.1999999999999995E-2</v>
      </c>
      <c r="M44" s="740">
        <f t="shared" si="8"/>
        <v>3.3000000000000002E-2</v>
      </c>
      <c r="N44" s="740">
        <f t="shared" si="8"/>
        <v>0.04</v>
      </c>
      <c r="O44" s="740">
        <f t="shared" si="8"/>
        <v>0.156</v>
      </c>
      <c r="P44" s="747">
        <f t="shared" si="1"/>
        <v>1</v>
      </c>
      <c r="S44" s="746">
        <f t="shared" si="4"/>
        <v>2031</v>
      </c>
      <c r="T44" s="748">
        <v>0</v>
      </c>
      <c r="U44" s="748">
        <v>5</v>
      </c>
      <c r="V44" s="749">
        <f t="shared" si="5"/>
        <v>0</v>
      </c>
      <c r="W44" s="750">
        <v>1</v>
      </c>
      <c r="X44" s="751">
        <f t="shared" si="2"/>
        <v>0</v>
      </c>
    </row>
    <row r="45" spans="2:24">
      <c r="B45" s="746">
        <f t="shared" si="3"/>
        <v>2032</v>
      </c>
      <c r="C45" s="752"/>
      <c r="D45" s="739">
        <v>1</v>
      </c>
      <c r="E45" s="740">
        <f t="shared" si="8"/>
        <v>0.435</v>
      </c>
      <c r="F45" s="740">
        <f t="shared" si="8"/>
        <v>0.129</v>
      </c>
      <c r="G45" s="740">
        <f t="shared" si="7"/>
        <v>0</v>
      </c>
      <c r="H45" s="740">
        <f t="shared" si="8"/>
        <v>0</v>
      </c>
      <c r="I45" s="740">
        <f t="shared" si="7"/>
        <v>9.9000000000000005E-2</v>
      </c>
      <c r="J45" s="740">
        <f t="shared" si="8"/>
        <v>2.7E-2</v>
      </c>
      <c r="K45" s="740">
        <f t="shared" si="8"/>
        <v>8.9999999999999993E-3</v>
      </c>
      <c r="L45" s="740">
        <f t="shared" si="8"/>
        <v>7.1999999999999995E-2</v>
      </c>
      <c r="M45" s="740">
        <f t="shared" si="8"/>
        <v>3.3000000000000002E-2</v>
      </c>
      <c r="N45" s="740">
        <f t="shared" si="8"/>
        <v>0.04</v>
      </c>
      <c r="O45" s="740">
        <f t="shared" si="8"/>
        <v>0.156</v>
      </c>
      <c r="P45" s="747">
        <f t="shared" ref="P45:P76" si="9">SUM(E45:O45)</f>
        <v>1</v>
      </c>
      <c r="S45" s="746">
        <f t="shared" si="4"/>
        <v>2032</v>
      </c>
      <c r="T45" s="748">
        <v>0</v>
      </c>
      <c r="U45" s="748">
        <v>5</v>
      </c>
      <c r="V45" s="749">
        <f t="shared" si="5"/>
        <v>0</v>
      </c>
      <c r="W45" s="750">
        <v>1</v>
      </c>
      <c r="X45" s="751">
        <f t="shared" ref="X45:X76" si="10">V45*W45</f>
        <v>0</v>
      </c>
    </row>
    <row r="46" spans="2:24">
      <c r="B46" s="746">
        <f t="shared" ref="B46:B77" si="11">B45+1</f>
        <v>2033</v>
      </c>
      <c r="C46" s="752"/>
      <c r="D46" s="739">
        <v>1</v>
      </c>
      <c r="E46" s="740">
        <f t="shared" si="8"/>
        <v>0.435</v>
      </c>
      <c r="F46" s="740">
        <f t="shared" si="8"/>
        <v>0.129</v>
      </c>
      <c r="G46" s="740">
        <f t="shared" si="7"/>
        <v>0</v>
      </c>
      <c r="H46" s="740">
        <f t="shared" si="8"/>
        <v>0</v>
      </c>
      <c r="I46" s="740">
        <f t="shared" si="7"/>
        <v>9.9000000000000005E-2</v>
      </c>
      <c r="J46" s="740">
        <f t="shared" si="8"/>
        <v>2.7E-2</v>
      </c>
      <c r="K46" s="740">
        <f t="shared" si="8"/>
        <v>8.9999999999999993E-3</v>
      </c>
      <c r="L46" s="740">
        <f t="shared" si="8"/>
        <v>7.1999999999999995E-2</v>
      </c>
      <c r="M46" s="740">
        <f t="shared" si="8"/>
        <v>3.3000000000000002E-2</v>
      </c>
      <c r="N46" s="740">
        <f t="shared" si="8"/>
        <v>0.04</v>
      </c>
      <c r="O46" s="740">
        <f t="shared" si="8"/>
        <v>0.156</v>
      </c>
      <c r="P46" s="747">
        <f t="shared" si="9"/>
        <v>1</v>
      </c>
      <c r="S46" s="746">
        <f t="shared" si="4"/>
        <v>2033</v>
      </c>
      <c r="T46" s="748">
        <v>0</v>
      </c>
      <c r="U46" s="748">
        <v>5</v>
      </c>
      <c r="V46" s="749">
        <f t="shared" si="5"/>
        <v>0</v>
      </c>
      <c r="W46" s="750">
        <v>1</v>
      </c>
      <c r="X46" s="751">
        <f t="shared" si="10"/>
        <v>0</v>
      </c>
    </row>
    <row r="47" spans="2:24">
      <c r="B47" s="746">
        <f t="shared" si="11"/>
        <v>2034</v>
      </c>
      <c r="C47" s="752"/>
      <c r="D47" s="739">
        <v>1</v>
      </c>
      <c r="E47" s="740">
        <f t="shared" si="8"/>
        <v>0.435</v>
      </c>
      <c r="F47" s="740">
        <f t="shared" si="8"/>
        <v>0.129</v>
      </c>
      <c r="G47" s="740">
        <f t="shared" si="7"/>
        <v>0</v>
      </c>
      <c r="H47" s="740">
        <f t="shared" si="8"/>
        <v>0</v>
      </c>
      <c r="I47" s="740">
        <f t="shared" si="7"/>
        <v>9.9000000000000005E-2</v>
      </c>
      <c r="J47" s="740">
        <f t="shared" si="8"/>
        <v>2.7E-2</v>
      </c>
      <c r="K47" s="740">
        <f t="shared" si="8"/>
        <v>8.9999999999999993E-3</v>
      </c>
      <c r="L47" s="740">
        <f t="shared" si="8"/>
        <v>7.1999999999999995E-2</v>
      </c>
      <c r="M47" s="740">
        <f t="shared" si="8"/>
        <v>3.3000000000000002E-2</v>
      </c>
      <c r="N47" s="740">
        <f t="shared" si="8"/>
        <v>0.04</v>
      </c>
      <c r="O47" s="740">
        <f t="shared" si="8"/>
        <v>0.156</v>
      </c>
      <c r="P47" s="747">
        <f t="shared" si="9"/>
        <v>1</v>
      </c>
      <c r="S47" s="746">
        <f t="shared" si="4"/>
        <v>2034</v>
      </c>
      <c r="T47" s="748">
        <v>0</v>
      </c>
      <c r="U47" s="748">
        <v>5</v>
      </c>
      <c r="V47" s="749">
        <f t="shared" si="5"/>
        <v>0</v>
      </c>
      <c r="W47" s="750">
        <v>1</v>
      </c>
      <c r="X47" s="751">
        <f t="shared" si="10"/>
        <v>0</v>
      </c>
    </row>
    <row r="48" spans="2:24">
      <c r="B48" s="746">
        <f t="shared" si="11"/>
        <v>2035</v>
      </c>
      <c r="C48" s="752"/>
      <c r="D48" s="739">
        <v>1</v>
      </c>
      <c r="E48" s="740">
        <f t="shared" si="8"/>
        <v>0.435</v>
      </c>
      <c r="F48" s="740">
        <f t="shared" si="8"/>
        <v>0.129</v>
      </c>
      <c r="G48" s="740">
        <f t="shared" si="7"/>
        <v>0</v>
      </c>
      <c r="H48" s="740">
        <f t="shared" si="8"/>
        <v>0</v>
      </c>
      <c r="I48" s="740">
        <f t="shared" si="7"/>
        <v>9.9000000000000005E-2</v>
      </c>
      <c r="J48" s="740">
        <f t="shared" si="8"/>
        <v>2.7E-2</v>
      </c>
      <c r="K48" s="740">
        <f t="shared" si="8"/>
        <v>8.9999999999999993E-3</v>
      </c>
      <c r="L48" s="740">
        <f t="shared" si="8"/>
        <v>7.1999999999999995E-2</v>
      </c>
      <c r="M48" s="740">
        <f t="shared" si="8"/>
        <v>3.3000000000000002E-2</v>
      </c>
      <c r="N48" s="740">
        <f t="shared" si="8"/>
        <v>0.04</v>
      </c>
      <c r="O48" s="740">
        <f t="shared" si="8"/>
        <v>0.156</v>
      </c>
      <c r="P48" s="747">
        <f t="shared" si="9"/>
        <v>1</v>
      </c>
      <c r="S48" s="746">
        <f t="shared" si="4"/>
        <v>2035</v>
      </c>
      <c r="T48" s="748">
        <v>0</v>
      </c>
      <c r="U48" s="748">
        <v>5</v>
      </c>
      <c r="V48" s="749">
        <f t="shared" si="5"/>
        <v>0</v>
      </c>
      <c r="W48" s="750">
        <v>1</v>
      </c>
      <c r="X48" s="751">
        <f t="shared" si="10"/>
        <v>0</v>
      </c>
    </row>
    <row r="49" spans="2:24">
      <c r="B49" s="746">
        <f t="shared" si="11"/>
        <v>2036</v>
      </c>
      <c r="C49" s="752"/>
      <c r="D49" s="739">
        <v>1</v>
      </c>
      <c r="E49" s="740">
        <f t="shared" si="8"/>
        <v>0.435</v>
      </c>
      <c r="F49" s="740">
        <f t="shared" si="8"/>
        <v>0.129</v>
      </c>
      <c r="G49" s="740">
        <f t="shared" si="8"/>
        <v>0</v>
      </c>
      <c r="H49" s="740">
        <f t="shared" si="8"/>
        <v>0</v>
      </c>
      <c r="I49" s="740">
        <f t="shared" si="8"/>
        <v>9.9000000000000005E-2</v>
      </c>
      <c r="J49" s="740">
        <f t="shared" si="8"/>
        <v>2.7E-2</v>
      </c>
      <c r="K49" s="740">
        <f t="shared" si="8"/>
        <v>8.9999999999999993E-3</v>
      </c>
      <c r="L49" s="740">
        <f t="shared" si="8"/>
        <v>7.1999999999999995E-2</v>
      </c>
      <c r="M49" s="740">
        <f t="shared" si="8"/>
        <v>3.3000000000000002E-2</v>
      </c>
      <c r="N49" s="740">
        <f t="shared" si="8"/>
        <v>0.04</v>
      </c>
      <c r="O49" s="740">
        <f t="shared" si="8"/>
        <v>0.156</v>
      </c>
      <c r="P49" s="747">
        <f t="shared" si="9"/>
        <v>1</v>
      </c>
      <c r="S49" s="746">
        <f t="shared" si="4"/>
        <v>2036</v>
      </c>
      <c r="T49" s="748">
        <v>0</v>
      </c>
      <c r="U49" s="748">
        <v>5</v>
      </c>
      <c r="V49" s="749">
        <f t="shared" si="5"/>
        <v>0</v>
      </c>
      <c r="W49" s="750">
        <v>1</v>
      </c>
      <c r="X49" s="751">
        <f t="shared" si="10"/>
        <v>0</v>
      </c>
    </row>
    <row r="50" spans="2:24">
      <c r="B50" s="746">
        <f t="shared" si="11"/>
        <v>2037</v>
      </c>
      <c r="C50" s="752"/>
      <c r="D50" s="739">
        <v>1</v>
      </c>
      <c r="E50" s="740">
        <f t="shared" si="8"/>
        <v>0.435</v>
      </c>
      <c r="F50" s="740">
        <f t="shared" si="8"/>
        <v>0.129</v>
      </c>
      <c r="G50" s="740">
        <f t="shared" si="8"/>
        <v>0</v>
      </c>
      <c r="H50" s="740">
        <f t="shared" si="8"/>
        <v>0</v>
      </c>
      <c r="I50" s="740">
        <f t="shared" si="8"/>
        <v>9.9000000000000005E-2</v>
      </c>
      <c r="J50" s="740">
        <f t="shared" si="8"/>
        <v>2.7E-2</v>
      </c>
      <c r="K50" s="740">
        <f t="shared" si="8"/>
        <v>8.9999999999999993E-3</v>
      </c>
      <c r="L50" s="740">
        <f t="shared" si="8"/>
        <v>7.1999999999999995E-2</v>
      </c>
      <c r="M50" s="740">
        <f t="shared" si="8"/>
        <v>3.3000000000000002E-2</v>
      </c>
      <c r="N50" s="740">
        <f t="shared" si="8"/>
        <v>0.04</v>
      </c>
      <c r="O50" s="740">
        <f t="shared" si="8"/>
        <v>0.156</v>
      </c>
      <c r="P50" s="747">
        <f t="shared" si="9"/>
        <v>1</v>
      </c>
      <c r="S50" s="746">
        <f t="shared" si="4"/>
        <v>2037</v>
      </c>
      <c r="T50" s="748">
        <v>0</v>
      </c>
      <c r="U50" s="748">
        <v>5</v>
      </c>
      <c r="V50" s="749">
        <f t="shared" si="5"/>
        <v>0</v>
      </c>
      <c r="W50" s="750">
        <v>1</v>
      </c>
      <c r="X50" s="751">
        <f t="shared" si="10"/>
        <v>0</v>
      </c>
    </row>
    <row r="51" spans="2:24">
      <c r="B51" s="746">
        <f t="shared" si="11"/>
        <v>2038</v>
      </c>
      <c r="C51" s="752"/>
      <c r="D51" s="739">
        <v>1</v>
      </c>
      <c r="E51" s="740">
        <f t="shared" si="8"/>
        <v>0.435</v>
      </c>
      <c r="F51" s="740">
        <f t="shared" si="8"/>
        <v>0.129</v>
      </c>
      <c r="G51" s="740">
        <f t="shared" si="8"/>
        <v>0</v>
      </c>
      <c r="H51" s="740">
        <f t="shared" si="8"/>
        <v>0</v>
      </c>
      <c r="I51" s="740">
        <f t="shared" si="8"/>
        <v>9.9000000000000005E-2</v>
      </c>
      <c r="J51" s="740">
        <f t="shared" si="8"/>
        <v>2.7E-2</v>
      </c>
      <c r="K51" s="740">
        <f t="shared" si="8"/>
        <v>8.9999999999999993E-3</v>
      </c>
      <c r="L51" s="740">
        <f t="shared" si="8"/>
        <v>7.1999999999999995E-2</v>
      </c>
      <c r="M51" s="740">
        <f t="shared" si="8"/>
        <v>3.3000000000000002E-2</v>
      </c>
      <c r="N51" s="740">
        <f t="shared" si="8"/>
        <v>0.04</v>
      </c>
      <c r="O51" s="740">
        <f t="shared" si="8"/>
        <v>0.156</v>
      </c>
      <c r="P51" s="747">
        <f t="shared" si="9"/>
        <v>1</v>
      </c>
      <c r="S51" s="746">
        <f t="shared" si="4"/>
        <v>2038</v>
      </c>
      <c r="T51" s="748">
        <v>0</v>
      </c>
      <c r="U51" s="748">
        <v>5</v>
      </c>
      <c r="V51" s="749">
        <f t="shared" si="5"/>
        <v>0</v>
      </c>
      <c r="W51" s="750">
        <v>1</v>
      </c>
      <c r="X51" s="751">
        <f t="shared" si="10"/>
        <v>0</v>
      </c>
    </row>
    <row r="52" spans="2:24">
      <c r="B52" s="746">
        <f t="shared" si="11"/>
        <v>2039</v>
      </c>
      <c r="C52" s="752"/>
      <c r="D52" s="739">
        <v>1</v>
      </c>
      <c r="E52" s="740">
        <f t="shared" si="8"/>
        <v>0.435</v>
      </c>
      <c r="F52" s="740">
        <f t="shared" si="8"/>
        <v>0.129</v>
      </c>
      <c r="G52" s="740">
        <f t="shared" si="8"/>
        <v>0</v>
      </c>
      <c r="H52" s="740">
        <f t="shared" si="8"/>
        <v>0</v>
      </c>
      <c r="I52" s="740">
        <f t="shared" si="8"/>
        <v>9.9000000000000005E-2</v>
      </c>
      <c r="J52" s="740">
        <f t="shared" si="8"/>
        <v>2.7E-2</v>
      </c>
      <c r="K52" s="740">
        <f t="shared" si="8"/>
        <v>8.9999999999999993E-3</v>
      </c>
      <c r="L52" s="740">
        <f t="shared" si="8"/>
        <v>7.1999999999999995E-2</v>
      </c>
      <c r="M52" s="740">
        <f t="shared" si="8"/>
        <v>3.3000000000000002E-2</v>
      </c>
      <c r="N52" s="740">
        <f t="shared" si="8"/>
        <v>0.04</v>
      </c>
      <c r="O52" s="740">
        <f t="shared" si="8"/>
        <v>0.156</v>
      </c>
      <c r="P52" s="747">
        <f t="shared" si="9"/>
        <v>1</v>
      </c>
      <c r="S52" s="746">
        <f t="shared" si="4"/>
        <v>2039</v>
      </c>
      <c r="T52" s="748">
        <v>0</v>
      </c>
      <c r="U52" s="748">
        <v>5</v>
      </c>
      <c r="V52" s="749">
        <f t="shared" si="5"/>
        <v>0</v>
      </c>
      <c r="W52" s="750">
        <v>1</v>
      </c>
      <c r="X52" s="751">
        <f t="shared" si="10"/>
        <v>0</v>
      </c>
    </row>
    <row r="53" spans="2:24">
      <c r="B53" s="746">
        <f t="shared" si="11"/>
        <v>2040</v>
      </c>
      <c r="C53" s="752"/>
      <c r="D53" s="739">
        <v>1</v>
      </c>
      <c r="E53" s="740">
        <f t="shared" ref="E53:O68" si="12">E$8</f>
        <v>0.435</v>
      </c>
      <c r="F53" s="740">
        <f t="shared" si="12"/>
        <v>0.129</v>
      </c>
      <c r="G53" s="740">
        <f t="shared" si="8"/>
        <v>0</v>
      </c>
      <c r="H53" s="740">
        <f t="shared" si="12"/>
        <v>0</v>
      </c>
      <c r="I53" s="740">
        <f t="shared" si="8"/>
        <v>9.9000000000000005E-2</v>
      </c>
      <c r="J53" s="740">
        <f t="shared" si="12"/>
        <v>2.7E-2</v>
      </c>
      <c r="K53" s="740">
        <f t="shared" si="12"/>
        <v>8.9999999999999993E-3</v>
      </c>
      <c r="L53" s="740">
        <f t="shared" si="12"/>
        <v>7.1999999999999995E-2</v>
      </c>
      <c r="M53" s="740">
        <f t="shared" si="12"/>
        <v>3.3000000000000002E-2</v>
      </c>
      <c r="N53" s="740">
        <f t="shared" si="12"/>
        <v>0.04</v>
      </c>
      <c r="O53" s="740">
        <f t="shared" si="12"/>
        <v>0.156</v>
      </c>
      <c r="P53" s="747">
        <f t="shared" si="9"/>
        <v>1</v>
      </c>
      <c r="S53" s="746">
        <f t="shared" si="4"/>
        <v>2040</v>
      </c>
      <c r="T53" s="748">
        <v>0</v>
      </c>
      <c r="U53" s="748">
        <v>5</v>
      </c>
      <c r="V53" s="749">
        <f t="shared" si="5"/>
        <v>0</v>
      </c>
      <c r="W53" s="750">
        <v>1</v>
      </c>
      <c r="X53" s="751">
        <f t="shared" si="10"/>
        <v>0</v>
      </c>
    </row>
    <row r="54" spans="2:24">
      <c r="B54" s="746">
        <f t="shared" si="11"/>
        <v>2041</v>
      </c>
      <c r="C54" s="752"/>
      <c r="D54" s="739">
        <v>1</v>
      </c>
      <c r="E54" s="740">
        <f t="shared" si="12"/>
        <v>0.435</v>
      </c>
      <c r="F54" s="740">
        <f t="shared" si="12"/>
        <v>0.129</v>
      </c>
      <c r="G54" s="740">
        <f t="shared" si="8"/>
        <v>0</v>
      </c>
      <c r="H54" s="740">
        <f t="shared" si="12"/>
        <v>0</v>
      </c>
      <c r="I54" s="740">
        <f t="shared" si="8"/>
        <v>9.9000000000000005E-2</v>
      </c>
      <c r="J54" s="740">
        <f t="shared" si="12"/>
        <v>2.7E-2</v>
      </c>
      <c r="K54" s="740">
        <f t="shared" si="12"/>
        <v>8.9999999999999993E-3</v>
      </c>
      <c r="L54" s="740">
        <f t="shared" si="12"/>
        <v>7.1999999999999995E-2</v>
      </c>
      <c r="M54" s="740">
        <f t="shared" si="12"/>
        <v>3.3000000000000002E-2</v>
      </c>
      <c r="N54" s="740">
        <f t="shared" si="12"/>
        <v>0.04</v>
      </c>
      <c r="O54" s="740">
        <f t="shared" si="12"/>
        <v>0.156</v>
      </c>
      <c r="P54" s="747">
        <f t="shared" si="9"/>
        <v>1</v>
      </c>
      <c r="S54" s="746">
        <f t="shared" si="4"/>
        <v>2041</v>
      </c>
      <c r="T54" s="748">
        <v>0</v>
      </c>
      <c r="U54" s="748">
        <v>5</v>
      </c>
      <c r="V54" s="749">
        <f t="shared" si="5"/>
        <v>0</v>
      </c>
      <c r="W54" s="750">
        <v>1</v>
      </c>
      <c r="X54" s="751">
        <f t="shared" si="10"/>
        <v>0</v>
      </c>
    </row>
    <row r="55" spans="2:24">
      <c r="B55" s="746">
        <f t="shared" si="11"/>
        <v>2042</v>
      </c>
      <c r="C55" s="752"/>
      <c r="D55" s="739">
        <v>1</v>
      </c>
      <c r="E55" s="740">
        <f t="shared" si="12"/>
        <v>0.435</v>
      </c>
      <c r="F55" s="740">
        <f t="shared" si="12"/>
        <v>0.129</v>
      </c>
      <c r="G55" s="740">
        <f t="shared" si="8"/>
        <v>0</v>
      </c>
      <c r="H55" s="740">
        <f t="shared" si="12"/>
        <v>0</v>
      </c>
      <c r="I55" s="740">
        <f t="shared" si="8"/>
        <v>9.9000000000000005E-2</v>
      </c>
      <c r="J55" s="740">
        <f t="shared" si="12"/>
        <v>2.7E-2</v>
      </c>
      <c r="K55" s="740">
        <f t="shared" si="12"/>
        <v>8.9999999999999993E-3</v>
      </c>
      <c r="L55" s="740">
        <f t="shared" si="12"/>
        <v>7.1999999999999995E-2</v>
      </c>
      <c r="M55" s="740">
        <f t="shared" si="12"/>
        <v>3.3000000000000002E-2</v>
      </c>
      <c r="N55" s="740">
        <f t="shared" si="12"/>
        <v>0.04</v>
      </c>
      <c r="O55" s="740">
        <f t="shared" si="12"/>
        <v>0.156</v>
      </c>
      <c r="P55" s="747">
        <f t="shared" si="9"/>
        <v>1</v>
      </c>
      <c r="S55" s="746">
        <f t="shared" si="4"/>
        <v>2042</v>
      </c>
      <c r="T55" s="748">
        <v>0</v>
      </c>
      <c r="U55" s="748">
        <v>5</v>
      </c>
      <c r="V55" s="749">
        <f t="shared" si="5"/>
        <v>0</v>
      </c>
      <c r="W55" s="750">
        <v>1</v>
      </c>
      <c r="X55" s="751">
        <f t="shared" si="10"/>
        <v>0</v>
      </c>
    </row>
    <row r="56" spans="2:24">
      <c r="B56" s="746">
        <f t="shared" si="11"/>
        <v>2043</v>
      </c>
      <c r="C56" s="752"/>
      <c r="D56" s="739">
        <v>1</v>
      </c>
      <c r="E56" s="740">
        <f t="shared" si="12"/>
        <v>0.435</v>
      </c>
      <c r="F56" s="740">
        <f t="shared" si="12"/>
        <v>0.129</v>
      </c>
      <c r="G56" s="740">
        <f t="shared" si="8"/>
        <v>0</v>
      </c>
      <c r="H56" s="740">
        <f t="shared" si="12"/>
        <v>0</v>
      </c>
      <c r="I56" s="740">
        <f t="shared" si="8"/>
        <v>9.9000000000000005E-2</v>
      </c>
      <c r="J56" s="740">
        <f t="shared" si="12"/>
        <v>2.7E-2</v>
      </c>
      <c r="K56" s="740">
        <f t="shared" si="12"/>
        <v>8.9999999999999993E-3</v>
      </c>
      <c r="L56" s="740">
        <f t="shared" si="12"/>
        <v>7.1999999999999995E-2</v>
      </c>
      <c r="M56" s="740">
        <f t="shared" si="12"/>
        <v>3.3000000000000002E-2</v>
      </c>
      <c r="N56" s="740">
        <f t="shared" si="12"/>
        <v>0.04</v>
      </c>
      <c r="O56" s="740">
        <f t="shared" si="12"/>
        <v>0.156</v>
      </c>
      <c r="P56" s="747">
        <f t="shared" si="9"/>
        <v>1</v>
      </c>
      <c r="S56" s="746">
        <f t="shared" si="4"/>
        <v>2043</v>
      </c>
      <c r="T56" s="748">
        <v>0</v>
      </c>
      <c r="U56" s="748">
        <v>5</v>
      </c>
      <c r="V56" s="749">
        <f t="shared" si="5"/>
        <v>0</v>
      </c>
      <c r="W56" s="750">
        <v>1</v>
      </c>
      <c r="X56" s="751">
        <f t="shared" si="10"/>
        <v>0</v>
      </c>
    </row>
    <row r="57" spans="2:24">
      <c r="B57" s="746">
        <f t="shared" si="11"/>
        <v>2044</v>
      </c>
      <c r="C57" s="752"/>
      <c r="D57" s="739">
        <v>1</v>
      </c>
      <c r="E57" s="740">
        <f t="shared" si="12"/>
        <v>0.435</v>
      </c>
      <c r="F57" s="740">
        <f t="shared" si="12"/>
        <v>0.129</v>
      </c>
      <c r="G57" s="740">
        <f t="shared" si="8"/>
        <v>0</v>
      </c>
      <c r="H57" s="740">
        <f t="shared" si="12"/>
        <v>0</v>
      </c>
      <c r="I57" s="740">
        <f t="shared" si="8"/>
        <v>9.9000000000000005E-2</v>
      </c>
      <c r="J57" s="740">
        <f t="shared" si="12"/>
        <v>2.7E-2</v>
      </c>
      <c r="K57" s="740">
        <f t="shared" si="12"/>
        <v>8.9999999999999993E-3</v>
      </c>
      <c r="L57" s="740">
        <f t="shared" si="12"/>
        <v>7.1999999999999995E-2</v>
      </c>
      <c r="M57" s="740">
        <f t="shared" si="12"/>
        <v>3.3000000000000002E-2</v>
      </c>
      <c r="N57" s="740">
        <f t="shared" si="12"/>
        <v>0.04</v>
      </c>
      <c r="O57" s="740">
        <f t="shared" si="12"/>
        <v>0.156</v>
      </c>
      <c r="P57" s="747">
        <f t="shared" si="9"/>
        <v>1</v>
      </c>
      <c r="S57" s="746">
        <f t="shared" si="4"/>
        <v>2044</v>
      </c>
      <c r="T57" s="748">
        <v>0</v>
      </c>
      <c r="U57" s="748">
        <v>5</v>
      </c>
      <c r="V57" s="749">
        <f t="shared" si="5"/>
        <v>0</v>
      </c>
      <c r="W57" s="750">
        <v>1</v>
      </c>
      <c r="X57" s="751">
        <f t="shared" si="10"/>
        <v>0</v>
      </c>
    </row>
    <row r="58" spans="2:24">
      <c r="B58" s="746">
        <f t="shared" si="11"/>
        <v>2045</v>
      </c>
      <c r="C58" s="752"/>
      <c r="D58" s="739">
        <v>1</v>
      </c>
      <c r="E58" s="740">
        <f t="shared" si="12"/>
        <v>0.435</v>
      </c>
      <c r="F58" s="740">
        <f t="shared" si="12"/>
        <v>0.129</v>
      </c>
      <c r="G58" s="740">
        <f t="shared" si="8"/>
        <v>0</v>
      </c>
      <c r="H58" s="740">
        <f t="shared" si="12"/>
        <v>0</v>
      </c>
      <c r="I58" s="740">
        <f t="shared" si="8"/>
        <v>9.9000000000000005E-2</v>
      </c>
      <c r="J58" s="740">
        <f t="shared" si="12"/>
        <v>2.7E-2</v>
      </c>
      <c r="K58" s="740">
        <f t="shared" si="12"/>
        <v>8.9999999999999993E-3</v>
      </c>
      <c r="L58" s="740">
        <f t="shared" si="12"/>
        <v>7.1999999999999995E-2</v>
      </c>
      <c r="M58" s="740">
        <f t="shared" si="12"/>
        <v>3.3000000000000002E-2</v>
      </c>
      <c r="N58" s="740">
        <f t="shared" si="12"/>
        <v>0.04</v>
      </c>
      <c r="O58" s="740">
        <f t="shared" si="12"/>
        <v>0.156</v>
      </c>
      <c r="P58" s="747">
        <f t="shared" si="9"/>
        <v>1</v>
      </c>
      <c r="S58" s="746">
        <f t="shared" si="4"/>
        <v>2045</v>
      </c>
      <c r="T58" s="748">
        <v>0</v>
      </c>
      <c r="U58" s="748">
        <v>5</v>
      </c>
      <c r="V58" s="749">
        <f t="shared" si="5"/>
        <v>0</v>
      </c>
      <c r="W58" s="750">
        <v>1</v>
      </c>
      <c r="X58" s="751">
        <f t="shared" si="10"/>
        <v>0</v>
      </c>
    </row>
    <row r="59" spans="2:24">
      <c r="B59" s="746">
        <f t="shared" si="11"/>
        <v>2046</v>
      </c>
      <c r="C59" s="752"/>
      <c r="D59" s="739">
        <v>1</v>
      </c>
      <c r="E59" s="740">
        <f t="shared" si="12"/>
        <v>0.435</v>
      </c>
      <c r="F59" s="740">
        <f t="shared" si="12"/>
        <v>0.129</v>
      </c>
      <c r="G59" s="740">
        <f t="shared" si="12"/>
        <v>0</v>
      </c>
      <c r="H59" s="740">
        <f t="shared" si="12"/>
        <v>0</v>
      </c>
      <c r="I59" s="740">
        <f t="shared" si="12"/>
        <v>9.9000000000000005E-2</v>
      </c>
      <c r="J59" s="740">
        <f t="shared" si="12"/>
        <v>2.7E-2</v>
      </c>
      <c r="K59" s="740">
        <f t="shared" si="12"/>
        <v>8.9999999999999993E-3</v>
      </c>
      <c r="L59" s="740">
        <f t="shared" si="12"/>
        <v>7.1999999999999995E-2</v>
      </c>
      <c r="M59" s="740">
        <f t="shared" si="12"/>
        <v>3.3000000000000002E-2</v>
      </c>
      <c r="N59" s="740">
        <f t="shared" si="12"/>
        <v>0.04</v>
      </c>
      <c r="O59" s="740">
        <f t="shared" si="12"/>
        <v>0.156</v>
      </c>
      <c r="P59" s="747">
        <f t="shared" si="9"/>
        <v>1</v>
      </c>
      <c r="S59" s="746">
        <f t="shared" si="4"/>
        <v>2046</v>
      </c>
      <c r="T59" s="748">
        <v>0</v>
      </c>
      <c r="U59" s="748">
        <v>5</v>
      </c>
      <c r="V59" s="749">
        <f t="shared" si="5"/>
        <v>0</v>
      </c>
      <c r="W59" s="750">
        <v>1</v>
      </c>
      <c r="X59" s="751">
        <f t="shared" si="10"/>
        <v>0</v>
      </c>
    </row>
    <row r="60" spans="2:24">
      <c r="B60" s="746">
        <f t="shared" si="11"/>
        <v>2047</v>
      </c>
      <c r="C60" s="752"/>
      <c r="D60" s="739">
        <v>1</v>
      </c>
      <c r="E60" s="740">
        <f t="shared" si="12"/>
        <v>0.435</v>
      </c>
      <c r="F60" s="740">
        <f t="shared" si="12"/>
        <v>0.129</v>
      </c>
      <c r="G60" s="740">
        <f t="shared" si="12"/>
        <v>0</v>
      </c>
      <c r="H60" s="740">
        <f t="shared" si="12"/>
        <v>0</v>
      </c>
      <c r="I60" s="740">
        <f t="shared" si="12"/>
        <v>9.9000000000000005E-2</v>
      </c>
      <c r="J60" s="740">
        <f t="shared" si="12"/>
        <v>2.7E-2</v>
      </c>
      <c r="K60" s="740">
        <f t="shared" si="12"/>
        <v>8.9999999999999993E-3</v>
      </c>
      <c r="L60" s="740">
        <f t="shared" si="12"/>
        <v>7.1999999999999995E-2</v>
      </c>
      <c r="M60" s="740">
        <f t="shared" si="12"/>
        <v>3.3000000000000002E-2</v>
      </c>
      <c r="N60" s="740">
        <f t="shared" si="12"/>
        <v>0.04</v>
      </c>
      <c r="O60" s="740">
        <f t="shared" si="12"/>
        <v>0.156</v>
      </c>
      <c r="P60" s="747">
        <f t="shared" si="9"/>
        <v>1</v>
      </c>
      <c r="S60" s="746">
        <f t="shared" si="4"/>
        <v>2047</v>
      </c>
      <c r="T60" s="748">
        <v>0</v>
      </c>
      <c r="U60" s="748">
        <v>5</v>
      </c>
      <c r="V60" s="749">
        <f t="shared" si="5"/>
        <v>0</v>
      </c>
      <c r="W60" s="750">
        <v>1</v>
      </c>
      <c r="X60" s="751">
        <f t="shared" si="10"/>
        <v>0</v>
      </c>
    </row>
    <row r="61" spans="2:24">
      <c r="B61" s="746">
        <f t="shared" si="11"/>
        <v>2048</v>
      </c>
      <c r="C61" s="752"/>
      <c r="D61" s="739">
        <v>1</v>
      </c>
      <c r="E61" s="740">
        <f t="shared" si="12"/>
        <v>0.435</v>
      </c>
      <c r="F61" s="740">
        <f t="shared" si="12"/>
        <v>0.129</v>
      </c>
      <c r="G61" s="740">
        <f t="shared" si="12"/>
        <v>0</v>
      </c>
      <c r="H61" s="740">
        <f t="shared" si="12"/>
        <v>0</v>
      </c>
      <c r="I61" s="740">
        <f t="shared" si="12"/>
        <v>9.9000000000000005E-2</v>
      </c>
      <c r="J61" s="740">
        <f t="shared" si="12"/>
        <v>2.7E-2</v>
      </c>
      <c r="K61" s="740">
        <f t="shared" si="12"/>
        <v>8.9999999999999993E-3</v>
      </c>
      <c r="L61" s="740">
        <f t="shared" si="12"/>
        <v>7.1999999999999995E-2</v>
      </c>
      <c r="M61" s="740">
        <f t="shared" si="12"/>
        <v>3.3000000000000002E-2</v>
      </c>
      <c r="N61" s="740">
        <f t="shared" si="12"/>
        <v>0.04</v>
      </c>
      <c r="O61" s="740">
        <f t="shared" si="12"/>
        <v>0.156</v>
      </c>
      <c r="P61" s="747">
        <f t="shared" si="9"/>
        <v>1</v>
      </c>
      <c r="S61" s="746">
        <f t="shared" si="4"/>
        <v>2048</v>
      </c>
      <c r="T61" s="748">
        <v>0</v>
      </c>
      <c r="U61" s="748">
        <v>5</v>
      </c>
      <c r="V61" s="749">
        <f t="shared" si="5"/>
        <v>0</v>
      </c>
      <c r="W61" s="750">
        <v>1</v>
      </c>
      <c r="X61" s="751">
        <f t="shared" si="10"/>
        <v>0</v>
      </c>
    </row>
    <row r="62" spans="2:24">
      <c r="B62" s="746">
        <f t="shared" si="11"/>
        <v>2049</v>
      </c>
      <c r="C62" s="752"/>
      <c r="D62" s="739">
        <v>1</v>
      </c>
      <c r="E62" s="740">
        <f t="shared" si="12"/>
        <v>0.435</v>
      </c>
      <c r="F62" s="740">
        <f t="shared" si="12"/>
        <v>0.129</v>
      </c>
      <c r="G62" s="740">
        <f t="shared" si="12"/>
        <v>0</v>
      </c>
      <c r="H62" s="740">
        <f t="shared" si="12"/>
        <v>0</v>
      </c>
      <c r="I62" s="740">
        <f t="shared" si="12"/>
        <v>9.9000000000000005E-2</v>
      </c>
      <c r="J62" s="740">
        <f t="shared" si="12"/>
        <v>2.7E-2</v>
      </c>
      <c r="K62" s="740">
        <f t="shared" si="12"/>
        <v>8.9999999999999993E-3</v>
      </c>
      <c r="L62" s="740">
        <f t="shared" si="12"/>
        <v>7.1999999999999995E-2</v>
      </c>
      <c r="M62" s="740">
        <f t="shared" si="12"/>
        <v>3.3000000000000002E-2</v>
      </c>
      <c r="N62" s="740">
        <f t="shared" si="12"/>
        <v>0.04</v>
      </c>
      <c r="O62" s="740">
        <f t="shared" si="12"/>
        <v>0.156</v>
      </c>
      <c r="P62" s="747">
        <f t="shared" si="9"/>
        <v>1</v>
      </c>
      <c r="S62" s="746">
        <f t="shared" si="4"/>
        <v>2049</v>
      </c>
      <c r="T62" s="748">
        <v>0</v>
      </c>
      <c r="U62" s="748">
        <v>5</v>
      </c>
      <c r="V62" s="749">
        <f t="shared" si="5"/>
        <v>0</v>
      </c>
      <c r="W62" s="750">
        <v>1</v>
      </c>
      <c r="X62" s="751">
        <f t="shared" si="10"/>
        <v>0</v>
      </c>
    </row>
    <row r="63" spans="2:24">
      <c r="B63" s="746">
        <f t="shared" si="11"/>
        <v>2050</v>
      </c>
      <c r="C63" s="752"/>
      <c r="D63" s="739">
        <v>1</v>
      </c>
      <c r="E63" s="740">
        <f t="shared" ref="E63:O78" si="13">E$8</f>
        <v>0.435</v>
      </c>
      <c r="F63" s="740">
        <f t="shared" si="13"/>
        <v>0.129</v>
      </c>
      <c r="G63" s="740">
        <f t="shared" si="12"/>
        <v>0</v>
      </c>
      <c r="H63" s="740">
        <f t="shared" si="13"/>
        <v>0</v>
      </c>
      <c r="I63" s="740">
        <f t="shared" si="12"/>
        <v>9.9000000000000005E-2</v>
      </c>
      <c r="J63" s="740">
        <f t="shared" si="13"/>
        <v>2.7E-2</v>
      </c>
      <c r="K63" s="740">
        <f t="shared" si="13"/>
        <v>8.9999999999999993E-3</v>
      </c>
      <c r="L63" s="740">
        <f t="shared" si="13"/>
        <v>7.1999999999999995E-2</v>
      </c>
      <c r="M63" s="740">
        <f t="shared" si="13"/>
        <v>3.3000000000000002E-2</v>
      </c>
      <c r="N63" s="740">
        <f t="shared" si="13"/>
        <v>0.04</v>
      </c>
      <c r="O63" s="740">
        <f t="shared" si="13"/>
        <v>0.156</v>
      </c>
      <c r="P63" s="747">
        <f t="shared" si="9"/>
        <v>1</v>
      </c>
      <c r="S63" s="746">
        <f t="shared" si="4"/>
        <v>2050</v>
      </c>
      <c r="T63" s="748">
        <v>0</v>
      </c>
      <c r="U63" s="748">
        <v>5</v>
      </c>
      <c r="V63" s="749">
        <f t="shared" si="5"/>
        <v>0</v>
      </c>
      <c r="W63" s="750">
        <v>1</v>
      </c>
      <c r="X63" s="751">
        <f t="shared" si="10"/>
        <v>0</v>
      </c>
    </row>
    <row r="64" spans="2:24">
      <c r="B64" s="746">
        <f t="shared" si="11"/>
        <v>2051</v>
      </c>
      <c r="C64" s="752"/>
      <c r="D64" s="739">
        <v>1</v>
      </c>
      <c r="E64" s="740">
        <f t="shared" si="13"/>
        <v>0.435</v>
      </c>
      <c r="F64" s="740">
        <f t="shared" si="13"/>
        <v>0.129</v>
      </c>
      <c r="G64" s="740">
        <f t="shared" si="12"/>
        <v>0</v>
      </c>
      <c r="H64" s="740">
        <f t="shared" si="13"/>
        <v>0</v>
      </c>
      <c r="I64" s="740">
        <f t="shared" si="12"/>
        <v>9.9000000000000005E-2</v>
      </c>
      <c r="J64" s="740">
        <f t="shared" si="13"/>
        <v>2.7E-2</v>
      </c>
      <c r="K64" s="740">
        <f t="shared" si="13"/>
        <v>8.9999999999999993E-3</v>
      </c>
      <c r="L64" s="740">
        <f t="shared" si="13"/>
        <v>7.1999999999999995E-2</v>
      </c>
      <c r="M64" s="740">
        <f t="shared" si="13"/>
        <v>3.3000000000000002E-2</v>
      </c>
      <c r="N64" s="740">
        <f t="shared" si="13"/>
        <v>0.04</v>
      </c>
      <c r="O64" s="740">
        <f t="shared" si="13"/>
        <v>0.156</v>
      </c>
      <c r="P64" s="747">
        <f t="shared" si="9"/>
        <v>1</v>
      </c>
      <c r="S64" s="746">
        <f t="shared" si="4"/>
        <v>2051</v>
      </c>
      <c r="T64" s="748">
        <v>0</v>
      </c>
      <c r="U64" s="748">
        <v>5</v>
      </c>
      <c r="V64" s="749">
        <f t="shared" si="5"/>
        <v>0</v>
      </c>
      <c r="W64" s="750">
        <v>1</v>
      </c>
      <c r="X64" s="751">
        <f t="shared" si="10"/>
        <v>0</v>
      </c>
    </row>
    <row r="65" spans="2:24">
      <c r="B65" s="746">
        <f t="shared" si="11"/>
        <v>2052</v>
      </c>
      <c r="C65" s="752"/>
      <c r="D65" s="739">
        <v>1</v>
      </c>
      <c r="E65" s="740">
        <f t="shared" si="13"/>
        <v>0.435</v>
      </c>
      <c r="F65" s="740">
        <f t="shared" si="13"/>
        <v>0.129</v>
      </c>
      <c r="G65" s="740">
        <f t="shared" si="12"/>
        <v>0</v>
      </c>
      <c r="H65" s="740">
        <f t="shared" si="13"/>
        <v>0</v>
      </c>
      <c r="I65" s="740">
        <f t="shared" si="12"/>
        <v>9.9000000000000005E-2</v>
      </c>
      <c r="J65" s="740">
        <f t="shared" si="13"/>
        <v>2.7E-2</v>
      </c>
      <c r="K65" s="740">
        <f t="shared" si="13"/>
        <v>8.9999999999999993E-3</v>
      </c>
      <c r="L65" s="740">
        <f t="shared" si="13"/>
        <v>7.1999999999999995E-2</v>
      </c>
      <c r="M65" s="740">
        <f t="shared" si="13"/>
        <v>3.3000000000000002E-2</v>
      </c>
      <c r="N65" s="740">
        <f t="shared" si="13"/>
        <v>0.04</v>
      </c>
      <c r="O65" s="740">
        <f t="shared" si="13"/>
        <v>0.156</v>
      </c>
      <c r="P65" s="747">
        <f t="shared" si="9"/>
        <v>1</v>
      </c>
      <c r="S65" s="746">
        <f t="shared" si="4"/>
        <v>2052</v>
      </c>
      <c r="T65" s="748">
        <v>0</v>
      </c>
      <c r="U65" s="748">
        <v>5</v>
      </c>
      <c r="V65" s="749">
        <f t="shared" si="5"/>
        <v>0</v>
      </c>
      <c r="W65" s="750">
        <v>1</v>
      </c>
      <c r="X65" s="751">
        <f t="shared" si="10"/>
        <v>0</v>
      </c>
    </row>
    <row r="66" spans="2:24">
      <c r="B66" s="746">
        <f t="shared" si="11"/>
        <v>2053</v>
      </c>
      <c r="C66" s="752"/>
      <c r="D66" s="739">
        <v>1</v>
      </c>
      <c r="E66" s="740">
        <f t="shared" si="13"/>
        <v>0.435</v>
      </c>
      <c r="F66" s="740">
        <f t="shared" si="13"/>
        <v>0.129</v>
      </c>
      <c r="G66" s="740">
        <f t="shared" si="12"/>
        <v>0</v>
      </c>
      <c r="H66" s="740">
        <f t="shared" si="13"/>
        <v>0</v>
      </c>
      <c r="I66" s="740">
        <f t="shared" si="12"/>
        <v>9.9000000000000005E-2</v>
      </c>
      <c r="J66" s="740">
        <f t="shared" si="13"/>
        <v>2.7E-2</v>
      </c>
      <c r="K66" s="740">
        <f t="shared" si="13"/>
        <v>8.9999999999999993E-3</v>
      </c>
      <c r="L66" s="740">
        <f t="shared" si="13"/>
        <v>7.1999999999999995E-2</v>
      </c>
      <c r="M66" s="740">
        <f t="shared" si="13"/>
        <v>3.3000000000000002E-2</v>
      </c>
      <c r="N66" s="740">
        <f t="shared" si="13"/>
        <v>0.04</v>
      </c>
      <c r="O66" s="740">
        <f t="shared" si="13"/>
        <v>0.156</v>
      </c>
      <c r="P66" s="747">
        <f t="shared" si="9"/>
        <v>1</v>
      </c>
      <c r="S66" s="746">
        <f t="shared" si="4"/>
        <v>2053</v>
      </c>
      <c r="T66" s="748">
        <v>0</v>
      </c>
      <c r="U66" s="748">
        <v>5</v>
      </c>
      <c r="V66" s="749">
        <f t="shared" si="5"/>
        <v>0</v>
      </c>
      <c r="W66" s="750">
        <v>1</v>
      </c>
      <c r="X66" s="751">
        <f t="shared" si="10"/>
        <v>0</v>
      </c>
    </row>
    <row r="67" spans="2:24">
      <c r="B67" s="746">
        <f t="shared" si="11"/>
        <v>2054</v>
      </c>
      <c r="C67" s="752"/>
      <c r="D67" s="739">
        <v>1</v>
      </c>
      <c r="E67" s="740">
        <f t="shared" si="13"/>
        <v>0.435</v>
      </c>
      <c r="F67" s="740">
        <f t="shared" si="13"/>
        <v>0.129</v>
      </c>
      <c r="G67" s="740">
        <f t="shared" si="12"/>
        <v>0</v>
      </c>
      <c r="H67" s="740">
        <f t="shared" si="13"/>
        <v>0</v>
      </c>
      <c r="I67" s="740">
        <f t="shared" si="12"/>
        <v>9.9000000000000005E-2</v>
      </c>
      <c r="J67" s="740">
        <f t="shared" si="13"/>
        <v>2.7E-2</v>
      </c>
      <c r="K67" s="740">
        <f t="shared" si="13"/>
        <v>8.9999999999999993E-3</v>
      </c>
      <c r="L67" s="740">
        <f t="shared" si="13"/>
        <v>7.1999999999999995E-2</v>
      </c>
      <c r="M67" s="740">
        <f t="shared" si="13"/>
        <v>3.3000000000000002E-2</v>
      </c>
      <c r="N67" s="740">
        <f t="shared" si="13"/>
        <v>0.04</v>
      </c>
      <c r="O67" s="740">
        <f t="shared" si="13"/>
        <v>0.156</v>
      </c>
      <c r="P67" s="747">
        <f t="shared" si="9"/>
        <v>1</v>
      </c>
      <c r="S67" s="746">
        <f t="shared" si="4"/>
        <v>2054</v>
      </c>
      <c r="T67" s="748">
        <v>0</v>
      </c>
      <c r="U67" s="748">
        <v>5</v>
      </c>
      <c r="V67" s="749">
        <f t="shared" si="5"/>
        <v>0</v>
      </c>
      <c r="W67" s="750">
        <v>1</v>
      </c>
      <c r="X67" s="751">
        <f t="shared" si="10"/>
        <v>0</v>
      </c>
    </row>
    <row r="68" spans="2:24">
      <c r="B68" s="746">
        <f t="shared" si="11"/>
        <v>2055</v>
      </c>
      <c r="C68" s="752"/>
      <c r="D68" s="739">
        <v>1</v>
      </c>
      <c r="E68" s="740">
        <f t="shared" si="13"/>
        <v>0.435</v>
      </c>
      <c r="F68" s="740">
        <f t="shared" si="13"/>
        <v>0.129</v>
      </c>
      <c r="G68" s="740">
        <f t="shared" si="12"/>
        <v>0</v>
      </c>
      <c r="H68" s="740">
        <f t="shared" si="13"/>
        <v>0</v>
      </c>
      <c r="I68" s="740">
        <f t="shared" si="12"/>
        <v>9.9000000000000005E-2</v>
      </c>
      <c r="J68" s="740">
        <f t="shared" si="13"/>
        <v>2.7E-2</v>
      </c>
      <c r="K68" s="740">
        <f t="shared" si="13"/>
        <v>8.9999999999999993E-3</v>
      </c>
      <c r="L68" s="740">
        <f t="shared" si="13"/>
        <v>7.1999999999999995E-2</v>
      </c>
      <c r="M68" s="740">
        <f t="shared" si="13"/>
        <v>3.3000000000000002E-2</v>
      </c>
      <c r="N68" s="740">
        <f t="shared" si="13"/>
        <v>0.04</v>
      </c>
      <c r="O68" s="740">
        <f t="shared" si="13"/>
        <v>0.156</v>
      </c>
      <c r="P68" s="747">
        <f t="shared" si="9"/>
        <v>1</v>
      </c>
      <c r="S68" s="746">
        <f t="shared" si="4"/>
        <v>2055</v>
      </c>
      <c r="T68" s="748">
        <v>0</v>
      </c>
      <c r="U68" s="748">
        <v>5</v>
      </c>
      <c r="V68" s="749">
        <f t="shared" si="5"/>
        <v>0</v>
      </c>
      <c r="W68" s="750">
        <v>1</v>
      </c>
      <c r="X68" s="751">
        <f t="shared" si="10"/>
        <v>0</v>
      </c>
    </row>
    <row r="69" spans="2:24">
      <c r="B69" s="746">
        <f t="shared" si="11"/>
        <v>2056</v>
      </c>
      <c r="C69" s="752"/>
      <c r="D69" s="739">
        <v>1</v>
      </c>
      <c r="E69" s="740">
        <f t="shared" si="13"/>
        <v>0.435</v>
      </c>
      <c r="F69" s="740">
        <f t="shared" si="13"/>
        <v>0.129</v>
      </c>
      <c r="G69" s="740">
        <f t="shared" si="13"/>
        <v>0</v>
      </c>
      <c r="H69" s="740">
        <f t="shared" si="13"/>
        <v>0</v>
      </c>
      <c r="I69" s="740">
        <f t="shared" si="13"/>
        <v>9.9000000000000005E-2</v>
      </c>
      <c r="J69" s="740">
        <f t="shared" si="13"/>
        <v>2.7E-2</v>
      </c>
      <c r="K69" s="740">
        <f t="shared" si="13"/>
        <v>8.9999999999999993E-3</v>
      </c>
      <c r="L69" s="740">
        <f t="shared" si="13"/>
        <v>7.1999999999999995E-2</v>
      </c>
      <c r="M69" s="740">
        <f t="shared" si="13"/>
        <v>3.3000000000000002E-2</v>
      </c>
      <c r="N69" s="740">
        <f t="shared" si="13"/>
        <v>0.04</v>
      </c>
      <c r="O69" s="740">
        <f t="shared" si="13"/>
        <v>0.156</v>
      </c>
      <c r="P69" s="747">
        <f t="shared" si="9"/>
        <v>1</v>
      </c>
      <c r="S69" s="746">
        <f t="shared" si="4"/>
        <v>2056</v>
      </c>
      <c r="T69" s="748">
        <v>0</v>
      </c>
      <c r="U69" s="748">
        <v>5</v>
      </c>
      <c r="V69" s="749">
        <f t="shared" si="5"/>
        <v>0</v>
      </c>
      <c r="W69" s="750">
        <v>1</v>
      </c>
      <c r="X69" s="751">
        <f t="shared" si="10"/>
        <v>0</v>
      </c>
    </row>
    <row r="70" spans="2:24">
      <c r="B70" s="746">
        <f t="shared" si="11"/>
        <v>2057</v>
      </c>
      <c r="C70" s="752"/>
      <c r="D70" s="739">
        <v>1</v>
      </c>
      <c r="E70" s="740">
        <f t="shared" si="13"/>
        <v>0.435</v>
      </c>
      <c r="F70" s="740">
        <f t="shared" si="13"/>
        <v>0.129</v>
      </c>
      <c r="G70" s="740">
        <f t="shared" si="13"/>
        <v>0</v>
      </c>
      <c r="H70" s="740">
        <f t="shared" si="13"/>
        <v>0</v>
      </c>
      <c r="I70" s="740">
        <f t="shared" si="13"/>
        <v>9.9000000000000005E-2</v>
      </c>
      <c r="J70" s="740">
        <f t="shared" si="13"/>
        <v>2.7E-2</v>
      </c>
      <c r="K70" s="740">
        <f t="shared" si="13"/>
        <v>8.9999999999999993E-3</v>
      </c>
      <c r="L70" s="740">
        <f t="shared" si="13"/>
        <v>7.1999999999999995E-2</v>
      </c>
      <c r="M70" s="740">
        <f t="shared" si="13"/>
        <v>3.3000000000000002E-2</v>
      </c>
      <c r="N70" s="740">
        <f t="shared" si="13"/>
        <v>0.04</v>
      </c>
      <c r="O70" s="740">
        <f t="shared" si="13"/>
        <v>0.156</v>
      </c>
      <c r="P70" s="747">
        <f t="shared" si="9"/>
        <v>1</v>
      </c>
      <c r="S70" s="746">
        <f t="shared" si="4"/>
        <v>2057</v>
      </c>
      <c r="T70" s="748">
        <v>0</v>
      </c>
      <c r="U70" s="748">
        <v>5</v>
      </c>
      <c r="V70" s="749">
        <f t="shared" si="5"/>
        <v>0</v>
      </c>
      <c r="W70" s="750">
        <v>1</v>
      </c>
      <c r="X70" s="751">
        <f t="shared" si="10"/>
        <v>0</v>
      </c>
    </row>
    <row r="71" spans="2:24">
      <c r="B71" s="746">
        <f t="shared" si="11"/>
        <v>2058</v>
      </c>
      <c r="C71" s="752"/>
      <c r="D71" s="739">
        <v>1</v>
      </c>
      <c r="E71" s="740">
        <f t="shared" si="13"/>
        <v>0.435</v>
      </c>
      <c r="F71" s="740">
        <f t="shared" si="13"/>
        <v>0.129</v>
      </c>
      <c r="G71" s="740">
        <f t="shared" si="13"/>
        <v>0</v>
      </c>
      <c r="H71" s="740">
        <f t="shared" si="13"/>
        <v>0</v>
      </c>
      <c r="I71" s="740">
        <f t="shared" si="13"/>
        <v>9.9000000000000005E-2</v>
      </c>
      <c r="J71" s="740">
        <f t="shared" si="13"/>
        <v>2.7E-2</v>
      </c>
      <c r="K71" s="740">
        <f t="shared" si="13"/>
        <v>8.9999999999999993E-3</v>
      </c>
      <c r="L71" s="740">
        <f t="shared" si="13"/>
        <v>7.1999999999999995E-2</v>
      </c>
      <c r="M71" s="740">
        <f t="shared" si="13"/>
        <v>3.3000000000000002E-2</v>
      </c>
      <c r="N71" s="740">
        <f t="shared" si="13"/>
        <v>0.04</v>
      </c>
      <c r="O71" s="740">
        <f t="shared" si="13"/>
        <v>0.156</v>
      </c>
      <c r="P71" s="747">
        <f t="shared" si="9"/>
        <v>1</v>
      </c>
      <c r="S71" s="746">
        <f t="shared" si="4"/>
        <v>2058</v>
      </c>
      <c r="T71" s="748">
        <v>0</v>
      </c>
      <c r="U71" s="748">
        <v>5</v>
      </c>
      <c r="V71" s="749">
        <f t="shared" si="5"/>
        <v>0</v>
      </c>
      <c r="W71" s="750">
        <v>1</v>
      </c>
      <c r="X71" s="751">
        <f t="shared" si="10"/>
        <v>0</v>
      </c>
    </row>
    <row r="72" spans="2:24">
      <c r="B72" s="746">
        <f t="shared" si="11"/>
        <v>2059</v>
      </c>
      <c r="C72" s="752"/>
      <c r="D72" s="739">
        <v>1</v>
      </c>
      <c r="E72" s="740">
        <f t="shared" si="13"/>
        <v>0.435</v>
      </c>
      <c r="F72" s="740">
        <f t="shared" si="13"/>
        <v>0.129</v>
      </c>
      <c r="G72" s="740">
        <f t="shared" si="13"/>
        <v>0</v>
      </c>
      <c r="H72" s="740">
        <f t="shared" si="13"/>
        <v>0</v>
      </c>
      <c r="I72" s="740">
        <f t="shared" si="13"/>
        <v>9.9000000000000005E-2</v>
      </c>
      <c r="J72" s="740">
        <f t="shared" si="13"/>
        <v>2.7E-2</v>
      </c>
      <c r="K72" s="740">
        <f t="shared" si="13"/>
        <v>8.9999999999999993E-3</v>
      </c>
      <c r="L72" s="740">
        <f t="shared" si="13"/>
        <v>7.1999999999999995E-2</v>
      </c>
      <c r="M72" s="740">
        <f t="shared" si="13"/>
        <v>3.3000000000000002E-2</v>
      </c>
      <c r="N72" s="740">
        <f t="shared" si="13"/>
        <v>0.04</v>
      </c>
      <c r="O72" s="740">
        <f t="shared" si="13"/>
        <v>0.156</v>
      </c>
      <c r="P72" s="747">
        <f t="shared" si="9"/>
        <v>1</v>
      </c>
      <c r="S72" s="746">
        <f t="shared" si="4"/>
        <v>2059</v>
      </c>
      <c r="T72" s="748">
        <v>0</v>
      </c>
      <c r="U72" s="748">
        <v>5</v>
      </c>
      <c r="V72" s="749">
        <f t="shared" si="5"/>
        <v>0</v>
      </c>
      <c r="W72" s="750">
        <v>1</v>
      </c>
      <c r="X72" s="751">
        <f t="shared" si="10"/>
        <v>0</v>
      </c>
    </row>
    <row r="73" spans="2:24">
      <c r="B73" s="746">
        <f t="shared" si="11"/>
        <v>2060</v>
      </c>
      <c r="C73" s="752"/>
      <c r="D73" s="739">
        <v>1</v>
      </c>
      <c r="E73" s="740">
        <f t="shared" ref="E73:O88" si="14">E$8</f>
        <v>0.435</v>
      </c>
      <c r="F73" s="740">
        <f t="shared" si="14"/>
        <v>0.129</v>
      </c>
      <c r="G73" s="740">
        <f t="shared" si="13"/>
        <v>0</v>
      </c>
      <c r="H73" s="740">
        <f t="shared" si="14"/>
        <v>0</v>
      </c>
      <c r="I73" s="740">
        <f t="shared" si="13"/>
        <v>9.9000000000000005E-2</v>
      </c>
      <c r="J73" s="740">
        <f t="shared" si="14"/>
        <v>2.7E-2</v>
      </c>
      <c r="K73" s="740">
        <f t="shared" si="14"/>
        <v>8.9999999999999993E-3</v>
      </c>
      <c r="L73" s="740">
        <f t="shared" si="14"/>
        <v>7.1999999999999995E-2</v>
      </c>
      <c r="M73" s="740">
        <f t="shared" si="14"/>
        <v>3.3000000000000002E-2</v>
      </c>
      <c r="N73" s="740">
        <f t="shared" si="14"/>
        <v>0.04</v>
      </c>
      <c r="O73" s="740">
        <f t="shared" si="14"/>
        <v>0.156</v>
      </c>
      <c r="P73" s="747">
        <f t="shared" si="9"/>
        <v>1</v>
      </c>
      <c r="S73" s="746">
        <f t="shared" si="4"/>
        <v>2060</v>
      </c>
      <c r="T73" s="748">
        <v>0</v>
      </c>
      <c r="U73" s="748">
        <v>5</v>
      </c>
      <c r="V73" s="749">
        <f t="shared" si="5"/>
        <v>0</v>
      </c>
      <c r="W73" s="750">
        <v>1</v>
      </c>
      <c r="X73" s="751">
        <f t="shared" si="10"/>
        <v>0</v>
      </c>
    </row>
    <row r="74" spans="2:24">
      <c r="B74" s="746">
        <f t="shared" si="11"/>
        <v>2061</v>
      </c>
      <c r="C74" s="752"/>
      <c r="D74" s="739">
        <v>1</v>
      </c>
      <c r="E74" s="740">
        <f t="shared" si="14"/>
        <v>0.435</v>
      </c>
      <c r="F74" s="740">
        <f t="shared" si="14"/>
        <v>0.129</v>
      </c>
      <c r="G74" s="740">
        <f t="shared" si="13"/>
        <v>0</v>
      </c>
      <c r="H74" s="740">
        <f t="shared" si="14"/>
        <v>0</v>
      </c>
      <c r="I74" s="740">
        <f t="shared" si="13"/>
        <v>9.9000000000000005E-2</v>
      </c>
      <c r="J74" s="740">
        <f t="shared" si="14"/>
        <v>2.7E-2</v>
      </c>
      <c r="K74" s="740">
        <f t="shared" si="14"/>
        <v>8.9999999999999993E-3</v>
      </c>
      <c r="L74" s="740">
        <f t="shared" si="14"/>
        <v>7.1999999999999995E-2</v>
      </c>
      <c r="M74" s="740">
        <f t="shared" si="14"/>
        <v>3.3000000000000002E-2</v>
      </c>
      <c r="N74" s="740">
        <f t="shared" si="14"/>
        <v>0.04</v>
      </c>
      <c r="O74" s="740">
        <f t="shared" si="14"/>
        <v>0.156</v>
      </c>
      <c r="P74" s="747">
        <f t="shared" si="9"/>
        <v>1</v>
      </c>
      <c r="S74" s="746">
        <f t="shared" si="4"/>
        <v>2061</v>
      </c>
      <c r="T74" s="748">
        <v>0</v>
      </c>
      <c r="U74" s="748">
        <v>5</v>
      </c>
      <c r="V74" s="749">
        <f t="shared" si="5"/>
        <v>0</v>
      </c>
      <c r="W74" s="750">
        <v>1</v>
      </c>
      <c r="X74" s="751">
        <f t="shared" si="10"/>
        <v>0</v>
      </c>
    </row>
    <row r="75" spans="2:24">
      <c r="B75" s="746">
        <f t="shared" si="11"/>
        <v>2062</v>
      </c>
      <c r="C75" s="752"/>
      <c r="D75" s="739">
        <v>1</v>
      </c>
      <c r="E75" s="740">
        <f t="shared" si="14"/>
        <v>0.435</v>
      </c>
      <c r="F75" s="740">
        <f t="shared" si="14"/>
        <v>0.129</v>
      </c>
      <c r="G75" s="740">
        <f t="shared" si="13"/>
        <v>0</v>
      </c>
      <c r="H75" s="740">
        <f t="shared" si="14"/>
        <v>0</v>
      </c>
      <c r="I75" s="740">
        <f t="shared" si="13"/>
        <v>9.9000000000000005E-2</v>
      </c>
      <c r="J75" s="740">
        <f t="shared" si="14"/>
        <v>2.7E-2</v>
      </c>
      <c r="K75" s="740">
        <f t="shared" si="14"/>
        <v>8.9999999999999993E-3</v>
      </c>
      <c r="L75" s="740">
        <f t="shared" si="14"/>
        <v>7.1999999999999995E-2</v>
      </c>
      <c r="M75" s="740">
        <f t="shared" si="14"/>
        <v>3.3000000000000002E-2</v>
      </c>
      <c r="N75" s="740">
        <f t="shared" si="14"/>
        <v>0.04</v>
      </c>
      <c r="O75" s="740">
        <f t="shared" si="14"/>
        <v>0.156</v>
      </c>
      <c r="P75" s="747">
        <f t="shared" si="9"/>
        <v>1</v>
      </c>
      <c r="S75" s="746">
        <f t="shared" si="4"/>
        <v>2062</v>
      </c>
      <c r="T75" s="748">
        <v>0</v>
      </c>
      <c r="U75" s="748">
        <v>5</v>
      </c>
      <c r="V75" s="749">
        <f t="shared" si="5"/>
        <v>0</v>
      </c>
      <c r="W75" s="750">
        <v>1</v>
      </c>
      <c r="X75" s="751">
        <f t="shared" si="10"/>
        <v>0</v>
      </c>
    </row>
    <row r="76" spans="2:24">
      <c r="B76" s="746">
        <f t="shared" si="11"/>
        <v>2063</v>
      </c>
      <c r="C76" s="752"/>
      <c r="D76" s="739">
        <v>1</v>
      </c>
      <c r="E76" s="740">
        <f t="shared" si="14"/>
        <v>0.435</v>
      </c>
      <c r="F76" s="740">
        <f t="shared" si="14"/>
        <v>0.129</v>
      </c>
      <c r="G76" s="740">
        <f t="shared" si="13"/>
        <v>0</v>
      </c>
      <c r="H76" s="740">
        <f t="shared" si="14"/>
        <v>0</v>
      </c>
      <c r="I76" s="740">
        <f t="shared" si="13"/>
        <v>9.9000000000000005E-2</v>
      </c>
      <c r="J76" s="740">
        <f t="shared" si="14"/>
        <v>2.7E-2</v>
      </c>
      <c r="K76" s="740">
        <f t="shared" si="14"/>
        <v>8.9999999999999993E-3</v>
      </c>
      <c r="L76" s="740">
        <f t="shared" si="14"/>
        <v>7.1999999999999995E-2</v>
      </c>
      <c r="M76" s="740">
        <f t="shared" si="14"/>
        <v>3.3000000000000002E-2</v>
      </c>
      <c r="N76" s="740">
        <f t="shared" si="14"/>
        <v>0.04</v>
      </c>
      <c r="O76" s="740">
        <f t="shared" si="14"/>
        <v>0.156</v>
      </c>
      <c r="P76" s="747">
        <f t="shared" si="9"/>
        <v>1</v>
      </c>
      <c r="S76" s="746">
        <f t="shared" si="4"/>
        <v>2063</v>
      </c>
      <c r="T76" s="748">
        <v>0</v>
      </c>
      <c r="U76" s="748">
        <v>5</v>
      </c>
      <c r="V76" s="749">
        <f t="shared" si="5"/>
        <v>0</v>
      </c>
      <c r="W76" s="750">
        <v>1</v>
      </c>
      <c r="X76" s="751">
        <f t="shared" si="10"/>
        <v>0</v>
      </c>
    </row>
    <row r="77" spans="2:24">
      <c r="B77" s="746">
        <f t="shared" si="11"/>
        <v>2064</v>
      </c>
      <c r="C77" s="752"/>
      <c r="D77" s="739">
        <v>1</v>
      </c>
      <c r="E77" s="740">
        <f t="shared" si="14"/>
        <v>0.435</v>
      </c>
      <c r="F77" s="740">
        <f t="shared" si="14"/>
        <v>0.129</v>
      </c>
      <c r="G77" s="740">
        <f t="shared" si="13"/>
        <v>0</v>
      </c>
      <c r="H77" s="740">
        <f t="shared" si="14"/>
        <v>0</v>
      </c>
      <c r="I77" s="740">
        <f t="shared" si="13"/>
        <v>9.9000000000000005E-2</v>
      </c>
      <c r="J77" s="740">
        <f t="shared" si="14"/>
        <v>2.7E-2</v>
      </c>
      <c r="K77" s="740">
        <f t="shared" si="14"/>
        <v>8.9999999999999993E-3</v>
      </c>
      <c r="L77" s="740">
        <f t="shared" si="14"/>
        <v>7.1999999999999995E-2</v>
      </c>
      <c r="M77" s="740">
        <f t="shared" si="14"/>
        <v>3.3000000000000002E-2</v>
      </c>
      <c r="N77" s="740">
        <f t="shared" si="14"/>
        <v>0.04</v>
      </c>
      <c r="O77" s="740">
        <f t="shared" si="14"/>
        <v>0.156</v>
      </c>
      <c r="P77" s="747">
        <f t="shared" ref="P77:P93" si="15">SUM(E77:O77)</f>
        <v>1</v>
      </c>
      <c r="S77" s="746">
        <f t="shared" si="4"/>
        <v>2064</v>
      </c>
      <c r="T77" s="748">
        <v>0</v>
      </c>
      <c r="U77" s="748">
        <v>5</v>
      </c>
      <c r="V77" s="749">
        <f t="shared" si="5"/>
        <v>0</v>
      </c>
      <c r="W77" s="750">
        <v>1</v>
      </c>
      <c r="X77" s="751">
        <f t="shared" ref="X77:X93" si="16">V77*W77</f>
        <v>0</v>
      </c>
    </row>
    <row r="78" spans="2:24">
      <c r="B78" s="746">
        <f t="shared" ref="B78:B93" si="17">B77+1</f>
        <v>2065</v>
      </c>
      <c r="C78" s="752"/>
      <c r="D78" s="739">
        <v>1</v>
      </c>
      <c r="E78" s="740">
        <f t="shared" si="14"/>
        <v>0.435</v>
      </c>
      <c r="F78" s="740">
        <f t="shared" si="14"/>
        <v>0.129</v>
      </c>
      <c r="G78" s="740">
        <f t="shared" si="13"/>
        <v>0</v>
      </c>
      <c r="H78" s="740">
        <f t="shared" si="14"/>
        <v>0</v>
      </c>
      <c r="I78" s="740">
        <f t="shared" si="13"/>
        <v>9.9000000000000005E-2</v>
      </c>
      <c r="J78" s="740">
        <f t="shared" si="14"/>
        <v>2.7E-2</v>
      </c>
      <c r="K78" s="740">
        <f t="shared" si="14"/>
        <v>8.9999999999999993E-3</v>
      </c>
      <c r="L78" s="740">
        <f t="shared" si="14"/>
        <v>7.1999999999999995E-2</v>
      </c>
      <c r="M78" s="740">
        <f t="shared" si="14"/>
        <v>3.3000000000000002E-2</v>
      </c>
      <c r="N78" s="740">
        <f t="shared" si="14"/>
        <v>0.04</v>
      </c>
      <c r="O78" s="740">
        <f t="shared" si="14"/>
        <v>0.156</v>
      </c>
      <c r="P78" s="747">
        <f t="shared" si="15"/>
        <v>1</v>
      </c>
      <c r="S78" s="746">
        <f t="shared" ref="S78:S93" si="18">S77+1</f>
        <v>2065</v>
      </c>
      <c r="T78" s="748">
        <v>0</v>
      </c>
      <c r="U78" s="748">
        <v>5</v>
      </c>
      <c r="V78" s="749">
        <f t="shared" si="5"/>
        <v>0</v>
      </c>
      <c r="W78" s="750">
        <v>1</v>
      </c>
      <c r="X78" s="751">
        <f t="shared" si="16"/>
        <v>0</v>
      </c>
    </row>
    <row r="79" spans="2:24">
      <c r="B79" s="746">
        <f t="shared" si="17"/>
        <v>2066</v>
      </c>
      <c r="C79" s="752"/>
      <c r="D79" s="739">
        <v>1</v>
      </c>
      <c r="E79" s="740">
        <f t="shared" si="14"/>
        <v>0.435</v>
      </c>
      <c r="F79" s="740">
        <f t="shared" si="14"/>
        <v>0.129</v>
      </c>
      <c r="G79" s="740">
        <f t="shared" si="14"/>
        <v>0</v>
      </c>
      <c r="H79" s="740">
        <f t="shared" si="14"/>
        <v>0</v>
      </c>
      <c r="I79" s="740">
        <f t="shared" si="14"/>
        <v>9.9000000000000005E-2</v>
      </c>
      <c r="J79" s="740">
        <f t="shared" si="14"/>
        <v>2.7E-2</v>
      </c>
      <c r="K79" s="740">
        <f t="shared" si="14"/>
        <v>8.9999999999999993E-3</v>
      </c>
      <c r="L79" s="740">
        <f t="shared" si="14"/>
        <v>7.1999999999999995E-2</v>
      </c>
      <c r="M79" s="740">
        <f t="shared" si="14"/>
        <v>3.3000000000000002E-2</v>
      </c>
      <c r="N79" s="740">
        <f t="shared" si="14"/>
        <v>0.04</v>
      </c>
      <c r="O79" s="740">
        <f t="shared" si="14"/>
        <v>0.156</v>
      </c>
      <c r="P79" s="747">
        <f t="shared" si="15"/>
        <v>1</v>
      </c>
      <c r="S79" s="746">
        <f t="shared" si="18"/>
        <v>2066</v>
      </c>
      <c r="T79" s="748">
        <v>0</v>
      </c>
      <c r="U79" s="748">
        <v>5</v>
      </c>
      <c r="V79" s="749">
        <f t="shared" ref="V79:V93" si="19">T79*U79</f>
        <v>0</v>
      </c>
      <c r="W79" s="750">
        <v>1</v>
      </c>
      <c r="X79" s="751">
        <f t="shared" si="16"/>
        <v>0</v>
      </c>
    </row>
    <row r="80" spans="2:24">
      <c r="B80" s="746">
        <f t="shared" si="17"/>
        <v>2067</v>
      </c>
      <c r="C80" s="752"/>
      <c r="D80" s="739">
        <v>1</v>
      </c>
      <c r="E80" s="740">
        <f t="shared" si="14"/>
        <v>0.435</v>
      </c>
      <c r="F80" s="740">
        <f t="shared" si="14"/>
        <v>0.129</v>
      </c>
      <c r="G80" s="740">
        <f t="shared" si="14"/>
        <v>0</v>
      </c>
      <c r="H80" s="740">
        <f t="shared" si="14"/>
        <v>0</v>
      </c>
      <c r="I80" s="740">
        <f t="shared" si="14"/>
        <v>9.9000000000000005E-2</v>
      </c>
      <c r="J80" s="740">
        <f t="shared" si="14"/>
        <v>2.7E-2</v>
      </c>
      <c r="K80" s="740">
        <f t="shared" si="14"/>
        <v>8.9999999999999993E-3</v>
      </c>
      <c r="L80" s="740">
        <f t="shared" si="14"/>
        <v>7.1999999999999995E-2</v>
      </c>
      <c r="M80" s="740">
        <f t="shared" si="14"/>
        <v>3.3000000000000002E-2</v>
      </c>
      <c r="N80" s="740">
        <f t="shared" si="14"/>
        <v>0.04</v>
      </c>
      <c r="O80" s="740">
        <f t="shared" si="14"/>
        <v>0.156</v>
      </c>
      <c r="P80" s="747">
        <f t="shared" si="15"/>
        <v>1</v>
      </c>
      <c r="S80" s="746">
        <f t="shared" si="18"/>
        <v>2067</v>
      </c>
      <c r="T80" s="748">
        <v>0</v>
      </c>
      <c r="U80" s="748">
        <v>5</v>
      </c>
      <c r="V80" s="749">
        <f t="shared" si="19"/>
        <v>0</v>
      </c>
      <c r="W80" s="750">
        <v>1</v>
      </c>
      <c r="X80" s="751">
        <f t="shared" si="16"/>
        <v>0</v>
      </c>
    </row>
    <row r="81" spans="2:24">
      <c r="B81" s="746">
        <f t="shared" si="17"/>
        <v>2068</v>
      </c>
      <c r="C81" s="752"/>
      <c r="D81" s="739">
        <v>1</v>
      </c>
      <c r="E81" s="740">
        <f t="shared" si="14"/>
        <v>0.435</v>
      </c>
      <c r="F81" s="740">
        <f t="shared" si="14"/>
        <v>0.129</v>
      </c>
      <c r="G81" s="740">
        <f t="shared" si="14"/>
        <v>0</v>
      </c>
      <c r="H81" s="740">
        <f t="shared" si="14"/>
        <v>0</v>
      </c>
      <c r="I81" s="740">
        <f t="shared" si="14"/>
        <v>9.9000000000000005E-2</v>
      </c>
      <c r="J81" s="740">
        <f t="shared" si="14"/>
        <v>2.7E-2</v>
      </c>
      <c r="K81" s="740">
        <f t="shared" si="14"/>
        <v>8.9999999999999993E-3</v>
      </c>
      <c r="L81" s="740">
        <f t="shared" si="14"/>
        <v>7.1999999999999995E-2</v>
      </c>
      <c r="M81" s="740">
        <f t="shared" si="14"/>
        <v>3.3000000000000002E-2</v>
      </c>
      <c r="N81" s="740">
        <f t="shared" si="14"/>
        <v>0.04</v>
      </c>
      <c r="O81" s="740">
        <f t="shared" si="14"/>
        <v>0.156</v>
      </c>
      <c r="P81" s="747">
        <f t="shared" si="15"/>
        <v>1</v>
      </c>
      <c r="S81" s="746">
        <f t="shared" si="18"/>
        <v>2068</v>
      </c>
      <c r="T81" s="748">
        <v>0</v>
      </c>
      <c r="U81" s="748">
        <v>5</v>
      </c>
      <c r="V81" s="749">
        <f t="shared" si="19"/>
        <v>0</v>
      </c>
      <c r="W81" s="750">
        <v>1</v>
      </c>
      <c r="X81" s="751">
        <f t="shared" si="16"/>
        <v>0</v>
      </c>
    </row>
    <row r="82" spans="2:24">
      <c r="B82" s="746">
        <f t="shared" si="17"/>
        <v>2069</v>
      </c>
      <c r="C82" s="752"/>
      <c r="D82" s="739">
        <v>1</v>
      </c>
      <c r="E82" s="740">
        <f t="shared" si="14"/>
        <v>0.435</v>
      </c>
      <c r="F82" s="740">
        <f t="shared" si="14"/>
        <v>0.129</v>
      </c>
      <c r="G82" s="740">
        <f t="shared" si="14"/>
        <v>0</v>
      </c>
      <c r="H82" s="740">
        <f t="shared" si="14"/>
        <v>0</v>
      </c>
      <c r="I82" s="740">
        <f t="shared" si="14"/>
        <v>9.9000000000000005E-2</v>
      </c>
      <c r="J82" s="740">
        <f t="shared" si="14"/>
        <v>2.7E-2</v>
      </c>
      <c r="K82" s="740">
        <f t="shared" si="14"/>
        <v>8.9999999999999993E-3</v>
      </c>
      <c r="L82" s="740">
        <f t="shared" si="14"/>
        <v>7.1999999999999995E-2</v>
      </c>
      <c r="M82" s="740">
        <f t="shared" si="14"/>
        <v>3.3000000000000002E-2</v>
      </c>
      <c r="N82" s="740">
        <f t="shared" si="14"/>
        <v>0.04</v>
      </c>
      <c r="O82" s="740">
        <f t="shared" si="14"/>
        <v>0.156</v>
      </c>
      <c r="P82" s="747">
        <f t="shared" si="15"/>
        <v>1</v>
      </c>
      <c r="S82" s="746">
        <f t="shared" si="18"/>
        <v>2069</v>
      </c>
      <c r="T82" s="748">
        <v>0</v>
      </c>
      <c r="U82" s="748">
        <v>5</v>
      </c>
      <c r="V82" s="749">
        <f t="shared" si="19"/>
        <v>0</v>
      </c>
      <c r="W82" s="750">
        <v>1</v>
      </c>
      <c r="X82" s="751">
        <f t="shared" si="16"/>
        <v>0</v>
      </c>
    </row>
    <row r="83" spans="2:24">
      <c r="B83" s="746">
        <f t="shared" si="17"/>
        <v>2070</v>
      </c>
      <c r="C83" s="752"/>
      <c r="D83" s="739">
        <v>1</v>
      </c>
      <c r="E83" s="740">
        <f t="shared" ref="E83:O93" si="20">E$8</f>
        <v>0.435</v>
      </c>
      <c r="F83" s="740">
        <f t="shared" si="20"/>
        <v>0.129</v>
      </c>
      <c r="G83" s="740">
        <f t="shared" si="14"/>
        <v>0</v>
      </c>
      <c r="H83" s="740">
        <f t="shared" si="20"/>
        <v>0</v>
      </c>
      <c r="I83" s="740">
        <f t="shared" si="14"/>
        <v>9.9000000000000005E-2</v>
      </c>
      <c r="J83" s="740">
        <f t="shared" si="20"/>
        <v>2.7E-2</v>
      </c>
      <c r="K83" s="740">
        <f t="shared" si="20"/>
        <v>8.9999999999999993E-3</v>
      </c>
      <c r="L83" s="740">
        <f t="shared" si="20"/>
        <v>7.1999999999999995E-2</v>
      </c>
      <c r="M83" s="740">
        <f t="shared" si="20"/>
        <v>3.3000000000000002E-2</v>
      </c>
      <c r="N83" s="740">
        <f t="shared" si="20"/>
        <v>0.04</v>
      </c>
      <c r="O83" s="740">
        <f t="shared" si="20"/>
        <v>0.156</v>
      </c>
      <c r="P83" s="747">
        <f t="shared" si="15"/>
        <v>1</v>
      </c>
      <c r="S83" s="746">
        <f t="shared" si="18"/>
        <v>2070</v>
      </c>
      <c r="T83" s="748">
        <v>0</v>
      </c>
      <c r="U83" s="748">
        <v>5</v>
      </c>
      <c r="V83" s="749">
        <f t="shared" si="19"/>
        <v>0</v>
      </c>
      <c r="W83" s="750">
        <v>1</v>
      </c>
      <c r="X83" s="751">
        <f t="shared" si="16"/>
        <v>0</v>
      </c>
    </row>
    <row r="84" spans="2:24">
      <c r="B84" s="746">
        <f t="shared" si="17"/>
        <v>2071</v>
      </c>
      <c r="C84" s="752"/>
      <c r="D84" s="739">
        <v>1</v>
      </c>
      <c r="E84" s="740">
        <f t="shared" si="20"/>
        <v>0.435</v>
      </c>
      <c r="F84" s="740">
        <f t="shared" si="20"/>
        <v>0.129</v>
      </c>
      <c r="G84" s="740">
        <f t="shared" si="14"/>
        <v>0</v>
      </c>
      <c r="H84" s="740">
        <f t="shared" si="20"/>
        <v>0</v>
      </c>
      <c r="I84" s="740">
        <f t="shared" si="14"/>
        <v>9.9000000000000005E-2</v>
      </c>
      <c r="J84" s="740">
        <f t="shared" si="20"/>
        <v>2.7E-2</v>
      </c>
      <c r="K84" s="740">
        <f t="shared" si="20"/>
        <v>8.9999999999999993E-3</v>
      </c>
      <c r="L84" s="740">
        <f t="shared" si="20"/>
        <v>7.1999999999999995E-2</v>
      </c>
      <c r="M84" s="740">
        <f t="shared" si="20"/>
        <v>3.3000000000000002E-2</v>
      </c>
      <c r="N84" s="740">
        <f t="shared" si="20"/>
        <v>0.04</v>
      </c>
      <c r="O84" s="740">
        <f t="shared" si="20"/>
        <v>0.156</v>
      </c>
      <c r="P84" s="747">
        <f t="shared" si="15"/>
        <v>1</v>
      </c>
      <c r="S84" s="746">
        <f t="shared" si="18"/>
        <v>2071</v>
      </c>
      <c r="T84" s="748">
        <v>0</v>
      </c>
      <c r="U84" s="748">
        <v>5</v>
      </c>
      <c r="V84" s="749">
        <f t="shared" si="19"/>
        <v>0</v>
      </c>
      <c r="W84" s="750">
        <v>1</v>
      </c>
      <c r="X84" s="751">
        <f t="shared" si="16"/>
        <v>0</v>
      </c>
    </row>
    <row r="85" spans="2:24">
      <c r="B85" s="746">
        <f t="shared" si="17"/>
        <v>2072</v>
      </c>
      <c r="C85" s="752"/>
      <c r="D85" s="739">
        <v>1</v>
      </c>
      <c r="E85" s="740">
        <f t="shared" si="20"/>
        <v>0.435</v>
      </c>
      <c r="F85" s="740">
        <f t="shared" si="20"/>
        <v>0.129</v>
      </c>
      <c r="G85" s="740">
        <f t="shared" si="14"/>
        <v>0</v>
      </c>
      <c r="H85" s="740">
        <f t="shared" si="20"/>
        <v>0</v>
      </c>
      <c r="I85" s="740">
        <f t="shared" si="14"/>
        <v>9.9000000000000005E-2</v>
      </c>
      <c r="J85" s="740">
        <f t="shared" si="20"/>
        <v>2.7E-2</v>
      </c>
      <c r="K85" s="740">
        <f t="shared" si="20"/>
        <v>8.9999999999999993E-3</v>
      </c>
      <c r="L85" s="740">
        <f t="shared" si="20"/>
        <v>7.1999999999999995E-2</v>
      </c>
      <c r="M85" s="740">
        <f t="shared" si="20"/>
        <v>3.3000000000000002E-2</v>
      </c>
      <c r="N85" s="740">
        <f t="shared" si="20"/>
        <v>0.04</v>
      </c>
      <c r="O85" s="740">
        <f t="shared" si="20"/>
        <v>0.156</v>
      </c>
      <c r="P85" s="747">
        <f t="shared" si="15"/>
        <v>1</v>
      </c>
      <c r="S85" s="746">
        <f t="shared" si="18"/>
        <v>2072</v>
      </c>
      <c r="T85" s="748">
        <v>0</v>
      </c>
      <c r="U85" s="748">
        <v>5</v>
      </c>
      <c r="V85" s="749">
        <f t="shared" si="19"/>
        <v>0</v>
      </c>
      <c r="W85" s="750">
        <v>1</v>
      </c>
      <c r="X85" s="751">
        <f t="shared" si="16"/>
        <v>0</v>
      </c>
    </row>
    <row r="86" spans="2:24">
      <c r="B86" s="746">
        <f t="shared" si="17"/>
        <v>2073</v>
      </c>
      <c r="C86" s="752"/>
      <c r="D86" s="739">
        <v>1</v>
      </c>
      <c r="E86" s="740">
        <f t="shared" si="20"/>
        <v>0.435</v>
      </c>
      <c r="F86" s="740">
        <f t="shared" si="20"/>
        <v>0.129</v>
      </c>
      <c r="G86" s="740">
        <f t="shared" si="14"/>
        <v>0</v>
      </c>
      <c r="H86" s="740">
        <f t="shared" si="20"/>
        <v>0</v>
      </c>
      <c r="I86" s="740">
        <f t="shared" si="14"/>
        <v>9.9000000000000005E-2</v>
      </c>
      <c r="J86" s="740">
        <f t="shared" si="20"/>
        <v>2.7E-2</v>
      </c>
      <c r="K86" s="740">
        <f t="shared" si="20"/>
        <v>8.9999999999999993E-3</v>
      </c>
      <c r="L86" s="740">
        <f t="shared" si="20"/>
        <v>7.1999999999999995E-2</v>
      </c>
      <c r="M86" s="740">
        <f t="shared" si="20"/>
        <v>3.3000000000000002E-2</v>
      </c>
      <c r="N86" s="740">
        <f t="shared" si="20"/>
        <v>0.04</v>
      </c>
      <c r="O86" s="740">
        <f t="shared" si="20"/>
        <v>0.156</v>
      </c>
      <c r="P86" s="747">
        <f t="shared" si="15"/>
        <v>1</v>
      </c>
      <c r="S86" s="746">
        <f t="shared" si="18"/>
        <v>2073</v>
      </c>
      <c r="T86" s="748">
        <v>0</v>
      </c>
      <c r="U86" s="748">
        <v>5</v>
      </c>
      <c r="V86" s="749">
        <f t="shared" si="19"/>
        <v>0</v>
      </c>
      <c r="W86" s="750">
        <v>1</v>
      </c>
      <c r="X86" s="751">
        <f t="shared" si="16"/>
        <v>0</v>
      </c>
    </row>
    <row r="87" spans="2:24">
      <c r="B87" s="746">
        <f t="shared" si="17"/>
        <v>2074</v>
      </c>
      <c r="C87" s="752"/>
      <c r="D87" s="739">
        <v>1</v>
      </c>
      <c r="E87" s="740">
        <f t="shared" si="20"/>
        <v>0.435</v>
      </c>
      <c r="F87" s="740">
        <f t="shared" si="20"/>
        <v>0.129</v>
      </c>
      <c r="G87" s="740">
        <f t="shared" si="14"/>
        <v>0</v>
      </c>
      <c r="H87" s="740">
        <f t="shared" si="20"/>
        <v>0</v>
      </c>
      <c r="I87" s="740">
        <f t="shared" si="14"/>
        <v>9.9000000000000005E-2</v>
      </c>
      <c r="J87" s="740">
        <f t="shared" si="20"/>
        <v>2.7E-2</v>
      </c>
      <c r="K87" s="740">
        <f t="shared" si="20"/>
        <v>8.9999999999999993E-3</v>
      </c>
      <c r="L87" s="740">
        <f t="shared" si="20"/>
        <v>7.1999999999999995E-2</v>
      </c>
      <c r="M87" s="740">
        <f t="shared" si="20"/>
        <v>3.3000000000000002E-2</v>
      </c>
      <c r="N87" s="740">
        <f t="shared" si="20"/>
        <v>0.04</v>
      </c>
      <c r="O87" s="740">
        <f t="shared" si="20"/>
        <v>0.156</v>
      </c>
      <c r="P87" s="747">
        <f t="shared" si="15"/>
        <v>1</v>
      </c>
      <c r="S87" s="746">
        <f t="shared" si="18"/>
        <v>2074</v>
      </c>
      <c r="T87" s="748">
        <v>0</v>
      </c>
      <c r="U87" s="748">
        <v>5</v>
      </c>
      <c r="V87" s="749">
        <f t="shared" si="19"/>
        <v>0</v>
      </c>
      <c r="W87" s="750">
        <v>1</v>
      </c>
      <c r="X87" s="751">
        <f t="shared" si="16"/>
        <v>0</v>
      </c>
    </row>
    <row r="88" spans="2:24">
      <c r="B88" s="746">
        <f t="shared" si="17"/>
        <v>2075</v>
      </c>
      <c r="C88" s="752"/>
      <c r="D88" s="739">
        <v>1</v>
      </c>
      <c r="E88" s="740">
        <f t="shared" si="20"/>
        <v>0.435</v>
      </c>
      <c r="F88" s="740">
        <f t="shared" si="20"/>
        <v>0.129</v>
      </c>
      <c r="G88" s="740">
        <f t="shared" si="14"/>
        <v>0</v>
      </c>
      <c r="H88" s="740">
        <f t="shared" si="20"/>
        <v>0</v>
      </c>
      <c r="I88" s="740">
        <f t="shared" si="14"/>
        <v>9.9000000000000005E-2</v>
      </c>
      <c r="J88" s="740">
        <f t="shared" si="20"/>
        <v>2.7E-2</v>
      </c>
      <c r="K88" s="740">
        <f t="shared" si="20"/>
        <v>8.9999999999999993E-3</v>
      </c>
      <c r="L88" s="740">
        <f t="shared" si="20"/>
        <v>7.1999999999999995E-2</v>
      </c>
      <c r="M88" s="740">
        <f t="shared" si="20"/>
        <v>3.3000000000000002E-2</v>
      </c>
      <c r="N88" s="740">
        <f t="shared" si="20"/>
        <v>0.04</v>
      </c>
      <c r="O88" s="740">
        <f t="shared" si="20"/>
        <v>0.156</v>
      </c>
      <c r="P88" s="747">
        <f t="shared" si="15"/>
        <v>1</v>
      </c>
      <c r="S88" s="746">
        <f t="shared" si="18"/>
        <v>2075</v>
      </c>
      <c r="T88" s="748">
        <v>0</v>
      </c>
      <c r="U88" s="748">
        <v>5</v>
      </c>
      <c r="V88" s="749">
        <f t="shared" si="19"/>
        <v>0</v>
      </c>
      <c r="W88" s="750">
        <v>1</v>
      </c>
      <c r="X88" s="751">
        <f t="shared" si="16"/>
        <v>0</v>
      </c>
    </row>
    <row r="89" spans="2:24">
      <c r="B89" s="746">
        <f t="shared" si="17"/>
        <v>2076</v>
      </c>
      <c r="C89" s="752"/>
      <c r="D89" s="739">
        <v>1</v>
      </c>
      <c r="E89" s="740">
        <f t="shared" si="20"/>
        <v>0.435</v>
      </c>
      <c r="F89" s="740">
        <f t="shared" si="20"/>
        <v>0.129</v>
      </c>
      <c r="G89" s="740">
        <f t="shared" si="20"/>
        <v>0</v>
      </c>
      <c r="H89" s="740">
        <f t="shared" si="20"/>
        <v>0</v>
      </c>
      <c r="I89" s="740">
        <f t="shared" si="20"/>
        <v>9.9000000000000005E-2</v>
      </c>
      <c r="J89" s="740">
        <f t="shared" si="20"/>
        <v>2.7E-2</v>
      </c>
      <c r="K89" s="740">
        <f t="shared" si="20"/>
        <v>8.9999999999999993E-3</v>
      </c>
      <c r="L89" s="740">
        <f t="shared" si="20"/>
        <v>7.1999999999999995E-2</v>
      </c>
      <c r="M89" s="740">
        <f t="shared" si="20"/>
        <v>3.3000000000000002E-2</v>
      </c>
      <c r="N89" s="740">
        <f t="shared" si="20"/>
        <v>0.04</v>
      </c>
      <c r="O89" s="740">
        <f t="shared" si="20"/>
        <v>0.156</v>
      </c>
      <c r="P89" s="747">
        <f t="shared" si="15"/>
        <v>1</v>
      </c>
      <c r="S89" s="746">
        <f t="shared" si="18"/>
        <v>2076</v>
      </c>
      <c r="T89" s="748">
        <v>0</v>
      </c>
      <c r="U89" s="748">
        <v>5</v>
      </c>
      <c r="V89" s="749">
        <f t="shared" si="19"/>
        <v>0</v>
      </c>
      <c r="W89" s="750">
        <v>1</v>
      </c>
      <c r="X89" s="751">
        <f t="shared" si="16"/>
        <v>0</v>
      </c>
    </row>
    <row r="90" spans="2:24">
      <c r="B90" s="746">
        <f t="shared" si="17"/>
        <v>2077</v>
      </c>
      <c r="C90" s="752"/>
      <c r="D90" s="739">
        <v>1</v>
      </c>
      <c r="E90" s="740">
        <f t="shared" si="20"/>
        <v>0.435</v>
      </c>
      <c r="F90" s="740">
        <f t="shared" si="20"/>
        <v>0.129</v>
      </c>
      <c r="G90" s="740">
        <f t="shared" si="20"/>
        <v>0</v>
      </c>
      <c r="H90" s="740">
        <f t="shared" si="20"/>
        <v>0</v>
      </c>
      <c r="I90" s="740">
        <f t="shared" si="20"/>
        <v>9.9000000000000005E-2</v>
      </c>
      <c r="J90" s="740">
        <f t="shared" si="20"/>
        <v>2.7E-2</v>
      </c>
      <c r="K90" s="740">
        <f t="shared" si="20"/>
        <v>8.9999999999999993E-3</v>
      </c>
      <c r="L90" s="740">
        <f t="shared" si="20"/>
        <v>7.1999999999999995E-2</v>
      </c>
      <c r="M90" s="740">
        <f t="shared" si="20"/>
        <v>3.3000000000000002E-2</v>
      </c>
      <c r="N90" s="740">
        <f t="shared" si="20"/>
        <v>0.04</v>
      </c>
      <c r="O90" s="740">
        <f t="shared" si="20"/>
        <v>0.156</v>
      </c>
      <c r="P90" s="747">
        <f t="shared" si="15"/>
        <v>1</v>
      </c>
      <c r="S90" s="746">
        <f t="shared" si="18"/>
        <v>2077</v>
      </c>
      <c r="T90" s="748">
        <v>0</v>
      </c>
      <c r="U90" s="748">
        <v>5</v>
      </c>
      <c r="V90" s="749">
        <f t="shared" si="19"/>
        <v>0</v>
      </c>
      <c r="W90" s="750">
        <v>1</v>
      </c>
      <c r="X90" s="751">
        <f t="shared" si="16"/>
        <v>0</v>
      </c>
    </row>
    <row r="91" spans="2:24">
      <c r="B91" s="746">
        <f t="shared" si="17"/>
        <v>2078</v>
      </c>
      <c r="C91" s="752"/>
      <c r="D91" s="739">
        <v>1</v>
      </c>
      <c r="E91" s="740">
        <f t="shared" si="20"/>
        <v>0.435</v>
      </c>
      <c r="F91" s="740">
        <f t="shared" si="20"/>
        <v>0.129</v>
      </c>
      <c r="G91" s="740">
        <f t="shared" si="20"/>
        <v>0</v>
      </c>
      <c r="H91" s="740">
        <f t="shared" si="20"/>
        <v>0</v>
      </c>
      <c r="I91" s="740">
        <f t="shared" si="20"/>
        <v>9.9000000000000005E-2</v>
      </c>
      <c r="J91" s="740">
        <f t="shared" si="20"/>
        <v>2.7E-2</v>
      </c>
      <c r="K91" s="740">
        <f t="shared" si="20"/>
        <v>8.9999999999999993E-3</v>
      </c>
      <c r="L91" s="740">
        <f t="shared" si="20"/>
        <v>7.1999999999999995E-2</v>
      </c>
      <c r="M91" s="740">
        <f t="shared" si="20"/>
        <v>3.3000000000000002E-2</v>
      </c>
      <c r="N91" s="740">
        <f t="shared" si="20"/>
        <v>0.04</v>
      </c>
      <c r="O91" s="740">
        <f t="shared" si="20"/>
        <v>0.156</v>
      </c>
      <c r="P91" s="747">
        <f t="shared" si="15"/>
        <v>1</v>
      </c>
      <c r="S91" s="746">
        <f t="shared" si="18"/>
        <v>2078</v>
      </c>
      <c r="T91" s="748">
        <v>0</v>
      </c>
      <c r="U91" s="748">
        <v>5</v>
      </c>
      <c r="V91" s="749">
        <f t="shared" si="19"/>
        <v>0</v>
      </c>
      <c r="W91" s="750">
        <v>1</v>
      </c>
      <c r="X91" s="751">
        <f t="shared" si="16"/>
        <v>0</v>
      </c>
    </row>
    <row r="92" spans="2:24">
      <c r="B92" s="746">
        <f t="shared" si="17"/>
        <v>2079</v>
      </c>
      <c r="C92" s="752"/>
      <c r="D92" s="739">
        <v>1</v>
      </c>
      <c r="E92" s="740">
        <f t="shared" si="20"/>
        <v>0.435</v>
      </c>
      <c r="F92" s="740">
        <f t="shared" si="20"/>
        <v>0.129</v>
      </c>
      <c r="G92" s="740">
        <f t="shared" si="20"/>
        <v>0</v>
      </c>
      <c r="H92" s="740">
        <f t="shared" si="20"/>
        <v>0</v>
      </c>
      <c r="I92" s="740">
        <f t="shared" si="20"/>
        <v>9.9000000000000005E-2</v>
      </c>
      <c r="J92" s="740">
        <f t="shared" si="20"/>
        <v>2.7E-2</v>
      </c>
      <c r="K92" s="740">
        <f t="shared" si="20"/>
        <v>8.9999999999999993E-3</v>
      </c>
      <c r="L92" s="740">
        <f t="shared" si="20"/>
        <v>7.1999999999999995E-2</v>
      </c>
      <c r="M92" s="740">
        <f t="shared" si="20"/>
        <v>3.3000000000000002E-2</v>
      </c>
      <c r="N92" s="740">
        <f t="shared" si="20"/>
        <v>0.04</v>
      </c>
      <c r="O92" s="740">
        <f t="shared" si="20"/>
        <v>0.156</v>
      </c>
      <c r="P92" s="747">
        <f t="shared" si="15"/>
        <v>1</v>
      </c>
      <c r="S92" s="746">
        <f t="shared" si="18"/>
        <v>2079</v>
      </c>
      <c r="T92" s="748">
        <v>0</v>
      </c>
      <c r="U92" s="748">
        <v>5</v>
      </c>
      <c r="V92" s="749">
        <f t="shared" si="19"/>
        <v>0</v>
      </c>
      <c r="W92" s="750">
        <v>1</v>
      </c>
      <c r="X92" s="751">
        <f t="shared" si="16"/>
        <v>0</v>
      </c>
    </row>
    <row r="93" spans="2:24" ht="13.5" thickBot="1">
      <c r="B93" s="753">
        <f t="shared" si="17"/>
        <v>2080</v>
      </c>
      <c r="C93" s="754"/>
      <c r="D93" s="739">
        <v>1</v>
      </c>
      <c r="E93" s="755">
        <f t="shared" si="20"/>
        <v>0.435</v>
      </c>
      <c r="F93" s="755">
        <f t="shared" si="20"/>
        <v>0.129</v>
      </c>
      <c r="G93" s="755">
        <f t="shared" si="20"/>
        <v>0</v>
      </c>
      <c r="H93" s="755">
        <f t="shared" si="20"/>
        <v>0</v>
      </c>
      <c r="I93" s="755">
        <f t="shared" si="20"/>
        <v>9.9000000000000005E-2</v>
      </c>
      <c r="J93" s="755">
        <f t="shared" si="20"/>
        <v>2.7E-2</v>
      </c>
      <c r="K93" s="755">
        <f t="shared" si="20"/>
        <v>8.9999999999999993E-3</v>
      </c>
      <c r="L93" s="755">
        <f t="shared" si="20"/>
        <v>7.1999999999999995E-2</v>
      </c>
      <c r="M93" s="755">
        <f t="shared" si="20"/>
        <v>3.3000000000000002E-2</v>
      </c>
      <c r="N93" s="755">
        <f t="shared" si="20"/>
        <v>0.04</v>
      </c>
      <c r="O93" s="756">
        <f t="shared" si="20"/>
        <v>0.156</v>
      </c>
      <c r="P93" s="757">
        <f t="shared" si="15"/>
        <v>1</v>
      </c>
      <c r="S93" s="753">
        <f t="shared" si="18"/>
        <v>2080</v>
      </c>
      <c r="T93" s="758">
        <v>0</v>
      </c>
      <c r="U93" s="759">
        <v>5</v>
      </c>
      <c r="V93" s="760">
        <f t="shared" si="19"/>
        <v>0</v>
      </c>
      <c r="W93" s="761">
        <v>1</v>
      </c>
      <c r="X93" s="762">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21" activePane="bottomLeft" state="frozen"/>
      <selection pane="bottomLeft" activeCell="R8" sqref="R8"/>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O14" sqref="O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921" t="str">
        <f>city</f>
        <v>Paser</v>
      </c>
      <c r="J2" s="922"/>
      <c r="K2" s="922"/>
      <c r="L2" s="922"/>
      <c r="M2" s="922"/>
      <c r="N2" s="922"/>
      <c r="O2" s="922"/>
    </row>
    <row r="3" spans="2:16" ht="16.5" thickBot="1">
      <c r="C3" s="4"/>
      <c r="H3" s="5" t="s">
        <v>276</v>
      </c>
      <c r="I3" s="921" t="str">
        <f>province</f>
        <v>Kalimantan Timur</v>
      </c>
      <c r="J3" s="922"/>
      <c r="K3" s="922"/>
      <c r="L3" s="922"/>
      <c r="M3" s="922"/>
      <c r="N3" s="922"/>
      <c r="O3" s="922"/>
    </row>
    <row r="4" spans="2:16" ht="16.5" thickBot="1">
      <c r="D4" s="4"/>
      <c r="E4" s="4"/>
      <c r="H4" s="5" t="s">
        <v>30</v>
      </c>
      <c r="I4" s="921" t="str">
        <f>country</f>
        <v>Indonesia</v>
      </c>
      <c r="J4" s="922"/>
      <c r="K4" s="922"/>
      <c r="L4" s="922"/>
      <c r="M4" s="922"/>
      <c r="N4" s="922"/>
      <c r="O4" s="922"/>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927" t="s">
        <v>32</v>
      </c>
      <c r="D10" s="928"/>
      <c r="E10" s="928"/>
      <c r="F10" s="928"/>
      <c r="G10" s="928"/>
      <c r="H10" s="928"/>
      <c r="I10" s="928"/>
      <c r="J10" s="928"/>
      <c r="K10" s="928"/>
      <c r="L10" s="928"/>
      <c r="M10" s="928"/>
      <c r="N10" s="928"/>
      <c r="O10" s="928"/>
      <c r="P10" s="929"/>
    </row>
    <row r="11" spans="2:16" ht="13.5" customHeight="1" thickBot="1">
      <c r="C11" s="910" t="s">
        <v>228</v>
      </c>
      <c r="D11" s="910" t="s">
        <v>262</v>
      </c>
      <c r="E11" s="910" t="s">
        <v>267</v>
      </c>
      <c r="F11" s="910" t="s">
        <v>261</v>
      </c>
      <c r="G11" s="910" t="s">
        <v>2</v>
      </c>
      <c r="H11" s="910" t="s">
        <v>16</v>
      </c>
      <c r="I11" s="910" t="s">
        <v>229</v>
      </c>
      <c r="J11" s="923" t="s">
        <v>273</v>
      </c>
      <c r="K11" s="924"/>
      <c r="L11" s="924"/>
      <c r="M11" s="925"/>
      <c r="N11" s="910" t="s">
        <v>146</v>
      </c>
      <c r="O11" s="910" t="s">
        <v>210</v>
      </c>
      <c r="P11" s="909" t="s">
        <v>308</v>
      </c>
    </row>
    <row r="12" spans="2:16" s="1" customFormat="1">
      <c r="B12" s="365" t="s">
        <v>1</v>
      </c>
      <c r="C12" s="926"/>
      <c r="D12" s="926"/>
      <c r="E12" s="926"/>
      <c r="F12" s="926"/>
      <c r="G12" s="926"/>
      <c r="H12" s="926"/>
      <c r="I12" s="926"/>
      <c r="J12" s="369" t="s">
        <v>230</v>
      </c>
      <c r="K12" s="369" t="s">
        <v>231</v>
      </c>
      <c r="L12" s="369" t="s">
        <v>232</v>
      </c>
      <c r="M12" s="365" t="s">
        <v>233</v>
      </c>
      <c r="N12" s="926"/>
      <c r="O12" s="926"/>
      <c r="P12" s="926"/>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548">
        <f>Activity!$C13*Activity!$D13*Activity!E13</f>
        <v>0</v>
      </c>
      <c r="D14" s="549">
        <f>Activity!$C13*Activity!$D13*Activity!F13</f>
        <v>0</v>
      </c>
      <c r="E14" s="549">
        <f>Activity!$C13*Activity!$D13*Activity!G13</f>
        <v>0</v>
      </c>
      <c r="F14" s="549">
        <f>Activity!$C13*Activity!$D13*Activity!H13</f>
        <v>0</v>
      </c>
      <c r="G14" s="549">
        <f>Activity!$C13*Activity!$D13*Activity!I13</f>
        <v>0</v>
      </c>
      <c r="H14" s="549">
        <f>Activity!$C13*Activity!$D13*Activity!J13</f>
        <v>0</v>
      </c>
      <c r="I14" s="549">
        <f>Activity!$C13*Activity!$D13*Activity!K13</f>
        <v>0</v>
      </c>
      <c r="J14" s="549">
        <f>Activity!$C13*Activity!$D13*Activity!L13</f>
        <v>0</v>
      </c>
      <c r="K14" s="550">
        <f>Activity!$C13*Activity!$D13*Activity!M13</f>
        <v>0</v>
      </c>
      <c r="L14" s="550">
        <f>Activity!$C13*Activity!$D13*Activity!N13</f>
        <v>0</v>
      </c>
      <c r="M14" s="549">
        <f>Activity!$C13*Activity!$D13*Activity!O13</f>
        <v>0</v>
      </c>
      <c r="N14" s="412">
        <v>0</v>
      </c>
      <c r="O14" s="557">
        <f>Activity!C13*Activity!D13</f>
        <v>0</v>
      </c>
      <c r="P14" s="558">
        <f>Activity!X13</f>
        <v>0</v>
      </c>
    </row>
    <row r="15" spans="2:16">
      <c r="B15" s="34">
        <f>B14+1</f>
        <v>2001</v>
      </c>
      <c r="C15" s="551">
        <f>Activity!$C14*Activity!$D14*Activity!E14</f>
        <v>0</v>
      </c>
      <c r="D15" s="552">
        <f>Activity!$C14*Activity!$D14*Activity!F14</f>
        <v>0</v>
      </c>
      <c r="E15" s="550">
        <f>Activity!$C14*Activity!$D14*Activity!G14</f>
        <v>0</v>
      </c>
      <c r="F15" s="552">
        <f>Activity!$C14*Activity!$D14*Activity!H14</f>
        <v>0</v>
      </c>
      <c r="G15" s="552">
        <f>Activity!$C14*Activity!$D14*Activity!I14</f>
        <v>0</v>
      </c>
      <c r="H15" s="552">
        <f>Activity!$C14*Activity!$D14*Activity!J14</f>
        <v>0</v>
      </c>
      <c r="I15" s="552">
        <f>Activity!$C14*Activity!$D14*Activity!K14</f>
        <v>0</v>
      </c>
      <c r="J15" s="553">
        <f>Activity!$C14*Activity!$D14*Activity!L14</f>
        <v>0</v>
      </c>
      <c r="K15" s="552">
        <f>Activity!$C14*Activity!$D14*Activity!M14</f>
        <v>0</v>
      </c>
      <c r="L15" s="552">
        <f>Activity!$C14*Activity!$D14*Activity!N14</f>
        <v>0</v>
      </c>
      <c r="M15" s="550">
        <f>Activity!$C14*Activity!$D14*Activity!O14</f>
        <v>0</v>
      </c>
      <c r="N15" s="413">
        <v>0</v>
      </c>
      <c r="O15" s="552">
        <f>Activity!C14*Activity!D14</f>
        <v>0</v>
      </c>
      <c r="P15" s="559">
        <f>Activity!X14</f>
        <v>0</v>
      </c>
    </row>
    <row r="16" spans="2:16">
      <c r="B16" s="7">
        <f t="shared" ref="B16:B21" si="0">B15+1</f>
        <v>2002</v>
      </c>
      <c r="C16" s="551">
        <f>Activity!$C15*Activity!$D15*Activity!E15</f>
        <v>0</v>
      </c>
      <c r="D16" s="552">
        <f>Activity!$C15*Activity!$D15*Activity!F15</f>
        <v>0</v>
      </c>
      <c r="E16" s="550">
        <f>Activity!$C15*Activity!$D15*Activity!G15</f>
        <v>0</v>
      </c>
      <c r="F16" s="552">
        <f>Activity!$C15*Activity!$D15*Activity!H15</f>
        <v>0</v>
      </c>
      <c r="G16" s="552">
        <f>Activity!$C15*Activity!$D15*Activity!I15</f>
        <v>0</v>
      </c>
      <c r="H16" s="552">
        <f>Activity!$C15*Activity!$D15*Activity!J15</f>
        <v>0</v>
      </c>
      <c r="I16" s="552">
        <f>Activity!$C15*Activity!$D15*Activity!K15</f>
        <v>0</v>
      </c>
      <c r="J16" s="553">
        <f>Activity!$C15*Activity!$D15*Activity!L15</f>
        <v>0</v>
      </c>
      <c r="K16" s="552">
        <f>Activity!$C15*Activity!$D15*Activity!M15</f>
        <v>0</v>
      </c>
      <c r="L16" s="552">
        <f>Activity!$C15*Activity!$D15*Activity!N15</f>
        <v>0</v>
      </c>
      <c r="M16" s="550">
        <f>Activity!$C15*Activity!$D15*Activity!O15</f>
        <v>0</v>
      </c>
      <c r="N16" s="413">
        <v>0</v>
      </c>
      <c r="O16" s="552">
        <f>Activity!C15*Activity!D15</f>
        <v>0</v>
      </c>
      <c r="P16" s="559">
        <f>Activity!X15</f>
        <v>0</v>
      </c>
    </row>
    <row r="17" spans="2:16">
      <c r="B17" s="7">
        <f t="shared" si="0"/>
        <v>2003</v>
      </c>
      <c r="C17" s="551">
        <f>Activity!$C16*Activity!$D16*Activity!E16</f>
        <v>0</v>
      </c>
      <c r="D17" s="552">
        <f>Activity!$C16*Activity!$D16*Activity!F16</f>
        <v>0</v>
      </c>
      <c r="E17" s="550">
        <f>Activity!$C16*Activity!$D16*Activity!G16</f>
        <v>0</v>
      </c>
      <c r="F17" s="552">
        <f>Activity!$C16*Activity!$D16*Activity!H16</f>
        <v>0</v>
      </c>
      <c r="G17" s="552">
        <f>Activity!$C16*Activity!$D16*Activity!I16</f>
        <v>0</v>
      </c>
      <c r="H17" s="552">
        <f>Activity!$C16*Activity!$D16*Activity!J16</f>
        <v>0</v>
      </c>
      <c r="I17" s="552">
        <f>Activity!$C16*Activity!$D16*Activity!K16</f>
        <v>0</v>
      </c>
      <c r="J17" s="553">
        <f>Activity!$C16*Activity!$D16*Activity!L16</f>
        <v>0</v>
      </c>
      <c r="K17" s="552">
        <f>Activity!$C16*Activity!$D16*Activity!M16</f>
        <v>0</v>
      </c>
      <c r="L17" s="552">
        <f>Activity!$C16*Activity!$D16*Activity!N16</f>
        <v>0</v>
      </c>
      <c r="M17" s="550">
        <f>Activity!$C16*Activity!$D16*Activity!O16</f>
        <v>0</v>
      </c>
      <c r="N17" s="413">
        <v>0</v>
      </c>
      <c r="O17" s="552">
        <f>Activity!C16*Activity!D16</f>
        <v>0</v>
      </c>
      <c r="P17" s="559">
        <f>Activity!X16</f>
        <v>0</v>
      </c>
    </row>
    <row r="18" spans="2:16">
      <c r="B18" s="7">
        <f t="shared" si="0"/>
        <v>2004</v>
      </c>
      <c r="C18" s="551">
        <f>Activity!$C17*Activity!$D17*Activity!E17</f>
        <v>0</v>
      </c>
      <c r="D18" s="552">
        <f>Activity!$C17*Activity!$D17*Activity!F17</f>
        <v>0</v>
      </c>
      <c r="E18" s="550">
        <f>Activity!$C17*Activity!$D17*Activity!G17</f>
        <v>0</v>
      </c>
      <c r="F18" s="552">
        <f>Activity!$C17*Activity!$D17*Activity!H17</f>
        <v>0</v>
      </c>
      <c r="G18" s="552">
        <f>Activity!$C17*Activity!$D17*Activity!I17</f>
        <v>0</v>
      </c>
      <c r="H18" s="552">
        <f>Activity!$C17*Activity!$D17*Activity!J17</f>
        <v>0</v>
      </c>
      <c r="I18" s="552">
        <f>Activity!$C17*Activity!$D17*Activity!K17</f>
        <v>0</v>
      </c>
      <c r="J18" s="553">
        <f>Activity!$C17*Activity!$D17*Activity!L17</f>
        <v>0</v>
      </c>
      <c r="K18" s="552">
        <f>Activity!$C17*Activity!$D17*Activity!M17</f>
        <v>0</v>
      </c>
      <c r="L18" s="552">
        <f>Activity!$C17*Activity!$D17*Activity!N17</f>
        <v>0</v>
      </c>
      <c r="M18" s="550">
        <f>Activity!$C17*Activity!$D17*Activity!O17</f>
        <v>0</v>
      </c>
      <c r="N18" s="413">
        <v>0</v>
      </c>
      <c r="O18" s="552">
        <f>Activity!C17*Activity!D17</f>
        <v>0</v>
      </c>
      <c r="P18" s="559">
        <f>Activity!X17</f>
        <v>0</v>
      </c>
    </row>
    <row r="19" spans="2:16">
      <c r="B19" s="7">
        <f t="shared" si="0"/>
        <v>2005</v>
      </c>
      <c r="C19" s="551">
        <f>Activity!$C18*Activity!$D18*Activity!E18</f>
        <v>0</v>
      </c>
      <c r="D19" s="552">
        <f>Activity!$C18*Activity!$D18*Activity!F18</f>
        <v>0</v>
      </c>
      <c r="E19" s="550">
        <f>Activity!$C18*Activity!$D18*Activity!G18</f>
        <v>0</v>
      </c>
      <c r="F19" s="552">
        <f>Activity!$C18*Activity!$D18*Activity!H18</f>
        <v>0</v>
      </c>
      <c r="G19" s="552">
        <f>Activity!$C18*Activity!$D18*Activity!I18</f>
        <v>0</v>
      </c>
      <c r="H19" s="552">
        <f>Activity!$C18*Activity!$D18*Activity!J18</f>
        <v>0</v>
      </c>
      <c r="I19" s="552">
        <f>Activity!$C18*Activity!$D18*Activity!K18</f>
        <v>0</v>
      </c>
      <c r="J19" s="553">
        <f>Activity!$C18*Activity!$D18*Activity!L18</f>
        <v>0</v>
      </c>
      <c r="K19" s="552">
        <f>Activity!$C18*Activity!$D18*Activity!M18</f>
        <v>0</v>
      </c>
      <c r="L19" s="552">
        <f>Activity!$C18*Activity!$D18*Activity!N18</f>
        <v>0</v>
      </c>
      <c r="M19" s="550">
        <f>Activity!$C18*Activity!$D18*Activity!O18</f>
        <v>0</v>
      </c>
      <c r="N19" s="413">
        <v>0</v>
      </c>
      <c r="O19" s="552">
        <f>Activity!C18*Activity!D18</f>
        <v>0</v>
      </c>
      <c r="P19" s="559">
        <f>Activity!X18</f>
        <v>0</v>
      </c>
    </row>
    <row r="20" spans="2:16">
      <c r="B20" s="7">
        <f t="shared" si="0"/>
        <v>2006</v>
      </c>
      <c r="C20" s="551">
        <f>Activity!$C19*Activity!$D19*Activity!E19</f>
        <v>0</v>
      </c>
      <c r="D20" s="552">
        <f>Activity!$C19*Activity!$D19*Activity!F19</f>
        <v>0</v>
      </c>
      <c r="E20" s="550">
        <f>Activity!$C19*Activity!$D19*Activity!G19</f>
        <v>0</v>
      </c>
      <c r="F20" s="552">
        <f>Activity!$C19*Activity!$D19*Activity!H19</f>
        <v>0</v>
      </c>
      <c r="G20" s="552">
        <f>Activity!$C19*Activity!$D19*Activity!I19</f>
        <v>0</v>
      </c>
      <c r="H20" s="552">
        <f>Activity!$C19*Activity!$D19*Activity!J19</f>
        <v>0</v>
      </c>
      <c r="I20" s="552">
        <f>Activity!$C19*Activity!$D19*Activity!K19</f>
        <v>0</v>
      </c>
      <c r="J20" s="553">
        <f>Activity!$C19*Activity!$D19*Activity!L19</f>
        <v>0</v>
      </c>
      <c r="K20" s="552">
        <f>Activity!$C19*Activity!$D19*Activity!M19</f>
        <v>0</v>
      </c>
      <c r="L20" s="552">
        <f>Activity!$C19*Activity!$D19*Activity!N19</f>
        <v>0</v>
      </c>
      <c r="M20" s="550">
        <f>Activity!$C19*Activity!$D19*Activity!O19</f>
        <v>0</v>
      </c>
      <c r="N20" s="413">
        <v>0</v>
      </c>
      <c r="O20" s="552">
        <f>Activity!C19*Activity!D19</f>
        <v>0</v>
      </c>
      <c r="P20" s="559">
        <f>Activity!X19</f>
        <v>0</v>
      </c>
    </row>
    <row r="21" spans="2:16">
      <c r="B21" s="7">
        <f t="shared" si="0"/>
        <v>2007</v>
      </c>
      <c r="C21" s="551">
        <f>Activity!$C20*Activity!$D20*Activity!E20</f>
        <v>0</v>
      </c>
      <c r="D21" s="552">
        <f>Activity!$C20*Activity!$D20*Activity!F20</f>
        <v>0</v>
      </c>
      <c r="E21" s="550">
        <f>Activity!$C20*Activity!$D20*Activity!G20</f>
        <v>0</v>
      </c>
      <c r="F21" s="552">
        <f>Activity!$C20*Activity!$D20*Activity!H20</f>
        <v>0</v>
      </c>
      <c r="G21" s="552">
        <f>Activity!$C20*Activity!$D20*Activity!I20</f>
        <v>0</v>
      </c>
      <c r="H21" s="552">
        <f>Activity!$C20*Activity!$D20*Activity!J20</f>
        <v>0</v>
      </c>
      <c r="I21" s="552">
        <f>Activity!$C20*Activity!$D20*Activity!K20</f>
        <v>0</v>
      </c>
      <c r="J21" s="553">
        <f>Activity!$C20*Activity!$D20*Activity!L20</f>
        <v>0</v>
      </c>
      <c r="K21" s="552">
        <f>Activity!$C20*Activity!$D20*Activity!M20</f>
        <v>0</v>
      </c>
      <c r="L21" s="552">
        <f>Activity!$C20*Activity!$D20*Activity!N20</f>
        <v>0</v>
      </c>
      <c r="M21" s="550">
        <f>Activity!$C20*Activity!$D20*Activity!O20</f>
        <v>0</v>
      </c>
      <c r="N21" s="413">
        <v>0</v>
      </c>
      <c r="O21" s="552">
        <f>Activity!C20*Activity!D20</f>
        <v>0</v>
      </c>
      <c r="P21" s="559">
        <f>Activity!X20</f>
        <v>0</v>
      </c>
    </row>
    <row r="22" spans="2:16">
      <c r="B22" s="7">
        <f t="shared" ref="B22:B85" si="1">B21+1</f>
        <v>2008</v>
      </c>
      <c r="C22" s="551">
        <f>Activity!$C21*Activity!$D21*Activity!E21</f>
        <v>0</v>
      </c>
      <c r="D22" s="552">
        <f>Activity!$C21*Activity!$D21*Activity!F21</f>
        <v>0</v>
      </c>
      <c r="E22" s="550">
        <f>Activity!$C21*Activity!$D21*Activity!G21</f>
        <v>0</v>
      </c>
      <c r="F22" s="552">
        <f>Activity!$C21*Activity!$D21*Activity!H21</f>
        <v>0</v>
      </c>
      <c r="G22" s="552">
        <f>Activity!$C21*Activity!$D21*Activity!I21</f>
        <v>0</v>
      </c>
      <c r="H22" s="552">
        <f>Activity!$C21*Activity!$D21*Activity!J21</f>
        <v>0</v>
      </c>
      <c r="I22" s="552">
        <f>Activity!$C21*Activity!$D21*Activity!K21</f>
        <v>0</v>
      </c>
      <c r="J22" s="553">
        <f>Activity!$C21*Activity!$D21*Activity!L21</f>
        <v>0</v>
      </c>
      <c r="K22" s="552">
        <f>Activity!$C21*Activity!$D21*Activity!M21</f>
        <v>0</v>
      </c>
      <c r="L22" s="552">
        <f>Activity!$C21*Activity!$D21*Activity!N21</f>
        <v>0</v>
      </c>
      <c r="M22" s="550">
        <f>Activity!$C21*Activity!$D21*Activity!O21</f>
        <v>0</v>
      </c>
      <c r="N22" s="413">
        <v>0</v>
      </c>
      <c r="O22" s="552">
        <f>Activity!C21*Activity!D21</f>
        <v>0</v>
      </c>
      <c r="P22" s="559">
        <f>Activity!X21</f>
        <v>0</v>
      </c>
    </row>
    <row r="23" spans="2:16">
      <c r="B23" s="7">
        <f t="shared" si="1"/>
        <v>2009</v>
      </c>
      <c r="C23" s="551">
        <f>Activity!$C22*Activity!$D22*Activity!E22</f>
        <v>0</v>
      </c>
      <c r="D23" s="552">
        <f>Activity!$C22*Activity!$D22*Activity!F22</f>
        <v>0</v>
      </c>
      <c r="E23" s="550">
        <f>Activity!$C22*Activity!$D22*Activity!G22</f>
        <v>0</v>
      </c>
      <c r="F23" s="552">
        <f>Activity!$C22*Activity!$D22*Activity!H22</f>
        <v>0</v>
      </c>
      <c r="G23" s="552">
        <f>Activity!$C22*Activity!$D22*Activity!I22</f>
        <v>0</v>
      </c>
      <c r="H23" s="552">
        <f>Activity!$C22*Activity!$D22*Activity!J22</f>
        <v>0</v>
      </c>
      <c r="I23" s="552">
        <f>Activity!$C22*Activity!$D22*Activity!K22</f>
        <v>0</v>
      </c>
      <c r="J23" s="553">
        <f>Activity!$C22*Activity!$D22*Activity!L22</f>
        <v>0</v>
      </c>
      <c r="K23" s="552">
        <f>Activity!$C22*Activity!$D22*Activity!M22</f>
        <v>0</v>
      </c>
      <c r="L23" s="552">
        <f>Activity!$C22*Activity!$D22*Activity!N22</f>
        <v>0</v>
      </c>
      <c r="M23" s="550">
        <f>Activity!$C22*Activity!$D22*Activity!O22</f>
        <v>0</v>
      </c>
      <c r="N23" s="413">
        <v>0</v>
      </c>
      <c r="O23" s="552">
        <f>Activity!C22*Activity!D22</f>
        <v>0</v>
      </c>
      <c r="P23" s="559">
        <f>Activity!X22</f>
        <v>0</v>
      </c>
    </row>
    <row r="24" spans="2:16">
      <c r="B24" s="7">
        <f t="shared" si="1"/>
        <v>2010</v>
      </c>
      <c r="C24" s="551">
        <f>Activity!$C23*Activity!$D23*Activity!E23</f>
        <v>0</v>
      </c>
      <c r="D24" s="552">
        <f>Activity!$C23*Activity!$D23*Activity!F23</f>
        <v>0</v>
      </c>
      <c r="E24" s="550">
        <f>Activity!$C23*Activity!$D23*Activity!G23</f>
        <v>0</v>
      </c>
      <c r="F24" s="552">
        <f>Activity!$C23*Activity!$D23*Activity!H23</f>
        <v>0</v>
      </c>
      <c r="G24" s="552">
        <f>Activity!$C23*Activity!$D23*Activity!I23</f>
        <v>0</v>
      </c>
      <c r="H24" s="552">
        <f>Activity!$C23*Activity!$D23*Activity!J23</f>
        <v>0</v>
      </c>
      <c r="I24" s="552">
        <f>Activity!$C23*Activity!$D23*Activity!K23</f>
        <v>0</v>
      </c>
      <c r="J24" s="553">
        <f>Activity!$C23*Activity!$D23*Activity!L23</f>
        <v>0</v>
      </c>
      <c r="K24" s="552">
        <f>Activity!$C23*Activity!$D23*Activity!M23</f>
        <v>0</v>
      </c>
      <c r="L24" s="552">
        <f>Activity!$C23*Activity!$D23*Activity!N23</f>
        <v>0</v>
      </c>
      <c r="M24" s="550">
        <f>Activity!$C23*Activity!$D23*Activity!O23</f>
        <v>0</v>
      </c>
      <c r="N24" s="413">
        <v>0</v>
      </c>
      <c r="O24" s="552">
        <f>Activity!C23*Activity!D23</f>
        <v>0</v>
      </c>
      <c r="P24" s="559">
        <f>Activity!X23</f>
        <v>0</v>
      </c>
    </row>
    <row r="25" spans="2:16">
      <c r="B25" s="7">
        <f t="shared" si="1"/>
        <v>2011</v>
      </c>
      <c r="C25" s="551">
        <f>Activity!$C24*Activity!$D24*Activity!E24</f>
        <v>0</v>
      </c>
      <c r="D25" s="552">
        <f>Activity!$C24*Activity!$D24*Activity!F24</f>
        <v>0</v>
      </c>
      <c r="E25" s="550">
        <f>Activity!$C24*Activity!$D24*Activity!G24</f>
        <v>0</v>
      </c>
      <c r="F25" s="552">
        <f>Activity!$C24*Activity!$D24*Activity!H24</f>
        <v>0</v>
      </c>
      <c r="G25" s="552">
        <f>Activity!$C24*Activity!$D24*Activity!I24</f>
        <v>0</v>
      </c>
      <c r="H25" s="552">
        <f>Activity!$C24*Activity!$D24*Activity!J24</f>
        <v>0</v>
      </c>
      <c r="I25" s="552">
        <f>Activity!$C24*Activity!$D24*Activity!K24</f>
        <v>0</v>
      </c>
      <c r="J25" s="553">
        <f>Activity!$C24*Activity!$D24*Activity!L24</f>
        <v>0</v>
      </c>
      <c r="K25" s="552">
        <f>Activity!$C24*Activity!$D24*Activity!M24</f>
        <v>0</v>
      </c>
      <c r="L25" s="552">
        <f>Activity!$C24*Activity!$D24*Activity!N24</f>
        <v>0</v>
      </c>
      <c r="M25" s="550">
        <f>Activity!$C24*Activity!$D24*Activity!O24</f>
        <v>0</v>
      </c>
      <c r="N25" s="413">
        <v>0</v>
      </c>
      <c r="O25" s="552">
        <f>Activity!C24*Activity!D24</f>
        <v>0</v>
      </c>
      <c r="P25" s="559">
        <f>Activity!X24</f>
        <v>0</v>
      </c>
    </row>
    <row r="26" spans="2:16">
      <c r="B26" s="7">
        <f t="shared" si="1"/>
        <v>2012</v>
      </c>
      <c r="C26" s="551">
        <f>Activity!$C25*Activity!$D25*Activity!E25</f>
        <v>0</v>
      </c>
      <c r="D26" s="552">
        <f>Activity!$C25*Activity!$D25*Activity!F25</f>
        <v>0</v>
      </c>
      <c r="E26" s="550">
        <f>Activity!$C25*Activity!$D25*Activity!G25</f>
        <v>0</v>
      </c>
      <c r="F26" s="552">
        <f>Activity!$C25*Activity!$D25*Activity!H25</f>
        <v>0</v>
      </c>
      <c r="G26" s="552">
        <f>Activity!$C25*Activity!$D25*Activity!I25</f>
        <v>0</v>
      </c>
      <c r="H26" s="552">
        <f>Activity!$C25*Activity!$D25*Activity!J25</f>
        <v>0</v>
      </c>
      <c r="I26" s="552">
        <f>Activity!$C25*Activity!$D25*Activity!K25</f>
        <v>0</v>
      </c>
      <c r="J26" s="553">
        <f>Activity!$C25*Activity!$D25*Activity!L25</f>
        <v>0</v>
      </c>
      <c r="K26" s="552">
        <f>Activity!$C25*Activity!$D25*Activity!M25</f>
        <v>0</v>
      </c>
      <c r="L26" s="552">
        <f>Activity!$C25*Activity!$D25*Activity!N25</f>
        <v>0</v>
      </c>
      <c r="M26" s="550">
        <f>Activity!$C25*Activity!$D25*Activity!O25</f>
        <v>0</v>
      </c>
      <c r="N26" s="413">
        <v>0</v>
      </c>
      <c r="O26" s="552">
        <f>Activity!C25*Activity!D25</f>
        <v>0</v>
      </c>
      <c r="P26" s="559">
        <f>Activity!X25</f>
        <v>0</v>
      </c>
    </row>
    <row r="27" spans="2:16">
      <c r="B27" s="7">
        <f t="shared" si="1"/>
        <v>2013</v>
      </c>
      <c r="C27" s="551">
        <f>Activity!$C26*Activity!$D26*Activity!E26</f>
        <v>0</v>
      </c>
      <c r="D27" s="552">
        <f>Activity!$C26*Activity!$D26*Activity!F26</f>
        <v>0</v>
      </c>
      <c r="E27" s="550">
        <f>Activity!$C26*Activity!$D26*Activity!G26</f>
        <v>0</v>
      </c>
      <c r="F27" s="552">
        <f>Activity!$C26*Activity!$D26*Activity!H26</f>
        <v>0</v>
      </c>
      <c r="G27" s="552">
        <f>Activity!$C26*Activity!$D26*Activity!I26</f>
        <v>0</v>
      </c>
      <c r="H27" s="552">
        <f>Activity!$C26*Activity!$D26*Activity!J26</f>
        <v>0</v>
      </c>
      <c r="I27" s="552">
        <f>Activity!$C26*Activity!$D26*Activity!K26</f>
        <v>0</v>
      </c>
      <c r="J27" s="553">
        <f>Activity!$C26*Activity!$D26*Activity!L26</f>
        <v>0</v>
      </c>
      <c r="K27" s="552">
        <f>Activity!$C26*Activity!$D26*Activity!M26</f>
        <v>0</v>
      </c>
      <c r="L27" s="552">
        <f>Activity!$C26*Activity!$D26*Activity!N26</f>
        <v>0</v>
      </c>
      <c r="M27" s="550">
        <f>Activity!$C26*Activity!$D26*Activity!O26</f>
        <v>0</v>
      </c>
      <c r="N27" s="413">
        <v>0</v>
      </c>
      <c r="O27" s="552">
        <f>Activity!C26*Activity!D26</f>
        <v>0</v>
      </c>
      <c r="P27" s="559">
        <f>Activity!X26</f>
        <v>0</v>
      </c>
    </row>
    <row r="28" spans="2:16">
      <c r="B28" s="7">
        <f t="shared" si="1"/>
        <v>2014</v>
      </c>
      <c r="C28" s="551">
        <f>Activity!$C27*Activity!$D27*Activity!E27</f>
        <v>0</v>
      </c>
      <c r="D28" s="552">
        <f>Activity!$C27*Activity!$D27*Activity!F27</f>
        <v>0</v>
      </c>
      <c r="E28" s="550">
        <f>Activity!$C27*Activity!$D27*Activity!G27</f>
        <v>0</v>
      </c>
      <c r="F28" s="552">
        <f>Activity!$C27*Activity!$D27*Activity!H27</f>
        <v>0</v>
      </c>
      <c r="G28" s="552">
        <f>Activity!$C27*Activity!$D27*Activity!I27</f>
        <v>0</v>
      </c>
      <c r="H28" s="552">
        <f>Activity!$C27*Activity!$D27*Activity!J27</f>
        <v>0</v>
      </c>
      <c r="I28" s="552">
        <f>Activity!$C27*Activity!$D27*Activity!K27</f>
        <v>0</v>
      </c>
      <c r="J28" s="553">
        <f>Activity!$C27*Activity!$D27*Activity!L27</f>
        <v>0</v>
      </c>
      <c r="K28" s="552">
        <f>Activity!$C27*Activity!$D27*Activity!M27</f>
        <v>0</v>
      </c>
      <c r="L28" s="552">
        <f>Activity!$C27*Activity!$D27*Activity!N27</f>
        <v>0</v>
      </c>
      <c r="M28" s="550">
        <f>Activity!$C27*Activity!$D27*Activity!O27</f>
        <v>0</v>
      </c>
      <c r="N28" s="413">
        <v>0</v>
      </c>
      <c r="O28" s="552">
        <f>Activity!C27*Activity!D27</f>
        <v>0</v>
      </c>
      <c r="P28" s="559">
        <f>Activity!X27</f>
        <v>0</v>
      </c>
    </row>
    <row r="29" spans="2:16">
      <c r="B29" s="7">
        <f t="shared" si="1"/>
        <v>2015</v>
      </c>
      <c r="C29" s="551">
        <f>Activity!$C28*Activity!$D28*Activity!E28</f>
        <v>0</v>
      </c>
      <c r="D29" s="552">
        <f>Activity!$C28*Activity!$D28*Activity!F28</f>
        <v>0</v>
      </c>
      <c r="E29" s="550">
        <f>Activity!$C28*Activity!$D28*Activity!G28</f>
        <v>0</v>
      </c>
      <c r="F29" s="552">
        <f>Activity!$C28*Activity!$D28*Activity!H28</f>
        <v>0</v>
      </c>
      <c r="G29" s="552">
        <f>Activity!$C28*Activity!$D28*Activity!I28</f>
        <v>0</v>
      </c>
      <c r="H29" s="552">
        <f>Activity!$C28*Activity!$D28*Activity!J28</f>
        <v>0</v>
      </c>
      <c r="I29" s="552">
        <f>Activity!$C28*Activity!$D28*Activity!K28</f>
        <v>0</v>
      </c>
      <c r="J29" s="553">
        <f>Activity!$C28*Activity!$D28*Activity!L28</f>
        <v>0</v>
      </c>
      <c r="K29" s="552">
        <f>Activity!$C28*Activity!$D28*Activity!M28</f>
        <v>0</v>
      </c>
      <c r="L29" s="552">
        <f>Activity!$C28*Activity!$D28*Activity!N28</f>
        <v>0</v>
      </c>
      <c r="M29" s="550">
        <f>Activity!$C28*Activity!$D28*Activity!O28</f>
        <v>0</v>
      </c>
      <c r="N29" s="413">
        <v>0</v>
      </c>
      <c r="O29" s="552">
        <f>Activity!C28*Activity!D28</f>
        <v>0</v>
      </c>
      <c r="P29" s="559">
        <f>Activity!X28</f>
        <v>0</v>
      </c>
    </row>
    <row r="30" spans="2:16">
      <c r="B30" s="7">
        <f t="shared" si="1"/>
        <v>2016</v>
      </c>
      <c r="C30" s="551">
        <f>Activity!$C29*Activity!$D29*Activity!E29</f>
        <v>0</v>
      </c>
      <c r="D30" s="552">
        <f>Activity!$C29*Activity!$D29*Activity!F29</f>
        <v>0</v>
      </c>
      <c r="E30" s="550">
        <f>Activity!$C29*Activity!$D29*Activity!G29</f>
        <v>0</v>
      </c>
      <c r="F30" s="552">
        <f>Activity!$C29*Activity!$D29*Activity!H29</f>
        <v>0</v>
      </c>
      <c r="G30" s="552">
        <f>Activity!$C29*Activity!$D29*Activity!I29</f>
        <v>0</v>
      </c>
      <c r="H30" s="552">
        <f>Activity!$C29*Activity!$D29*Activity!J29</f>
        <v>0</v>
      </c>
      <c r="I30" s="552">
        <f>Activity!$C29*Activity!$D29*Activity!K29</f>
        <v>0</v>
      </c>
      <c r="J30" s="553">
        <f>Activity!$C29*Activity!$D29*Activity!L29</f>
        <v>0</v>
      </c>
      <c r="K30" s="552">
        <f>Activity!$C29*Activity!$D29*Activity!M29</f>
        <v>0</v>
      </c>
      <c r="L30" s="552">
        <f>Activity!$C29*Activity!$D29*Activity!N29</f>
        <v>0</v>
      </c>
      <c r="M30" s="550">
        <f>Activity!$C29*Activity!$D29*Activity!O29</f>
        <v>0</v>
      </c>
      <c r="N30" s="413">
        <v>0</v>
      </c>
      <c r="O30" s="552">
        <f>Activity!C29*Activity!D29</f>
        <v>0</v>
      </c>
      <c r="P30" s="559">
        <f>Activity!X29</f>
        <v>0</v>
      </c>
    </row>
    <row r="31" spans="2:16">
      <c r="B31" s="7">
        <f t="shared" si="1"/>
        <v>2017</v>
      </c>
      <c r="C31" s="551">
        <f>Activity!$C30*Activity!$D30*Activity!E30</f>
        <v>0.48153804000000006</v>
      </c>
      <c r="D31" s="552">
        <f>Activity!$C30*Activity!$D30*Activity!F30</f>
        <v>0.14280093600000002</v>
      </c>
      <c r="E31" s="550">
        <f>Activity!$C30*Activity!$D30*Activity!G30</f>
        <v>0</v>
      </c>
      <c r="F31" s="552">
        <f>Activity!$C30*Activity!$D30*Activity!H30</f>
        <v>0</v>
      </c>
      <c r="G31" s="552">
        <f>Activity!$C30*Activity!$D30*Activity!I30</f>
        <v>0.10959141600000002</v>
      </c>
      <c r="H31" s="552">
        <f>Activity!$C30*Activity!$D30*Activity!J30</f>
        <v>2.9888568000000004E-2</v>
      </c>
      <c r="I31" s="552">
        <f>Activity!$C30*Activity!$D30*Activity!K30</f>
        <v>9.9628560000000008E-3</v>
      </c>
      <c r="J31" s="553">
        <f>Activity!$C30*Activity!$D30*Activity!L30</f>
        <v>7.9702848000000007E-2</v>
      </c>
      <c r="K31" s="552">
        <f>Activity!$C30*Activity!$D30*Activity!M30</f>
        <v>3.6530472000000008E-2</v>
      </c>
      <c r="L31" s="552">
        <f>Activity!$C30*Activity!$D30*Activity!N30</f>
        <v>4.4279360000000011E-2</v>
      </c>
      <c r="M31" s="550">
        <f>Activity!$C30*Activity!$D30*Activity!O30</f>
        <v>0.17268950400000002</v>
      </c>
      <c r="N31" s="413">
        <v>0</v>
      </c>
      <c r="O31" s="552">
        <f>Activity!C30*Activity!D30</f>
        <v>1.1069840000000002</v>
      </c>
      <c r="P31" s="559">
        <f>Activity!X30</f>
        <v>0</v>
      </c>
    </row>
    <row r="32" spans="2:16">
      <c r="B32" s="7">
        <f t="shared" si="1"/>
        <v>2018</v>
      </c>
      <c r="C32" s="551">
        <f>Activity!$C31*Activity!$D31*Activity!E31</f>
        <v>0.53198681177999996</v>
      </c>
      <c r="D32" s="552">
        <f>Activity!$C31*Activity!$D31*Activity!F31</f>
        <v>0.157761606252</v>
      </c>
      <c r="E32" s="550">
        <f>Activity!$C31*Activity!$D31*Activity!G31</f>
        <v>0</v>
      </c>
      <c r="F32" s="552">
        <f>Activity!$C31*Activity!$D31*Activity!H31</f>
        <v>0</v>
      </c>
      <c r="G32" s="552">
        <f>Activity!$C31*Activity!$D31*Activity!I31</f>
        <v>0.12107286061200001</v>
      </c>
      <c r="H32" s="552">
        <f>Activity!$C31*Activity!$D31*Activity!J31</f>
        <v>3.3019871075999997E-2</v>
      </c>
      <c r="I32" s="552">
        <f>Activity!$C31*Activity!$D31*Activity!K31</f>
        <v>1.1006623691999999E-2</v>
      </c>
      <c r="J32" s="553">
        <f>Activity!$C31*Activity!$D31*Activity!L31</f>
        <v>8.8052989535999993E-2</v>
      </c>
      <c r="K32" s="552">
        <f>Activity!$C31*Activity!$D31*Activity!M31</f>
        <v>4.0357620204000001E-2</v>
      </c>
      <c r="L32" s="552">
        <f>Activity!$C31*Activity!$D31*Activity!N31</f>
        <v>4.8918327519999999E-2</v>
      </c>
      <c r="M32" s="550">
        <f>Activity!$C31*Activity!$D31*Activity!O31</f>
        <v>0.19078147732799999</v>
      </c>
      <c r="N32" s="413">
        <v>0</v>
      </c>
      <c r="O32" s="552">
        <f>Activity!C31*Activity!D31</f>
        <v>1.222958188</v>
      </c>
      <c r="P32" s="559">
        <f>Activity!X31</f>
        <v>0</v>
      </c>
    </row>
    <row r="33" spans="2:16">
      <c r="B33" s="7">
        <f t="shared" si="1"/>
        <v>2019</v>
      </c>
      <c r="C33" s="551">
        <f>Activity!$C32*Activity!$D32*Activity!E32</f>
        <v>0.58723498802471996</v>
      </c>
      <c r="D33" s="552">
        <f>Activity!$C32*Activity!$D32*Activity!F32</f>
        <v>0.174145548172848</v>
      </c>
      <c r="E33" s="550">
        <f>Activity!$C32*Activity!$D32*Activity!G32</f>
        <v>0</v>
      </c>
      <c r="F33" s="552">
        <f>Activity!$C32*Activity!$D32*Activity!H32</f>
        <v>0</v>
      </c>
      <c r="G33" s="552">
        <f>Activity!$C32*Activity!$D32*Activity!I32</f>
        <v>0.133646583481488</v>
      </c>
      <c r="H33" s="552">
        <f>Activity!$C32*Activity!$D32*Activity!J32</f>
        <v>3.6449068222223997E-2</v>
      </c>
      <c r="I33" s="552">
        <f>Activity!$C32*Activity!$D32*Activity!K32</f>
        <v>1.2149689407407998E-2</v>
      </c>
      <c r="J33" s="553">
        <f>Activity!$C32*Activity!$D32*Activity!L32</f>
        <v>9.7197515259263984E-2</v>
      </c>
      <c r="K33" s="552">
        <f>Activity!$C32*Activity!$D32*Activity!M32</f>
        <v>4.4548861160496001E-2</v>
      </c>
      <c r="L33" s="552">
        <f>Activity!$C32*Activity!$D32*Activity!N32</f>
        <v>5.3998619588479999E-2</v>
      </c>
      <c r="M33" s="550">
        <f>Activity!$C32*Activity!$D32*Activity!O32</f>
        <v>0.21059461639507199</v>
      </c>
      <c r="N33" s="413">
        <v>0</v>
      </c>
      <c r="O33" s="552">
        <f>Activity!C32*Activity!D32</f>
        <v>1.3499654897119999</v>
      </c>
      <c r="P33" s="559">
        <f>Activity!X32</f>
        <v>0</v>
      </c>
    </row>
    <row r="34" spans="2:16">
      <c r="B34" s="7">
        <f t="shared" si="1"/>
        <v>2020</v>
      </c>
      <c r="C34" s="551">
        <f>Activity!$C33*Activity!$D33*Activity!E33</f>
        <v>0.64771444028119352</v>
      </c>
      <c r="D34" s="552">
        <f>Activity!$C33*Activity!$D33*Activity!F33</f>
        <v>0.19208083401442289</v>
      </c>
      <c r="E34" s="550">
        <f>Activity!$C33*Activity!$D33*Activity!G33</f>
        <v>0</v>
      </c>
      <c r="F34" s="552">
        <f>Activity!$C33*Activity!$D33*Activity!H33</f>
        <v>0</v>
      </c>
      <c r="G34" s="552">
        <f>Activity!$C33*Activity!$D33*Activity!I33</f>
        <v>0.14741087261571989</v>
      </c>
      <c r="H34" s="552">
        <f>Activity!$C33*Activity!$D33*Activity!J33</f>
        <v>4.0202965258832699E-2</v>
      </c>
      <c r="I34" s="552">
        <f>Activity!$C33*Activity!$D33*Activity!K33</f>
        <v>1.3400988419610899E-2</v>
      </c>
      <c r="J34" s="553">
        <f>Activity!$C33*Activity!$D33*Activity!L33</f>
        <v>0.10720790735688719</v>
      </c>
      <c r="K34" s="552">
        <f>Activity!$C33*Activity!$D33*Activity!M33</f>
        <v>4.9136957538573299E-2</v>
      </c>
      <c r="L34" s="552">
        <f>Activity!$C33*Activity!$D33*Activity!N33</f>
        <v>5.9559948531603998E-2</v>
      </c>
      <c r="M34" s="550">
        <f>Activity!$C33*Activity!$D33*Activity!O33</f>
        <v>0.2322837992732556</v>
      </c>
      <c r="N34" s="413">
        <v>0</v>
      </c>
      <c r="O34" s="552">
        <f>Activity!C33*Activity!D33</f>
        <v>1.4889987132900999</v>
      </c>
      <c r="P34" s="559">
        <f>Activity!X33</f>
        <v>0</v>
      </c>
    </row>
    <row r="35" spans="2:16">
      <c r="B35" s="7">
        <f t="shared" si="1"/>
        <v>2021</v>
      </c>
      <c r="C35" s="551">
        <f>Activity!$C34*Activity!$D34*Activity!E34</f>
        <v>0.71389451731592835</v>
      </c>
      <c r="D35" s="552">
        <f>Activity!$C34*Activity!$D34*Activity!F34</f>
        <v>0.21170664996265462</v>
      </c>
      <c r="E35" s="550">
        <f>Activity!$C34*Activity!$D34*Activity!G34</f>
        <v>0</v>
      </c>
      <c r="F35" s="552">
        <f>Activity!$C34*Activity!$D34*Activity!H34</f>
        <v>0</v>
      </c>
      <c r="G35" s="552">
        <f>Activity!$C34*Activity!$D34*Activity!I34</f>
        <v>0.1624725453201768</v>
      </c>
      <c r="H35" s="552">
        <f>Activity!$C34*Activity!$D34*Activity!J34</f>
        <v>4.4310694178230033E-2</v>
      </c>
      <c r="I35" s="552">
        <f>Activity!$C34*Activity!$D34*Activity!K34</f>
        <v>1.4770231392743343E-2</v>
      </c>
      <c r="J35" s="553">
        <f>Activity!$C34*Activity!$D34*Activity!L34</f>
        <v>0.11816185114194674</v>
      </c>
      <c r="K35" s="552">
        <f>Activity!$C34*Activity!$D34*Activity!M34</f>
        <v>5.4157515106725597E-2</v>
      </c>
      <c r="L35" s="552">
        <f>Activity!$C34*Activity!$D34*Activity!N34</f>
        <v>6.5645472856637091E-2</v>
      </c>
      <c r="M35" s="550">
        <f>Activity!$C34*Activity!$D34*Activity!O34</f>
        <v>0.25601734414088462</v>
      </c>
      <c r="N35" s="413">
        <v>0</v>
      </c>
      <c r="O35" s="552">
        <f>Activity!C34*Activity!D34</f>
        <v>1.6411368214159272</v>
      </c>
      <c r="P35" s="559">
        <f>Activity!X34</f>
        <v>0</v>
      </c>
    </row>
    <row r="36" spans="2:16">
      <c r="B36" s="7">
        <f t="shared" si="1"/>
        <v>2022</v>
      </c>
      <c r="C36" s="551">
        <f>Activity!$C35*Activity!$D35*Activity!E35</f>
        <v>0.78628521534547591</v>
      </c>
      <c r="D36" s="552">
        <f>Activity!$C35*Activity!$D35*Activity!F35</f>
        <v>0.23317423627486528</v>
      </c>
      <c r="E36" s="550">
        <f>Activity!$C35*Activity!$D35*Activity!G35</f>
        <v>0</v>
      </c>
      <c r="F36" s="552">
        <f>Activity!$C35*Activity!$D35*Activity!H35</f>
        <v>0</v>
      </c>
      <c r="G36" s="552">
        <f>Activity!$C35*Activity!$D35*Activity!I35</f>
        <v>0.17894766969931522</v>
      </c>
      <c r="H36" s="552">
        <f>Activity!$C35*Activity!$D35*Activity!J35</f>
        <v>4.8803909917995061E-2</v>
      </c>
      <c r="I36" s="552">
        <f>Activity!$C35*Activity!$D35*Activity!K35</f>
        <v>1.6267969972665018E-2</v>
      </c>
      <c r="J36" s="553">
        <f>Activity!$C35*Activity!$D35*Activity!L35</f>
        <v>0.13014375978132015</v>
      </c>
      <c r="K36" s="552">
        <f>Activity!$C35*Activity!$D35*Activity!M35</f>
        <v>5.9649223233105078E-2</v>
      </c>
      <c r="L36" s="552">
        <f>Activity!$C35*Activity!$D35*Activity!N35</f>
        <v>7.2302088767400088E-2</v>
      </c>
      <c r="M36" s="550">
        <f>Activity!$C35*Activity!$D35*Activity!O35</f>
        <v>0.28197814619286032</v>
      </c>
      <c r="N36" s="413">
        <v>0</v>
      </c>
      <c r="O36" s="552">
        <f>Activity!C35*Activity!D35</f>
        <v>1.8075522191850022</v>
      </c>
      <c r="P36" s="559">
        <f>Activity!X35</f>
        <v>0</v>
      </c>
    </row>
    <row r="37" spans="2:16">
      <c r="B37" s="7">
        <f t="shared" si="1"/>
        <v>2023</v>
      </c>
      <c r="C37" s="551">
        <f>Activity!$C36*Activity!$D36*Activity!E36</f>
        <v>0.86544061140456108</v>
      </c>
      <c r="D37" s="552">
        <f>Activity!$C36*Activity!$D36*Activity!F36</f>
        <v>0.2566479054510078</v>
      </c>
      <c r="E37" s="550">
        <f>Activity!$C36*Activity!$D36*Activity!G36</f>
        <v>0</v>
      </c>
      <c r="F37" s="552">
        <f>Activity!$C36*Activity!$D36*Activity!H36</f>
        <v>0</v>
      </c>
      <c r="G37" s="552">
        <f>Activity!$C36*Activity!$D36*Activity!I36</f>
        <v>0.19696234604379667</v>
      </c>
      <c r="H37" s="552">
        <f>Activity!$C36*Activity!$D36*Activity!J36</f>
        <v>5.3717003466489999E-2</v>
      </c>
      <c r="I37" s="552">
        <f>Activity!$C36*Activity!$D36*Activity!K36</f>
        <v>1.7905667822163331E-2</v>
      </c>
      <c r="J37" s="553">
        <f>Activity!$C36*Activity!$D36*Activity!L36</f>
        <v>0.14324534257730664</v>
      </c>
      <c r="K37" s="552">
        <f>Activity!$C36*Activity!$D36*Activity!M36</f>
        <v>6.5654115347932224E-2</v>
      </c>
      <c r="L37" s="552">
        <f>Activity!$C36*Activity!$D36*Activity!N36</f>
        <v>7.9580745876281486E-2</v>
      </c>
      <c r="M37" s="550">
        <f>Activity!$C36*Activity!$D36*Activity!O36</f>
        <v>0.31036490891749774</v>
      </c>
      <c r="N37" s="413">
        <v>0</v>
      </c>
      <c r="O37" s="552">
        <f>Activity!C36*Activity!D36</f>
        <v>1.9895186469070369</v>
      </c>
      <c r="P37" s="559">
        <f>Activity!X36</f>
        <v>0</v>
      </c>
    </row>
    <row r="38" spans="2:16">
      <c r="B38" s="7">
        <f t="shared" si="1"/>
        <v>2024</v>
      </c>
      <c r="C38" s="551">
        <f>Activity!$C37*Activity!$D37*Activity!E37</f>
        <v>0.95196258137569645</v>
      </c>
      <c r="D38" s="552">
        <f>Activity!$C37*Activity!$D37*Activity!F37</f>
        <v>0.28230614482175825</v>
      </c>
      <c r="E38" s="550">
        <f>Activity!$C37*Activity!$D37*Activity!G37</f>
        <v>0</v>
      </c>
      <c r="F38" s="552">
        <f>Activity!$C37*Activity!$D37*Activity!H37</f>
        <v>0</v>
      </c>
      <c r="G38" s="552">
        <f>Activity!$C37*Activity!$D37*Activity!I37</f>
        <v>0.21665355300274472</v>
      </c>
      <c r="H38" s="552">
        <f>Activity!$C37*Activity!$D37*Activity!J37</f>
        <v>5.9087332637112189E-2</v>
      </c>
      <c r="I38" s="552">
        <f>Activity!$C37*Activity!$D37*Activity!K37</f>
        <v>1.9695777545704063E-2</v>
      </c>
      <c r="J38" s="553">
        <f>Activity!$C37*Activity!$D37*Activity!L37</f>
        <v>0.1575662203656325</v>
      </c>
      <c r="K38" s="552">
        <f>Activity!$C37*Activity!$D37*Activity!M37</f>
        <v>7.2217851000914907E-2</v>
      </c>
      <c r="L38" s="552">
        <f>Activity!$C37*Activity!$D37*Activity!N37</f>
        <v>8.7536789092018064E-2</v>
      </c>
      <c r="M38" s="550">
        <f>Activity!$C37*Activity!$D37*Activity!O37</f>
        <v>0.34139347745887044</v>
      </c>
      <c r="N38" s="413">
        <v>0</v>
      </c>
      <c r="O38" s="552">
        <f>Activity!C37*Activity!D37</f>
        <v>2.1884197273004515</v>
      </c>
      <c r="P38" s="559">
        <f>Activity!X37</f>
        <v>0</v>
      </c>
    </row>
    <row r="39" spans="2:16">
      <c r="B39" s="7">
        <f t="shared" si="1"/>
        <v>2025</v>
      </c>
      <c r="C39" s="551">
        <f>Activity!$C38*Activity!$D38*Activity!E38</f>
        <v>1.0465048259444427</v>
      </c>
      <c r="D39" s="552">
        <f>Activity!$C38*Activity!$D38*Activity!F38</f>
        <v>0.3103428104524899</v>
      </c>
      <c r="E39" s="550">
        <f>Activity!$C38*Activity!$D38*Activity!G38</f>
        <v>0</v>
      </c>
      <c r="F39" s="552">
        <f>Activity!$C38*Activity!$D38*Activity!H38</f>
        <v>0</v>
      </c>
      <c r="G39" s="552">
        <f>Activity!$C38*Activity!$D38*Activity!I38</f>
        <v>0.2381700638356318</v>
      </c>
      <c r="H39" s="552">
        <f>Activity!$C38*Activity!$D38*Activity!J38</f>
        <v>6.4955471955172303E-2</v>
      </c>
      <c r="I39" s="552">
        <f>Activity!$C38*Activity!$D38*Activity!K38</f>
        <v>2.1651823985057432E-2</v>
      </c>
      <c r="J39" s="553">
        <f>Activity!$C38*Activity!$D38*Activity!L38</f>
        <v>0.17321459188045946</v>
      </c>
      <c r="K39" s="552">
        <f>Activity!$C38*Activity!$D38*Activity!M38</f>
        <v>7.9390021278543929E-2</v>
      </c>
      <c r="L39" s="552">
        <f>Activity!$C38*Activity!$D38*Activity!N38</f>
        <v>9.6230328822477493E-2</v>
      </c>
      <c r="M39" s="550">
        <f>Activity!$C38*Activity!$D38*Activity!O38</f>
        <v>0.37529828240766222</v>
      </c>
      <c r="N39" s="413">
        <v>0</v>
      </c>
      <c r="O39" s="552">
        <f>Activity!C38*Activity!D38</f>
        <v>2.4057582205619372</v>
      </c>
      <c r="P39" s="559">
        <f>Activity!X38</f>
        <v>0</v>
      </c>
    </row>
    <row r="40" spans="2:16">
      <c r="B40" s="7">
        <f t="shared" si="1"/>
        <v>2026</v>
      </c>
      <c r="C40" s="551">
        <f>Activity!$C39*Activity!$D39*Activity!E39</f>
        <v>1.1497772296240749</v>
      </c>
      <c r="D40" s="552">
        <f>Activity!$C39*Activity!$D39*Activity!F39</f>
        <v>0.34096841981955328</v>
      </c>
      <c r="E40" s="550">
        <f>Activity!$C39*Activity!$D39*Activity!G39</f>
        <v>0</v>
      </c>
      <c r="F40" s="552">
        <f>Activity!$C39*Activity!$D39*Activity!H39</f>
        <v>0</v>
      </c>
      <c r="G40" s="552">
        <f>Activity!$C39*Activity!$D39*Activity!I39</f>
        <v>0.26167343846616881</v>
      </c>
      <c r="H40" s="552">
        <f>Activity!$C39*Activity!$D39*Activity!J39</f>
        <v>7.1365483218046033E-2</v>
      </c>
      <c r="I40" s="552">
        <f>Activity!$C39*Activity!$D39*Activity!K39</f>
        <v>2.3788494406015343E-2</v>
      </c>
      <c r="J40" s="553">
        <f>Activity!$C39*Activity!$D39*Activity!L39</f>
        <v>0.19030795524812275</v>
      </c>
      <c r="K40" s="552">
        <f>Activity!$C39*Activity!$D39*Activity!M39</f>
        <v>8.7224479488722931E-2</v>
      </c>
      <c r="L40" s="552">
        <f>Activity!$C39*Activity!$D39*Activity!N39</f>
        <v>0.10572664180451265</v>
      </c>
      <c r="M40" s="550">
        <f>Activity!$C39*Activity!$D39*Activity!O39</f>
        <v>0.41233390303759931</v>
      </c>
      <c r="N40" s="413">
        <v>0</v>
      </c>
      <c r="O40" s="552">
        <f>Activity!C39*Activity!D39</f>
        <v>2.6431660451128161</v>
      </c>
      <c r="P40" s="559">
        <f>Activity!X39</f>
        <v>0</v>
      </c>
    </row>
    <row r="41" spans="2:16">
      <c r="B41" s="7">
        <f t="shared" si="1"/>
        <v>2027</v>
      </c>
      <c r="C41" s="551">
        <f>Activity!$C40*Activity!$D40*Activity!E40</f>
        <v>1.2625505800234753</v>
      </c>
      <c r="D41" s="552">
        <f>Activity!$C40*Activity!$D40*Activity!F40</f>
        <v>0.37441155131730647</v>
      </c>
      <c r="E41" s="550">
        <f>Activity!$C40*Activity!$D40*Activity!G40</f>
        <v>0</v>
      </c>
      <c r="F41" s="552">
        <f>Activity!$C40*Activity!$D40*Activity!H40</f>
        <v>0</v>
      </c>
      <c r="G41" s="552">
        <f>Activity!$C40*Activity!$D40*Activity!I40</f>
        <v>0.28733909752258402</v>
      </c>
      <c r="H41" s="552">
        <f>Activity!$C40*Activity!$D40*Activity!J40</f>
        <v>7.8365208415250187E-2</v>
      </c>
      <c r="I41" s="552">
        <f>Activity!$C40*Activity!$D40*Activity!K40</f>
        <v>2.6121736138416726E-2</v>
      </c>
      <c r="J41" s="553">
        <f>Activity!$C40*Activity!$D40*Activity!L40</f>
        <v>0.2089738891073338</v>
      </c>
      <c r="K41" s="552">
        <f>Activity!$C40*Activity!$D40*Activity!M40</f>
        <v>9.5779699174194682E-2</v>
      </c>
      <c r="L41" s="552">
        <f>Activity!$C40*Activity!$D40*Activity!N40</f>
        <v>0.1160966050596299</v>
      </c>
      <c r="M41" s="550">
        <f>Activity!$C40*Activity!$D40*Activity!O40</f>
        <v>0.45277675973255666</v>
      </c>
      <c r="N41" s="413">
        <v>0</v>
      </c>
      <c r="O41" s="552">
        <f>Activity!C40*Activity!D40</f>
        <v>2.9024151264907476</v>
      </c>
      <c r="P41" s="559">
        <f>Activity!X40</f>
        <v>0</v>
      </c>
    </row>
    <row r="42" spans="2:16">
      <c r="B42" s="7">
        <f t="shared" si="1"/>
        <v>2028</v>
      </c>
      <c r="C42" s="551">
        <f>Activity!$C41*Activity!$D41*Activity!E41</f>
        <v>1.3856616767245218</v>
      </c>
      <c r="D42" s="552">
        <f>Activity!$C41*Activity!$D41*Activity!F41</f>
        <v>0.41092035930451337</v>
      </c>
      <c r="E42" s="550">
        <f>Activity!$C41*Activity!$D41*Activity!G41</f>
        <v>0</v>
      </c>
      <c r="F42" s="552">
        <f>Activity!$C41*Activity!$D41*Activity!H41</f>
        <v>0</v>
      </c>
      <c r="G42" s="552">
        <f>Activity!$C41*Activity!$D41*Activity!I41</f>
        <v>0.31535748504764982</v>
      </c>
      <c r="H42" s="552">
        <f>Activity!$C41*Activity!$D41*Activity!J41</f>
        <v>8.6006586831177206E-2</v>
      </c>
      <c r="I42" s="552">
        <f>Activity!$C41*Activity!$D41*Activity!K41</f>
        <v>2.866886227705907E-2</v>
      </c>
      <c r="J42" s="553">
        <f>Activity!$C41*Activity!$D41*Activity!L41</f>
        <v>0.22935089821647256</v>
      </c>
      <c r="K42" s="552">
        <f>Activity!$C41*Activity!$D41*Activity!M41</f>
        <v>0.10511916168254994</v>
      </c>
      <c r="L42" s="552">
        <f>Activity!$C41*Activity!$D41*Activity!N41</f>
        <v>0.12741716567581809</v>
      </c>
      <c r="M42" s="550">
        <f>Activity!$C41*Activity!$D41*Activity!O41</f>
        <v>0.49692694613569055</v>
      </c>
      <c r="N42" s="413">
        <v>0</v>
      </c>
      <c r="O42" s="552">
        <f>Activity!C41*Activity!D41</f>
        <v>3.1854291418954523</v>
      </c>
      <c r="P42" s="559">
        <f>Activity!X41</f>
        <v>0</v>
      </c>
    </row>
    <row r="43" spans="2:16">
      <c r="B43" s="7">
        <f t="shared" si="1"/>
        <v>2029</v>
      </c>
      <c r="C43" s="551">
        <f>Activity!$C42*Activity!$D42*Activity!E42</f>
        <v>1.5200188615029759</v>
      </c>
      <c r="D43" s="552">
        <f>Activity!$C42*Activity!$D42*Activity!F42</f>
        <v>0.45076421410088252</v>
      </c>
      <c r="E43" s="550">
        <f>Activity!$C42*Activity!$D42*Activity!G42</f>
        <v>0</v>
      </c>
      <c r="F43" s="552">
        <f>Activity!$C42*Activity!$D42*Activity!H42</f>
        <v>0</v>
      </c>
      <c r="G43" s="552">
        <f>Activity!$C42*Activity!$D42*Activity!I42</f>
        <v>0.34593532710067731</v>
      </c>
      <c r="H43" s="552">
        <f>Activity!$C42*Activity!$D42*Activity!J42</f>
        <v>9.4345998300184711E-2</v>
      </c>
      <c r="I43" s="552">
        <f>Activity!$C42*Activity!$D42*Activity!K42</f>
        <v>3.144866610006157E-2</v>
      </c>
      <c r="J43" s="553">
        <f>Activity!$C42*Activity!$D42*Activity!L42</f>
        <v>0.25158932880049256</v>
      </c>
      <c r="K43" s="552">
        <f>Activity!$C42*Activity!$D42*Activity!M42</f>
        <v>0.11531177570022577</v>
      </c>
      <c r="L43" s="552">
        <f>Activity!$C42*Activity!$D42*Activity!N42</f>
        <v>0.13977184933360698</v>
      </c>
      <c r="M43" s="550">
        <f>Activity!$C42*Activity!$D42*Activity!O42</f>
        <v>0.54511021240106727</v>
      </c>
      <c r="N43" s="413">
        <v>0</v>
      </c>
      <c r="O43" s="552">
        <f>Activity!C42*Activity!D42</f>
        <v>3.4942962333401746</v>
      </c>
      <c r="P43" s="559">
        <f>Activity!X42</f>
        <v>0</v>
      </c>
    </row>
    <row r="44" spans="2:16">
      <c r="B44" s="7">
        <f t="shared" si="1"/>
        <v>2030</v>
      </c>
      <c r="C44" s="551">
        <f>Activity!$C43*Activity!$D43*Activity!E43</f>
        <v>1.6671592499999999</v>
      </c>
      <c r="D44" s="552">
        <f>Activity!$C43*Activity!$D43*Activity!F43</f>
        <v>0.49439895</v>
      </c>
      <c r="E44" s="550">
        <f>Activity!$C43*Activity!$D43*Activity!G43</f>
        <v>0</v>
      </c>
      <c r="F44" s="552">
        <f>Activity!$C43*Activity!$D43*Activity!H43</f>
        <v>0</v>
      </c>
      <c r="G44" s="552">
        <f>Activity!$C43*Activity!$D43*Activity!I43</f>
        <v>0.37942245000000002</v>
      </c>
      <c r="H44" s="552">
        <f>Activity!$C43*Activity!$D43*Activity!J43</f>
        <v>0.10347885</v>
      </c>
      <c r="I44" s="552">
        <f>Activity!$C43*Activity!$D43*Activity!K43</f>
        <v>3.4492949999999994E-2</v>
      </c>
      <c r="J44" s="553">
        <f>Activity!$C43*Activity!$D43*Activity!L43</f>
        <v>0.27594359999999996</v>
      </c>
      <c r="K44" s="552">
        <f>Activity!$C43*Activity!$D43*Activity!M43</f>
        <v>0.12647415000000001</v>
      </c>
      <c r="L44" s="552">
        <f>Activity!$C43*Activity!$D43*Activity!N43</f>
        <v>0.15330199999999999</v>
      </c>
      <c r="M44" s="550">
        <f>Activity!$C43*Activity!$D43*Activity!O43</f>
        <v>0.59787780000000001</v>
      </c>
      <c r="N44" s="413">
        <v>0</v>
      </c>
      <c r="O44" s="552">
        <f>Activity!C43*Activity!D43</f>
        <v>3.8325499999999999</v>
      </c>
      <c r="P44" s="559">
        <f>Activity!X43</f>
        <v>0</v>
      </c>
    </row>
    <row r="45" spans="2:16">
      <c r="B45" s="7">
        <f t="shared" si="1"/>
        <v>2031</v>
      </c>
      <c r="C45" s="551">
        <f>Activity!$C44*Activity!$D44*Activity!E44</f>
        <v>0</v>
      </c>
      <c r="D45" s="552">
        <f>Activity!$C44*Activity!$D44*Activity!F44</f>
        <v>0</v>
      </c>
      <c r="E45" s="550">
        <f>Activity!$C44*Activity!$D44*Activity!G44</f>
        <v>0</v>
      </c>
      <c r="F45" s="552">
        <f>Activity!$C44*Activity!$D44*Activity!H44</f>
        <v>0</v>
      </c>
      <c r="G45" s="552">
        <f>Activity!$C44*Activity!$D44*Activity!I44</f>
        <v>0</v>
      </c>
      <c r="H45" s="552">
        <f>Activity!$C44*Activity!$D44*Activity!J44</f>
        <v>0</v>
      </c>
      <c r="I45" s="552">
        <f>Activity!$C44*Activity!$D44*Activity!K44</f>
        <v>0</v>
      </c>
      <c r="J45" s="553">
        <f>Activity!$C44*Activity!$D44*Activity!L44</f>
        <v>0</v>
      </c>
      <c r="K45" s="552">
        <f>Activity!$C44*Activity!$D44*Activity!M44</f>
        <v>0</v>
      </c>
      <c r="L45" s="552">
        <f>Activity!$C44*Activity!$D44*Activity!N44</f>
        <v>0</v>
      </c>
      <c r="M45" s="550">
        <f>Activity!$C44*Activity!$D44*Activity!O44</f>
        <v>0</v>
      </c>
      <c r="N45" s="413">
        <v>0</v>
      </c>
      <c r="O45" s="552">
        <f>Activity!C44*Activity!D44</f>
        <v>0</v>
      </c>
      <c r="P45" s="559">
        <f>Activity!X44</f>
        <v>0</v>
      </c>
    </row>
    <row r="46" spans="2:16">
      <c r="B46" s="7">
        <f t="shared" si="1"/>
        <v>2032</v>
      </c>
      <c r="C46" s="551">
        <f>Activity!$C45*Activity!$D45*Activity!E45</f>
        <v>0</v>
      </c>
      <c r="D46" s="552">
        <f>Activity!$C45*Activity!$D45*Activity!F45</f>
        <v>0</v>
      </c>
      <c r="E46" s="550">
        <f>Activity!$C45*Activity!$D45*Activity!G45</f>
        <v>0</v>
      </c>
      <c r="F46" s="552">
        <f>Activity!$C45*Activity!$D45*Activity!H45</f>
        <v>0</v>
      </c>
      <c r="G46" s="552">
        <f>Activity!$C45*Activity!$D45*Activity!I45</f>
        <v>0</v>
      </c>
      <c r="H46" s="552">
        <f>Activity!$C45*Activity!$D45*Activity!J45</f>
        <v>0</v>
      </c>
      <c r="I46" s="552">
        <f>Activity!$C45*Activity!$D45*Activity!K45</f>
        <v>0</v>
      </c>
      <c r="J46" s="553">
        <f>Activity!$C45*Activity!$D45*Activity!L45</f>
        <v>0</v>
      </c>
      <c r="K46" s="552">
        <f>Activity!$C45*Activity!$D45*Activity!M45</f>
        <v>0</v>
      </c>
      <c r="L46" s="552">
        <f>Activity!$C45*Activity!$D45*Activity!N45</f>
        <v>0</v>
      </c>
      <c r="M46" s="550">
        <f>Activity!$C45*Activity!$D45*Activity!O45</f>
        <v>0</v>
      </c>
      <c r="N46" s="413">
        <v>0</v>
      </c>
      <c r="O46" s="552">
        <f>Activity!C45*Activity!D45</f>
        <v>0</v>
      </c>
      <c r="P46" s="559">
        <f>Activity!X45</f>
        <v>0</v>
      </c>
    </row>
    <row r="47" spans="2:16">
      <c r="B47" s="7">
        <f t="shared" si="1"/>
        <v>2033</v>
      </c>
      <c r="C47" s="551">
        <f>Activity!$C46*Activity!$D46*Activity!E46</f>
        <v>0</v>
      </c>
      <c r="D47" s="552">
        <f>Activity!$C46*Activity!$D46*Activity!F46</f>
        <v>0</v>
      </c>
      <c r="E47" s="550">
        <f>Activity!$C46*Activity!$D46*Activity!G46</f>
        <v>0</v>
      </c>
      <c r="F47" s="552">
        <f>Activity!$C46*Activity!$D46*Activity!H46</f>
        <v>0</v>
      </c>
      <c r="G47" s="552">
        <f>Activity!$C46*Activity!$D46*Activity!I46</f>
        <v>0</v>
      </c>
      <c r="H47" s="552">
        <f>Activity!$C46*Activity!$D46*Activity!J46</f>
        <v>0</v>
      </c>
      <c r="I47" s="552">
        <f>Activity!$C46*Activity!$D46*Activity!K46</f>
        <v>0</v>
      </c>
      <c r="J47" s="553">
        <f>Activity!$C46*Activity!$D46*Activity!L46</f>
        <v>0</v>
      </c>
      <c r="K47" s="552">
        <f>Activity!$C46*Activity!$D46*Activity!M46</f>
        <v>0</v>
      </c>
      <c r="L47" s="552">
        <f>Activity!$C46*Activity!$D46*Activity!N46</f>
        <v>0</v>
      </c>
      <c r="M47" s="550">
        <f>Activity!$C46*Activity!$D46*Activity!O46</f>
        <v>0</v>
      </c>
      <c r="N47" s="413">
        <v>0</v>
      </c>
      <c r="O47" s="552">
        <f>Activity!C46*Activity!D46</f>
        <v>0</v>
      </c>
      <c r="P47" s="559">
        <f>Activity!X46</f>
        <v>0</v>
      </c>
    </row>
    <row r="48" spans="2:16">
      <c r="B48" s="7">
        <f t="shared" si="1"/>
        <v>2034</v>
      </c>
      <c r="C48" s="551">
        <f>Activity!$C47*Activity!$D47*Activity!E47</f>
        <v>0</v>
      </c>
      <c r="D48" s="552">
        <f>Activity!$C47*Activity!$D47*Activity!F47</f>
        <v>0</v>
      </c>
      <c r="E48" s="550">
        <f>Activity!$C47*Activity!$D47*Activity!G47</f>
        <v>0</v>
      </c>
      <c r="F48" s="552">
        <f>Activity!$C47*Activity!$D47*Activity!H47</f>
        <v>0</v>
      </c>
      <c r="G48" s="552">
        <f>Activity!$C47*Activity!$D47*Activity!I47</f>
        <v>0</v>
      </c>
      <c r="H48" s="552">
        <f>Activity!$C47*Activity!$D47*Activity!J47</f>
        <v>0</v>
      </c>
      <c r="I48" s="552">
        <f>Activity!$C47*Activity!$D47*Activity!K47</f>
        <v>0</v>
      </c>
      <c r="J48" s="553">
        <f>Activity!$C47*Activity!$D47*Activity!L47</f>
        <v>0</v>
      </c>
      <c r="K48" s="552">
        <f>Activity!$C47*Activity!$D47*Activity!M47</f>
        <v>0</v>
      </c>
      <c r="L48" s="552">
        <f>Activity!$C47*Activity!$D47*Activity!N47</f>
        <v>0</v>
      </c>
      <c r="M48" s="550">
        <f>Activity!$C47*Activity!$D47*Activity!O47</f>
        <v>0</v>
      </c>
      <c r="N48" s="413">
        <v>0</v>
      </c>
      <c r="O48" s="552">
        <f>Activity!C47*Activity!D47</f>
        <v>0</v>
      </c>
      <c r="P48" s="559">
        <f>Activity!X47</f>
        <v>0</v>
      </c>
    </row>
    <row r="49" spans="2:16">
      <c r="B49" s="7">
        <f t="shared" si="1"/>
        <v>2035</v>
      </c>
      <c r="C49" s="551">
        <f>Activity!$C48*Activity!$D48*Activity!E48</f>
        <v>0</v>
      </c>
      <c r="D49" s="552">
        <f>Activity!$C48*Activity!$D48*Activity!F48</f>
        <v>0</v>
      </c>
      <c r="E49" s="550">
        <f>Activity!$C48*Activity!$D48*Activity!G48</f>
        <v>0</v>
      </c>
      <c r="F49" s="552">
        <f>Activity!$C48*Activity!$D48*Activity!H48</f>
        <v>0</v>
      </c>
      <c r="G49" s="552">
        <f>Activity!$C48*Activity!$D48*Activity!I48</f>
        <v>0</v>
      </c>
      <c r="H49" s="552">
        <f>Activity!$C48*Activity!$D48*Activity!J48</f>
        <v>0</v>
      </c>
      <c r="I49" s="552">
        <f>Activity!$C48*Activity!$D48*Activity!K48</f>
        <v>0</v>
      </c>
      <c r="J49" s="553">
        <f>Activity!$C48*Activity!$D48*Activity!L48</f>
        <v>0</v>
      </c>
      <c r="K49" s="552">
        <f>Activity!$C48*Activity!$D48*Activity!M48</f>
        <v>0</v>
      </c>
      <c r="L49" s="552">
        <f>Activity!$C48*Activity!$D48*Activity!N48</f>
        <v>0</v>
      </c>
      <c r="M49" s="550">
        <f>Activity!$C48*Activity!$D48*Activity!O48</f>
        <v>0</v>
      </c>
      <c r="N49" s="413">
        <v>0</v>
      </c>
      <c r="O49" s="552">
        <f>Activity!C48*Activity!D48</f>
        <v>0</v>
      </c>
      <c r="P49" s="559">
        <f>Activity!X48</f>
        <v>0</v>
      </c>
    </row>
    <row r="50" spans="2:16">
      <c r="B50" s="7">
        <f t="shared" si="1"/>
        <v>2036</v>
      </c>
      <c r="C50" s="551">
        <f>Activity!$C49*Activity!$D49*Activity!E49</f>
        <v>0</v>
      </c>
      <c r="D50" s="552">
        <f>Activity!$C49*Activity!$D49*Activity!F49</f>
        <v>0</v>
      </c>
      <c r="E50" s="550">
        <f>Activity!$C49*Activity!$D49*Activity!G49</f>
        <v>0</v>
      </c>
      <c r="F50" s="552">
        <f>Activity!$C49*Activity!$D49*Activity!H49</f>
        <v>0</v>
      </c>
      <c r="G50" s="552">
        <f>Activity!$C49*Activity!$D49*Activity!I49</f>
        <v>0</v>
      </c>
      <c r="H50" s="552">
        <f>Activity!$C49*Activity!$D49*Activity!J49</f>
        <v>0</v>
      </c>
      <c r="I50" s="552">
        <f>Activity!$C49*Activity!$D49*Activity!K49</f>
        <v>0</v>
      </c>
      <c r="J50" s="553">
        <f>Activity!$C49*Activity!$D49*Activity!L49</f>
        <v>0</v>
      </c>
      <c r="K50" s="552">
        <f>Activity!$C49*Activity!$D49*Activity!M49</f>
        <v>0</v>
      </c>
      <c r="L50" s="552">
        <f>Activity!$C49*Activity!$D49*Activity!N49</f>
        <v>0</v>
      </c>
      <c r="M50" s="550">
        <f>Activity!$C49*Activity!$D49*Activity!O49</f>
        <v>0</v>
      </c>
      <c r="N50" s="413">
        <v>0</v>
      </c>
      <c r="O50" s="552">
        <f>Activity!C49*Activity!D49</f>
        <v>0</v>
      </c>
      <c r="P50" s="559">
        <f>Activity!X49</f>
        <v>0</v>
      </c>
    </row>
    <row r="51" spans="2:16">
      <c r="B51" s="7">
        <f t="shared" si="1"/>
        <v>2037</v>
      </c>
      <c r="C51" s="551">
        <f>Activity!$C50*Activity!$D50*Activity!E50</f>
        <v>0</v>
      </c>
      <c r="D51" s="552">
        <f>Activity!$C50*Activity!$D50*Activity!F50</f>
        <v>0</v>
      </c>
      <c r="E51" s="550">
        <f>Activity!$C50*Activity!$D50*Activity!G50</f>
        <v>0</v>
      </c>
      <c r="F51" s="552">
        <f>Activity!$C50*Activity!$D50*Activity!H50</f>
        <v>0</v>
      </c>
      <c r="G51" s="552">
        <f>Activity!$C50*Activity!$D50*Activity!I50</f>
        <v>0</v>
      </c>
      <c r="H51" s="552">
        <f>Activity!$C50*Activity!$D50*Activity!J50</f>
        <v>0</v>
      </c>
      <c r="I51" s="552">
        <f>Activity!$C50*Activity!$D50*Activity!K50</f>
        <v>0</v>
      </c>
      <c r="J51" s="553">
        <f>Activity!$C50*Activity!$D50*Activity!L50</f>
        <v>0</v>
      </c>
      <c r="K51" s="552">
        <f>Activity!$C50*Activity!$D50*Activity!M50</f>
        <v>0</v>
      </c>
      <c r="L51" s="552">
        <f>Activity!$C50*Activity!$D50*Activity!N50</f>
        <v>0</v>
      </c>
      <c r="M51" s="550">
        <f>Activity!$C50*Activity!$D50*Activity!O50</f>
        <v>0</v>
      </c>
      <c r="N51" s="413">
        <v>0</v>
      </c>
      <c r="O51" s="552">
        <f>Activity!C50*Activity!D50</f>
        <v>0</v>
      </c>
      <c r="P51" s="559">
        <f>Activity!X50</f>
        <v>0</v>
      </c>
    </row>
    <row r="52" spans="2:16">
      <c r="B52" s="7">
        <f t="shared" si="1"/>
        <v>2038</v>
      </c>
      <c r="C52" s="551">
        <f>Activity!$C51*Activity!$D51*Activity!E51</f>
        <v>0</v>
      </c>
      <c r="D52" s="552">
        <f>Activity!$C51*Activity!$D51*Activity!F51</f>
        <v>0</v>
      </c>
      <c r="E52" s="550">
        <f>Activity!$C51*Activity!$D51*Activity!G51</f>
        <v>0</v>
      </c>
      <c r="F52" s="552">
        <f>Activity!$C51*Activity!$D51*Activity!H51</f>
        <v>0</v>
      </c>
      <c r="G52" s="552">
        <f>Activity!$C51*Activity!$D51*Activity!I51</f>
        <v>0</v>
      </c>
      <c r="H52" s="552">
        <f>Activity!$C51*Activity!$D51*Activity!J51</f>
        <v>0</v>
      </c>
      <c r="I52" s="552">
        <f>Activity!$C51*Activity!$D51*Activity!K51</f>
        <v>0</v>
      </c>
      <c r="J52" s="553">
        <f>Activity!$C51*Activity!$D51*Activity!L51</f>
        <v>0</v>
      </c>
      <c r="K52" s="552">
        <f>Activity!$C51*Activity!$D51*Activity!M51</f>
        <v>0</v>
      </c>
      <c r="L52" s="552">
        <f>Activity!$C51*Activity!$D51*Activity!N51</f>
        <v>0</v>
      </c>
      <c r="M52" s="550">
        <f>Activity!$C51*Activity!$D51*Activity!O51</f>
        <v>0</v>
      </c>
      <c r="N52" s="413">
        <v>0</v>
      </c>
      <c r="O52" s="552">
        <f>Activity!C51*Activity!D51</f>
        <v>0</v>
      </c>
      <c r="P52" s="559">
        <f>Activity!X51</f>
        <v>0</v>
      </c>
    </row>
    <row r="53" spans="2:16">
      <c r="B53" s="7">
        <f t="shared" si="1"/>
        <v>2039</v>
      </c>
      <c r="C53" s="551">
        <f>Activity!$C52*Activity!$D52*Activity!E52</f>
        <v>0</v>
      </c>
      <c r="D53" s="552">
        <f>Activity!$C52*Activity!$D52*Activity!F52</f>
        <v>0</v>
      </c>
      <c r="E53" s="550">
        <f>Activity!$C52*Activity!$D52*Activity!G52</f>
        <v>0</v>
      </c>
      <c r="F53" s="552">
        <f>Activity!$C52*Activity!$D52*Activity!H52</f>
        <v>0</v>
      </c>
      <c r="G53" s="552">
        <f>Activity!$C52*Activity!$D52*Activity!I52</f>
        <v>0</v>
      </c>
      <c r="H53" s="552">
        <f>Activity!$C52*Activity!$D52*Activity!J52</f>
        <v>0</v>
      </c>
      <c r="I53" s="552">
        <f>Activity!$C52*Activity!$D52*Activity!K52</f>
        <v>0</v>
      </c>
      <c r="J53" s="553">
        <f>Activity!$C52*Activity!$D52*Activity!L52</f>
        <v>0</v>
      </c>
      <c r="K53" s="552">
        <f>Activity!$C52*Activity!$D52*Activity!M52</f>
        <v>0</v>
      </c>
      <c r="L53" s="552">
        <f>Activity!$C52*Activity!$D52*Activity!N52</f>
        <v>0</v>
      </c>
      <c r="M53" s="550">
        <f>Activity!$C52*Activity!$D52*Activity!O52</f>
        <v>0</v>
      </c>
      <c r="N53" s="413">
        <v>0</v>
      </c>
      <c r="O53" s="552">
        <f>Activity!C52*Activity!D52</f>
        <v>0</v>
      </c>
      <c r="P53" s="559">
        <f>Activity!X52</f>
        <v>0</v>
      </c>
    </row>
    <row r="54" spans="2:16">
      <c r="B54" s="7">
        <f t="shared" si="1"/>
        <v>2040</v>
      </c>
      <c r="C54" s="551">
        <f>Activity!$C53*Activity!$D53*Activity!E53</f>
        <v>0</v>
      </c>
      <c r="D54" s="552">
        <f>Activity!$C53*Activity!$D53*Activity!F53</f>
        <v>0</v>
      </c>
      <c r="E54" s="550">
        <f>Activity!$C53*Activity!$D53*Activity!G53</f>
        <v>0</v>
      </c>
      <c r="F54" s="552">
        <f>Activity!$C53*Activity!$D53*Activity!H53</f>
        <v>0</v>
      </c>
      <c r="G54" s="552">
        <f>Activity!$C53*Activity!$D53*Activity!I53</f>
        <v>0</v>
      </c>
      <c r="H54" s="552">
        <f>Activity!$C53*Activity!$D53*Activity!J53</f>
        <v>0</v>
      </c>
      <c r="I54" s="552">
        <f>Activity!$C53*Activity!$D53*Activity!K53</f>
        <v>0</v>
      </c>
      <c r="J54" s="553">
        <f>Activity!$C53*Activity!$D53*Activity!L53</f>
        <v>0</v>
      </c>
      <c r="K54" s="552">
        <f>Activity!$C53*Activity!$D53*Activity!M53</f>
        <v>0</v>
      </c>
      <c r="L54" s="552">
        <f>Activity!$C53*Activity!$D53*Activity!N53</f>
        <v>0</v>
      </c>
      <c r="M54" s="550">
        <f>Activity!$C53*Activity!$D53*Activity!O53</f>
        <v>0</v>
      </c>
      <c r="N54" s="413">
        <v>0</v>
      </c>
      <c r="O54" s="552">
        <f>Activity!C53*Activity!D53</f>
        <v>0</v>
      </c>
      <c r="P54" s="559">
        <f>Activity!X53</f>
        <v>0</v>
      </c>
    </row>
    <row r="55" spans="2:16">
      <c r="B55" s="7">
        <f t="shared" si="1"/>
        <v>2041</v>
      </c>
      <c r="C55" s="551">
        <f>Activity!$C54*Activity!$D54*Activity!E54</f>
        <v>0</v>
      </c>
      <c r="D55" s="552">
        <f>Activity!$C54*Activity!$D54*Activity!F54</f>
        <v>0</v>
      </c>
      <c r="E55" s="550">
        <f>Activity!$C54*Activity!$D54*Activity!G54</f>
        <v>0</v>
      </c>
      <c r="F55" s="552">
        <f>Activity!$C54*Activity!$D54*Activity!H54</f>
        <v>0</v>
      </c>
      <c r="G55" s="552">
        <f>Activity!$C54*Activity!$D54*Activity!I54</f>
        <v>0</v>
      </c>
      <c r="H55" s="552">
        <f>Activity!$C54*Activity!$D54*Activity!J54</f>
        <v>0</v>
      </c>
      <c r="I55" s="552">
        <f>Activity!$C54*Activity!$D54*Activity!K54</f>
        <v>0</v>
      </c>
      <c r="J55" s="553">
        <f>Activity!$C54*Activity!$D54*Activity!L54</f>
        <v>0</v>
      </c>
      <c r="K55" s="552">
        <f>Activity!$C54*Activity!$D54*Activity!M54</f>
        <v>0</v>
      </c>
      <c r="L55" s="552">
        <f>Activity!$C54*Activity!$D54*Activity!N54</f>
        <v>0</v>
      </c>
      <c r="M55" s="550">
        <f>Activity!$C54*Activity!$D54*Activity!O54</f>
        <v>0</v>
      </c>
      <c r="N55" s="413">
        <v>0</v>
      </c>
      <c r="O55" s="552">
        <f>Activity!C54*Activity!D54</f>
        <v>0</v>
      </c>
      <c r="P55" s="559">
        <f>Activity!X54</f>
        <v>0</v>
      </c>
    </row>
    <row r="56" spans="2:16">
      <c r="B56" s="7">
        <f t="shared" si="1"/>
        <v>2042</v>
      </c>
      <c r="C56" s="551">
        <f>Activity!$C55*Activity!$D55*Activity!E55</f>
        <v>0</v>
      </c>
      <c r="D56" s="552">
        <f>Activity!$C55*Activity!$D55*Activity!F55</f>
        <v>0</v>
      </c>
      <c r="E56" s="550">
        <f>Activity!$C55*Activity!$D55*Activity!G55</f>
        <v>0</v>
      </c>
      <c r="F56" s="552">
        <f>Activity!$C55*Activity!$D55*Activity!H55</f>
        <v>0</v>
      </c>
      <c r="G56" s="552">
        <f>Activity!$C55*Activity!$D55*Activity!I55</f>
        <v>0</v>
      </c>
      <c r="H56" s="552">
        <f>Activity!$C55*Activity!$D55*Activity!J55</f>
        <v>0</v>
      </c>
      <c r="I56" s="552">
        <f>Activity!$C55*Activity!$D55*Activity!K55</f>
        <v>0</v>
      </c>
      <c r="J56" s="553">
        <f>Activity!$C55*Activity!$D55*Activity!L55</f>
        <v>0</v>
      </c>
      <c r="K56" s="552">
        <f>Activity!$C55*Activity!$D55*Activity!M55</f>
        <v>0</v>
      </c>
      <c r="L56" s="552">
        <f>Activity!$C55*Activity!$D55*Activity!N55</f>
        <v>0</v>
      </c>
      <c r="M56" s="550">
        <f>Activity!$C55*Activity!$D55*Activity!O55</f>
        <v>0</v>
      </c>
      <c r="N56" s="413">
        <v>0</v>
      </c>
      <c r="O56" s="552">
        <f>Activity!C55*Activity!D55</f>
        <v>0</v>
      </c>
      <c r="P56" s="559">
        <f>Activity!X55</f>
        <v>0</v>
      </c>
    </row>
    <row r="57" spans="2:16">
      <c r="B57" s="7">
        <f t="shared" si="1"/>
        <v>2043</v>
      </c>
      <c r="C57" s="551">
        <f>Activity!$C56*Activity!$D56*Activity!E56</f>
        <v>0</v>
      </c>
      <c r="D57" s="552">
        <f>Activity!$C56*Activity!$D56*Activity!F56</f>
        <v>0</v>
      </c>
      <c r="E57" s="550">
        <f>Activity!$C56*Activity!$D56*Activity!G56</f>
        <v>0</v>
      </c>
      <c r="F57" s="552">
        <f>Activity!$C56*Activity!$D56*Activity!H56</f>
        <v>0</v>
      </c>
      <c r="G57" s="552">
        <f>Activity!$C56*Activity!$D56*Activity!I56</f>
        <v>0</v>
      </c>
      <c r="H57" s="552">
        <f>Activity!$C56*Activity!$D56*Activity!J56</f>
        <v>0</v>
      </c>
      <c r="I57" s="552">
        <f>Activity!$C56*Activity!$D56*Activity!K56</f>
        <v>0</v>
      </c>
      <c r="J57" s="553">
        <f>Activity!$C56*Activity!$D56*Activity!L56</f>
        <v>0</v>
      </c>
      <c r="K57" s="552">
        <f>Activity!$C56*Activity!$D56*Activity!M56</f>
        <v>0</v>
      </c>
      <c r="L57" s="552">
        <f>Activity!$C56*Activity!$D56*Activity!N56</f>
        <v>0</v>
      </c>
      <c r="M57" s="550">
        <f>Activity!$C56*Activity!$D56*Activity!O56</f>
        <v>0</v>
      </c>
      <c r="N57" s="413">
        <v>0</v>
      </c>
      <c r="O57" s="552">
        <f>Activity!C56*Activity!D56</f>
        <v>0</v>
      </c>
      <c r="P57" s="559">
        <f>Activity!X56</f>
        <v>0</v>
      </c>
    </row>
    <row r="58" spans="2:16">
      <c r="B58" s="7">
        <f t="shared" si="1"/>
        <v>2044</v>
      </c>
      <c r="C58" s="551">
        <f>Activity!$C57*Activity!$D57*Activity!E57</f>
        <v>0</v>
      </c>
      <c r="D58" s="552">
        <f>Activity!$C57*Activity!$D57*Activity!F57</f>
        <v>0</v>
      </c>
      <c r="E58" s="550">
        <f>Activity!$C57*Activity!$D57*Activity!G57</f>
        <v>0</v>
      </c>
      <c r="F58" s="552">
        <f>Activity!$C57*Activity!$D57*Activity!H57</f>
        <v>0</v>
      </c>
      <c r="G58" s="552">
        <f>Activity!$C57*Activity!$D57*Activity!I57</f>
        <v>0</v>
      </c>
      <c r="H58" s="552">
        <f>Activity!$C57*Activity!$D57*Activity!J57</f>
        <v>0</v>
      </c>
      <c r="I58" s="552">
        <f>Activity!$C57*Activity!$D57*Activity!K57</f>
        <v>0</v>
      </c>
      <c r="J58" s="553">
        <f>Activity!$C57*Activity!$D57*Activity!L57</f>
        <v>0</v>
      </c>
      <c r="K58" s="552">
        <f>Activity!$C57*Activity!$D57*Activity!M57</f>
        <v>0</v>
      </c>
      <c r="L58" s="552">
        <f>Activity!$C57*Activity!$D57*Activity!N57</f>
        <v>0</v>
      </c>
      <c r="M58" s="550">
        <f>Activity!$C57*Activity!$D57*Activity!O57</f>
        <v>0</v>
      </c>
      <c r="N58" s="413">
        <v>0</v>
      </c>
      <c r="O58" s="552">
        <f>Activity!C57*Activity!D57</f>
        <v>0</v>
      </c>
      <c r="P58" s="559">
        <f>Activity!X57</f>
        <v>0</v>
      </c>
    </row>
    <row r="59" spans="2:16">
      <c r="B59" s="7">
        <f t="shared" si="1"/>
        <v>2045</v>
      </c>
      <c r="C59" s="551">
        <f>Activity!$C58*Activity!$D58*Activity!E58</f>
        <v>0</v>
      </c>
      <c r="D59" s="552">
        <f>Activity!$C58*Activity!$D58*Activity!F58</f>
        <v>0</v>
      </c>
      <c r="E59" s="550">
        <f>Activity!$C58*Activity!$D58*Activity!G58</f>
        <v>0</v>
      </c>
      <c r="F59" s="552">
        <f>Activity!$C58*Activity!$D58*Activity!H58</f>
        <v>0</v>
      </c>
      <c r="G59" s="552">
        <f>Activity!$C58*Activity!$D58*Activity!I58</f>
        <v>0</v>
      </c>
      <c r="H59" s="552">
        <f>Activity!$C58*Activity!$D58*Activity!J58</f>
        <v>0</v>
      </c>
      <c r="I59" s="552">
        <f>Activity!$C58*Activity!$D58*Activity!K58</f>
        <v>0</v>
      </c>
      <c r="J59" s="553">
        <f>Activity!$C58*Activity!$D58*Activity!L58</f>
        <v>0</v>
      </c>
      <c r="K59" s="552">
        <f>Activity!$C58*Activity!$D58*Activity!M58</f>
        <v>0</v>
      </c>
      <c r="L59" s="552">
        <f>Activity!$C58*Activity!$D58*Activity!N58</f>
        <v>0</v>
      </c>
      <c r="M59" s="550">
        <f>Activity!$C58*Activity!$D58*Activity!O58</f>
        <v>0</v>
      </c>
      <c r="N59" s="413">
        <v>0</v>
      </c>
      <c r="O59" s="552">
        <f>Activity!C58*Activity!D58</f>
        <v>0</v>
      </c>
      <c r="P59" s="559">
        <f>Activity!X58</f>
        <v>0</v>
      </c>
    </row>
    <row r="60" spans="2:16">
      <c r="B60" s="7">
        <f t="shared" si="1"/>
        <v>2046</v>
      </c>
      <c r="C60" s="551">
        <f>Activity!$C59*Activity!$D59*Activity!E59</f>
        <v>0</v>
      </c>
      <c r="D60" s="552">
        <f>Activity!$C59*Activity!$D59*Activity!F59</f>
        <v>0</v>
      </c>
      <c r="E60" s="550">
        <f>Activity!$C59*Activity!$D59*Activity!G59</f>
        <v>0</v>
      </c>
      <c r="F60" s="552">
        <f>Activity!$C59*Activity!$D59*Activity!H59</f>
        <v>0</v>
      </c>
      <c r="G60" s="552">
        <f>Activity!$C59*Activity!$D59*Activity!I59</f>
        <v>0</v>
      </c>
      <c r="H60" s="552">
        <f>Activity!$C59*Activity!$D59*Activity!J59</f>
        <v>0</v>
      </c>
      <c r="I60" s="552">
        <f>Activity!$C59*Activity!$D59*Activity!K59</f>
        <v>0</v>
      </c>
      <c r="J60" s="553">
        <f>Activity!$C59*Activity!$D59*Activity!L59</f>
        <v>0</v>
      </c>
      <c r="K60" s="552">
        <f>Activity!$C59*Activity!$D59*Activity!M59</f>
        <v>0</v>
      </c>
      <c r="L60" s="552">
        <f>Activity!$C59*Activity!$D59*Activity!N59</f>
        <v>0</v>
      </c>
      <c r="M60" s="550">
        <f>Activity!$C59*Activity!$D59*Activity!O59</f>
        <v>0</v>
      </c>
      <c r="N60" s="413">
        <v>0</v>
      </c>
      <c r="O60" s="552">
        <f>Activity!C59*Activity!D59</f>
        <v>0</v>
      </c>
      <c r="P60" s="559">
        <f>Activity!X59</f>
        <v>0</v>
      </c>
    </row>
    <row r="61" spans="2:16">
      <c r="B61" s="7">
        <f t="shared" si="1"/>
        <v>2047</v>
      </c>
      <c r="C61" s="551">
        <f>Activity!$C60*Activity!$D60*Activity!E60</f>
        <v>0</v>
      </c>
      <c r="D61" s="552">
        <f>Activity!$C60*Activity!$D60*Activity!F60</f>
        <v>0</v>
      </c>
      <c r="E61" s="550">
        <f>Activity!$C60*Activity!$D60*Activity!G60</f>
        <v>0</v>
      </c>
      <c r="F61" s="552">
        <f>Activity!$C60*Activity!$D60*Activity!H60</f>
        <v>0</v>
      </c>
      <c r="G61" s="552">
        <f>Activity!$C60*Activity!$D60*Activity!I60</f>
        <v>0</v>
      </c>
      <c r="H61" s="552">
        <f>Activity!$C60*Activity!$D60*Activity!J60</f>
        <v>0</v>
      </c>
      <c r="I61" s="552">
        <f>Activity!$C60*Activity!$D60*Activity!K60</f>
        <v>0</v>
      </c>
      <c r="J61" s="553">
        <f>Activity!$C60*Activity!$D60*Activity!L60</f>
        <v>0</v>
      </c>
      <c r="K61" s="552">
        <f>Activity!$C60*Activity!$D60*Activity!M60</f>
        <v>0</v>
      </c>
      <c r="L61" s="552">
        <f>Activity!$C60*Activity!$D60*Activity!N60</f>
        <v>0</v>
      </c>
      <c r="M61" s="550">
        <f>Activity!$C60*Activity!$D60*Activity!O60</f>
        <v>0</v>
      </c>
      <c r="N61" s="413">
        <v>0</v>
      </c>
      <c r="O61" s="552">
        <f>Activity!C60*Activity!D60</f>
        <v>0</v>
      </c>
      <c r="P61" s="559">
        <f>Activity!X60</f>
        <v>0</v>
      </c>
    </row>
    <row r="62" spans="2:16">
      <c r="B62" s="7">
        <f t="shared" si="1"/>
        <v>2048</v>
      </c>
      <c r="C62" s="551">
        <f>Activity!$C61*Activity!$D61*Activity!E61</f>
        <v>0</v>
      </c>
      <c r="D62" s="552">
        <f>Activity!$C61*Activity!$D61*Activity!F61</f>
        <v>0</v>
      </c>
      <c r="E62" s="550">
        <f>Activity!$C61*Activity!$D61*Activity!G61</f>
        <v>0</v>
      </c>
      <c r="F62" s="552">
        <f>Activity!$C61*Activity!$D61*Activity!H61</f>
        <v>0</v>
      </c>
      <c r="G62" s="552">
        <f>Activity!$C61*Activity!$D61*Activity!I61</f>
        <v>0</v>
      </c>
      <c r="H62" s="552">
        <f>Activity!$C61*Activity!$D61*Activity!J61</f>
        <v>0</v>
      </c>
      <c r="I62" s="552">
        <f>Activity!$C61*Activity!$D61*Activity!K61</f>
        <v>0</v>
      </c>
      <c r="J62" s="553">
        <f>Activity!$C61*Activity!$D61*Activity!L61</f>
        <v>0</v>
      </c>
      <c r="K62" s="552">
        <f>Activity!$C61*Activity!$D61*Activity!M61</f>
        <v>0</v>
      </c>
      <c r="L62" s="552">
        <f>Activity!$C61*Activity!$D61*Activity!N61</f>
        <v>0</v>
      </c>
      <c r="M62" s="550">
        <f>Activity!$C61*Activity!$D61*Activity!O61</f>
        <v>0</v>
      </c>
      <c r="N62" s="413">
        <v>0</v>
      </c>
      <c r="O62" s="552">
        <f>Activity!C61*Activity!D61</f>
        <v>0</v>
      </c>
      <c r="P62" s="559">
        <f>Activity!X61</f>
        <v>0</v>
      </c>
    </row>
    <row r="63" spans="2:16">
      <c r="B63" s="7">
        <f t="shared" si="1"/>
        <v>2049</v>
      </c>
      <c r="C63" s="551">
        <f>Activity!$C62*Activity!$D62*Activity!E62</f>
        <v>0</v>
      </c>
      <c r="D63" s="552">
        <f>Activity!$C62*Activity!$D62*Activity!F62</f>
        <v>0</v>
      </c>
      <c r="E63" s="550">
        <f>Activity!$C62*Activity!$D62*Activity!G62</f>
        <v>0</v>
      </c>
      <c r="F63" s="552">
        <f>Activity!$C62*Activity!$D62*Activity!H62</f>
        <v>0</v>
      </c>
      <c r="G63" s="552">
        <f>Activity!$C62*Activity!$D62*Activity!I62</f>
        <v>0</v>
      </c>
      <c r="H63" s="552">
        <f>Activity!$C62*Activity!$D62*Activity!J62</f>
        <v>0</v>
      </c>
      <c r="I63" s="552">
        <f>Activity!$C62*Activity!$D62*Activity!K62</f>
        <v>0</v>
      </c>
      <c r="J63" s="553">
        <f>Activity!$C62*Activity!$D62*Activity!L62</f>
        <v>0</v>
      </c>
      <c r="K63" s="552">
        <f>Activity!$C62*Activity!$D62*Activity!M62</f>
        <v>0</v>
      </c>
      <c r="L63" s="552">
        <f>Activity!$C62*Activity!$D62*Activity!N62</f>
        <v>0</v>
      </c>
      <c r="M63" s="550">
        <f>Activity!$C62*Activity!$D62*Activity!O62</f>
        <v>0</v>
      </c>
      <c r="N63" s="413">
        <v>0</v>
      </c>
      <c r="O63" s="552">
        <f>Activity!C62*Activity!D62</f>
        <v>0</v>
      </c>
      <c r="P63" s="559">
        <f>Activity!X62</f>
        <v>0</v>
      </c>
    </row>
    <row r="64" spans="2:16">
      <c r="B64" s="7">
        <f t="shared" si="1"/>
        <v>2050</v>
      </c>
      <c r="C64" s="551">
        <f>Activity!$C63*Activity!$D63*Activity!E63</f>
        <v>0</v>
      </c>
      <c r="D64" s="552">
        <f>Activity!$C63*Activity!$D63*Activity!F63</f>
        <v>0</v>
      </c>
      <c r="E64" s="550">
        <f>Activity!$C63*Activity!$D63*Activity!G63</f>
        <v>0</v>
      </c>
      <c r="F64" s="552">
        <f>Activity!$C63*Activity!$D63*Activity!H63</f>
        <v>0</v>
      </c>
      <c r="G64" s="552">
        <f>Activity!$C63*Activity!$D63*Activity!I63</f>
        <v>0</v>
      </c>
      <c r="H64" s="552">
        <f>Activity!$C63*Activity!$D63*Activity!J63</f>
        <v>0</v>
      </c>
      <c r="I64" s="552">
        <f>Activity!$C63*Activity!$D63*Activity!K63</f>
        <v>0</v>
      </c>
      <c r="J64" s="553">
        <f>Activity!$C63*Activity!$D63*Activity!L63</f>
        <v>0</v>
      </c>
      <c r="K64" s="552">
        <f>Activity!$C63*Activity!$D63*Activity!M63</f>
        <v>0</v>
      </c>
      <c r="L64" s="552">
        <f>Activity!$C63*Activity!$D63*Activity!N63</f>
        <v>0</v>
      </c>
      <c r="M64" s="550">
        <f>Activity!$C63*Activity!$D63*Activity!O63</f>
        <v>0</v>
      </c>
      <c r="N64" s="413">
        <v>0</v>
      </c>
      <c r="O64" s="552">
        <f>Activity!C63*Activity!D63</f>
        <v>0</v>
      </c>
      <c r="P64" s="559">
        <f>Activity!X63</f>
        <v>0</v>
      </c>
    </row>
    <row r="65" spans="2:16">
      <c r="B65" s="7">
        <f t="shared" si="1"/>
        <v>2051</v>
      </c>
      <c r="C65" s="551">
        <f>Activity!$C64*Activity!$D64*Activity!E64</f>
        <v>0</v>
      </c>
      <c r="D65" s="552">
        <f>Activity!$C64*Activity!$D64*Activity!F64</f>
        <v>0</v>
      </c>
      <c r="E65" s="550">
        <f>Activity!$C64*Activity!$D64*Activity!G64</f>
        <v>0</v>
      </c>
      <c r="F65" s="552">
        <f>Activity!$C64*Activity!$D64*Activity!H64</f>
        <v>0</v>
      </c>
      <c r="G65" s="552">
        <f>Activity!$C64*Activity!$D64*Activity!I64</f>
        <v>0</v>
      </c>
      <c r="H65" s="552">
        <f>Activity!$C64*Activity!$D64*Activity!J64</f>
        <v>0</v>
      </c>
      <c r="I65" s="552">
        <f>Activity!$C64*Activity!$D64*Activity!K64</f>
        <v>0</v>
      </c>
      <c r="J65" s="553">
        <f>Activity!$C64*Activity!$D64*Activity!L64</f>
        <v>0</v>
      </c>
      <c r="K65" s="552">
        <f>Activity!$C64*Activity!$D64*Activity!M64</f>
        <v>0</v>
      </c>
      <c r="L65" s="552">
        <f>Activity!$C64*Activity!$D64*Activity!N64</f>
        <v>0</v>
      </c>
      <c r="M65" s="550">
        <f>Activity!$C64*Activity!$D64*Activity!O64</f>
        <v>0</v>
      </c>
      <c r="N65" s="413">
        <v>0</v>
      </c>
      <c r="O65" s="552">
        <f>Activity!C64*Activity!D64</f>
        <v>0</v>
      </c>
      <c r="P65" s="559">
        <f>Activity!X64</f>
        <v>0</v>
      </c>
    </row>
    <row r="66" spans="2:16">
      <c r="B66" s="7">
        <f t="shared" si="1"/>
        <v>2052</v>
      </c>
      <c r="C66" s="551">
        <f>Activity!$C65*Activity!$D65*Activity!E65</f>
        <v>0</v>
      </c>
      <c r="D66" s="552">
        <f>Activity!$C65*Activity!$D65*Activity!F65</f>
        <v>0</v>
      </c>
      <c r="E66" s="550">
        <f>Activity!$C65*Activity!$D65*Activity!G65</f>
        <v>0</v>
      </c>
      <c r="F66" s="552">
        <f>Activity!$C65*Activity!$D65*Activity!H65</f>
        <v>0</v>
      </c>
      <c r="G66" s="552">
        <f>Activity!$C65*Activity!$D65*Activity!I65</f>
        <v>0</v>
      </c>
      <c r="H66" s="552">
        <f>Activity!$C65*Activity!$D65*Activity!J65</f>
        <v>0</v>
      </c>
      <c r="I66" s="552">
        <f>Activity!$C65*Activity!$D65*Activity!K65</f>
        <v>0</v>
      </c>
      <c r="J66" s="553">
        <f>Activity!$C65*Activity!$D65*Activity!L65</f>
        <v>0</v>
      </c>
      <c r="K66" s="552">
        <f>Activity!$C65*Activity!$D65*Activity!M65</f>
        <v>0</v>
      </c>
      <c r="L66" s="552">
        <f>Activity!$C65*Activity!$D65*Activity!N65</f>
        <v>0</v>
      </c>
      <c r="M66" s="550">
        <f>Activity!$C65*Activity!$D65*Activity!O65</f>
        <v>0</v>
      </c>
      <c r="N66" s="413">
        <v>0</v>
      </c>
      <c r="O66" s="552">
        <f>Activity!C65*Activity!D65</f>
        <v>0</v>
      </c>
      <c r="P66" s="559">
        <f>Activity!X65</f>
        <v>0</v>
      </c>
    </row>
    <row r="67" spans="2:16">
      <c r="B67" s="7">
        <f t="shared" si="1"/>
        <v>2053</v>
      </c>
      <c r="C67" s="551">
        <f>Activity!$C66*Activity!$D66*Activity!E66</f>
        <v>0</v>
      </c>
      <c r="D67" s="552">
        <f>Activity!$C66*Activity!$D66*Activity!F66</f>
        <v>0</v>
      </c>
      <c r="E67" s="550">
        <f>Activity!$C66*Activity!$D66*Activity!G66</f>
        <v>0</v>
      </c>
      <c r="F67" s="552">
        <f>Activity!$C66*Activity!$D66*Activity!H66</f>
        <v>0</v>
      </c>
      <c r="G67" s="552">
        <f>Activity!$C66*Activity!$D66*Activity!I66</f>
        <v>0</v>
      </c>
      <c r="H67" s="552">
        <f>Activity!$C66*Activity!$D66*Activity!J66</f>
        <v>0</v>
      </c>
      <c r="I67" s="552">
        <f>Activity!$C66*Activity!$D66*Activity!K66</f>
        <v>0</v>
      </c>
      <c r="J67" s="553">
        <f>Activity!$C66*Activity!$D66*Activity!L66</f>
        <v>0</v>
      </c>
      <c r="K67" s="552">
        <f>Activity!$C66*Activity!$D66*Activity!M66</f>
        <v>0</v>
      </c>
      <c r="L67" s="552">
        <f>Activity!$C66*Activity!$D66*Activity!N66</f>
        <v>0</v>
      </c>
      <c r="M67" s="550">
        <f>Activity!$C66*Activity!$D66*Activity!O66</f>
        <v>0</v>
      </c>
      <c r="N67" s="413">
        <v>0</v>
      </c>
      <c r="O67" s="552">
        <f>Activity!C66*Activity!D66</f>
        <v>0</v>
      </c>
      <c r="P67" s="559">
        <f>Activity!X66</f>
        <v>0</v>
      </c>
    </row>
    <row r="68" spans="2:16">
      <c r="B68" s="7">
        <f t="shared" si="1"/>
        <v>2054</v>
      </c>
      <c r="C68" s="551">
        <f>Activity!$C67*Activity!$D67*Activity!E67</f>
        <v>0</v>
      </c>
      <c r="D68" s="552">
        <f>Activity!$C67*Activity!$D67*Activity!F67</f>
        <v>0</v>
      </c>
      <c r="E68" s="550">
        <f>Activity!$C67*Activity!$D67*Activity!G67</f>
        <v>0</v>
      </c>
      <c r="F68" s="552">
        <f>Activity!$C67*Activity!$D67*Activity!H67</f>
        <v>0</v>
      </c>
      <c r="G68" s="552">
        <f>Activity!$C67*Activity!$D67*Activity!I67</f>
        <v>0</v>
      </c>
      <c r="H68" s="552">
        <f>Activity!$C67*Activity!$D67*Activity!J67</f>
        <v>0</v>
      </c>
      <c r="I68" s="552">
        <f>Activity!$C67*Activity!$D67*Activity!K67</f>
        <v>0</v>
      </c>
      <c r="J68" s="553">
        <f>Activity!$C67*Activity!$D67*Activity!L67</f>
        <v>0</v>
      </c>
      <c r="K68" s="552">
        <f>Activity!$C67*Activity!$D67*Activity!M67</f>
        <v>0</v>
      </c>
      <c r="L68" s="552">
        <f>Activity!$C67*Activity!$D67*Activity!N67</f>
        <v>0</v>
      </c>
      <c r="M68" s="550">
        <f>Activity!$C67*Activity!$D67*Activity!O67</f>
        <v>0</v>
      </c>
      <c r="N68" s="413">
        <v>0</v>
      </c>
      <c r="O68" s="552">
        <f>Activity!C67*Activity!D67</f>
        <v>0</v>
      </c>
      <c r="P68" s="559">
        <f>Activity!X67</f>
        <v>0</v>
      </c>
    </row>
    <row r="69" spans="2:16">
      <c r="B69" s="7">
        <f t="shared" si="1"/>
        <v>2055</v>
      </c>
      <c r="C69" s="551">
        <f>Activity!$C68*Activity!$D68*Activity!E68</f>
        <v>0</v>
      </c>
      <c r="D69" s="552">
        <f>Activity!$C68*Activity!$D68*Activity!F68</f>
        <v>0</v>
      </c>
      <c r="E69" s="550">
        <f>Activity!$C68*Activity!$D68*Activity!G68</f>
        <v>0</v>
      </c>
      <c r="F69" s="552">
        <f>Activity!$C68*Activity!$D68*Activity!H68</f>
        <v>0</v>
      </c>
      <c r="G69" s="552">
        <f>Activity!$C68*Activity!$D68*Activity!I68</f>
        <v>0</v>
      </c>
      <c r="H69" s="552">
        <f>Activity!$C68*Activity!$D68*Activity!J68</f>
        <v>0</v>
      </c>
      <c r="I69" s="552">
        <f>Activity!$C68*Activity!$D68*Activity!K68</f>
        <v>0</v>
      </c>
      <c r="J69" s="553">
        <f>Activity!$C68*Activity!$D68*Activity!L68</f>
        <v>0</v>
      </c>
      <c r="K69" s="552">
        <f>Activity!$C68*Activity!$D68*Activity!M68</f>
        <v>0</v>
      </c>
      <c r="L69" s="552">
        <f>Activity!$C68*Activity!$D68*Activity!N68</f>
        <v>0</v>
      </c>
      <c r="M69" s="550">
        <f>Activity!$C68*Activity!$D68*Activity!O68</f>
        <v>0</v>
      </c>
      <c r="N69" s="413">
        <v>0</v>
      </c>
      <c r="O69" s="552">
        <f>Activity!C68*Activity!D68</f>
        <v>0</v>
      </c>
      <c r="P69" s="559">
        <f>Activity!X68</f>
        <v>0</v>
      </c>
    </row>
    <row r="70" spans="2:16">
      <c r="B70" s="7">
        <f t="shared" si="1"/>
        <v>2056</v>
      </c>
      <c r="C70" s="551">
        <f>Activity!$C69*Activity!$D69*Activity!E69</f>
        <v>0</v>
      </c>
      <c r="D70" s="552">
        <f>Activity!$C69*Activity!$D69*Activity!F69</f>
        <v>0</v>
      </c>
      <c r="E70" s="550">
        <f>Activity!$C69*Activity!$D69*Activity!G69</f>
        <v>0</v>
      </c>
      <c r="F70" s="552">
        <f>Activity!$C69*Activity!$D69*Activity!H69</f>
        <v>0</v>
      </c>
      <c r="G70" s="552">
        <f>Activity!$C69*Activity!$D69*Activity!I69</f>
        <v>0</v>
      </c>
      <c r="H70" s="552">
        <f>Activity!$C69*Activity!$D69*Activity!J69</f>
        <v>0</v>
      </c>
      <c r="I70" s="552">
        <f>Activity!$C69*Activity!$D69*Activity!K69</f>
        <v>0</v>
      </c>
      <c r="J70" s="553">
        <f>Activity!$C69*Activity!$D69*Activity!L69</f>
        <v>0</v>
      </c>
      <c r="K70" s="552">
        <f>Activity!$C69*Activity!$D69*Activity!M69</f>
        <v>0</v>
      </c>
      <c r="L70" s="552">
        <f>Activity!$C69*Activity!$D69*Activity!N69</f>
        <v>0</v>
      </c>
      <c r="M70" s="550">
        <f>Activity!$C69*Activity!$D69*Activity!O69</f>
        <v>0</v>
      </c>
      <c r="N70" s="413">
        <v>0</v>
      </c>
      <c r="O70" s="552">
        <f>Activity!C69*Activity!D69</f>
        <v>0</v>
      </c>
      <c r="P70" s="559">
        <f>Activity!X69</f>
        <v>0</v>
      </c>
    </row>
    <row r="71" spans="2:16">
      <c r="B71" s="7">
        <f t="shared" si="1"/>
        <v>2057</v>
      </c>
      <c r="C71" s="551">
        <f>Activity!$C70*Activity!$D70*Activity!E70</f>
        <v>0</v>
      </c>
      <c r="D71" s="552">
        <f>Activity!$C70*Activity!$D70*Activity!F70</f>
        <v>0</v>
      </c>
      <c r="E71" s="550">
        <f>Activity!$C70*Activity!$D70*Activity!G70</f>
        <v>0</v>
      </c>
      <c r="F71" s="552">
        <f>Activity!$C70*Activity!$D70*Activity!H70</f>
        <v>0</v>
      </c>
      <c r="G71" s="552">
        <f>Activity!$C70*Activity!$D70*Activity!I70</f>
        <v>0</v>
      </c>
      <c r="H71" s="552">
        <f>Activity!$C70*Activity!$D70*Activity!J70</f>
        <v>0</v>
      </c>
      <c r="I71" s="552">
        <f>Activity!$C70*Activity!$D70*Activity!K70</f>
        <v>0</v>
      </c>
      <c r="J71" s="553">
        <f>Activity!$C70*Activity!$D70*Activity!L70</f>
        <v>0</v>
      </c>
      <c r="K71" s="552">
        <f>Activity!$C70*Activity!$D70*Activity!M70</f>
        <v>0</v>
      </c>
      <c r="L71" s="552">
        <f>Activity!$C70*Activity!$D70*Activity!N70</f>
        <v>0</v>
      </c>
      <c r="M71" s="550">
        <f>Activity!$C70*Activity!$D70*Activity!O70</f>
        <v>0</v>
      </c>
      <c r="N71" s="413">
        <v>0</v>
      </c>
      <c r="O71" s="552">
        <f>Activity!C70*Activity!D70</f>
        <v>0</v>
      </c>
      <c r="P71" s="559">
        <f>Activity!X70</f>
        <v>0</v>
      </c>
    </row>
    <row r="72" spans="2:16">
      <c r="B72" s="7">
        <f t="shared" si="1"/>
        <v>2058</v>
      </c>
      <c r="C72" s="551">
        <f>Activity!$C71*Activity!$D71*Activity!E71</f>
        <v>0</v>
      </c>
      <c r="D72" s="552">
        <f>Activity!$C71*Activity!$D71*Activity!F71</f>
        <v>0</v>
      </c>
      <c r="E72" s="550">
        <f>Activity!$C71*Activity!$D71*Activity!G71</f>
        <v>0</v>
      </c>
      <c r="F72" s="552">
        <f>Activity!$C71*Activity!$D71*Activity!H71</f>
        <v>0</v>
      </c>
      <c r="G72" s="552">
        <f>Activity!$C71*Activity!$D71*Activity!I71</f>
        <v>0</v>
      </c>
      <c r="H72" s="552">
        <f>Activity!$C71*Activity!$D71*Activity!J71</f>
        <v>0</v>
      </c>
      <c r="I72" s="552">
        <f>Activity!$C71*Activity!$D71*Activity!K71</f>
        <v>0</v>
      </c>
      <c r="J72" s="553">
        <f>Activity!$C71*Activity!$D71*Activity!L71</f>
        <v>0</v>
      </c>
      <c r="K72" s="552">
        <f>Activity!$C71*Activity!$D71*Activity!M71</f>
        <v>0</v>
      </c>
      <c r="L72" s="552">
        <f>Activity!$C71*Activity!$D71*Activity!N71</f>
        <v>0</v>
      </c>
      <c r="M72" s="550">
        <f>Activity!$C71*Activity!$D71*Activity!O71</f>
        <v>0</v>
      </c>
      <c r="N72" s="413">
        <v>0</v>
      </c>
      <c r="O72" s="552">
        <f>Activity!C71*Activity!D71</f>
        <v>0</v>
      </c>
      <c r="P72" s="559">
        <f>Activity!X71</f>
        <v>0</v>
      </c>
    </row>
    <row r="73" spans="2:16">
      <c r="B73" s="7">
        <f t="shared" si="1"/>
        <v>2059</v>
      </c>
      <c r="C73" s="551">
        <f>Activity!$C72*Activity!$D72*Activity!E72</f>
        <v>0</v>
      </c>
      <c r="D73" s="552">
        <f>Activity!$C72*Activity!$D72*Activity!F72</f>
        <v>0</v>
      </c>
      <c r="E73" s="550">
        <f>Activity!$C72*Activity!$D72*Activity!G72</f>
        <v>0</v>
      </c>
      <c r="F73" s="552">
        <f>Activity!$C72*Activity!$D72*Activity!H72</f>
        <v>0</v>
      </c>
      <c r="G73" s="552">
        <f>Activity!$C72*Activity!$D72*Activity!I72</f>
        <v>0</v>
      </c>
      <c r="H73" s="552">
        <f>Activity!$C72*Activity!$D72*Activity!J72</f>
        <v>0</v>
      </c>
      <c r="I73" s="552">
        <f>Activity!$C72*Activity!$D72*Activity!K72</f>
        <v>0</v>
      </c>
      <c r="J73" s="553">
        <f>Activity!$C72*Activity!$D72*Activity!L72</f>
        <v>0</v>
      </c>
      <c r="K73" s="552">
        <f>Activity!$C72*Activity!$D72*Activity!M72</f>
        <v>0</v>
      </c>
      <c r="L73" s="552">
        <f>Activity!$C72*Activity!$D72*Activity!N72</f>
        <v>0</v>
      </c>
      <c r="M73" s="550">
        <f>Activity!$C72*Activity!$D72*Activity!O72</f>
        <v>0</v>
      </c>
      <c r="N73" s="413">
        <v>0</v>
      </c>
      <c r="O73" s="552">
        <f>Activity!C72*Activity!D72</f>
        <v>0</v>
      </c>
      <c r="P73" s="559">
        <f>Activity!X72</f>
        <v>0</v>
      </c>
    </row>
    <row r="74" spans="2:16">
      <c r="B74" s="7">
        <f t="shared" si="1"/>
        <v>2060</v>
      </c>
      <c r="C74" s="551">
        <f>Activity!$C73*Activity!$D73*Activity!E73</f>
        <v>0</v>
      </c>
      <c r="D74" s="552">
        <f>Activity!$C73*Activity!$D73*Activity!F73</f>
        <v>0</v>
      </c>
      <c r="E74" s="550">
        <f>Activity!$C73*Activity!$D73*Activity!G73</f>
        <v>0</v>
      </c>
      <c r="F74" s="552">
        <f>Activity!$C73*Activity!$D73*Activity!H73</f>
        <v>0</v>
      </c>
      <c r="G74" s="552">
        <f>Activity!$C73*Activity!$D73*Activity!I73</f>
        <v>0</v>
      </c>
      <c r="H74" s="552">
        <f>Activity!$C73*Activity!$D73*Activity!J73</f>
        <v>0</v>
      </c>
      <c r="I74" s="552">
        <f>Activity!$C73*Activity!$D73*Activity!K73</f>
        <v>0</v>
      </c>
      <c r="J74" s="553">
        <f>Activity!$C73*Activity!$D73*Activity!L73</f>
        <v>0</v>
      </c>
      <c r="K74" s="552">
        <f>Activity!$C73*Activity!$D73*Activity!M73</f>
        <v>0</v>
      </c>
      <c r="L74" s="552">
        <f>Activity!$C73*Activity!$D73*Activity!N73</f>
        <v>0</v>
      </c>
      <c r="M74" s="550">
        <f>Activity!$C73*Activity!$D73*Activity!O73</f>
        <v>0</v>
      </c>
      <c r="N74" s="413">
        <v>0</v>
      </c>
      <c r="O74" s="552">
        <f>Activity!C73*Activity!D73</f>
        <v>0</v>
      </c>
      <c r="P74" s="559">
        <f>Activity!X73</f>
        <v>0</v>
      </c>
    </row>
    <row r="75" spans="2:16">
      <c r="B75" s="7">
        <f t="shared" si="1"/>
        <v>2061</v>
      </c>
      <c r="C75" s="551">
        <f>Activity!$C74*Activity!$D74*Activity!E74</f>
        <v>0</v>
      </c>
      <c r="D75" s="552">
        <f>Activity!$C74*Activity!$D74*Activity!F74</f>
        <v>0</v>
      </c>
      <c r="E75" s="550">
        <f>Activity!$C74*Activity!$D74*Activity!G74</f>
        <v>0</v>
      </c>
      <c r="F75" s="552">
        <f>Activity!$C74*Activity!$D74*Activity!H74</f>
        <v>0</v>
      </c>
      <c r="G75" s="552">
        <f>Activity!$C74*Activity!$D74*Activity!I74</f>
        <v>0</v>
      </c>
      <c r="H75" s="552">
        <f>Activity!$C74*Activity!$D74*Activity!J74</f>
        <v>0</v>
      </c>
      <c r="I75" s="552">
        <f>Activity!$C74*Activity!$D74*Activity!K74</f>
        <v>0</v>
      </c>
      <c r="J75" s="553">
        <f>Activity!$C74*Activity!$D74*Activity!L74</f>
        <v>0</v>
      </c>
      <c r="K75" s="552">
        <f>Activity!$C74*Activity!$D74*Activity!M74</f>
        <v>0</v>
      </c>
      <c r="L75" s="552">
        <f>Activity!$C74*Activity!$D74*Activity!N74</f>
        <v>0</v>
      </c>
      <c r="M75" s="550">
        <f>Activity!$C74*Activity!$D74*Activity!O74</f>
        <v>0</v>
      </c>
      <c r="N75" s="413">
        <v>0</v>
      </c>
      <c r="O75" s="552">
        <f>Activity!C74*Activity!D74</f>
        <v>0</v>
      </c>
      <c r="P75" s="559">
        <f>Activity!X74</f>
        <v>0</v>
      </c>
    </row>
    <row r="76" spans="2:16">
      <c r="B76" s="7">
        <f t="shared" si="1"/>
        <v>2062</v>
      </c>
      <c r="C76" s="551">
        <f>Activity!$C75*Activity!$D75*Activity!E75</f>
        <v>0</v>
      </c>
      <c r="D76" s="552">
        <f>Activity!$C75*Activity!$D75*Activity!F75</f>
        <v>0</v>
      </c>
      <c r="E76" s="550">
        <f>Activity!$C75*Activity!$D75*Activity!G75</f>
        <v>0</v>
      </c>
      <c r="F76" s="552">
        <f>Activity!$C75*Activity!$D75*Activity!H75</f>
        <v>0</v>
      </c>
      <c r="G76" s="552">
        <f>Activity!$C75*Activity!$D75*Activity!I75</f>
        <v>0</v>
      </c>
      <c r="H76" s="552">
        <f>Activity!$C75*Activity!$D75*Activity!J75</f>
        <v>0</v>
      </c>
      <c r="I76" s="552">
        <f>Activity!$C75*Activity!$D75*Activity!K75</f>
        <v>0</v>
      </c>
      <c r="J76" s="553">
        <f>Activity!$C75*Activity!$D75*Activity!L75</f>
        <v>0</v>
      </c>
      <c r="K76" s="552">
        <f>Activity!$C75*Activity!$D75*Activity!M75</f>
        <v>0</v>
      </c>
      <c r="L76" s="552">
        <f>Activity!$C75*Activity!$D75*Activity!N75</f>
        <v>0</v>
      </c>
      <c r="M76" s="550">
        <f>Activity!$C75*Activity!$D75*Activity!O75</f>
        <v>0</v>
      </c>
      <c r="N76" s="413">
        <v>0</v>
      </c>
      <c r="O76" s="552">
        <f>Activity!C75*Activity!D75</f>
        <v>0</v>
      </c>
      <c r="P76" s="559">
        <f>Activity!X75</f>
        <v>0</v>
      </c>
    </row>
    <row r="77" spans="2:16">
      <c r="B77" s="7">
        <f t="shared" si="1"/>
        <v>2063</v>
      </c>
      <c r="C77" s="551">
        <f>Activity!$C76*Activity!$D76*Activity!E76</f>
        <v>0</v>
      </c>
      <c r="D77" s="552">
        <f>Activity!$C76*Activity!$D76*Activity!F76</f>
        <v>0</v>
      </c>
      <c r="E77" s="550">
        <f>Activity!$C76*Activity!$D76*Activity!G76</f>
        <v>0</v>
      </c>
      <c r="F77" s="552">
        <f>Activity!$C76*Activity!$D76*Activity!H76</f>
        <v>0</v>
      </c>
      <c r="G77" s="552">
        <f>Activity!$C76*Activity!$D76*Activity!I76</f>
        <v>0</v>
      </c>
      <c r="H77" s="552">
        <f>Activity!$C76*Activity!$D76*Activity!J76</f>
        <v>0</v>
      </c>
      <c r="I77" s="552">
        <f>Activity!$C76*Activity!$D76*Activity!K76</f>
        <v>0</v>
      </c>
      <c r="J77" s="553">
        <f>Activity!$C76*Activity!$D76*Activity!L76</f>
        <v>0</v>
      </c>
      <c r="K77" s="552">
        <f>Activity!$C76*Activity!$D76*Activity!M76</f>
        <v>0</v>
      </c>
      <c r="L77" s="552">
        <f>Activity!$C76*Activity!$D76*Activity!N76</f>
        <v>0</v>
      </c>
      <c r="M77" s="550">
        <f>Activity!$C76*Activity!$D76*Activity!O76</f>
        <v>0</v>
      </c>
      <c r="N77" s="413">
        <v>0</v>
      </c>
      <c r="O77" s="552">
        <f>Activity!C76*Activity!D76</f>
        <v>0</v>
      </c>
      <c r="P77" s="559">
        <f>Activity!X76</f>
        <v>0</v>
      </c>
    </row>
    <row r="78" spans="2:16">
      <c r="B78" s="7">
        <f t="shared" si="1"/>
        <v>2064</v>
      </c>
      <c r="C78" s="551">
        <f>Activity!$C77*Activity!$D77*Activity!E77</f>
        <v>0</v>
      </c>
      <c r="D78" s="552">
        <f>Activity!$C77*Activity!$D77*Activity!F77</f>
        <v>0</v>
      </c>
      <c r="E78" s="550">
        <f>Activity!$C77*Activity!$D77*Activity!G77</f>
        <v>0</v>
      </c>
      <c r="F78" s="552">
        <f>Activity!$C77*Activity!$D77*Activity!H77</f>
        <v>0</v>
      </c>
      <c r="G78" s="552">
        <f>Activity!$C77*Activity!$D77*Activity!I77</f>
        <v>0</v>
      </c>
      <c r="H78" s="552">
        <f>Activity!$C77*Activity!$D77*Activity!J77</f>
        <v>0</v>
      </c>
      <c r="I78" s="552">
        <f>Activity!$C77*Activity!$D77*Activity!K77</f>
        <v>0</v>
      </c>
      <c r="J78" s="553">
        <f>Activity!$C77*Activity!$D77*Activity!L77</f>
        <v>0</v>
      </c>
      <c r="K78" s="552">
        <f>Activity!$C77*Activity!$D77*Activity!M77</f>
        <v>0</v>
      </c>
      <c r="L78" s="552">
        <f>Activity!$C77*Activity!$D77*Activity!N77</f>
        <v>0</v>
      </c>
      <c r="M78" s="550">
        <f>Activity!$C77*Activity!$D77*Activity!O77</f>
        <v>0</v>
      </c>
      <c r="N78" s="413">
        <v>0</v>
      </c>
      <c r="O78" s="552">
        <f>Activity!C77*Activity!D77</f>
        <v>0</v>
      </c>
      <c r="P78" s="559">
        <f>Activity!X77</f>
        <v>0</v>
      </c>
    </row>
    <row r="79" spans="2:16">
      <c r="B79" s="7">
        <f t="shared" si="1"/>
        <v>2065</v>
      </c>
      <c r="C79" s="551">
        <f>Activity!$C78*Activity!$D78*Activity!E78</f>
        <v>0</v>
      </c>
      <c r="D79" s="552">
        <f>Activity!$C78*Activity!$D78*Activity!F78</f>
        <v>0</v>
      </c>
      <c r="E79" s="550">
        <f>Activity!$C78*Activity!$D78*Activity!G78</f>
        <v>0</v>
      </c>
      <c r="F79" s="552">
        <f>Activity!$C78*Activity!$D78*Activity!H78</f>
        <v>0</v>
      </c>
      <c r="G79" s="552">
        <f>Activity!$C78*Activity!$D78*Activity!I78</f>
        <v>0</v>
      </c>
      <c r="H79" s="552">
        <f>Activity!$C78*Activity!$D78*Activity!J78</f>
        <v>0</v>
      </c>
      <c r="I79" s="552">
        <f>Activity!$C78*Activity!$D78*Activity!K78</f>
        <v>0</v>
      </c>
      <c r="J79" s="553">
        <f>Activity!$C78*Activity!$D78*Activity!L78</f>
        <v>0</v>
      </c>
      <c r="K79" s="552">
        <f>Activity!$C78*Activity!$D78*Activity!M78</f>
        <v>0</v>
      </c>
      <c r="L79" s="552">
        <f>Activity!$C78*Activity!$D78*Activity!N78</f>
        <v>0</v>
      </c>
      <c r="M79" s="550">
        <f>Activity!$C78*Activity!$D78*Activity!O78</f>
        <v>0</v>
      </c>
      <c r="N79" s="413">
        <v>0</v>
      </c>
      <c r="O79" s="552">
        <f>Activity!C78*Activity!D78</f>
        <v>0</v>
      </c>
      <c r="P79" s="559">
        <f>Activity!X78</f>
        <v>0</v>
      </c>
    </row>
    <row r="80" spans="2:16">
      <c r="B80" s="7">
        <f t="shared" si="1"/>
        <v>2066</v>
      </c>
      <c r="C80" s="551">
        <f>Activity!$C79*Activity!$D79*Activity!E79</f>
        <v>0</v>
      </c>
      <c r="D80" s="552">
        <f>Activity!$C79*Activity!$D79*Activity!F79</f>
        <v>0</v>
      </c>
      <c r="E80" s="550">
        <f>Activity!$C79*Activity!$D79*Activity!G79</f>
        <v>0</v>
      </c>
      <c r="F80" s="552">
        <f>Activity!$C79*Activity!$D79*Activity!H79</f>
        <v>0</v>
      </c>
      <c r="G80" s="552">
        <f>Activity!$C79*Activity!$D79*Activity!I79</f>
        <v>0</v>
      </c>
      <c r="H80" s="552">
        <f>Activity!$C79*Activity!$D79*Activity!J79</f>
        <v>0</v>
      </c>
      <c r="I80" s="552">
        <f>Activity!$C79*Activity!$D79*Activity!K79</f>
        <v>0</v>
      </c>
      <c r="J80" s="553">
        <f>Activity!$C79*Activity!$D79*Activity!L79</f>
        <v>0</v>
      </c>
      <c r="K80" s="552">
        <f>Activity!$C79*Activity!$D79*Activity!M79</f>
        <v>0</v>
      </c>
      <c r="L80" s="552">
        <f>Activity!$C79*Activity!$D79*Activity!N79</f>
        <v>0</v>
      </c>
      <c r="M80" s="550">
        <f>Activity!$C79*Activity!$D79*Activity!O79</f>
        <v>0</v>
      </c>
      <c r="N80" s="413">
        <v>0</v>
      </c>
      <c r="O80" s="552">
        <f>Activity!C79*Activity!D79</f>
        <v>0</v>
      </c>
      <c r="P80" s="559">
        <f>Activity!X79</f>
        <v>0</v>
      </c>
    </row>
    <row r="81" spans="2:16">
      <c r="B81" s="7">
        <f t="shared" si="1"/>
        <v>2067</v>
      </c>
      <c r="C81" s="551">
        <f>Activity!$C80*Activity!$D80*Activity!E80</f>
        <v>0</v>
      </c>
      <c r="D81" s="552">
        <f>Activity!$C80*Activity!$D80*Activity!F80</f>
        <v>0</v>
      </c>
      <c r="E81" s="550">
        <f>Activity!$C80*Activity!$D80*Activity!G80</f>
        <v>0</v>
      </c>
      <c r="F81" s="552">
        <f>Activity!$C80*Activity!$D80*Activity!H80</f>
        <v>0</v>
      </c>
      <c r="G81" s="552">
        <f>Activity!$C80*Activity!$D80*Activity!I80</f>
        <v>0</v>
      </c>
      <c r="H81" s="552">
        <f>Activity!$C80*Activity!$D80*Activity!J80</f>
        <v>0</v>
      </c>
      <c r="I81" s="552">
        <f>Activity!$C80*Activity!$D80*Activity!K80</f>
        <v>0</v>
      </c>
      <c r="J81" s="553">
        <f>Activity!$C80*Activity!$D80*Activity!L80</f>
        <v>0</v>
      </c>
      <c r="K81" s="552">
        <f>Activity!$C80*Activity!$D80*Activity!M80</f>
        <v>0</v>
      </c>
      <c r="L81" s="552">
        <f>Activity!$C80*Activity!$D80*Activity!N80</f>
        <v>0</v>
      </c>
      <c r="M81" s="550">
        <f>Activity!$C80*Activity!$D80*Activity!O80</f>
        <v>0</v>
      </c>
      <c r="N81" s="413">
        <v>0</v>
      </c>
      <c r="O81" s="552">
        <f>Activity!C80*Activity!D80</f>
        <v>0</v>
      </c>
      <c r="P81" s="559">
        <f>Activity!X80</f>
        <v>0</v>
      </c>
    </row>
    <row r="82" spans="2:16">
      <c r="B82" s="7">
        <f t="shared" si="1"/>
        <v>2068</v>
      </c>
      <c r="C82" s="551">
        <f>Activity!$C81*Activity!$D81*Activity!E81</f>
        <v>0</v>
      </c>
      <c r="D82" s="552">
        <f>Activity!$C81*Activity!$D81*Activity!F81</f>
        <v>0</v>
      </c>
      <c r="E82" s="550">
        <f>Activity!$C81*Activity!$D81*Activity!G81</f>
        <v>0</v>
      </c>
      <c r="F82" s="552">
        <f>Activity!$C81*Activity!$D81*Activity!H81</f>
        <v>0</v>
      </c>
      <c r="G82" s="552">
        <f>Activity!$C81*Activity!$D81*Activity!I81</f>
        <v>0</v>
      </c>
      <c r="H82" s="552">
        <f>Activity!$C81*Activity!$D81*Activity!J81</f>
        <v>0</v>
      </c>
      <c r="I82" s="552">
        <f>Activity!$C81*Activity!$D81*Activity!K81</f>
        <v>0</v>
      </c>
      <c r="J82" s="553">
        <f>Activity!$C81*Activity!$D81*Activity!L81</f>
        <v>0</v>
      </c>
      <c r="K82" s="552">
        <f>Activity!$C81*Activity!$D81*Activity!M81</f>
        <v>0</v>
      </c>
      <c r="L82" s="552">
        <f>Activity!$C81*Activity!$D81*Activity!N81</f>
        <v>0</v>
      </c>
      <c r="M82" s="550">
        <f>Activity!$C81*Activity!$D81*Activity!O81</f>
        <v>0</v>
      </c>
      <c r="N82" s="413">
        <v>0</v>
      </c>
      <c r="O82" s="552">
        <f>Activity!C81*Activity!D81</f>
        <v>0</v>
      </c>
      <c r="P82" s="559">
        <f>Activity!X81</f>
        <v>0</v>
      </c>
    </row>
    <row r="83" spans="2:16">
      <c r="B83" s="7">
        <f t="shared" si="1"/>
        <v>2069</v>
      </c>
      <c r="C83" s="551">
        <f>Activity!$C82*Activity!$D82*Activity!E82</f>
        <v>0</v>
      </c>
      <c r="D83" s="552">
        <f>Activity!$C82*Activity!$D82*Activity!F82</f>
        <v>0</v>
      </c>
      <c r="E83" s="550">
        <f>Activity!$C82*Activity!$D82*Activity!G82</f>
        <v>0</v>
      </c>
      <c r="F83" s="552">
        <f>Activity!$C82*Activity!$D82*Activity!H82</f>
        <v>0</v>
      </c>
      <c r="G83" s="552">
        <f>Activity!$C82*Activity!$D82*Activity!I82</f>
        <v>0</v>
      </c>
      <c r="H83" s="552">
        <f>Activity!$C82*Activity!$D82*Activity!J82</f>
        <v>0</v>
      </c>
      <c r="I83" s="552">
        <f>Activity!$C82*Activity!$D82*Activity!K82</f>
        <v>0</v>
      </c>
      <c r="J83" s="553">
        <f>Activity!$C82*Activity!$D82*Activity!L82</f>
        <v>0</v>
      </c>
      <c r="K83" s="552">
        <f>Activity!$C82*Activity!$D82*Activity!M82</f>
        <v>0</v>
      </c>
      <c r="L83" s="552">
        <f>Activity!$C82*Activity!$D82*Activity!N82</f>
        <v>0</v>
      </c>
      <c r="M83" s="550">
        <f>Activity!$C82*Activity!$D82*Activity!O82</f>
        <v>0</v>
      </c>
      <c r="N83" s="413">
        <v>0</v>
      </c>
      <c r="O83" s="552">
        <f>Activity!C82*Activity!D82</f>
        <v>0</v>
      </c>
      <c r="P83" s="559">
        <f>Activity!X82</f>
        <v>0</v>
      </c>
    </row>
    <row r="84" spans="2:16">
      <c r="B84" s="7">
        <f t="shared" si="1"/>
        <v>2070</v>
      </c>
      <c r="C84" s="551">
        <f>Activity!$C83*Activity!$D83*Activity!E83</f>
        <v>0</v>
      </c>
      <c r="D84" s="552">
        <f>Activity!$C83*Activity!$D83*Activity!F83</f>
        <v>0</v>
      </c>
      <c r="E84" s="550">
        <f>Activity!$C83*Activity!$D83*Activity!G83</f>
        <v>0</v>
      </c>
      <c r="F84" s="552">
        <f>Activity!$C83*Activity!$D83*Activity!H83</f>
        <v>0</v>
      </c>
      <c r="G84" s="552">
        <f>Activity!$C83*Activity!$D83*Activity!I83</f>
        <v>0</v>
      </c>
      <c r="H84" s="552">
        <f>Activity!$C83*Activity!$D83*Activity!J83</f>
        <v>0</v>
      </c>
      <c r="I84" s="552">
        <f>Activity!$C83*Activity!$D83*Activity!K83</f>
        <v>0</v>
      </c>
      <c r="J84" s="553">
        <f>Activity!$C83*Activity!$D83*Activity!L83</f>
        <v>0</v>
      </c>
      <c r="K84" s="552">
        <f>Activity!$C83*Activity!$D83*Activity!M83</f>
        <v>0</v>
      </c>
      <c r="L84" s="552">
        <f>Activity!$C83*Activity!$D83*Activity!N83</f>
        <v>0</v>
      </c>
      <c r="M84" s="550">
        <f>Activity!$C83*Activity!$D83*Activity!O83</f>
        <v>0</v>
      </c>
      <c r="N84" s="413">
        <v>0</v>
      </c>
      <c r="O84" s="552">
        <f>Activity!C83*Activity!D83</f>
        <v>0</v>
      </c>
      <c r="P84" s="559">
        <f>Activity!X83</f>
        <v>0</v>
      </c>
    </row>
    <row r="85" spans="2:16">
      <c r="B85" s="7">
        <f t="shared" si="1"/>
        <v>2071</v>
      </c>
      <c r="C85" s="551">
        <f>Activity!$C84*Activity!$D84*Activity!E84</f>
        <v>0</v>
      </c>
      <c r="D85" s="552">
        <f>Activity!$C84*Activity!$D84*Activity!F84</f>
        <v>0</v>
      </c>
      <c r="E85" s="550">
        <f>Activity!$C84*Activity!$D84*Activity!G84</f>
        <v>0</v>
      </c>
      <c r="F85" s="552">
        <f>Activity!$C84*Activity!$D84*Activity!H84</f>
        <v>0</v>
      </c>
      <c r="G85" s="552">
        <f>Activity!$C84*Activity!$D84*Activity!I84</f>
        <v>0</v>
      </c>
      <c r="H85" s="552">
        <f>Activity!$C84*Activity!$D84*Activity!J84</f>
        <v>0</v>
      </c>
      <c r="I85" s="552">
        <f>Activity!$C84*Activity!$D84*Activity!K84</f>
        <v>0</v>
      </c>
      <c r="J85" s="553">
        <f>Activity!$C84*Activity!$D84*Activity!L84</f>
        <v>0</v>
      </c>
      <c r="K85" s="552">
        <f>Activity!$C84*Activity!$D84*Activity!M84</f>
        <v>0</v>
      </c>
      <c r="L85" s="552">
        <f>Activity!$C84*Activity!$D84*Activity!N84</f>
        <v>0</v>
      </c>
      <c r="M85" s="550">
        <f>Activity!$C84*Activity!$D84*Activity!O84</f>
        <v>0</v>
      </c>
      <c r="N85" s="413">
        <v>0</v>
      </c>
      <c r="O85" s="552">
        <f>Activity!C84*Activity!D84</f>
        <v>0</v>
      </c>
      <c r="P85" s="559">
        <f>Activity!X84</f>
        <v>0</v>
      </c>
    </row>
    <row r="86" spans="2:16">
      <c r="B86" s="7">
        <f t="shared" ref="B86:B94" si="2">B85+1</f>
        <v>2072</v>
      </c>
      <c r="C86" s="551">
        <f>Activity!$C85*Activity!$D85*Activity!E85</f>
        <v>0</v>
      </c>
      <c r="D86" s="552">
        <f>Activity!$C85*Activity!$D85*Activity!F85</f>
        <v>0</v>
      </c>
      <c r="E86" s="550">
        <f>Activity!$C85*Activity!$D85*Activity!G85</f>
        <v>0</v>
      </c>
      <c r="F86" s="552">
        <f>Activity!$C85*Activity!$D85*Activity!H85</f>
        <v>0</v>
      </c>
      <c r="G86" s="552">
        <f>Activity!$C85*Activity!$D85*Activity!I85</f>
        <v>0</v>
      </c>
      <c r="H86" s="552">
        <f>Activity!$C85*Activity!$D85*Activity!J85</f>
        <v>0</v>
      </c>
      <c r="I86" s="552">
        <f>Activity!$C85*Activity!$D85*Activity!K85</f>
        <v>0</v>
      </c>
      <c r="J86" s="553">
        <f>Activity!$C85*Activity!$D85*Activity!L85</f>
        <v>0</v>
      </c>
      <c r="K86" s="552">
        <f>Activity!$C85*Activity!$D85*Activity!M85</f>
        <v>0</v>
      </c>
      <c r="L86" s="552">
        <f>Activity!$C85*Activity!$D85*Activity!N85</f>
        <v>0</v>
      </c>
      <c r="M86" s="550">
        <f>Activity!$C85*Activity!$D85*Activity!O85</f>
        <v>0</v>
      </c>
      <c r="N86" s="413">
        <v>0</v>
      </c>
      <c r="O86" s="552">
        <f>Activity!C85*Activity!D85</f>
        <v>0</v>
      </c>
      <c r="P86" s="559">
        <f>Activity!X85</f>
        <v>0</v>
      </c>
    </row>
    <row r="87" spans="2:16">
      <c r="B87" s="7">
        <f t="shared" si="2"/>
        <v>2073</v>
      </c>
      <c r="C87" s="551">
        <f>Activity!$C86*Activity!$D86*Activity!E86</f>
        <v>0</v>
      </c>
      <c r="D87" s="552">
        <f>Activity!$C86*Activity!$D86*Activity!F86</f>
        <v>0</v>
      </c>
      <c r="E87" s="550">
        <f>Activity!$C86*Activity!$D86*Activity!G86</f>
        <v>0</v>
      </c>
      <c r="F87" s="552">
        <f>Activity!$C86*Activity!$D86*Activity!H86</f>
        <v>0</v>
      </c>
      <c r="G87" s="552">
        <f>Activity!$C86*Activity!$D86*Activity!I86</f>
        <v>0</v>
      </c>
      <c r="H87" s="552">
        <f>Activity!$C86*Activity!$D86*Activity!J86</f>
        <v>0</v>
      </c>
      <c r="I87" s="552">
        <f>Activity!$C86*Activity!$D86*Activity!K86</f>
        <v>0</v>
      </c>
      <c r="J87" s="553">
        <f>Activity!$C86*Activity!$D86*Activity!L86</f>
        <v>0</v>
      </c>
      <c r="K87" s="552">
        <f>Activity!$C86*Activity!$D86*Activity!M86</f>
        <v>0</v>
      </c>
      <c r="L87" s="552">
        <f>Activity!$C86*Activity!$D86*Activity!N86</f>
        <v>0</v>
      </c>
      <c r="M87" s="550">
        <f>Activity!$C86*Activity!$D86*Activity!O86</f>
        <v>0</v>
      </c>
      <c r="N87" s="413">
        <v>0</v>
      </c>
      <c r="O87" s="552">
        <f>Activity!C86*Activity!D86</f>
        <v>0</v>
      </c>
      <c r="P87" s="559">
        <f>Activity!X86</f>
        <v>0</v>
      </c>
    </row>
    <row r="88" spans="2:16">
      <c r="B88" s="7">
        <f t="shared" si="2"/>
        <v>2074</v>
      </c>
      <c r="C88" s="551">
        <f>Activity!$C87*Activity!$D87*Activity!E87</f>
        <v>0</v>
      </c>
      <c r="D88" s="552">
        <f>Activity!$C87*Activity!$D87*Activity!F87</f>
        <v>0</v>
      </c>
      <c r="E88" s="550">
        <f>Activity!$C87*Activity!$D87*Activity!G87</f>
        <v>0</v>
      </c>
      <c r="F88" s="552">
        <f>Activity!$C87*Activity!$D87*Activity!H87</f>
        <v>0</v>
      </c>
      <c r="G88" s="552">
        <f>Activity!$C87*Activity!$D87*Activity!I87</f>
        <v>0</v>
      </c>
      <c r="H88" s="552">
        <f>Activity!$C87*Activity!$D87*Activity!J87</f>
        <v>0</v>
      </c>
      <c r="I88" s="552">
        <f>Activity!$C87*Activity!$D87*Activity!K87</f>
        <v>0</v>
      </c>
      <c r="J88" s="553">
        <f>Activity!$C87*Activity!$D87*Activity!L87</f>
        <v>0</v>
      </c>
      <c r="K88" s="552">
        <f>Activity!$C87*Activity!$D87*Activity!M87</f>
        <v>0</v>
      </c>
      <c r="L88" s="552">
        <f>Activity!$C87*Activity!$D87*Activity!N87</f>
        <v>0</v>
      </c>
      <c r="M88" s="550">
        <f>Activity!$C87*Activity!$D87*Activity!O87</f>
        <v>0</v>
      </c>
      <c r="N88" s="413">
        <v>0</v>
      </c>
      <c r="O88" s="552">
        <f>Activity!C87*Activity!D87</f>
        <v>0</v>
      </c>
      <c r="P88" s="559">
        <f>Activity!X87</f>
        <v>0</v>
      </c>
    </row>
    <row r="89" spans="2:16">
      <c r="B89" s="7">
        <f t="shared" si="2"/>
        <v>2075</v>
      </c>
      <c r="C89" s="551">
        <f>Activity!$C88*Activity!$D88*Activity!E88</f>
        <v>0</v>
      </c>
      <c r="D89" s="552">
        <f>Activity!$C88*Activity!$D88*Activity!F88</f>
        <v>0</v>
      </c>
      <c r="E89" s="550">
        <f>Activity!$C88*Activity!$D88*Activity!G88</f>
        <v>0</v>
      </c>
      <c r="F89" s="552">
        <f>Activity!$C88*Activity!$D88*Activity!H88</f>
        <v>0</v>
      </c>
      <c r="G89" s="552">
        <f>Activity!$C88*Activity!$D88*Activity!I88</f>
        <v>0</v>
      </c>
      <c r="H89" s="552">
        <f>Activity!$C88*Activity!$D88*Activity!J88</f>
        <v>0</v>
      </c>
      <c r="I89" s="552">
        <f>Activity!$C88*Activity!$D88*Activity!K88</f>
        <v>0</v>
      </c>
      <c r="J89" s="553">
        <f>Activity!$C88*Activity!$D88*Activity!L88</f>
        <v>0</v>
      </c>
      <c r="K89" s="552">
        <f>Activity!$C88*Activity!$D88*Activity!M88</f>
        <v>0</v>
      </c>
      <c r="L89" s="552">
        <f>Activity!$C88*Activity!$D88*Activity!N88</f>
        <v>0</v>
      </c>
      <c r="M89" s="550">
        <f>Activity!$C88*Activity!$D88*Activity!O88</f>
        <v>0</v>
      </c>
      <c r="N89" s="413">
        <v>0</v>
      </c>
      <c r="O89" s="552">
        <f>Activity!C88*Activity!D88</f>
        <v>0</v>
      </c>
      <c r="P89" s="559">
        <f>Activity!X88</f>
        <v>0</v>
      </c>
    </row>
    <row r="90" spans="2:16">
      <c r="B90" s="7">
        <f t="shared" si="2"/>
        <v>2076</v>
      </c>
      <c r="C90" s="551">
        <f>Activity!$C89*Activity!$D89*Activity!E89</f>
        <v>0</v>
      </c>
      <c r="D90" s="552">
        <f>Activity!$C89*Activity!$D89*Activity!F89</f>
        <v>0</v>
      </c>
      <c r="E90" s="550">
        <f>Activity!$C89*Activity!$D89*Activity!G89</f>
        <v>0</v>
      </c>
      <c r="F90" s="552">
        <f>Activity!$C89*Activity!$D89*Activity!H89</f>
        <v>0</v>
      </c>
      <c r="G90" s="552">
        <f>Activity!$C89*Activity!$D89*Activity!I89</f>
        <v>0</v>
      </c>
      <c r="H90" s="552">
        <f>Activity!$C89*Activity!$D89*Activity!J89</f>
        <v>0</v>
      </c>
      <c r="I90" s="552">
        <f>Activity!$C89*Activity!$D89*Activity!K89</f>
        <v>0</v>
      </c>
      <c r="J90" s="553">
        <f>Activity!$C89*Activity!$D89*Activity!L89</f>
        <v>0</v>
      </c>
      <c r="K90" s="552">
        <f>Activity!$C89*Activity!$D89*Activity!M89</f>
        <v>0</v>
      </c>
      <c r="L90" s="552">
        <f>Activity!$C89*Activity!$D89*Activity!N89</f>
        <v>0</v>
      </c>
      <c r="M90" s="550">
        <f>Activity!$C89*Activity!$D89*Activity!O89</f>
        <v>0</v>
      </c>
      <c r="N90" s="413">
        <v>0</v>
      </c>
      <c r="O90" s="552">
        <f>Activity!C89*Activity!D89</f>
        <v>0</v>
      </c>
      <c r="P90" s="559">
        <f>Activity!X89</f>
        <v>0</v>
      </c>
    </row>
    <row r="91" spans="2:16">
      <c r="B91" s="7">
        <f t="shared" si="2"/>
        <v>2077</v>
      </c>
      <c r="C91" s="551">
        <f>Activity!$C90*Activity!$D90*Activity!E90</f>
        <v>0</v>
      </c>
      <c r="D91" s="552">
        <f>Activity!$C90*Activity!$D90*Activity!F90</f>
        <v>0</v>
      </c>
      <c r="E91" s="550">
        <f>Activity!$C90*Activity!$D90*Activity!G90</f>
        <v>0</v>
      </c>
      <c r="F91" s="552">
        <f>Activity!$C90*Activity!$D90*Activity!H90</f>
        <v>0</v>
      </c>
      <c r="G91" s="552">
        <f>Activity!$C90*Activity!$D90*Activity!I90</f>
        <v>0</v>
      </c>
      <c r="H91" s="552">
        <f>Activity!$C90*Activity!$D90*Activity!J90</f>
        <v>0</v>
      </c>
      <c r="I91" s="552">
        <f>Activity!$C90*Activity!$D90*Activity!K90</f>
        <v>0</v>
      </c>
      <c r="J91" s="553">
        <f>Activity!$C90*Activity!$D90*Activity!L90</f>
        <v>0</v>
      </c>
      <c r="K91" s="552">
        <f>Activity!$C90*Activity!$D90*Activity!M90</f>
        <v>0</v>
      </c>
      <c r="L91" s="552">
        <f>Activity!$C90*Activity!$D90*Activity!N90</f>
        <v>0</v>
      </c>
      <c r="M91" s="550">
        <f>Activity!$C90*Activity!$D90*Activity!O90</f>
        <v>0</v>
      </c>
      <c r="N91" s="413">
        <v>0</v>
      </c>
      <c r="O91" s="552">
        <f>Activity!C90*Activity!D90</f>
        <v>0</v>
      </c>
      <c r="P91" s="559">
        <f>Activity!X90</f>
        <v>0</v>
      </c>
    </row>
    <row r="92" spans="2:16">
      <c r="B92" s="7">
        <f t="shared" si="2"/>
        <v>2078</v>
      </c>
      <c r="C92" s="551">
        <f>Activity!$C91*Activity!$D91*Activity!E91</f>
        <v>0</v>
      </c>
      <c r="D92" s="552">
        <f>Activity!$C91*Activity!$D91*Activity!F91</f>
        <v>0</v>
      </c>
      <c r="E92" s="550">
        <f>Activity!$C91*Activity!$D91*Activity!G91</f>
        <v>0</v>
      </c>
      <c r="F92" s="552">
        <f>Activity!$C91*Activity!$D91*Activity!H91</f>
        <v>0</v>
      </c>
      <c r="G92" s="552">
        <f>Activity!$C91*Activity!$D91*Activity!I91</f>
        <v>0</v>
      </c>
      <c r="H92" s="552">
        <f>Activity!$C91*Activity!$D91*Activity!J91</f>
        <v>0</v>
      </c>
      <c r="I92" s="552">
        <f>Activity!$C91*Activity!$D91*Activity!K91</f>
        <v>0</v>
      </c>
      <c r="J92" s="553">
        <f>Activity!$C91*Activity!$D91*Activity!L91</f>
        <v>0</v>
      </c>
      <c r="K92" s="552">
        <f>Activity!$C91*Activity!$D91*Activity!M91</f>
        <v>0</v>
      </c>
      <c r="L92" s="552">
        <f>Activity!$C91*Activity!$D91*Activity!N91</f>
        <v>0</v>
      </c>
      <c r="M92" s="550">
        <f>Activity!$C91*Activity!$D91*Activity!O91</f>
        <v>0</v>
      </c>
      <c r="N92" s="413">
        <v>0</v>
      </c>
      <c r="O92" s="552">
        <f>Activity!C91*Activity!D91</f>
        <v>0</v>
      </c>
      <c r="P92" s="559">
        <f>Activity!X91</f>
        <v>0</v>
      </c>
    </row>
    <row r="93" spans="2:16">
      <c r="B93" s="7">
        <f t="shared" si="2"/>
        <v>2079</v>
      </c>
      <c r="C93" s="551">
        <f>Activity!$C92*Activity!$D92*Activity!E92</f>
        <v>0</v>
      </c>
      <c r="D93" s="552">
        <f>Activity!$C92*Activity!$D92*Activity!F92</f>
        <v>0</v>
      </c>
      <c r="E93" s="550">
        <f>Activity!$C92*Activity!$D92*Activity!G92</f>
        <v>0</v>
      </c>
      <c r="F93" s="552">
        <f>Activity!$C92*Activity!$D92*Activity!H92</f>
        <v>0</v>
      </c>
      <c r="G93" s="552">
        <f>Activity!$C92*Activity!$D92*Activity!I92</f>
        <v>0</v>
      </c>
      <c r="H93" s="552">
        <f>Activity!$C92*Activity!$D92*Activity!J92</f>
        <v>0</v>
      </c>
      <c r="I93" s="552">
        <f>Activity!$C92*Activity!$D92*Activity!K92</f>
        <v>0</v>
      </c>
      <c r="J93" s="553">
        <f>Activity!$C92*Activity!$D92*Activity!L92</f>
        <v>0</v>
      </c>
      <c r="K93" s="552">
        <f>Activity!$C92*Activity!$D92*Activity!M92</f>
        <v>0</v>
      </c>
      <c r="L93" s="552">
        <f>Activity!$C92*Activity!$D92*Activity!N92</f>
        <v>0</v>
      </c>
      <c r="M93" s="550">
        <f>Activity!$C92*Activity!$D92*Activity!O92</f>
        <v>0</v>
      </c>
      <c r="N93" s="413">
        <v>0</v>
      </c>
      <c r="O93" s="552">
        <f>Activity!C92*Activity!D92</f>
        <v>0</v>
      </c>
      <c r="P93" s="559">
        <f>Activity!X92</f>
        <v>0</v>
      </c>
    </row>
    <row r="94" spans="2:16" ht="13.5" thickBot="1">
      <c r="B94" s="15">
        <f t="shared" si="2"/>
        <v>2080</v>
      </c>
      <c r="C94" s="554">
        <f>Activity!$C93*Activity!$D93*Activity!E93</f>
        <v>0</v>
      </c>
      <c r="D94" s="555">
        <f>Activity!$C93*Activity!$D93*Activity!F93</f>
        <v>0</v>
      </c>
      <c r="E94" s="555">
        <f>Activity!$C93*Activity!$D93*Activity!G93</f>
        <v>0</v>
      </c>
      <c r="F94" s="555">
        <f>Activity!$C93*Activity!$D93*Activity!H93</f>
        <v>0</v>
      </c>
      <c r="G94" s="555">
        <f>Activity!$C93*Activity!$D93*Activity!I93</f>
        <v>0</v>
      </c>
      <c r="H94" s="555">
        <f>Activity!$C93*Activity!$D93*Activity!J93</f>
        <v>0</v>
      </c>
      <c r="I94" s="555">
        <f>Activity!$C93*Activity!$D93*Activity!K93</f>
        <v>0</v>
      </c>
      <c r="J94" s="556">
        <f>Activity!$C93*Activity!$D93*Activity!L93</f>
        <v>0</v>
      </c>
      <c r="K94" s="555">
        <f>Activity!$C93*Activity!$D93*Activity!M93</f>
        <v>0</v>
      </c>
      <c r="L94" s="555">
        <f>Activity!$C93*Activity!$D93*Activity!N93</f>
        <v>0</v>
      </c>
      <c r="M94" s="555">
        <f>Activity!$C93*Activity!$D93*Activity!O93</f>
        <v>0</v>
      </c>
      <c r="N94" s="414">
        <v>0</v>
      </c>
      <c r="O94" s="555">
        <f>Activity!C93*Activity!D93</f>
        <v>0</v>
      </c>
      <c r="P94" s="56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3" activePane="bottomRight" state="frozen"/>
      <selection activeCell="E19" sqref="E19"/>
      <selection pane="topRight" activeCell="E19" sqref="E19"/>
      <selection pane="bottomLeft" activeCell="E19" sqref="E19"/>
      <selection pane="bottomRight" activeCell="F25" sqref="F25"/>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v>0</v>
      </c>
      <c r="D29" s="259"/>
      <c r="E29" s="340">
        <f>IF(Results!L34&lt;=0,0,C29/Results!L34)</f>
        <v>0</v>
      </c>
      <c r="F29" s="341">
        <f t="shared" si="0"/>
        <v>0</v>
      </c>
      <c r="G29" s="344"/>
    </row>
    <row r="30" spans="2:7">
      <c r="B30" s="343">
        <f t="shared" si="1"/>
        <v>2018</v>
      </c>
      <c r="C30" s="241">
        <v>0</v>
      </c>
      <c r="D30" s="259"/>
      <c r="E30" s="340">
        <f>IF(Results!L35&lt;=0,0,C30/Results!L35)</f>
        <v>0</v>
      </c>
      <c r="F30" s="341">
        <f t="shared" si="0"/>
        <v>0</v>
      </c>
      <c r="G30" s="344"/>
    </row>
    <row r="31" spans="2:7">
      <c r="B31" s="343">
        <f t="shared" si="1"/>
        <v>2019</v>
      </c>
      <c r="C31" s="241">
        <v>0</v>
      </c>
      <c r="D31" s="259"/>
      <c r="E31" s="340">
        <f>IF(Results!L36&lt;=0,0,C31/Results!L36)</f>
        <v>0</v>
      </c>
      <c r="F31" s="341">
        <f t="shared" si="0"/>
        <v>0</v>
      </c>
      <c r="G31" s="344"/>
    </row>
    <row r="32" spans="2:7">
      <c r="B32" s="343">
        <f t="shared" si="1"/>
        <v>2020</v>
      </c>
      <c r="C32" s="241">
        <v>0</v>
      </c>
      <c r="D32" s="259"/>
      <c r="E32" s="340">
        <f>IF(Results!L37&lt;=0,0,C32/Results!L37)</f>
        <v>0</v>
      </c>
      <c r="F32" s="341">
        <f t="shared" si="0"/>
        <v>0</v>
      </c>
      <c r="G32" s="344"/>
    </row>
    <row r="33" spans="2:7">
      <c r="B33" s="343">
        <f t="shared" si="1"/>
        <v>2021</v>
      </c>
      <c r="C33" s="241">
        <v>0</v>
      </c>
      <c r="D33" s="259"/>
      <c r="E33" s="340">
        <f>IF(Results!L38&lt;=0,0,C33/Results!L38)</f>
        <v>0</v>
      </c>
      <c r="F33" s="341">
        <f t="shared" si="0"/>
        <v>0</v>
      </c>
      <c r="G33" s="344"/>
    </row>
    <row r="34" spans="2:7">
      <c r="B34" s="343">
        <f t="shared" si="1"/>
        <v>2022</v>
      </c>
      <c r="C34" s="241">
        <v>0</v>
      </c>
      <c r="D34" s="259"/>
      <c r="E34" s="340">
        <f>IF(Results!L39&lt;=0,0,C34/Results!L39)</f>
        <v>0</v>
      </c>
      <c r="F34" s="341">
        <f t="shared" si="0"/>
        <v>0</v>
      </c>
      <c r="G34" s="344"/>
    </row>
    <row r="35" spans="2:7">
      <c r="B35" s="343">
        <f t="shared" si="1"/>
        <v>2023</v>
      </c>
      <c r="C35" s="241">
        <v>0</v>
      </c>
      <c r="D35" s="259"/>
      <c r="E35" s="340">
        <f>IF(Results!L40&lt;=0,0,C35/Results!L40)</f>
        <v>0</v>
      </c>
      <c r="F35" s="341">
        <f t="shared" si="0"/>
        <v>0</v>
      </c>
      <c r="G35" s="344"/>
    </row>
    <row r="36" spans="2:7">
      <c r="B36" s="343">
        <f t="shared" si="1"/>
        <v>2024</v>
      </c>
      <c r="C36" s="241">
        <v>0</v>
      </c>
      <c r="D36" s="259"/>
      <c r="E36" s="340">
        <f>IF(Results!L41&lt;=0,0,C36/Results!L41)</f>
        <v>0</v>
      </c>
      <c r="F36" s="341">
        <f t="shared" si="0"/>
        <v>0</v>
      </c>
      <c r="G36" s="344"/>
    </row>
    <row r="37" spans="2:7">
      <c r="B37" s="343">
        <f t="shared" si="1"/>
        <v>2025</v>
      </c>
      <c r="C37" s="241">
        <v>0</v>
      </c>
      <c r="D37" s="259"/>
      <c r="E37" s="340">
        <f>IF(Results!L42&lt;=0,0,C37/Results!L42)</f>
        <v>0</v>
      </c>
      <c r="F37" s="341">
        <f t="shared" si="0"/>
        <v>0</v>
      </c>
      <c r="G37" s="344"/>
    </row>
    <row r="38" spans="2:7">
      <c r="B38" s="343">
        <f t="shared" si="1"/>
        <v>2026</v>
      </c>
      <c r="C38" s="241">
        <v>0</v>
      </c>
      <c r="D38" s="259"/>
      <c r="E38" s="340">
        <f>IF(Results!L43&lt;=0,0,C38/Results!L43)</f>
        <v>0</v>
      </c>
      <c r="F38" s="341">
        <f t="shared" si="0"/>
        <v>0</v>
      </c>
      <c r="G38" s="344"/>
    </row>
    <row r="39" spans="2:7">
      <c r="B39" s="343">
        <f t="shared" si="1"/>
        <v>2027</v>
      </c>
      <c r="C39" s="241">
        <v>0</v>
      </c>
      <c r="D39" s="259"/>
      <c r="E39" s="340">
        <f>IF(Results!L44&lt;=0,0,C39/Results!L44)</f>
        <v>0</v>
      </c>
      <c r="F39" s="341">
        <f t="shared" si="0"/>
        <v>0</v>
      </c>
      <c r="G39" s="344"/>
    </row>
    <row r="40" spans="2:7">
      <c r="B40" s="343">
        <f t="shared" si="1"/>
        <v>2028</v>
      </c>
      <c r="C40" s="241">
        <v>0</v>
      </c>
      <c r="D40" s="259"/>
      <c r="E40" s="340">
        <f>IF(Results!L45&lt;=0,0,C40/Results!L45)</f>
        <v>0</v>
      </c>
      <c r="F40" s="341">
        <f t="shared" si="0"/>
        <v>0</v>
      </c>
      <c r="G40" s="344"/>
    </row>
    <row r="41" spans="2:7">
      <c r="B41" s="343">
        <f t="shared" si="1"/>
        <v>2029</v>
      </c>
      <c r="C41" s="241">
        <v>0</v>
      </c>
      <c r="D41" s="259"/>
      <c r="E41" s="340">
        <f>IF(Results!L46&lt;=0,0,C41/Results!L46)</f>
        <v>0</v>
      </c>
      <c r="F41" s="341">
        <f t="shared" si="0"/>
        <v>0</v>
      </c>
      <c r="G41" s="344"/>
    </row>
    <row r="42" spans="2:7">
      <c r="B42" s="343">
        <f t="shared" si="1"/>
        <v>2030</v>
      </c>
      <c r="C42" s="241">
        <v>0</v>
      </c>
      <c r="D42" s="259"/>
      <c r="E42" s="340">
        <f>IF(Results!L47&lt;=0,0,C42/Results!L47)</f>
        <v>0</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abSelected="1" topLeftCell="A8" zoomScaleNormal="100" workbookViewId="0">
      <selection activeCell="K18" sqref="K18"/>
    </sheetView>
  </sheetViews>
  <sheetFormatPr defaultColWidth="8.85546875" defaultRowHeight="12.75"/>
  <cols>
    <col min="1" max="1" width="8.85546875" style="604"/>
    <col min="2" max="2" width="7" style="600" customWidth="1"/>
    <col min="3" max="3" width="8.85546875" style="600"/>
    <col min="4" max="4" width="13.5703125" style="600" customWidth="1"/>
    <col min="5" max="5" width="10.140625" style="600" customWidth="1"/>
    <col min="6" max="6" width="10.7109375" style="600" customWidth="1"/>
    <col min="7" max="10" width="8.85546875" style="600"/>
    <col min="11" max="11" width="11.28515625" style="600" customWidth="1"/>
    <col min="12" max="12" width="8.85546875" style="600"/>
    <col min="13" max="13" width="12.28515625" style="600" customWidth="1"/>
    <col min="14" max="14" width="3" style="600" customWidth="1"/>
    <col min="15" max="15" width="13.7109375" style="601" customWidth="1"/>
    <col min="16" max="16" width="4.7109375" style="600" customWidth="1"/>
    <col min="17" max="17" width="2" style="603" customWidth="1"/>
    <col min="18" max="20" width="8.85546875" style="604"/>
    <col min="21" max="21" width="13" style="604" bestFit="1" customWidth="1"/>
    <col min="22" max="22" width="10.140625" style="604" bestFit="1" customWidth="1"/>
    <col min="23" max="23" width="9.140625" style="604" bestFit="1" customWidth="1"/>
    <col min="24" max="27" width="8.85546875" style="604"/>
    <col min="28" max="28" width="11.42578125" style="600" bestFit="1" customWidth="1"/>
    <col min="29" max="29" width="8.85546875" style="604"/>
    <col min="30" max="30" width="10.7109375" style="604" bestFit="1" customWidth="1"/>
    <col min="31" max="31" width="2.7109375" style="604" customWidth="1"/>
    <col min="32" max="32" width="11.7109375" style="604" bestFit="1" customWidth="1"/>
    <col min="33" max="16384" width="8.85546875" style="604"/>
  </cols>
  <sheetData>
    <row r="1" spans="1:32">
      <c r="A1" s="599"/>
      <c r="P1" s="602"/>
    </row>
    <row r="2" spans="1:32">
      <c r="A2" s="599"/>
      <c r="B2" s="587" t="s">
        <v>94</v>
      </c>
      <c r="D2" s="587"/>
      <c r="E2" s="587"/>
    </row>
    <row r="3" spans="1:32">
      <c r="A3" s="599"/>
      <c r="B3" s="587"/>
      <c r="D3" s="587"/>
      <c r="E3" s="587"/>
      <c r="I3" s="587"/>
      <c r="J3" s="588"/>
      <c r="K3" s="588"/>
      <c r="L3" s="588"/>
      <c r="M3" s="588"/>
      <c r="N3" s="588"/>
      <c r="O3" s="589"/>
      <c r="AB3" s="588"/>
    </row>
    <row r="4" spans="1:32" ht="13.5" thickBot="1">
      <c r="A4" s="599"/>
      <c r="B4" s="587" t="s">
        <v>265</v>
      </c>
      <c r="D4" s="587"/>
      <c r="E4" s="587" t="s">
        <v>276</v>
      </c>
      <c r="H4" s="587" t="s">
        <v>30</v>
      </c>
      <c r="I4" s="587"/>
      <c r="J4" s="588"/>
      <c r="K4" s="588"/>
      <c r="L4" s="588"/>
      <c r="M4" s="588"/>
      <c r="N4" s="588"/>
      <c r="O4" s="589"/>
      <c r="AB4" s="588"/>
    </row>
    <row r="5" spans="1:32" ht="13.5" thickBot="1">
      <c r="A5" s="599"/>
      <c r="B5" s="590" t="str">
        <f>city</f>
        <v>Paser</v>
      </c>
      <c r="C5" s="591"/>
      <c r="D5" s="591"/>
      <c r="E5" s="590" t="str">
        <f>province</f>
        <v>Kalimantan Timur</v>
      </c>
      <c r="F5" s="591"/>
      <c r="G5" s="591"/>
      <c r="H5" s="590" t="str">
        <f>country</f>
        <v>Indonesia</v>
      </c>
      <c r="I5" s="591"/>
      <c r="J5" s="592"/>
      <c r="K5" s="588"/>
      <c r="L5" s="588"/>
      <c r="M5" s="588"/>
      <c r="N5" s="588"/>
      <c r="O5" s="589"/>
      <c r="AB5" s="588"/>
    </row>
    <row r="6" spans="1:32">
      <c r="A6" s="599"/>
      <c r="C6" s="587"/>
      <c r="D6" s="587"/>
      <c r="E6" s="587"/>
    </row>
    <row r="7" spans="1:32">
      <c r="A7" s="599"/>
      <c r="B7" s="600" t="s">
        <v>35</v>
      </c>
      <c r="P7" s="602"/>
    </row>
    <row r="8" spans="1:32">
      <c r="A8" s="599"/>
      <c r="B8" s="600" t="s">
        <v>37</v>
      </c>
      <c r="P8" s="602"/>
    </row>
    <row r="9" spans="1:32">
      <c r="B9" s="593"/>
      <c r="P9" s="602"/>
    </row>
    <row r="10" spans="1:32">
      <c r="P10" s="605"/>
    </row>
    <row r="11" spans="1:32" ht="13.5" thickBot="1">
      <c r="A11" s="594"/>
      <c r="P11" s="594"/>
      <c r="Q11" s="606"/>
    </row>
    <row r="12" spans="1:32" ht="13.5" thickBot="1">
      <c r="A12" s="607"/>
      <c r="B12" s="608"/>
      <c r="C12" s="930" t="s">
        <v>91</v>
      </c>
      <c r="D12" s="931"/>
      <c r="E12" s="931"/>
      <c r="F12" s="931"/>
      <c r="G12" s="931"/>
      <c r="H12" s="931"/>
      <c r="I12" s="931"/>
      <c r="J12" s="931"/>
      <c r="K12" s="931"/>
      <c r="L12" s="931"/>
      <c r="M12" s="932"/>
      <c r="N12" s="595"/>
      <c r="O12" s="609"/>
      <c r="P12" s="607"/>
      <c r="Q12" s="606"/>
      <c r="S12" s="608"/>
      <c r="T12" s="930" t="s">
        <v>91</v>
      </c>
      <c r="U12" s="931"/>
      <c r="V12" s="931"/>
      <c r="W12" s="931"/>
      <c r="X12" s="931"/>
      <c r="Y12" s="931"/>
      <c r="Z12" s="931"/>
      <c r="AA12" s="931"/>
      <c r="AB12" s="931"/>
      <c r="AC12" s="931"/>
      <c r="AD12" s="932"/>
      <c r="AE12" s="595"/>
      <c r="AF12" s="610"/>
    </row>
    <row r="13" spans="1:32" ht="26.25" thickBot="1">
      <c r="A13" s="607"/>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6" t="s">
        <v>4</v>
      </c>
      <c r="P13" s="607"/>
      <c r="Q13" s="606"/>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26.25" thickBot="1">
      <c r="A14" s="607"/>
      <c r="B14" s="611"/>
      <c r="C14" s="612" t="s">
        <v>81</v>
      </c>
      <c r="D14" s="613" t="s">
        <v>87</v>
      </c>
      <c r="E14" s="613" t="s">
        <v>88</v>
      </c>
      <c r="F14" s="613" t="s">
        <v>275</v>
      </c>
      <c r="G14" s="613" t="s">
        <v>89</v>
      </c>
      <c r="H14" s="613" t="s">
        <v>82</v>
      </c>
      <c r="I14" s="614" t="s">
        <v>92</v>
      </c>
      <c r="J14" s="615" t="s">
        <v>93</v>
      </c>
      <c r="K14" s="615" t="s">
        <v>316</v>
      </c>
      <c r="L14" s="616" t="s">
        <v>194</v>
      </c>
      <c r="M14" s="615" t="s">
        <v>162</v>
      </c>
      <c r="N14" s="617"/>
      <c r="O14" s="618" t="s">
        <v>163</v>
      </c>
      <c r="P14" s="607"/>
      <c r="Q14" s="606"/>
      <c r="S14" s="611"/>
      <c r="T14" s="612" t="s">
        <v>81</v>
      </c>
      <c r="U14" s="613" t="s">
        <v>87</v>
      </c>
      <c r="V14" s="613" t="s">
        <v>88</v>
      </c>
      <c r="W14" s="613" t="s">
        <v>275</v>
      </c>
      <c r="X14" s="613" t="s">
        <v>89</v>
      </c>
      <c r="Y14" s="613" t="s">
        <v>82</v>
      </c>
      <c r="Z14" s="614" t="s">
        <v>92</v>
      </c>
      <c r="AA14" s="615" t="s">
        <v>93</v>
      </c>
      <c r="AB14" s="615" t="s">
        <v>316</v>
      </c>
      <c r="AC14" s="616" t="s">
        <v>194</v>
      </c>
      <c r="AD14" s="615" t="s">
        <v>162</v>
      </c>
      <c r="AE14" s="617"/>
      <c r="AF14" s="619" t="s">
        <v>163</v>
      </c>
    </row>
    <row r="15" spans="1:32" ht="13.5" thickBot="1">
      <c r="B15" s="620"/>
      <c r="C15" s="621" t="s">
        <v>15</v>
      </c>
      <c r="D15" s="622" t="s">
        <v>15</v>
      </c>
      <c r="E15" s="622" t="s">
        <v>15</v>
      </c>
      <c r="F15" s="622" t="s">
        <v>15</v>
      </c>
      <c r="G15" s="622" t="s">
        <v>15</v>
      </c>
      <c r="H15" s="622" t="s">
        <v>15</v>
      </c>
      <c r="I15" s="623" t="s">
        <v>15</v>
      </c>
      <c r="J15" s="623" t="s">
        <v>15</v>
      </c>
      <c r="K15" s="623" t="s">
        <v>15</v>
      </c>
      <c r="L15" s="624" t="s">
        <v>15</v>
      </c>
      <c r="M15" s="623" t="s">
        <v>15</v>
      </c>
      <c r="N15" s="617"/>
      <c r="O15" s="618" t="s">
        <v>15</v>
      </c>
      <c r="P15" s="604"/>
      <c r="Q15" s="606"/>
      <c r="S15" s="620"/>
      <c r="T15" s="621" t="s">
        <v>15</v>
      </c>
      <c r="U15" s="622" t="s">
        <v>15</v>
      </c>
      <c r="V15" s="622" t="s">
        <v>15</v>
      </c>
      <c r="W15" s="622" t="s">
        <v>15</v>
      </c>
      <c r="X15" s="622" t="s">
        <v>15</v>
      </c>
      <c r="Y15" s="622" t="s">
        <v>15</v>
      </c>
      <c r="Z15" s="623" t="s">
        <v>15</v>
      </c>
      <c r="AA15" s="623" t="s">
        <v>15</v>
      </c>
      <c r="AB15" s="623" t="s">
        <v>15</v>
      </c>
      <c r="AC15" s="624" t="s">
        <v>15</v>
      </c>
      <c r="AD15" s="623" t="s">
        <v>15</v>
      </c>
      <c r="AE15" s="617"/>
      <c r="AF15" s="619" t="s">
        <v>15</v>
      </c>
    </row>
    <row r="16" spans="1:32" ht="13.5" thickBot="1">
      <c r="B16" s="625"/>
      <c r="C16" s="626"/>
      <c r="D16" s="627"/>
      <c r="E16" s="627"/>
      <c r="F16" s="627"/>
      <c r="G16" s="627"/>
      <c r="H16" s="627"/>
      <c r="I16" s="628"/>
      <c r="J16" s="628"/>
      <c r="K16" s="629"/>
      <c r="L16" s="630"/>
      <c r="M16" s="629"/>
      <c r="N16" s="631"/>
      <c r="O16" s="632"/>
      <c r="P16" s="604"/>
      <c r="Q16" s="606"/>
      <c r="S16" s="625"/>
      <c r="T16" s="626"/>
      <c r="U16" s="627"/>
      <c r="V16" s="627"/>
      <c r="W16" s="627"/>
      <c r="X16" s="627"/>
      <c r="Y16" s="627"/>
      <c r="Z16" s="628"/>
      <c r="AA16" s="628"/>
      <c r="AB16" s="629"/>
      <c r="AC16" s="630"/>
      <c r="AD16" s="629"/>
      <c r="AE16" s="631"/>
      <c r="AF16" s="633"/>
    </row>
    <row r="17" spans="2:32">
      <c r="B17" s="596">
        <f>year</f>
        <v>2000</v>
      </c>
      <c r="C17" s="862">
        <f>IF(Select2=1,Food!$K19,"")</f>
        <v>0</v>
      </c>
      <c r="D17" s="863">
        <f>IF(Select2=1,Paper!$K19,"")</f>
        <v>0</v>
      </c>
      <c r="E17" s="863">
        <f>IF(Select2=1,Nappies!$K19,"")</f>
        <v>0</v>
      </c>
      <c r="F17" s="863">
        <f>IF(Select2=1,Garden!$K19,"")</f>
        <v>0</v>
      </c>
      <c r="G17" s="863">
        <f>IF(Select2=1,Wood!$K19,"")</f>
        <v>0</v>
      </c>
      <c r="H17" s="863">
        <f>IF(Select2=1,Textiles!$K19,"")</f>
        <v>0</v>
      </c>
      <c r="I17" s="864">
        <f>Sludge!K19</f>
        <v>0</v>
      </c>
      <c r="J17" s="865" t="str">
        <f>IF(Select2=2,MSW!$K19,"")</f>
        <v/>
      </c>
      <c r="K17" s="864">
        <f>Industry!$K19</f>
        <v>0</v>
      </c>
      <c r="L17" s="866">
        <f>SUM(C17:K17)</f>
        <v>0</v>
      </c>
      <c r="M17" s="867">
        <f>Recovery_OX!C12</f>
        <v>0</v>
      </c>
      <c r="N17" s="868"/>
      <c r="O17" s="869">
        <f>(L17-M17)*(1-Recovery_OX!F12)</f>
        <v>0</v>
      </c>
      <c r="P17" s="604"/>
      <c r="Q17" s="606"/>
      <c r="S17" s="640">
        <f>year</f>
        <v>2000</v>
      </c>
      <c r="T17" s="634">
        <f>IF(Select2=1,Food!$W19,"")</f>
        <v>0</v>
      </c>
      <c r="U17" s="635">
        <f>IF(Select2=1,Paper!$W19,"")</f>
        <v>0</v>
      </c>
      <c r="V17" s="635">
        <f>IF(Select2=1,Nappies!$W19,"")</f>
        <v>0</v>
      </c>
      <c r="W17" s="635">
        <f>IF(Select2=1,Garden!$W19,"")</f>
        <v>0</v>
      </c>
      <c r="X17" s="635">
        <f>IF(Select2=1,Wood!$W19,"")</f>
        <v>0</v>
      </c>
      <c r="Y17" s="635">
        <f>IF(Select2=1,Textiles!$W19,"")</f>
        <v>0</v>
      </c>
      <c r="Z17" s="636">
        <f>Sludge!W19</f>
        <v>0</v>
      </c>
      <c r="AA17" s="637" t="str">
        <f>IF(Select2=2,MSW!$W19,"")</f>
        <v/>
      </c>
      <c r="AB17" s="636">
        <f>Industry!$W19</f>
        <v>0</v>
      </c>
      <c r="AC17" s="638">
        <f t="shared" ref="AC17:AC48" si="0">SUM(T17:AA17)</f>
        <v>0</v>
      </c>
      <c r="AD17" s="639">
        <f>Recovery_OX!R12</f>
        <v>0</v>
      </c>
      <c r="AE17" s="605"/>
      <c r="AF17" s="641">
        <f>(AC17-AD17)*(1-Recovery_OX!U12)</f>
        <v>0</v>
      </c>
    </row>
    <row r="18" spans="2:32">
      <c r="B18" s="597">
        <f t="shared" ref="B18:B81" si="1">B17+1</f>
        <v>2001</v>
      </c>
      <c r="C18" s="870">
        <f>IF(Select2=1,Food!$K20,"")</f>
        <v>0</v>
      </c>
      <c r="D18" s="871">
        <f>IF(Select2=1,Paper!$K20,"")</f>
        <v>0</v>
      </c>
      <c r="E18" s="863">
        <f>IF(Select2=1,Nappies!$K20,"")</f>
        <v>0</v>
      </c>
      <c r="F18" s="871">
        <f>IF(Select2=1,Garden!$K20,"")</f>
        <v>0</v>
      </c>
      <c r="G18" s="863">
        <f>IF(Select2=1,Wood!$K20,"")</f>
        <v>0</v>
      </c>
      <c r="H18" s="871">
        <f>IF(Select2=1,Textiles!$K20,"")</f>
        <v>0</v>
      </c>
      <c r="I18" s="872">
        <f>Sludge!K20</f>
        <v>0</v>
      </c>
      <c r="J18" s="872" t="str">
        <f>IF(Select2=2,MSW!$K20,"")</f>
        <v/>
      </c>
      <c r="K18" s="872">
        <f>Industry!$K20</f>
        <v>0</v>
      </c>
      <c r="L18" s="873">
        <f>SUM(C18:K18)</f>
        <v>0</v>
      </c>
      <c r="M18" s="874">
        <f>Recovery_OX!C13</f>
        <v>0</v>
      </c>
      <c r="N18" s="868"/>
      <c r="O18" s="875">
        <f>(L18-M18)*(1-Recovery_OX!F13)</f>
        <v>0</v>
      </c>
      <c r="P18" s="604"/>
      <c r="Q18" s="606"/>
      <c r="S18" s="648">
        <f t="shared" ref="S18:S81" si="2">S17+1</f>
        <v>2001</v>
      </c>
      <c r="T18" s="642">
        <f>IF(Select2=1,Food!$W20,"")</f>
        <v>0</v>
      </c>
      <c r="U18" s="643">
        <f>IF(Select2=1,Paper!$W20,"")</f>
        <v>0</v>
      </c>
      <c r="V18" s="635">
        <f>IF(Select2=1,Nappies!$W20,"")</f>
        <v>0</v>
      </c>
      <c r="W18" s="643">
        <f>IF(Select2=1,Garden!$W20,"")</f>
        <v>0</v>
      </c>
      <c r="X18" s="635">
        <f>IF(Select2=1,Wood!$W20,"")</f>
        <v>0</v>
      </c>
      <c r="Y18" s="643">
        <f>IF(Select2=1,Textiles!$W20,"")</f>
        <v>0</v>
      </c>
      <c r="Z18" s="637">
        <f>Sludge!W20</f>
        <v>0</v>
      </c>
      <c r="AA18" s="637" t="str">
        <f>IF(Select2=2,MSW!$W20,"")</f>
        <v/>
      </c>
      <c r="AB18" s="644">
        <f>Industry!$W20</f>
        <v>0</v>
      </c>
      <c r="AC18" s="645">
        <f t="shared" si="0"/>
        <v>0</v>
      </c>
      <c r="AD18" s="646">
        <f>Recovery_OX!R13</f>
        <v>0</v>
      </c>
      <c r="AE18" s="605"/>
      <c r="AF18" s="649">
        <f>(AC18-AD18)*(1-Recovery_OX!U13)</f>
        <v>0</v>
      </c>
    </row>
    <row r="19" spans="2:32">
      <c r="B19" s="597">
        <f t="shared" si="1"/>
        <v>2002</v>
      </c>
      <c r="C19" s="870">
        <f>IF(Select2=1,Food!$K21,"")</f>
        <v>0</v>
      </c>
      <c r="D19" s="871">
        <f>IF(Select2=1,Paper!$K21,"")</f>
        <v>0</v>
      </c>
      <c r="E19" s="863">
        <f>IF(Select2=1,Nappies!$K21,"")</f>
        <v>0</v>
      </c>
      <c r="F19" s="871">
        <f>IF(Select2=1,Garden!$K21,"")</f>
        <v>0</v>
      </c>
      <c r="G19" s="863">
        <f>IF(Select2=1,Wood!$K21,"")</f>
        <v>0</v>
      </c>
      <c r="H19" s="871">
        <f>IF(Select2=1,Textiles!$K21,"")</f>
        <v>0</v>
      </c>
      <c r="I19" s="872">
        <f>Sludge!K21</f>
        <v>0</v>
      </c>
      <c r="J19" s="872" t="str">
        <f>IF(Select2=2,MSW!$K21,"")</f>
        <v/>
      </c>
      <c r="K19" s="872">
        <f>Industry!$K21</f>
        <v>0</v>
      </c>
      <c r="L19" s="873">
        <f t="shared" ref="L19:L82" si="3">SUM(C19:K19)</f>
        <v>0</v>
      </c>
      <c r="M19" s="874">
        <f>Recovery_OX!C14</f>
        <v>0</v>
      </c>
      <c r="N19" s="868"/>
      <c r="O19" s="875">
        <f>(L19-M19)*(1-Recovery_OX!F14)</f>
        <v>0</v>
      </c>
      <c r="P19" s="604"/>
      <c r="Q19" s="606"/>
      <c r="S19" s="648">
        <f t="shared" si="2"/>
        <v>2002</v>
      </c>
      <c r="T19" s="642">
        <f>IF(Select2=1,Food!$W21,"")</f>
        <v>0</v>
      </c>
      <c r="U19" s="643">
        <f>IF(Select2=1,Paper!$W21,"")</f>
        <v>0</v>
      </c>
      <c r="V19" s="635">
        <f>IF(Select2=1,Nappies!$W21,"")</f>
        <v>0</v>
      </c>
      <c r="W19" s="643">
        <f>IF(Select2=1,Garden!$W21,"")</f>
        <v>0</v>
      </c>
      <c r="X19" s="635">
        <f>IF(Select2=1,Wood!$W21,"")</f>
        <v>0</v>
      </c>
      <c r="Y19" s="643">
        <f>IF(Select2=1,Textiles!$W21,"")</f>
        <v>0</v>
      </c>
      <c r="Z19" s="637">
        <f>Sludge!W21</f>
        <v>0</v>
      </c>
      <c r="AA19" s="637" t="str">
        <f>IF(Select2=2,MSW!$W21,"")</f>
        <v/>
      </c>
      <c r="AB19" s="644">
        <f>Industry!$W21</f>
        <v>0</v>
      </c>
      <c r="AC19" s="645">
        <f t="shared" si="0"/>
        <v>0</v>
      </c>
      <c r="AD19" s="646">
        <f>Recovery_OX!R14</f>
        <v>0</v>
      </c>
      <c r="AE19" s="605"/>
      <c r="AF19" s="649">
        <f>(AC19-AD19)*(1-Recovery_OX!U14)</f>
        <v>0</v>
      </c>
    </row>
    <row r="20" spans="2:32">
      <c r="B20" s="597">
        <f t="shared" si="1"/>
        <v>2003</v>
      </c>
      <c r="C20" s="870">
        <f>IF(Select2=1,Food!$K22,"")</f>
        <v>0</v>
      </c>
      <c r="D20" s="871">
        <f>IF(Select2=1,Paper!$K22,"")</f>
        <v>0</v>
      </c>
      <c r="E20" s="863">
        <f>IF(Select2=1,Nappies!$K22,"")</f>
        <v>0</v>
      </c>
      <c r="F20" s="871">
        <f>IF(Select2=1,Garden!$K22,"")</f>
        <v>0</v>
      </c>
      <c r="G20" s="863">
        <f>IF(Select2=1,Wood!$K22,"")</f>
        <v>0</v>
      </c>
      <c r="H20" s="871">
        <f>IF(Select2=1,Textiles!$K22,"")</f>
        <v>0</v>
      </c>
      <c r="I20" s="872">
        <f>Sludge!K22</f>
        <v>0</v>
      </c>
      <c r="J20" s="872" t="str">
        <f>IF(Select2=2,MSW!$K22,"")</f>
        <v/>
      </c>
      <c r="K20" s="872">
        <f>Industry!$K22</f>
        <v>0</v>
      </c>
      <c r="L20" s="873">
        <f>SUM(C20:K20)</f>
        <v>0</v>
      </c>
      <c r="M20" s="874">
        <f>Recovery_OX!C15</f>
        <v>0</v>
      </c>
      <c r="N20" s="868"/>
      <c r="O20" s="875">
        <f>(L20-M20)*(1-Recovery_OX!F15)</f>
        <v>0</v>
      </c>
      <c r="P20" s="604"/>
      <c r="Q20" s="606"/>
      <c r="S20" s="648">
        <f t="shared" si="2"/>
        <v>2003</v>
      </c>
      <c r="T20" s="642">
        <f>IF(Select2=1,Food!$W22,"")</f>
        <v>0</v>
      </c>
      <c r="U20" s="643">
        <f>IF(Select2=1,Paper!$W22,"")</f>
        <v>0</v>
      </c>
      <c r="V20" s="635">
        <f>IF(Select2=1,Nappies!$W22,"")</f>
        <v>0</v>
      </c>
      <c r="W20" s="643">
        <f>IF(Select2=1,Garden!$W22,"")</f>
        <v>0</v>
      </c>
      <c r="X20" s="635">
        <f>IF(Select2=1,Wood!$W22,"")</f>
        <v>0</v>
      </c>
      <c r="Y20" s="643">
        <f>IF(Select2=1,Textiles!$W22,"")</f>
        <v>0</v>
      </c>
      <c r="Z20" s="637">
        <f>Sludge!W22</f>
        <v>0</v>
      </c>
      <c r="AA20" s="637" t="str">
        <f>IF(Select2=2,MSW!$W22,"")</f>
        <v/>
      </c>
      <c r="AB20" s="644">
        <f>Industry!$W22</f>
        <v>0</v>
      </c>
      <c r="AC20" s="645">
        <f t="shared" si="0"/>
        <v>0</v>
      </c>
      <c r="AD20" s="646">
        <f>Recovery_OX!R15</f>
        <v>0</v>
      </c>
      <c r="AE20" s="605"/>
      <c r="AF20" s="649">
        <f>(AC20-AD20)*(1-Recovery_OX!U15)</f>
        <v>0</v>
      </c>
    </row>
    <row r="21" spans="2:32">
      <c r="B21" s="597">
        <f t="shared" si="1"/>
        <v>2004</v>
      </c>
      <c r="C21" s="870">
        <f>IF(Select2=1,Food!$K23,"")</f>
        <v>0</v>
      </c>
      <c r="D21" s="871">
        <f>IF(Select2=1,Paper!$K23,"")</f>
        <v>0</v>
      </c>
      <c r="E21" s="863">
        <f>IF(Select2=1,Nappies!$K23,"")</f>
        <v>0</v>
      </c>
      <c r="F21" s="871">
        <f>IF(Select2=1,Garden!$K23,"")</f>
        <v>0</v>
      </c>
      <c r="G21" s="863">
        <f>IF(Select2=1,Wood!$K23,"")</f>
        <v>0</v>
      </c>
      <c r="H21" s="871">
        <f>IF(Select2=1,Textiles!$K23,"")</f>
        <v>0</v>
      </c>
      <c r="I21" s="872">
        <f>Sludge!K23</f>
        <v>0</v>
      </c>
      <c r="J21" s="872" t="str">
        <f>IF(Select2=2,MSW!$K23,"")</f>
        <v/>
      </c>
      <c r="K21" s="872">
        <f>Industry!$K23</f>
        <v>0</v>
      </c>
      <c r="L21" s="873">
        <f t="shared" si="3"/>
        <v>0</v>
      </c>
      <c r="M21" s="874">
        <f>Recovery_OX!C16</f>
        <v>0</v>
      </c>
      <c r="N21" s="868"/>
      <c r="O21" s="875">
        <f>(L21-M21)*(1-Recovery_OX!F16)</f>
        <v>0</v>
      </c>
      <c r="P21" s="604"/>
      <c r="Q21" s="606"/>
      <c r="S21" s="648">
        <f t="shared" si="2"/>
        <v>2004</v>
      </c>
      <c r="T21" s="642">
        <f>IF(Select2=1,Food!$W23,"")</f>
        <v>0</v>
      </c>
      <c r="U21" s="643">
        <f>IF(Select2=1,Paper!$W23,"")</f>
        <v>0</v>
      </c>
      <c r="V21" s="635">
        <f>IF(Select2=1,Nappies!$W23,"")</f>
        <v>0</v>
      </c>
      <c r="W21" s="643">
        <f>IF(Select2=1,Garden!$W23,"")</f>
        <v>0</v>
      </c>
      <c r="X21" s="635">
        <f>IF(Select2=1,Wood!$W23,"")</f>
        <v>0</v>
      </c>
      <c r="Y21" s="643">
        <f>IF(Select2=1,Textiles!$W23,"")</f>
        <v>0</v>
      </c>
      <c r="Z21" s="637">
        <f>Sludge!W23</f>
        <v>0</v>
      </c>
      <c r="AA21" s="637" t="str">
        <f>IF(Select2=2,MSW!$W23,"")</f>
        <v/>
      </c>
      <c r="AB21" s="644">
        <f>Industry!$W23</f>
        <v>0</v>
      </c>
      <c r="AC21" s="645">
        <f t="shared" si="0"/>
        <v>0</v>
      </c>
      <c r="AD21" s="646">
        <f>Recovery_OX!R16</f>
        <v>0</v>
      </c>
      <c r="AE21" s="605"/>
      <c r="AF21" s="649">
        <f>(AC21-AD21)*(1-Recovery_OX!U16)</f>
        <v>0</v>
      </c>
    </row>
    <row r="22" spans="2:32">
      <c r="B22" s="597">
        <f t="shared" si="1"/>
        <v>2005</v>
      </c>
      <c r="C22" s="870">
        <f>IF(Select2=1,Food!$K24,"")</f>
        <v>0</v>
      </c>
      <c r="D22" s="871">
        <f>IF(Select2=1,Paper!$K24,"")</f>
        <v>0</v>
      </c>
      <c r="E22" s="863">
        <f>IF(Select2=1,Nappies!$K24,"")</f>
        <v>0</v>
      </c>
      <c r="F22" s="871">
        <f>IF(Select2=1,Garden!$K24,"")</f>
        <v>0</v>
      </c>
      <c r="G22" s="863">
        <f>IF(Select2=1,Wood!$K24,"")</f>
        <v>0</v>
      </c>
      <c r="H22" s="871">
        <f>IF(Select2=1,Textiles!$K24,"")</f>
        <v>0</v>
      </c>
      <c r="I22" s="872">
        <f>Sludge!K24</f>
        <v>0</v>
      </c>
      <c r="J22" s="872" t="str">
        <f>IF(Select2=2,MSW!$K24,"")</f>
        <v/>
      </c>
      <c r="K22" s="872">
        <f>Industry!$K24</f>
        <v>0</v>
      </c>
      <c r="L22" s="873">
        <f t="shared" si="3"/>
        <v>0</v>
      </c>
      <c r="M22" s="874">
        <f>Recovery_OX!C17</f>
        <v>0</v>
      </c>
      <c r="N22" s="868"/>
      <c r="O22" s="875">
        <f>(L22-M22)*(1-Recovery_OX!F17)</f>
        <v>0</v>
      </c>
      <c r="P22" s="604"/>
      <c r="Q22" s="606"/>
      <c r="S22" s="648">
        <f t="shared" si="2"/>
        <v>2005</v>
      </c>
      <c r="T22" s="642">
        <f>IF(Select2=1,Food!$W24,"")</f>
        <v>0</v>
      </c>
      <c r="U22" s="643">
        <f>IF(Select2=1,Paper!$W24,"")</f>
        <v>0</v>
      </c>
      <c r="V22" s="635">
        <f>IF(Select2=1,Nappies!$W24,"")</f>
        <v>0</v>
      </c>
      <c r="W22" s="643">
        <f>IF(Select2=1,Garden!$W24,"")</f>
        <v>0</v>
      </c>
      <c r="X22" s="635">
        <f>IF(Select2=1,Wood!$W24,"")</f>
        <v>0</v>
      </c>
      <c r="Y22" s="643">
        <f>IF(Select2=1,Textiles!$W24,"")</f>
        <v>0</v>
      </c>
      <c r="Z22" s="637">
        <f>Sludge!W24</f>
        <v>0</v>
      </c>
      <c r="AA22" s="637" t="str">
        <f>IF(Select2=2,MSW!$W24,"")</f>
        <v/>
      </c>
      <c r="AB22" s="644">
        <f>Industry!$W24</f>
        <v>0</v>
      </c>
      <c r="AC22" s="645">
        <f t="shared" si="0"/>
        <v>0</v>
      </c>
      <c r="AD22" s="646">
        <f>Recovery_OX!R17</f>
        <v>0</v>
      </c>
      <c r="AE22" s="605"/>
      <c r="AF22" s="649">
        <f>(AC22-AD22)*(1-Recovery_OX!U17)</f>
        <v>0</v>
      </c>
    </row>
    <row r="23" spans="2:32">
      <c r="B23" s="597">
        <f t="shared" si="1"/>
        <v>2006</v>
      </c>
      <c r="C23" s="870">
        <f>IF(Select2=1,Food!$K25,"")</f>
        <v>0</v>
      </c>
      <c r="D23" s="871">
        <f>IF(Select2=1,Paper!$K25,"")</f>
        <v>0</v>
      </c>
      <c r="E23" s="863">
        <f>IF(Select2=1,Nappies!$K25,"")</f>
        <v>0</v>
      </c>
      <c r="F23" s="871">
        <f>IF(Select2=1,Garden!$K25,"")</f>
        <v>0</v>
      </c>
      <c r="G23" s="863">
        <f>IF(Select2=1,Wood!$K25,"")</f>
        <v>0</v>
      </c>
      <c r="H23" s="871">
        <f>IF(Select2=1,Textiles!$K25,"")</f>
        <v>0</v>
      </c>
      <c r="I23" s="872">
        <f>Sludge!K25</f>
        <v>0</v>
      </c>
      <c r="J23" s="872" t="str">
        <f>IF(Select2=2,MSW!$K25,"")</f>
        <v/>
      </c>
      <c r="K23" s="872">
        <f>Industry!$K25</f>
        <v>0</v>
      </c>
      <c r="L23" s="873">
        <f t="shared" si="3"/>
        <v>0</v>
      </c>
      <c r="M23" s="874">
        <f>Recovery_OX!C18</f>
        <v>0</v>
      </c>
      <c r="N23" s="868"/>
      <c r="O23" s="875">
        <f>(L23-M23)*(1-Recovery_OX!F18)</f>
        <v>0</v>
      </c>
      <c r="P23" s="604"/>
      <c r="Q23" s="606"/>
      <c r="S23" s="648">
        <f t="shared" si="2"/>
        <v>2006</v>
      </c>
      <c r="T23" s="642">
        <f>IF(Select2=1,Food!$W25,"")</f>
        <v>0</v>
      </c>
      <c r="U23" s="643">
        <f>IF(Select2=1,Paper!$W25,"")</f>
        <v>0</v>
      </c>
      <c r="V23" s="635">
        <f>IF(Select2=1,Nappies!$W25,"")</f>
        <v>0</v>
      </c>
      <c r="W23" s="643">
        <f>IF(Select2=1,Garden!$W25,"")</f>
        <v>0</v>
      </c>
      <c r="X23" s="635">
        <f>IF(Select2=1,Wood!$W25,"")</f>
        <v>0</v>
      </c>
      <c r="Y23" s="643">
        <f>IF(Select2=1,Textiles!$W25,"")</f>
        <v>0</v>
      </c>
      <c r="Z23" s="637">
        <f>Sludge!W25</f>
        <v>0</v>
      </c>
      <c r="AA23" s="637" t="str">
        <f>IF(Select2=2,MSW!$W25,"")</f>
        <v/>
      </c>
      <c r="AB23" s="644">
        <f>Industry!$W25</f>
        <v>0</v>
      </c>
      <c r="AC23" s="645">
        <f t="shared" si="0"/>
        <v>0</v>
      </c>
      <c r="AD23" s="646">
        <f>Recovery_OX!R18</f>
        <v>0</v>
      </c>
      <c r="AE23" s="605"/>
      <c r="AF23" s="649">
        <f>(AC23-AD23)*(1-Recovery_OX!U18)</f>
        <v>0</v>
      </c>
    </row>
    <row r="24" spans="2:32">
      <c r="B24" s="597">
        <f t="shared" si="1"/>
        <v>2007</v>
      </c>
      <c r="C24" s="870">
        <f>IF(Select2=1,Food!$K26,"")</f>
        <v>0</v>
      </c>
      <c r="D24" s="871">
        <f>IF(Select2=1,Paper!$K26,"")</f>
        <v>0</v>
      </c>
      <c r="E24" s="863">
        <f>IF(Select2=1,Nappies!$K26,"")</f>
        <v>0</v>
      </c>
      <c r="F24" s="871">
        <f>IF(Select2=1,Garden!$K26,"")</f>
        <v>0</v>
      </c>
      <c r="G24" s="863">
        <f>IF(Select2=1,Wood!$K26,"")</f>
        <v>0</v>
      </c>
      <c r="H24" s="871">
        <f>IF(Select2=1,Textiles!$K26,"")</f>
        <v>0</v>
      </c>
      <c r="I24" s="872">
        <f>Sludge!K26</f>
        <v>0</v>
      </c>
      <c r="J24" s="872" t="str">
        <f>IF(Select2=2,MSW!$K26,"")</f>
        <v/>
      </c>
      <c r="K24" s="872">
        <f>Industry!$K26</f>
        <v>0</v>
      </c>
      <c r="L24" s="873">
        <f t="shared" si="3"/>
        <v>0</v>
      </c>
      <c r="M24" s="874">
        <f>Recovery_OX!C19</f>
        <v>0</v>
      </c>
      <c r="N24" s="868"/>
      <c r="O24" s="875">
        <f>(L24-M24)*(1-Recovery_OX!F19)</f>
        <v>0</v>
      </c>
      <c r="P24" s="604"/>
      <c r="Q24" s="606"/>
      <c r="S24" s="648">
        <f t="shared" si="2"/>
        <v>2007</v>
      </c>
      <c r="T24" s="642">
        <f>IF(Select2=1,Food!$W26,"")</f>
        <v>0</v>
      </c>
      <c r="U24" s="643">
        <f>IF(Select2=1,Paper!$W26,"")</f>
        <v>0</v>
      </c>
      <c r="V24" s="635">
        <f>IF(Select2=1,Nappies!$W26,"")</f>
        <v>0</v>
      </c>
      <c r="W24" s="643">
        <f>IF(Select2=1,Garden!$W26,"")</f>
        <v>0</v>
      </c>
      <c r="X24" s="635">
        <f>IF(Select2=1,Wood!$W26,"")</f>
        <v>0</v>
      </c>
      <c r="Y24" s="643">
        <f>IF(Select2=1,Textiles!$W26,"")</f>
        <v>0</v>
      </c>
      <c r="Z24" s="637">
        <f>Sludge!W26</f>
        <v>0</v>
      </c>
      <c r="AA24" s="637" t="str">
        <f>IF(Select2=2,MSW!$W26,"")</f>
        <v/>
      </c>
      <c r="AB24" s="644">
        <f>Industry!$W26</f>
        <v>0</v>
      </c>
      <c r="AC24" s="645">
        <f t="shared" si="0"/>
        <v>0</v>
      </c>
      <c r="AD24" s="646">
        <f>Recovery_OX!R19</f>
        <v>0</v>
      </c>
      <c r="AE24" s="605"/>
      <c r="AF24" s="649">
        <f>(AC24-AD24)*(1-Recovery_OX!U19)</f>
        <v>0</v>
      </c>
    </row>
    <row r="25" spans="2:32">
      <c r="B25" s="597">
        <f t="shared" si="1"/>
        <v>2008</v>
      </c>
      <c r="C25" s="870">
        <f>IF(Select2=1,Food!$K27,"")</f>
        <v>0</v>
      </c>
      <c r="D25" s="871">
        <f>IF(Select2=1,Paper!$K27,"")</f>
        <v>0</v>
      </c>
      <c r="E25" s="863">
        <f>IF(Select2=1,Nappies!$K27,"")</f>
        <v>0</v>
      </c>
      <c r="F25" s="871">
        <f>IF(Select2=1,Garden!$K27,"")</f>
        <v>0</v>
      </c>
      <c r="G25" s="863">
        <f>IF(Select2=1,Wood!$K27,"")</f>
        <v>0</v>
      </c>
      <c r="H25" s="871">
        <f>IF(Select2=1,Textiles!$K27,"")</f>
        <v>0</v>
      </c>
      <c r="I25" s="872">
        <f>Sludge!K27</f>
        <v>0</v>
      </c>
      <c r="J25" s="872" t="str">
        <f>IF(Select2=2,MSW!$K27,"")</f>
        <v/>
      </c>
      <c r="K25" s="872">
        <f>Industry!$K27</f>
        <v>0</v>
      </c>
      <c r="L25" s="873">
        <f t="shared" si="3"/>
        <v>0</v>
      </c>
      <c r="M25" s="874">
        <f>Recovery_OX!C20</f>
        <v>0</v>
      </c>
      <c r="N25" s="868"/>
      <c r="O25" s="875">
        <f>(L25-M25)*(1-Recovery_OX!F20)</f>
        <v>0</v>
      </c>
      <c r="P25" s="604"/>
      <c r="Q25" s="606"/>
      <c r="S25" s="648">
        <f t="shared" si="2"/>
        <v>2008</v>
      </c>
      <c r="T25" s="642">
        <f>IF(Select2=1,Food!$W27,"")</f>
        <v>0</v>
      </c>
      <c r="U25" s="643">
        <f>IF(Select2=1,Paper!$W27,"")</f>
        <v>0</v>
      </c>
      <c r="V25" s="635">
        <f>IF(Select2=1,Nappies!$W27,"")</f>
        <v>0</v>
      </c>
      <c r="W25" s="643">
        <f>IF(Select2=1,Garden!$W27,"")</f>
        <v>0</v>
      </c>
      <c r="X25" s="635">
        <f>IF(Select2=1,Wood!$W27,"")</f>
        <v>0</v>
      </c>
      <c r="Y25" s="643">
        <f>IF(Select2=1,Textiles!$W27,"")</f>
        <v>0</v>
      </c>
      <c r="Z25" s="637">
        <f>Sludge!W27</f>
        <v>0</v>
      </c>
      <c r="AA25" s="637" t="str">
        <f>IF(Select2=2,MSW!$W27,"")</f>
        <v/>
      </c>
      <c r="AB25" s="644">
        <f>Industry!$W27</f>
        <v>0</v>
      </c>
      <c r="AC25" s="645">
        <f t="shared" si="0"/>
        <v>0</v>
      </c>
      <c r="AD25" s="646">
        <f>Recovery_OX!R20</f>
        <v>0</v>
      </c>
      <c r="AE25" s="605"/>
      <c r="AF25" s="649">
        <f>(AC25-AD25)*(1-Recovery_OX!U20)</f>
        <v>0</v>
      </c>
    </row>
    <row r="26" spans="2:32">
      <c r="B26" s="597">
        <f t="shared" si="1"/>
        <v>2009</v>
      </c>
      <c r="C26" s="870">
        <f>IF(Select2=1,Food!$K28,"")</f>
        <v>0</v>
      </c>
      <c r="D26" s="871">
        <f>IF(Select2=1,Paper!$K28,"")</f>
        <v>0</v>
      </c>
      <c r="E26" s="863">
        <f>IF(Select2=1,Nappies!$K28,"")</f>
        <v>0</v>
      </c>
      <c r="F26" s="871">
        <f>IF(Select2=1,Garden!$K28,"")</f>
        <v>0</v>
      </c>
      <c r="G26" s="863">
        <f>IF(Select2=1,Wood!$K28,"")</f>
        <v>0</v>
      </c>
      <c r="H26" s="871">
        <f>IF(Select2=1,Textiles!$K28,"")</f>
        <v>0</v>
      </c>
      <c r="I26" s="872">
        <f>Sludge!K28</f>
        <v>0</v>
      </c>
      <c r="J26" s="872" t="str">
        <f>IF(Select2=2,MSW!$K28,"")</f>
        <v/>
      </c>
      <c r="K26" s="872">
        <f>Industry!$K28</f>
        <v>0</v>
      </c>
      <c r="L26" s="873">
        <f t="shared" si="3"/>
        <v>0</v>
      </c>
      <c r="M26" s="874">
        <f>Recovery_OX!C21</f>
        <v>0</v>
      </c>
      <c r="N26" s="868"/>
      <c r="O26" s="875">
        <f>(L26-M26)*(1-Recovery_OX!F21)</f>
        <v>0</v>
      </c>
      <c r="P26" s="604"/>
      <c r="Q26" s="606"/>
      <c r="S26" s="648">
        <f t="shared" si="2"/>
        <v>2009</v>
      </c>
      <c r="T26" s="642">
        <f>IF(Select2=1,Food!$W28,"")</f>
        <v>0</v>
      </c>
      <c r="U26" s="643">
        <f>IF(Select2=1,Paper!$W28,"")</f>
        <v>0</v>
      </c>
      <c r="V26" s="635">
        <f>IF(Select2=1,Nappies!$W28,"")</f>
        <v>0</v>
      </c>
      <c r="W26" s="643">
        <f>IF(Select2=1,Garden!$W28,"")</f>
        <v>0</v>
      </c>
      <c r="X26" s="635">
        <f>IF(Select2=1,Wood!$W28,"")</f>
        <v>0</v>
      </c>
      <c r="Y26" s="643">
        <f>IF(Select2=1,Textiles!$W28,"")</f>
        <v>0</v>
      </c>
      <c r="Z26" s="637">
        <f>Sludge!W28</f>
        <v>0</v>
      </c>
      <c r="AA26" s="637" t="str">
        <f>IF(Select2=2,MSW!$W28,"")</f>
        <v/>
      </c>
      <c r="AB26" s="644">
        <f>Industry!$W28</f>
        <v>0</v>
      </c>
      <c r="AC26" s="645">
        <f t="shared" si="0"/>
        <v>0</v>
      </c>
      <c r="AD26" s="646">
        <f>Recovery_OX!R21</f>
        <v>0</v>
      </c>
      <c r="AE26" s="605"/>
      <c r="AF26" s="649">
        <f>(AC26-AD26)*(1-Recovery_OX!U21)</f>
        <v>0</v>
      </c>
    </row>
    <row r="27" spans="2:32">
      <c r="B27" s="597">
        <f t="shared" si="1"/>
        <v>2010</v>
      </c>
      <c r="C27" s="870">
        <f>IF(Select2=1,Food!$K29,"")</f>
        <v>0</v>
      </c>
      <c r="D27" s="871">
        <f>IF(Select2=1,Paper!$K29,"")</f>
        <v>0</v>
      </c>
      <c r="E27" s="863">
        <f>IF(Select2=1,Nappies!$K29,"")</f>
        <v>0</v>
      </c>
      <c r="F27" s="871">
        <f>IF(Select2=1,Garden!$K29,"")</f>
        <v>0</v>
      </c>
      <c r="G27" s="863">
        <f>IF(Select2=1,Wood!$K29,"")</f>
        <v>0</v>
      </c>
      <c r="H27" s="871">
        <f>IF(Select2=1,Textiles!$K29,"")</f>
        <v>0</v>
      </c>
      <c r="I27" s="872">
        <f>Sludge!K29</f>
        <v>0</v>
      </c>
      <c r="J27" s="872" t="str">
        <f>IF(Select2=2,MSW!$K29,"")</f>
        <v/>
      </c>
      <c r="K27" s="872">
        <f>Industry!$K29</f>
        <v>0</v>
      </c>
      <c r="L27" s="873">
        <f t="shared" si="3"/>
        <v>0</v>
      </c>
      <c r="M27" s="874">
        <f>Recovery_OX!C22</f>
        <v>0</v>
      </c>
      <c r="N27" s="868"/>
      <c r="O27" s="875">
        <f>(L27-M27)*(1-Recovery_OX!F22)</f>
        <v>0</v>
      </c>
      <c r="P27" s="604"/>
      <c r="Q27" s="606"/>
      <c r="S27" s="648">
        <f t="shared" si="2"/>
        <v>2010</v>
      </c>
      <c r="T27" s="642">
        <f>IF(Select2=1,Food!$W29,"")</f>
        <v>0</v>
      </c>
      <c r="U27" s="643">
        <f>IF(Select2=1,Paper!$W29,"")</f>
        <v>0</v>
      </c>
      <c r="V27" s="635">
        <f>IF(Select2=1,Nappies!$W29,"")</f>
        <v>0</v>
      </c>
      <c r="W27" s="643">
        <f>IF(Select2=1,Garden!$W29,"")</f>
        <v>0</v>
      </c>
      <c r="X27" s="635">
        <f>IF(Select2=1,Wood!$W29,"")</f>
        <v>0</v>
      </c>
      <c r="Y27" s="643">
        <f>IF(Select2=1,Textiles!$W29,"")</f>
        <v>0</v>
      </c>
      <c r="Z27" s="637">
        <f>Sludge!W29</f>
        <v>0</v>
      </c>
      <c r="AA27" s="637" t="str">
        <f>IF(Select2=2,MSW!$W29,"")</f>
        <v/>
      </c>
      <c r="AB27" s="644">
        <f>Industry!$W29</f>
        <v>0</v>
      </c>
      <c r="AC27" s="645">
        <f t="shared" si="0"/>
        <v>0</v>
      </c>
      <c r="AD27" s="646">
        <f>Recovery_OX!R22</f>
        <v>0</v>
      </c>
      <c r="AE27" s="605"/>
      <c r="AF27" s="649">
        <f>(AC27-AD27)*(1-Recovery_OX!U22)</f>
        <v>0</v>
      </c>
    </row>
    <row r="28" spans="2:32">
      <c r="B28" s="597">
        <f t="shared" si="1"/>
        <v>2011</v>
      </c>
      <c r="C28" s="870">
        <f>IF(Select2=1,Food!$K30,"")</f>
        <v>0</v>
      </c>
      <c r="D28" s="871">
        <f>IF(Select2=1,Paper!$K30,"")</f>
        <v>0</v>
      </c>
      <c r="E28" s="863">
        <f>IF(Select2=1,Nappies!$K30,"")</f>
        <v>0</v>
      </c>
      <c r="F28" s="871">
        <f>IF(Select2=1,Garden!$K30,"")</f>
        <v>0</v>
      </c>
      <c r="G28" s="863">
        <f>IF(Select2=1,Wood!$K30,"")</f>
        <v>0</v>
      </c>
      <c r="H28" s="871">
        <f>IF(Select2=1,Textiles!$K30,"")</f>
        <v>0</v>
      </c>
      <c r="I28" s="872">
        <f>Sludge!K30</f>
        <v>0</v>
      </c>
      <c r="J28" s="872" t="str">
        <f>IF(Select2=2,MSW!$K30,"")</f>
        <v/>
      </c>
      <c r="K28" s="872">
        <f>Industry!$K30</f>
        <v>0</v>
      </c>
      <c r="L28" s="873">
        <f t="shared" si="3"/>
        <v>0</v>
      </c>
      <c r="M28" s="874">
        <f>Recovery_OX!C23</f>
        <v>0</v>
      </c>
      <c r="N28" s="868"/>
      <c r="O28" s="875">
        <f>(L28-M28)*(1-Recovery_OX!F23)</f>
        <v>0</v>
      </c>
      <c r="P28" s="604"/>
      <c r="Q28" s="606"/>
      <c r="S28" s="648">
        <f t="shared" si="2"/>
        <v>2011</v>
      </c>
      <c r="T28" s="642">
        <f>IF(Select2=1,Food!$W30,"")</f>
        <v>0</v>
      </c>
      <c r="U28" s="643">
        <f>IF(Select2=1,Paper!$W30,"")</f>
        <v>0</v>
      </c>
      <c r="V28" s="635">
        <f>IF(Select2=1,Nappies!$W30,"")</f>
        <v>0</v>
      </c>
      <c r="W28" s="643">
        <f>IF(Select2=1,Garden!$W30,"")</f>
        <v>0</v>
      </c>
      <c r="X28" s="635">
        <f>IF(Select2=1,Wood!$W30,"")</f>
        <v>0</v>
      </c>
      <c r="Y28" s="643">
        <f>IF(Select2=1,Textiles!$W30,"")</f>
        <v>0</v>
      </c>
      <c r="Z28" s="637">
        <f>Sludge!W30</f>
        <v>0</v>
      </c>
      <c r="AA28" s="637" t="str">
        <f>IF(Select2=2,MSW!$W30,"")</f>
        <v/>
      </c>
      <c r="AB28" s="644">
        <f>Industry!$W30</f>
        <v>0</v>
      </c>
      <c r="AC28" s="645">
        <f t="shared" si="0"/>
        <v>0</v>
      </c>
      <c r="AD28" s="646">
        <f>Recovery_OX!R23</f>
        <v>0</v>
      </c>
      <c r="AE28" s="605"/>
      <c r="AF28" s="649">
        <f>(AC28-AD28)*(1-Recovery_OX!U23)</f>
        <v>0</v>
      </c>
    </row>
    <row r="29" spans="2:32">
      <c r="B29" s="597">
        <f t="shared" si="1"/>
        <v>2012</v>
      </c>
      <c r="C29" s="870">
        <f>IF(Select2=1,Food!$K31,"")</f>
        <v>0</v>
      </c>
      <c r="D29" s="871">
        <f>IF(Select2=1,Paper!$K31,"")</f>
        <v>0</v>
      </c>
      <c r="E29" s="863">
        <f>IF(Select2=1,Nappies!$K31,"")</f>
        <v>0</v>
      </c>
      <c r="F29" s="871">
        <f>IF(Select2=1,Garden!$K31,"")</f>
        <v>0</v>
      </c>
      <c r="G29" s="863">
        <f>IF(Select2=1,Wood!$K31,"")</f>
        <v>0</v>
      </c>
      <c r="H29" s="871">
        <f>IF(Select2=1,Textiles!$K31,"")</f>
        <v>0</v>
      </c>
      <c r="I29" s="872">
        <f>Sludge!K31</f>
        <v>0</v>
      </c>
      <c r="J29" s="872" t="str">
        <f>IF(Select2=2,MSW!$K31,"")</f>
        <v/>
      </c>
      <c r="K29" s="872">
        <f>Industry!$K31</f>
        <v>0</v>
      </c>
      <c r="L29" s="873">
        <f>SUM(C29:K29)</f>
        <v>0</v>
      </c>
      <c r="M29" s="874">
        <f>Recovery_OX!C24</f>
        <v>0</v>
      </c>
      <c r="N29" s="868"/>
      <c r="O29" s="875">
        <f>(L29-M29)*(1-Recovery_OX!F24)</f>
        <v>0</v>
      </c>
      <c r="P29" s="604"/>
      <c r="Q29" s="606"/>
      <c r="S29" s="648">
        <f t="shared" si="2"/>
        <v>2012</v>
      </c>
      <c r="T29" s="642">
        <f>IF(Select2=1,Food!$W31,"")</f>
        <v>0</v>
      </c>
      <c r="U29" s="643">
        <f>IF(Select2=1,Paper!$W31,"")</f>
        <v>0</v>
      </c>
      <c r="V29" s="635">
        <f>IF(Select2=1,Nappies!$W31,"")</f>
        <v>0</v>
      </c>
      <c r="W29" s="643">
        <f>IF(Select2=1,Garden!$W31,"")</f>
        <v>0</v>
      </c>
      <c r="X29" s="635">
        <f>IF(Select2=1,Wood!$W31,"")</f>
        <v>0</v>
      </c>
      <c r="Y29" s="643">
        <f>IF(Select2=1,Textiles!$W31,"")</f>
        <v>0</v>
      </c>
      <c r="Z29" s="637">
        <f>Sludge!W31</f>
        <v>0</v>
      </c>
      <c r="AA29" s="637" t="str">
        <f>IF(Select2=2,MSW!$W31,"")</f>
        <v/>
      </c>
      <c r="AB29" s="644">
        <f>Industry!$W31</f>
        <v>0</v>
      </c>
      <c r="AC29" s="645">
        <f t="shared" si="0"/>
        <v>0</v>
      </c>
      <c r="AD29" s="646">
        <f>Recovery_OX!R24</f>
        <v>0</v>
      </c>
      <c r="AE29" s="605"/>
      <c r="AF29" s="649">
        <f>(AC29-AD29)*(1-Recovery_OX!U24)</f>
        <v>0</v>
      </c>
    </row>
    <row r="30" spans="2:32">
      <c r="B30" s="597">
        <f t="shared" si="1"/>
        <v>2013</v>
      </c>
      <c r="C30" s="870">
        <f>IF(Select2=1,Food!$K32,"")</f>
        <v>0</v>
      </c>
      <c r="D30" s="871">
        <f>IF(Select2=1,Paper!$K32,"")</f>
        <v>0</v>
      </c>
      <c r="E30" s="863">
        <f>IF(Select2=1,Nappies!$K32,"")</f>
        <v>0</v>
      </c>
      <c r="F30" s="871">
        <f>IF(Select2=1,Garden!$K32,"")</f>
        <v>0</v>
      </c>
      <c r="G30" s="863">
        <f>IF(Select2=1,Wood!$K32,"")</f>
        <v>0</v>
      </c>
      <c r="H30" s="871">
        <f>IF(Select2=1,Textiles!$K32,"")</f>
        <v>0</v>
      </c>
      <c r="I30" s="872">
        <f>Sludge!K32</f>
        <v>0</v>
      </c>
      <c r="J30" s="872" t="str">
        <f>IF(Select2=2,MSW!$K32,"")</f>
        <v/>
      </c>
      <c r="K30" s="872">
        <f>Industry!$K32</f>
        <v>0</v>
      </c>
      <c r="L30" s="873">
        <f t="shared" si="3"/>
        <v>0</v>
      </c>
      <c r="M30" s="874">
        <f>Recovery_OX!C25</f>
        <v>0</v>
      </c>
      <c r="N30" s="868"/>
      <c r="O30" s="875">
        <f>(L30-M30)*(1-Recovery_OX!F25)</f>
        <v>0</v>
      </c>
      <c r="P30" s="604"/>
      <c r="Q30" s="606"/>
      <c r="S30" s="648">
        <f t="shared" si="2"/>
        <v>2013</v>
      </c>
      <c r="T30" s="642">
        <f>IF(Select2=1,Food!$W32,"")</f>
        <v>0</v>
      </c>
      <c r="U30" s="643">
        <f>IF(Select2=1,Paper!$W32,"")</f>
        <v>0</v>
      </c>
      <c r="V30" s="635">
        <f>IF(Select2=1,Nappies!$W32,"")</f>
        <v>0</v>
      </c>
      <c r="W30" s="643">
        <f>IF(Select2=1,Garden!$W32,"")</f>
        <v>0</v>
      </c>
      <c r="X30" s="635">
        <f>IF(Select2=1,Wood!$W32,"")</f>
        <v>0</v>
      </c>
      <c r="Y30" s="643">
        <f>IF(Select2=1,Textiles!$W32,"")</f>
        <v>0</v>
      </c>
      <c r="Z30" s="637">
        <f>Sludge!W32</f>
        <v>0</v>
      </c>
      <c r="AA30" s="637" t="str">
        <f>IF(Select2=2,MSW!$W32,"")</f>
        <v/>
      </c>
      <c r="AB30" s="644">
        <f>Industry!$W32</f>
        <v>0</v>
      </c>
      <c r="AC30" s="645">
        <f t="shared" si="0"/>
        <v>0</v>
      </c>
      <c r="AD30" s="646">
        <f>Recovery_OX!R25</f>
        <v>0</v>
      </c>
      <c r="AE30" s="605"/>
      <c r="AF30" s="649">
        <f>(AC30-AD30)*(1-Recovery_OX!U25)</f>
        <v>0</v>
      </c>
    </row>
    <row r="31" spans="2:32">
      <c r="B31" s="597">
        <f t="shared" si="1"/>
        <v>2014</v>
      </c>
      <c r="C31" s="870">
        <f>IF(Select2=1,Food!$K33,"")</f>
        <v>0</v>
      </c>
      <c r="D31" s="871">
        <f>IF(Select2=1,Paper!$K33,"")</f>
        <v>0</v>
      </c>
      <c r="E31" s="863">
        <f>IF(Select2=1,Nappies!$K33,"")</f>
        <v>0</v>
      </c>
      <c r="F31" s="871">
        <f>IF(Select2=1,Garden!$K33,"")</f>
        <v>0</v>
      </c>
      <c r="G31" s="863">
        <f>IF(Select2=1,Wood!$K33,"")</f>
        <v>0</v>
      </c>
      <c r="H31" s="871">
        <f>IF(Select2=1,Textiles!$K33,"")</f>
        <v>0</v>
      </c>
      <c r="I31" s="872">
        <f>Sludge!K33</f>
        <v>0</v>
      </c>
      <c r="J31" s="872" t="str">
        <f>IF(Select2=2,MSW!$K33,"")</f>
        <v/>
      </c>
      <c r="K31" s="872">
        <f>Industry!$K33</f>
        <v>0</v>
      </c>
      <c r="L31" s="873">
        <f t="shared" si="3"/>
        <v>0</v>
      </c>
      <c r="M31" s="874">
        <f>Recovery_OX!C26</f>
        <v>0</v>
      </c>
      <c r="N31" s="868"/>
      <c r="O31" s="875">
        <f>(L31-M31)*(1-Recovery_OX!F26)</f>
        <v>0</v>
      </c>
      <c r="P31" s="604"/>
      <c r="Q31" s="606"/>
      <c r="S31" s="648">
        <f t="shared" si="2"/>
        <v>2014</v>
      </c>
      <c r="T31" s="642">
        <f>IF(Select2=1,Food!$W33,"")</f>
        <v>0</v>
      </c>
      <c r="U31" s="643">
        <f>IF(Select2=1,Paper!$W33,"")</f>
        <v>0</v>
      </c>
      <c r="V31" s="635">
        <f>IF(Select2=1,Nappies!$W33,"")</f>
        <v>0</v>
      </c>
      <c r="W31" s="643">
        <f>IF(Select2=1,Garden!$W33,"")</f>
        <v>0</v>
      </c>
      <c r="X31" s="635">
        <f>IF(Select2=1,Wood!$W33,"")</f>
        <v>0</v>
      </c>
      <c r="Y31" s="643">
        <f>IF(Select2=1,Textiles!$W33,"")</f>
        <v>0</v>
      </c>
      <c r="Z31" s="637">
        <f>Sludge!W33</f>
        <v>0</v>
      </c>
      <c r="AA31" s="637" t="str">
        <f>IF(Select2=2,MSW!$W33,"")</f>
        <v/>
      </c>
      <c r="AB31" s="644">
        <f>Industry!$W33</f>
        <v>0</v>
      </c>
      <c r="AC31" s="645">
        <f t="shared" si="0"/>
        <v>0</v>
      </c>
      <c r="AD31" s="646">
        <f>Recovery_OX!R26</f>
        <v>0</v>
      </c>
      <c r="AE31" s="605"/>
      <c r="AF31" s="649">
        <f>(AC31-AD31)*(1-Recovery_OX!U26)</f>
        <v>0</v>
      </c>
    </row>
    <row r="32" spans="2:32">
      <c r="B32" s="597">
        <f t="shared" si="1"/>
        <v>2015</v>
      </c>
      <c r="C32" s="870">
        <f>IF(Select2=1,Food!$K34,"")</f>
        <v>0</v>
      </c>
      <c r="D32" s="871">
        <f>IF(Select2=1,Paper!$K34,"")</f>
        <v>0</v>
      </c>
      <c r="E32" s="863">
        <f>IF(Select2=1,Nappies!$K34,"")</f>
        <v>0</v>
      </c>
      <c r="F32" s="871">
        <f>IF(Select2=1,Garden!$K34,"")</f>
        <v>0</v>
      </c>
      <c r="G32" s="863">
        <f>IF(Select2=1,Wood!$K34,"")</f>
        <v>0</v>
      </c>
      <c r="H32" s="871">
        <f>IF(Select2=1,Textiles!$K34,"")</f>
        <v>0</v>
      </c>
      <c r="I32" s="872">
        <f>Sludge!K34</f>
        <v>0</v>
      </c>
      <c r="J32" s="872" t="str">
        <f>IF(Select2=2,MSW!$K34,"")</f>
        <v/>
      </c>
      <c r="K32" s="872">
        <f>Industry!$K34</f>
        <v>0</v>
      </c>
      <c r="L32" s="873">
        <f t="shared" si="3"/>
        <v>0</v>
      </c>
      <c r="M32" s="874">
        <f>Recovery_OX!C27</f>
        <v>0</v>
      </c>
      <c r="N32" s="868"/>
      <c r="O32" s="875">
        <f>(L32-M32)*(1-Recovery_OX!F27)</f>
        <v>0</v>
      </c>
      <c r="P32" s="604"/>
      <c r="Q32" s="606"/>
      <c r="S32" s="648">
        <f t="shared" si="2"/>
        <v>2015</v>
      </c>
      <c r="T32" s="642">
        <f>IF(Select2=1,Food!$W34,"")</f>
        <v>0</v>
      </c>
      <c r="U32" s="643">
        <f>IF(Select2=1,Paper!$W34,"")</f>
        <v>0</v>
      </c>
      <c r="V32" s="635">
        <f>IF(Select2=1,Nappies!$W34,"")</f>
        <v>0</v>
      </c>
      <c r="W32" s="643">
        <f>IF(Select2=1,Garden!$W34,"")</f>
        <v>0</v>
      </c>
      <c r="X32" s="635">
        <f>IF(Select2=1,Wood!$W34,"")</f>
        <v>0</v>
      </c>
      <c r="Y32" s="643">
        <f>IF(Select2=1,Textiles!$W34,"")</f>
        <v>0</v>
      </c>
      <c r="Z32" s="637">
        <f>Sludge!W34</f>
        <v>0</v>
      </c>
      <c r="AA32" s="637" t="str">
        <f>IF(Select2=2,MSW!$W34,"")</f>
        <v/>
      </c>
      <c r="AB32" s="644">
        <f>Industry!$W34</f>
        <v>0</v>
      </c>
      <c r="AC32" s="645">
        <f t="shared" si="0"/>
        <v>0</v>
      </c>
      <c r="AD32" s="646">
        <f>Recovery_OX!R27</f>
        <v>0</v>
      </c>
      <c r="AE32" s="605"/>
      <c r="AF32" s="649">
        <f>(AC32-AD32)*(1-Recovery_OX!U27)</f>
        <v>0</v>
      </c>
    </row>
    <row r="33" spans="2:32">
      <c r="B33" s="597">
        <f t="shared" si="1"/>
        <v>2016</v>
      </c>
      <c r="C33" s="870">
        <f>IF(Select2=1,Food!$K35,"")</f>
        <v>0</v>
      </c>
      <c r="D33" s="871">
        <f>IF(Select2=1,Paper!$K35,"")</f>
        <v>0</v>
      </c>
      <c r="E33" s="863">
        <f>IF(Select2=1,Nappies!$K35,"")</f>
        <v>0</v>
      </c>
      <c r="F33" s="871">
        <f>IF(Select2=1,Garden!$K35,"")</f>
        <v>0</v>
      </c>
      <c r="G33" s="863">
        <f>IF(Select2=1,Wood!$K35,"")</f>
        <v>0</v>
      </c>
      <c r="H33" s="871">
        <f>IF(Select2=1,Textiles!$K35,"")</f>
        <v>0</v>
      </c>
      <c r="I33" s="872">
        <f>Sludge!K35</f>
        <v>0</v>
      </c>
      <c r="J33" s="872" t="str">
        <f>IF(Select2=2,MSW!$K35,"")</f>
        <v/>
      </c>
      <c r="K33" s="872">
        <f>Industry!$K35</f>
        <v>0</v>
      </c>
      <c r="L33" s="873">
        <f t="shared" si="3"/>
        <v>0</v>
      </c>
      <c r="M33" s="874">
        <f>Recovery_OX!C28</f>
        <v>0</v>
      </c>
      <c r="N33" s="868"/>
      <c r="O33" s="875">
        <f>(L33-M33)*(1-Recovery_OX!F28)</f>
        <v>0</v>
      </c>
      <c r="P33" s="604"/>
      <c r="Q33" s="606"/>
      <c r="S33" s="648">
        <f t="shared" si="2"/>
        <v>2016</v>
      </c>
      <c r="T33" s="642">
        <f>IF(Select2=1,Food!$W35,"")</f>
        <v>0</v>
      </c>
      <c r="U33" s="643">
        <f>IF(Select2=1,Paper!$W35,"")</f>
        <v>0</v>
      </c>
      <c r="V33" s="635">
        <f>IF(Select2=1,Nappies!$W35,"")</f>
        <v>0</v>
      </c>
      <c r="W33" s="643">
        <f>IF(Select2=1,Garden!$W35,"")</f>
        <v>0</v>
      </c>
      <c r="X33" s="635">
        <f>IF(Select2=1,Wood!$W35,"")</f>
        <v>0</v>
      </c>
      <c r="Y33" s="643">
        <f>IF(Select2=1,Textiles!$W35,"")</f>
        <v>0</v>
      </c>
      <c r="Z33" s="637">
        <f>Sludge!W35</f>
        <v>0</v>
      </c>
      <c r="AA33" s="637" t="str">
        <f>IF(Select2=2,MSW!$W35,"")</f>
        <v/>
      </c>
      <c r="AB33" s="644">
        <f>Industry!$W35</f>
        <v>0</v>
      </c>
      <c r="AC33" s="645">
        <f t="shared" si="0"/>
        <v>0</v>
      </c>
      <c r="AD33" s="646">
        <f>Recovery_OX!R28</f>
        <v>0</v>
      </c>
      <c r="AE33" s="605"/>
      <c r="AF33" s="649">
        <f>(AC33-AD33)*(1-Recovery_OX!U28)</f>
        <v>0</v>
      </c>
    </row>
    <row r="34" spans="2:32">
      <c r="B34" s="597">
        <f t="shared" si="1"/>
        <v>2017</v>
      </c>
      <c r="C34" s="870">
        <f>IF(Select2=1,Food!$K36,"")</f>
        <v>0</v>
      </c>
      <c r="D34" s="871">
        <f>IF(Select2=1,Paper!$K36,"")</f>
        <v>0</v>
      </c>
      <c r="E34" s="863">
        <f>IF(Select2=1,Nappies!$K36,"")</f>
        <v>0</v>
      </c>
      <c r="F34" s="871">
        <f>IF(Select2=1,Garden!$K36,"")</f>
        <v>0</v>
      </c>
      <c r="G34" s="863">
        <f>IF(Select2=1,Wood!$K36,"")</f>
        <v>0</v>
      </c>
      <c r="H34" s="871">
        <f>IF(Select2=1,Textiles!$K36,"")</f>
        <v>0</v>
      </c>
      <c r="I34" s="872">
        <f>Sludge!K36</f>
        <v>0</v>
      </c>
      <c r="J34" s="872" t="str">
        <f>IF(Select2=2,MSW!$K36,"")</f>
        <v/>
      </c>
      <c r="K34" s="872">
        <f>Industry!$K36</f>
        <v>0</v>
      </c>
      <c r="L34" s="873">
        <f t="shared" si="3"/>
        <v>0</v>
      </c>
      <c r="M34" s="874">
        <f>Recovery_OX!C29</f>
        <v>0</v>
      </c>
      <c r="N34" s="868"/>
      <c r="O34" s="875">
        <f>(L34-M34)*(1-Recovery_OX!F29)</f>
        <v>0</v>
      </c>
      <c r="P34" s="604"/>
      <c r="Q34" s="606"/>
      <c r="S34" s="648">
        <f t="shared" si="2"/>
        <v>2017</v>
      </c>
      <c r="T34" s="642">
        <f>IF(Select2=1,Food!$W36,"")</f>
        <v>0</v>
      </c>
      <c r="U34" s="643">
        <f>IF(Select2=1,Paper!$W36,"")</f>
        <v>0</v>
      </c>
      <c r="V34" s="635">
        <f>IF(Select2=1,Nappies!$W36,"")</f>
        <v>0</v>
      </c>
      <c r="W34" s="643">
        <f>IF(Select2=1,Garden!$W36,"")</f>
        <v>0</v>
      </c>
      <c r="X34" s="635">
        <f>IF(Select2=1,Wood!$W36,"")</f>
        <v>0</v>
      </c>
      <c r="Y34" s="643">
        <f>IF(Select2=1,Textiles!$W36,"")</f>
        <v>0</v>
      </c>
      <c r="Z34" s="637">
        <f>Sludge!W36</f>
        <v>0</v>
      </c>
      <c r="AA34" s="637" t="str">
        <f>IF(Select2=2,MSW!$W36,"")</f>
        <v/>
      </c>
      <c r="AB34" s="644">
        <f>Industry!$W36</f>
        <v>0</v>
      </c>
      <c r="AC34" s="645">
        <f t="shared" si="0"/>
        <v>0</v>
      </c>
      <c r="AD34" s="646">
        <f>Recovery_OX!R29</f>
        <v>0</v>
      </c>
      <c r="AE34" s="605"/>
      <c r="AF34" s="649">
        <f>(AC34-AD34)*(1-Recovery_OX!U29)</f>
        <v>0</v>
      </c>
    </row>
    <row r="35" spans="2:32">
      <c r="B35" s="597">
        <f t="shared" si="1"/>
        <v>2018</v>
      </c>
      <c r="C35" s="870">
        <f>IF(Select2=1,Food!$K37,"")</f>
        <v>7.1185041984504942E-3</v>
      </c>
      <c r="D35" s="871">
        <f>IF(Select2=1,Paper!$K37,"")</f>
        <v>3.7381162285268278E-4</v>
      </c>
      <c r="E35" s="863">
        <f>IF(Select2=1,Nappies!$K37,"")</f>
        <v>1.1787499954437541E-3</v>
      </c>
      <c r="F35" s="871">
        <f>IF(Select2=1,Garden!$K37,"")</f>
        <v>0</v>
      </c>
      <c r="G35" s="863">
        <f>IF(Select2=1,Wood!$K37,"")</f>
        <v>0</v>
      </c>
      <c r="H35" s="871">
        <f>IF(Select2=1,Textiles!$K37,"")</f>
        <v>8.8504553700105451E-5</v>
      </c>
      <c r="I35" s="872">
        <f>Sludge!K37</f>
        <v>0</v>
      </c>
      <c r="J35" s="872" t="str">
        <f>IF(Select2=2,MSW!$K37,"")</f>
        <v/>
      </c>
      <c r="K35" s="872">
        <f>Industry!$K37</f>
        <v>0</v>
      </c>
      <c r="L35" s="873">
        <f t="shared" si="3"/>
        <v>8.7595703704470371E-3</v>
      </c>
      <c r="M35" s="874">
        <f>Recovery_OX!C30</f>
        <v>0</v>
      </c>
      <c r="N35" s="868"/>
      <c r="O35" s="875">
        <f>(L35-M35)*(1-Recovery_OX!F30)</f>
        <v>8.7595703704470371E-3</v>
      </c>
      <c r="P35" s="604"/>
      <c r="Q35" s="606"/>
      <c r="S35" s="648">
        <f t="shared" si="2"/>
        <v>2018</v>
      </c>
      <c r="T35" s="642">
        <f>IF(Select2=1,Food!$W37,"")</f>
        <v>4.7626031657786536E-3</v>
      </c>
      <c r="U35" s="643">
        <f>IF(Select2=1,Paper!$W37,"")</f>
        <v>7.7233806374521236E-4</v>
      </c>
      <c r="V35" s="635">
        <f>IF(Select2=1,Nappies!$W37,"")</f>
        <v>0</v>
      </c>
      <c r="W35" s="643">
        <f>IF(Select2=1,Garden!$W37,"")</f>
        <v>0</v>
      </c>
      <c r="X35" s="635">
        <f>IF(Select2=1,Wood!$W37,"")</f>
        <v>3.2416419761549292E-4</v>
      </c>
      <c r="Y35" s="643">
        <f>IF(Select2=1,Textiles!$W37,"")</f>
        <v>9.6991291726142965E-5</v>
      </c>
      <c r="Z35" s="637">
        <f>Sludge!W37</f>
        <v>0</v>
      </c>
      <c r="AA35" s="637" t="str">
        <f>IF(Select2=2,MSW!$W37,"")</f>
        <v/>
      </c>
      <c r="AB35" s="644">
        <f>Industry!$W37</f>
        <v>0</v>
      </c>
      <c r="AC35" s="645">
        <f t="shared" si="0"/>
        <v>5.9560967188655011E-3</v>
      </c>
      <c r="AD35" s="646">
        <f>Recovery_OX!R30</f>
        <v>0</v>
      </c>
      <c r="AE35" s="605"/>
      <c r="AF35" s="649">
        <f>(AC35-AD35)*(1-Recovery_OX!U30)</f>
        <v>5.9560967188655011E-3</v>
      </c>
    </row>
    <row r="36" spans="2:32">
      <c r="B36" s="597">
        <f t="shared" si="1"/>
        <v>2019</v>
      </c>
      <c r="C36" s="870">
        <f>IF(Select2=1,Food!$K38,"")</f>
        <v>1.2635956842768945E-2</v>
      </c>
      <c r="D36" s="871">
        <f>IF(Select2=1,Paper!$K38,"")</f>
        <v>7.6151398528266254E-4</v>
      </c>
      <c r="E36" s="863">
        <f>IF(Select2=1,Nappies!$K38,"")</f>
        <v>2.2967127121046945E-3</v>
      </c>
      <c r="F36" s="871">
        <f>IF(Select2=1,Garden!$K38,"")</f>
        <v>0</v>
      </c>
      <c r="G36" s="863">
        <f>IF(Select2=1,Wood!$K38,"")</f>
        <v>0</v>
      </c>
      <c r="H36" s="871">
        <f>IF(Select2=1,Textiles!$K38,"")</f>
        <v>1.8029791286182584E-4</v>
      </c>
      <c r="I36" s="872">
        <f>Sludge!K38</f>
        <v>0</v>
      </c>
      <c r="J36" s="872" t="str">
        <f>IF(Select2=2,MSW!$K38,"")</f>
        <v/>
      </c>
      <c r="K36" s="872">
        <f>Industry!$K38</f>
        <v>0</v>
      </c>
      <c r="L36" s="873">
        <f t="shared" si="3"/>
        <v>1.5874481453018129E-2</v>
      </c>
      <c r="M36" s="874">
        <f>Recovery_OX!C31</f>
        <v>0</v>
      </c>
      <c r="N36" s="868"/>
      <c r="O36" s="875">
        <f>(L36-M36)*(1-Recovery_OX!F31)</f>
        <v>1.5874481453018129E-2</v>
      </c>
      <c r="P36" s="604"/>
      <c r="Q36" s="606"/>
      <c r="S36" s="648">
        <f t="shared" si="2"/>
        <v>2019</v>
      </c>
      <c r="T36" s="642">
        <f>IF(Select2=1,Food!$W38,"")</f>
        <v>8.4540300018525489E-3</v>
      </c>
      <c r="U36" s="643">
        <f>IF(Select2=1,Paper!$W38,"")</f>
        <v>1.5733760026501297E-3</v>
      </c>
      <c r="V36" s="635">
        <f>IF(Select2=1,Nappies!$W38,"")</f>
        <v>0</v>
      </c>
      <c r="W36" s="643">
        <f>IF(Select2=1,Garden!$W38,"")</f>
        <v>0</v>
      </c>
      <c r="X36" s="635">
        <f>IF(Select2=1,Wood!$W38,"")</f>
        <v>6.7114026029427385E-4</v>
      </c>
      <c r="Y36" s="643">
        <f>IF(Select2=1,Textiles!$W38,"")</f>
        <v>1.9758675382117901E-4</v>
      </c>
      <c r="Z36" s="637">
        <f>Sludge!W38</f>
        <v>0</v>
      </c>
      <c r="AA36" s="637" t="str">
        <f>IF(Select2=2,MSW!$W38,"")</f>
        <v/>
      </c>
      <c r="AB36" s="644">
        <f>Industry!$W38</f>
        <v>0</v>
      </c>
      <c r="AC36" s="645">
        <f t="shared" si="0"/>
        <v>1.0896133018618132E-2</v>
      </c>
      <c r="AD36" s="646">
        <f>Recovery_OX!R31</f>
        <v>0</v>
      </c>
      <c r="AE36" s="605"/>
      <c r="AF36" s="649">
        <f>(AC36-AD36)*(1-Recovery_OX!U31)</f>
        <v>1.0896133018618132E-2</v>
      </c>
    </row>
    <row r="37" spans="2:32">
      <c r="B37" s="597">
        <f t="shared" si="1"/>
        <v>2020</v>
      </c>
      <c r="C37" s="870">
        <f>IF(Select2=1,Food!$K39,"")</f>
        <v>1.715114140775963E-2</v>
      </c>
      <c r="D37" s="871">
        <f>IF(Select2=1,Paper!$K39,"")</f>
        <v>1.1658937017693318E-3</v>
      </c>
      <c r="E37" s="863">
        <f>IF(Select2=1,Nappies!$K39,"")</f>
        <v>3.3751397330537359E-3</v>
      </c>
      <c r="F37" s="871">
        <f>IF(Select2=1,Garden!$K39,"")</f>
        <v>0</v>
      </c>
      <c r="G37" s="863">
        <f>IF(Select2=1,Wood!$K39,"")</f>
        <v>0</v>
      </c>
      <c r="H37" s="871">
        <f>IF(Select2=1,Textiles!$K39,"")</f>
        <v>2.7603984314185956E-4</v>
      </c>
      <c r="I37" s="872">
        <f>Sludge!K39</f>
        <v>0</v>
      </c>
      <c r="J37" s="872" t="str">
        <f>IF(Select2=2,MSW!$K39,"")</f>
        <v/>
      </c>
      <c r="K37" s="872">
        <f>Industry!$K39</f>
        <v>0</v>
      </c>
      <c r="L37" s="873">
        <f t="shared" si="3"/>
        <v>2.1968214685724557E-2</v>
      </c>
      <c r="M37" s="874">
        <f>Recovery_OX!C32</f>
        <v>0</v>
      </c>
      <c r="N37" s="868"/>
      <c r="O37" s="875">
        <f>(L37-M37)*(1-Recovery_OX!F32)</f>
        <v>2.1968214685724557E-2</v>
      </c>
      <c r="P37" s="604"/>
      <c r="Q37" s="606"/>
      <c r="S37" s="648">
        <f t="shared" si="2"/>
        <v>2020</v>
      </c>
      <c r="T37" s="642">
        <f>IF(Select2=1,Food!$W39,"")</f>
        <v>1.1474893894576024E-2</v>
      </c>
      <c r="U37" s="643">
        <f>IF(Select2=1,Paper!$W39,"")</f>
        <v>2.4088712846473794E-3</v>
      </c>
      <c r="V37" s="635">
        <f>IF(Select2=1,Nappies!$W39,"")</f>
        <v>0</v>
      </c>
      <c r="W37" s="643">
        <f>IF(Select2=1,Garden!$W39,"")</f>
        <v>0</v>
      </c>
      <c r="X37" s="635">
        <f>IF(Select2=1,Wood!$W39,"")</f>
        <v>1.0433744706488629E-3</v>
      </c>
      <c r="Y37" s="643">
        <f>IF(Select2=1,Textiles!$W39,"")</f>
        <v>3.0250941714176385E-4</v>
      </c>
      <c r="Z37" s="637">
        <f>Sludge!W39</f>
        <v>0</v>
      </c>
      <c r="AA37" s="637" t="str">
        <f>IF(Select2=2,MSW!$W39,"")</f>
        <v/>
      </c>
      <c r="AB37" s="644">
        <f>Industry!$W39</f>
        <v>0</v>
      </c>
      <c r="AC37" s="645">
        <f t="shared" si="0"/>
        <v>1.5229649067014029E-2</v>
      </c>
      <c r="AD37" s="646">
        <f>Recovery_OX!R32</f>
        <v>0</v>
      </c>
      <c r="AE37" s="605"/>
      <c r="AF37" s="649">
        <f>(AC37-AD37)*(1-Recovery_OX!U32)</f>
        <v>1.5229649067014029E-2</v>
      </c>
    </row>
    <row r="38" spans="2:32">
      <c r="B38" s="597">
        <f t="shared" si="1"/>
        <v>2021</v>
      </c>
      <c r="C38" s="870">
        <f>IF(Select2=1,Food!$K40,"")</f>
        <v>2.1071818751744562E-2</v>
      </c>
      <c r="D38" s="871">
        <f>IF(Select2=1,Paper!$K40,"")</f>
        <v>1.5898842506118296E-3</v>
      </c>
      <c r="E38" s="863">
        <f>IF(Select2=1,Nappies!$K40,"")</f>
        <v>4.4330174433312667E-3</v>
      </c>
      <c r="F38" s="871">
        <f>IF(Select2=1,Garden!$K40,"")</f>
        <v>0</v>
      </c>
      <c r="G38" s="863">
        <f>IF(Select2=1,Wood!$K40,"")</f>
        <v>0</v>
      </c>
      <c r="H38" s="871">
        <f>IF(Select2=1,Textiles!$K40,"")</f>
        <v>3.7642488203391269E-4</v>
      </c>
      <c r="I38" s="872">
        <f>Sludge!K40</f>
        <v>0</v>
      </c>
      <c r="J38" s="872" t="str">
        <f>IF(Select2=2,MSW!$K40,"")</f>
        <v/>
      </c>
      <c r="K38" s="872">
        <f>Industry!$K40</f>
        <v>0</v>
      </c>
      <c r="L38" s="873">
        <f t="shared" si="3"/>
        <v>2.7471145327721568E-2</v>
      </c>
      <c r="M38" s="874">
        <f>Recovery_OX!C33</f>
        <v>0</v>
      </c>
      <c r="N38" s="868"/>
      <c r="O38" s="875">
        <f>(L38-M38)*(1-Recovery_OX!F33)</f>
        <v>2.7471145327721568E-2</v>
      </c>
      <c r="P38" s="604"/>
      <c r="Q38" s="606"/>
      <c r="S38" s="648">
        <f t="shared" si="2"/>
        <v>2021</v>
      </c>
      <c r="T38" s="642">
        <f>IF(Select2=1,Food!$W40,"")</f>
        <v>1.4098005409284943E-2</v>
      </c>
      <c r="U38" s="643">
        <f>IF(Select2=1,Paper!$W40,"")</f>
        <v>3.2848848153136977E-3</v>
      </c>
      <c r="V38" s="635">
        <f>IF(Select2=1,Nappies!$W40,"")</f>
        <v>0</v>
      </c>
      <c r="W38" s="643">
        <f>IF(Select2=1,Garden!$W40,"")</f>
        <v>0</v>
      </c>
      <c r="X38" s="635">
        <f>IF(Select2=1,Wood!$W40,"")</f>
        <v>1.443519701877899E-3</v>
      </c>
      <c r="Y38" s="643">
        <f>IF(Select2=1,Textiles!$W40,"")</f>
        <v>4.1252041866730144E-4</v>
      </c>
      <c r="Z38" s="637">
        <f>Sludge!W40</f>
        <v>0</v>
      </c>
      <c r="AA38" s="637" t="str">
        <f>IF(Select2=2,MSW!$W40,"")</f>
        <v/>
      </c>
      <c r="AB38" s="644">
        <f>Industry!$W40</f>
        <v>0</v>
      </c>
      <c r="AC38" s="645">
        <f t="shared" si="0"/>
        <v>1.9238930345143842E-2</v>
      </c>
      <c r="AD38" s="646">
        <f>Recovery_OX!R33</f>
        <v>0</v>
      </c>
      <c r="AE38" s="605"/>
      <c r="AF38" s="649">
        <f>(AC38-AD38)*(1-Recovery_OX!U33)</f>
        <v>1.9238930345143842E-2</v>
      </c>
    </row>
    <row r="39" spans="2:32">
      <c r="B39" s="597">
        <f t="shared" si="1"/>
        <v>2022</v>
      </c>
      <c r="C39" s="870">
        <f>IF(Select2=1,Food!$K41,"")</f>
        <v>2.4678257464053013E-2</v>
      </c>
      <c r="D39" s="871">
        <f>IF(Select2=1,Paper!$K41,"")</f>
        <v>2.0365851380978748E-3</v>
      </c>
      <c r="E39" s="863">
        <f>IF(Select2=1,Nappies!$K41,"")</f>
        <v>5.4875129000395784E-3</v>
      </c>
      <c r="F39" s="871">
        <f>IF(Select2=1,Garden!$K41,"")</f>
        <v>0</v>
      </c>
      <c r="G39" s="863">
        <f>IF(Select2=1,Wood!$K41,"")</f>
        <v>0</v>
      </c>
      <c r="H39" s="871">
        <f>IF(Select2=1,Textiles!$K41,"")</f>
        <v>4.8218687622416279E-4</v>
      </c>
      <c r="I39" s="872">
        <f>Sludge!K41</f>
        <v>0</v>
      </c>
      <c r="J39" s="872" t="str">
        <f>IF(Select2=2,MSW!$K41,"")</f>
        <v/>
      </c>
      <c r="K39" s="872">
        <f>Industry!$K41</f>
        <v>0</v>
      </c>
      <c r="L39" s="873">
        <f t="shared" si="3"/>
        <v>3.268454237841463E-2</v>
      </c>
      <c r="M39" s="874">
        <f>Recovery_OX!C34</f>
        <v>0</v>
      </c>
      <c r="N39" s="868"/>
      <c r="O39" s="875">
        <f>(L39-M39)*(1-Recovery_OX!F34)</f>
        <v>3.268454237841463E-2</v>
      </c>
      <c r="P39" s="604"/>
      <c r="Q39" s="606"/>
      <c r="S39" s="648">
        <f t="shared" si="2"/>
        <v>2022</v>
      </c>
      <c r="T39" s="642">
        <f>IF(Select2=1,Food!$W41,"")</f>
        <v>1.6510876983086314E-2</v>
      </c>
      <c r="U39" s="643">
        <f>IF(Select2=1,Paper!$W41,"")</f>
        <v>4.2078205332600725E-3</v>
      </c>
      <c r="V39" s="635">
        <f>IF(Select2=1,Nappies!$W41,"")</f>
        <v>0</v>
      </c>
      <c r="W39" s="643">
        <f>IF(Select2=1,Garden!$W41,"")</f>
        <v>0</v>
      </c>
      <c r="X39" s="635">
        <f>IF(Select2=1,Wood!$W41,"")</f>
        <v>1.874453541271866E-3</v>
      </c>
      <c r="Y39" s="643">
        <f>IF(Select2=1,Textiles!$W41,"")</f>
        <v>5.2842397394428794E-4</v>
      </c>
      <c r="Z39" s="637">
        <f>Sludge!W41</f>
        <v>0</v>
      </c>
      <c r="AA39" s="637" t="str">
        <f>IF(Select2=2,MSW!$W41,"")</f>
        <v/>
      </c>
      <c r="AB39" s="644">
        <f>Industry!$W41</f>
        <v>0</v>
      </c>
      <c r="AC39" s="645">
        <f t="shared" si="0"/>
        <v>2.3121575031562539E-2</v>
      </c>
      <c r="AD39" s="646">
        <f>Recovery_OX!R34</f>
        <v>0</v>
      </c>
      <c r="AE39" s="605"/>
      <c r="AF39" s="649">
        <f>(AC39-AD39)*(1-Recovery_OX!U34)</f>
        <v>2.3121575031562539E-2</v>
      </c>
    </row>
    <row r="40" spans="2:32">
      <c r="B40" s="597">
        <f t="shared" si="1"/>
        <v>2023</v>
      </c>
      <c r="C40" s="870">
        <f>IF(Select2=1,Food!$K42,"")</f>
        <v>2.8165866395515632E-2</v>
      </c>
      <c r="D40" s="871">
        <f>IF(Select2=1,Paper!$K42,"")</f>
        <v>2.5092822280644795E-3</v>
      </c>
      <c r="E40" s="863">
        <f>IF(Select2=1,Nappies!$K42,"")</f>
        <v>6.5543577576141227E-3</v>
      </c>
      <c r="F40" s="871">
        <f>IF(Select2=1,Garden!$K42,"")</f>
        <v>0</v>
      </c>
      <c r="G40" s="863">
        <f>IF(Select2=1,Wood!$K42,"")</f>
        <v>0</v>
      </c>
      <c r="H40" s="871">
        <f>IF(Select2=1,Textiles!$K42,"")</f>
        <v>5.9410379486775529E-4</v>
      </c>
      <c r="I40" s="872">
        <f>Sludge!K42</f>
        <v>0</v>
      </c>
      <c r="J40" s="872" t="str">
        <f>IF(Select2=2,MSW!$K42,"")</f>
        <v/>
      </c>
      <c r="K40" s="872">
        <f>Industry!$K42</f>
        <v>0</v>
      </c>
      <c r="L40" s="873">
        <f t="shared" si="3"/>
        <v>3.7823610176061985E-2</v>
      </c>
      <c r="M40" s="874">
        <f>Recovery_OX!C35</f>
        <v>0</v>
      </c>
      <c r="N40" s="868"/>
      <c r="O40" s="875">
        <f>(L40-M40)*(1-Recovery_OX!F35)</f>
        <v>3.7823610176061985E-2</v>
      </c>
      <c r="P40" s="604"/>
      <c r="Q40" s="606"/>
      <c r="S40" s="648">
        <f t="shared" si="2"/>
        <v>2023</v>
      </c>
      <c r="T40" s="642">
        <f>IF(Select2=1,Food!$W42,"")</f>
        <v>1.8844246027329814E-2</v>
      </c>
      <c r="U40" s="643">
        <f>IF(Select2=1,Paper!$W42,"")</f>
        <v>5.1844674133563638E-3</v>
      </c>
      <c r="V40" s="635">
        <f>IF(Select2=1,Nappies!$W42,"")</f>
        <v>0</v>
      </c>
      <c r="W40" s="643">
        <f>IF(Select2=1,Garden!$W42,"")</f>
        <v>0</v>
      </c>
      <c r="X40" s="635">
        <f>IF(Select2=1,Wood!$W42,"")</f>
        <v>2.3392979245201229E-3</v>
      </c>
      <c r="Y40" s="643">
        <f>IF(Select2=1,Textiles!$W42,"")</f>
        <v>6.510726519098689E-4</v>
      </c>
      <c r="Z40" s="637">
        <f>Sludge!W42</f>
        <v>0</v>
      </c>
      <c r="AA40" s="637" t="str">
        <f>IF(Select2=2,MSW!$W42,"")</f>
        <v/>
      </c>
      <c r="AB40" s="644">
        <f>Industry!$W42</f>
        <v>0</v>
      </c>
      <c r="AC40" s="645">
        <f t="shared" si="0"/>
        <v>2.7019084017116172E-2</v>
      </c>
      <c r="AD40" s="646">
        <f>Recovery_OX!R35</f>
        <v>0</v>
      </c>
      <c r="AE40" s="605"/>
      <c r="AF40" s="649">
        <f>(AC40-AD40)*(1-Recovery_OX!U35)</f>
        <v>2.7019084017116172E-2</v>
      </c>
    </row>
    <row r="41" spans="2:32">
      <c r="B41" s="597">
        <f t="shared" si="1"/>
        <v>2024</v>
      </c>
      <c r="C41" s="870">
        <f>IF(Select2=1,Food!$K43,"")</f>
        <v>3.1673822853230893E-2</v>
      </c>
      <c r="D41" s="871">
        <f>IF(Select2=1,Paper!$K43,"")</f>
        <v>3.011469362333076E-3</v>
      </c>
      <c r="E41" s="863">
        <f>IF(Select2=1,Nappies!$K43,"")</f>
        <v>7.6481805765592119E-3</v>
      </c>
      <c r="F41" s="871">
        <f>IF(Select2=1,Garden!$K43,"")</f>
        <v>0</v>
      </c>
      <c r="G41" s="863">
        <f>IF(Select2=1,Wood!$K43,"")</f>
        <v>0</v>
      </c>
      <c r="H41" s="871">
        <f>IF(Select2=1,Textiles!$K43,"")</f>
        <v>7.1300284849587872E-4</v>
      </c>
      <c r="I41" s="872">
        <f>Sludge!K43</f>
        <v>0</v>
      </c>
      <c r="J41" s="872" t="str">
        <f>IF(Select2=2,MSW!$K43,"")</f>
        <v/>
      </c>
      <c r="K41" s="872">
        <f>Industry!$K43</f>
        <v>0</v>
      </c>
      <c r="L41" s="873">
        <f t="shared" si="3"/>
        <v>4.3046475640619065E-2</v>
      </c>
      <c r="M41" s="874">
        <f>Recovery_OX!C36</f>
        <v>0</v>
      </c>
      <c r="N41" s="868"/>
      <c r="O41" s="875">
        <f>(L41-M41)*(1-Recovery_OX!F36)</f>
        <v>4.3046475640619065E-2</v>
      </c>
      <c r="P41" s="604"/>
      <c r="Q41" s="606"/>
      <c r="S41" s="648">
        <f t="shared" si="2"/>
        <v>2024</v>
      </c>
      <c r="T41" s="642">
        <f>IF(Select2=1,Food!$W43,"")</f>
        <v>2.1191228492348949E-2</v>
      </c>
      <c r="U41" s="643">
        <f>IF(Select2=1,Paper!$W43,"")</f>
        <v>6.2220441370518104E-3</v>
      </c>
      <c r="V41" s="635">
        <f>IF(Select2=1,Nappies!$W43,"")</f>
        <v>0</v>
      </c>
      <c r="W41" s="643">
        <f>IF(Select2=1,Garden!$W43,"")</f>
        <v>0</v>
      </c>
      <c r="X41" s="635">
        <f>IF(Select2=1,Wood!$W43,"")</f>
        <v>2.8414404059961349E-3</v>
      </c>
      <c r="Y41" s="643">
        <f>IF(Select2=1,Textiles!$W43,"")</f>
        <v>7.8137298465301788E-4</v>
      </c>
      <c r="Z41" s="637">
        <f>Sludge!W43</f>
        <v>0</v>
      </c>
      <c r="AA41" s="637" t="str">
        <f>IF(Select2=2,MSW!$W43,"")</f>
        <v/>
      </c>
      <c r="AB41" s="644">
        <f>Industry!$W43</f>
        <v>0</v>
      </c>
      <c r="AC41" s="645">
        <f t="shared" si="0"/>
        <v>3.1036086020049914E-2</v>
      </c>
      <c r="AD41" s="646">
        <f>Recovery_OX!R36</f>
        <v>0</v>
      </c>
      <c r="AE41" s="605"/>
      <c r="AF41" s="649">
        <f>(AC41-AD41)*(1-Recovery_OX!U36)</f>
        <v>3.1036086020049914E-2</v>
      </c>
    </row>
    <row r="42" spans="2:32">
      <c r="B42" s="597">
        <f t="shared" si="1"/>
        <v>2025</v>
      </c>
      <c r="C42" s="870">
        <f>IF(Select2=1,Food!$K44,"")</f>
        <v>3.5304317616469828E-2</v>
      </c>
      <c r="D42" s="871">
        <f>IF(Select2=1,Paper!$K44,"")</f>
        <v>3.5468714057269052E-3</v>
      </c>
      <c r="E42" s="863">
        <f>IF(Select2=1,Nappies!$K44,"")</f>
        <v>8.7827962819474192E-3</v>
      </c>
      <c r="F42" s="871">
        <f>IF(Select2=1,Garden!$K44,"")</f>
        <v>0</v>
      </c>
      <c r="G42" s="863">
        <f>IF(Select2=1,Wood!$K44,"")</f>
        <v>0</v>
      </c>
      <c r="H42" s="871">
        <f>IF(Select2=1,Textiles!$K44,"")</f>
        <v>8.3976594521042308E-4</v>
      </c>
      <c r="I42" s="872">
        <f>Sludge!K44</f>
        <v>0</v>
      </c>
      <c r="J42" s="872" t="str">
        <f>IF(Select2=2,MSW!$K44,"")</f>
        <v/>
      </c>
      <c r="K42" s="872">
        <f>Industry!$K44</f>
        <v>0</v>
      </c>
      <c r="L42" s="873">
        <f t="shared" si="3"/>
        <v>4.8473751249354574E-2</v>
      </c>
      <c r="M42" s="874">
        <f>Recovery_OX!C37</f>
        <v>0</v>
      </c>
      <c r="N42" s="868"/>
      <c r="O42" s="875">
        <f>(L42-M42)*(1-Recovery_OX!F37)</f>
        <v>4.8473751249354574E-2</v>
      </c>
      <c r="P42" s="604"/>
      <c r="Q42" s="606"/>
      <c r="S42" s="648">
        <f t="shared" si="2"/>
        <v>2025</v>
      </c>
      <c r="T42" s="642">
        <f>IF(Select2=1,Food!$W44,"")</f>
        <v>2.3620194658655103E-2</v>
      </c>
      <c r="U42" s="643">
        <f>IF(Select2=1,Paper!$W44,"")</f>
        <v>7.3282467060473257E-3</v>
      </c>
      <c r="V42" s="635">
        <f>IF(Select2=1,Nappies!$W44,"")</f>
        <v>0</v>
      </c>
      <c r="W42" s="643">
        <f>IF(Select2=1,Garden!$W44,"")</f>
        <v>0</v>
      </c>
      <c r="X42" s="635">
        <f>IF(Select2=1,Wood!$W44,"")</f>
        <v>3.3845572003819513E-3</v>
      </c>
      <c r="Y42" s="643">
        <f>IF(Select2=1,Textiles!$W44,"")</f>
        <v>9.2029144680594289E-4</v>
      </c>
      <c r="Z42" s="637">
        <f>Sludge!W44</f>
        <v>0</v>
      </c>
      <c r="AA42" s="637" t="str">
        <f>IF(Select2=2,MSW!$W44,"")</f>
        <v/>
      </c>
      <c r="AB42" s="644">
        <f>Industry!$W44</f>
        <v>0</v>
      </c>
      <c r="AC42" s="645">
        <f t="shared" si="0"/>
        <v>3.5253290011890322E-2</v>
      </c>
      <c r="AD42" s="646">
        <f>Recovery_OX!R37</f>
        <v>0</v>
      </c>
      <c r="AE42" s="605"/>
      <c r="AF42" s="649">
        <f>(AC42-AD42)*(1-Recovery_OX!U37)</f>
        <v>3.5253290011890322E-2</v>
      </c>
    </row>
    <row r="43" spans="2:32">
      <c r="B43" s="597">
        <f t="shared" si="1"/>
        <v>2026</v>
      </c>
      <c r="C43" s="870">
        <f>IF(Select2=1,Food!$K45,"")</f>
        <v>3.9135514771712385E-2</v>
      </c>
      <c r="D43" s="871">
        <f>IF(Select2=1,Paper!$K45,"")</f>
        <v>4.1194688583987352E-3</v>
      </c>
      <c r="E43" s="863">
        <f>IF(Select2=1,Nappies!$K45,"")</f>
        <v>9.9714602244489921E-3</v>
      </c>
      <c r="F43" s="871">
        <f>IF(Select2=1,Garden!$K45,"")</f>
        <v>0</v>
      </c>
      <c r="G43" s="863">
        <f>IF(Select2=1,Wood!$K45,"")</f>
        <v>0</v>
      </c>
      <c r="H43" s="871">
        <f>IF(Select2=1,Textiles!$K45,"")</f>
        <v>9.7533551795885866E-4</v>
      </c>
      <c r="I43" s="872">
        <f>Sludge!K45</f>
        <v>0</v>
      </c>
      <c r="J43" s="872" t="str">
        <f>IF(Select2=2,MSW!$K45,"")</f>
        <v/>
      </c>
      <c r="K43" s="872">
        <f>Industry!$K45</f>
        <v>0</v>
      </c>
      <c r="L43" s="873">
        <f t="shared" si="3"/>
        <v>5.4201779372518973E-2</v>
      </c>
      <c r="M43" s="874">
        <f>Recovery_OX!C38</f>
        <v>0</v>
      </c>
      <c r="N43" s="868"/>
      <c r="O43" s="875">
        <f>(L43-M43)*(1-Recovery_OX!F38)</f>
        <v>5.4201779372518973E-2</v>
      </c>
      <c r="P43" s="604"/>
      <c r="Q43" s="606"/>
      <c r="S43" s="648">
        <f t="shared" si="2"/>
        <v>2026</v>
      </c>
      <c r="T43" s="642">
        <f>IF(Select2=1,Food!$W45,"")</f>
        <v>2.6183439856185806E-2</v>
      </c>
      <c r="U43" s="643">
        <f>IF(Select2=1,Paper!$W45,"")</f>
        <v>8.5112992942122621E-3</v>
      </c>
      <c r="V43" s="635">
        <f>IF(Select2=1,Nappies!$W45,"")</f>
        <v>0</v>
      </c>
      <c r="W43" s="643">
        <f>IF(Select2=1,Garden!$W45,"")</f>
        <v>0</v>
      </c>
      <c r="X43" s="635">
        <f>IF(Select2=1,Wood!$W45,"")</f>
        <v>3.9726381419984006E-3</v>
      </c>
      <c r="Y43" s="643">
        <f>IF(Select2=1,Textiles!$W45,"")</f>
        <v>1.0688608415987491E-3</v>
      </c>
      <c r="Z43" s="637">
        <f>Sludge!W45</f>
        <v>0</v>
      </c>
      <c r="AA43" s="637" t="str">
        <f>IF(Select2=2,MSW!$W45,"")</f>
        <v/>
      </c>
      <c r="AB43" s="644">
        <f>Industry!$W45</f>
        <v>0</v>
      </c>
      <c r="AC43" s="645">
        <f t="shared" si="0"/>
        <v>3.9736238133995218E-2</v>
      </c>
      <c r="AD43" s="646">
        <f>Recovery_OX!R38</f>
        <v>0</v>
      </c>
      <c r="AE43" s="605"/>
      <c r="AF43" s="649">
        <f>(AC43-AD43)*(1-Recovery_OX!U38)</f>
        <v>3.9736238133995218E-2</v>
      </c>
    </row>
    <row r="44" spans="2:32">
      <c r="B44" s="597">
        <f t="shared" si="1"/>
        <v>2027</v>
      </c>
      <c r="C44" s="870">
        <f>IF(Select2=1,Food!$K46,"")</f>
        <v>4.3230303388669684E-2</v>
      </c>
      <c r="D44" s="871">
        <f>IF(Select2=1,Paper!$K46,"")</f>
        <v>4.733524188066409E-3</v>
      </c>
      <c r="E44" s="863">
        <f>IF(Select2=1,Nappies!$K46,"")</f>
        <v>1.1227093193076975E-2</v>
      </c>
      <c r="F44" s="871">
        <f>IF(Select2=1,Garden!$K46,"")</f>
        <v>0</v>
      </c>
      <c r="G44" s="863">
        <f>IF(Select2=1,Wood!$K46,"")</f>
        <v>0</v>
      </c>
      <c r="H44" s="871">
        <f>IF(Select2=1,Textiles!$K46,"")</f>
        <v>1.120720759018702E-3</v>
      </c>
      <c r="I44" s="872">
        <f>Sludge!K46</f>
        <v>0</v>
      </c>
      <c r="J44" s="872" t="str">
        <f>IF(Select2=2,MSW!$K46,"")</f>
        <v/>
      </c>
      <c r="K44" s="872">
        <f>Industry!$K46</f>
        <v>0</v>
      </c>
      <c r="L44" s="873">
        <f t="shared" si="3"/>
        <v>6.0311641528831769E-2</v>
      </c>
      <c r="M44" s="874">
        <f>Recovery_OX!C39</f>
        <v>0</v>
      </c>
      <c r="N44" s="868"/>
      <c r="O44" s="875">
        <f>(L44-M44)*(1-Recovery_OX!F39)</f>
        <v>6.0311641528831769E-2</v>
      </c>
      <c r="P44" s="604"/>
      <c r="Q44" s="606"/>
      <c r="S44" s="648">
        <f t="shared" si="2"/>
        <v>2027</v>
      </c>
      <c r="T44" s="642">
        <f>IF(Select2=1,Food!$W46,"")</f>
        <v>2.8923039733721914E-2</v>
      </c>
      <c r="U44" s="643">
        <f>IF(Select2=1,Paper!$W46,"")</f>
        <v>9.7800086530297689E-3</v>
      </c>
      <c r="V44" s="635">
        <f>IF(Select2=1,Nappies!$W46,"")</f>
        <v>0</v>
      </c>
      <c r="W44" s="643">
        <f>IF(Select2=1,Garden!$W46,"")</f>
        <v>0</v>
      </c>
      <c r="X44" s="635">
        <f>IF(Select2=1,Wood!$W46,"")</f>
        <v>4.6100137200996358E-3</v>
      </c>
      <c r="Y44" s="643">
        <f>IF(Select2=1,Textiles!$W46,"")</f>
        <v>1.2281871331711802E-3</v>
      </c>
      <c r="Z44" s="637">
        <f>Sludge!W46</f>
        <v>0</v>
      </c>
      <c r="AA44" s="637" t="str">
        <f>IF(Select2=2,MSW!$W46,"")</f>
        <v/>
      </c>
      <c r="AB44" s="644">
        <f>Industry!$W46</f>
        <v>0</v>
      </c>
      <c r="AC44" s="645">
        <f t="shared" si="0"/>
        <v>4.45412492400225E-2</v>
      </c>
      <c r="AD44" s="646">
        <f>Recovery_OX!R39</f>
        <v>0</v>
      </c>
      <c r="AE44" s="605"/>
      <c r="AF44" s="649">
        <f>(AC44-AD44)*(1-Recovery_OX!U39)</f>
        <v>4.45412492400225E-2</v>
      </c>
    </row>
    <row r="45" spans="2:32">
      <c r="B45" s="597">
        <f t="shared" si="1"/>
        <v>2028</v>
      </c>
      <c r="C45" s="870">
        <f>IF(Select2=1,Food!$K47,"")</f>
        <v>4.7642233708383476E-2</v>
      </c>
      <c r="D45" s="871">
        <f>IF(Select2=1,Paper!$K47,"")</f>
        <v>5.3936100455318917E-3</v>
      </c>
      <c r="E45" s="863">
        <f>IF(Select2=1,Nappies!$K47,"")</f>
        <v>1.2562482802751119E-2</v>
      </c>
      <c r="F45" s="871">
        <f>IF(Select2=1,Garden!$K47,"")</f>
        <v>0</v>
      </c>
      <c r="G45" s="863">
        <f>IF(Select2=1,Wood!$K47,"")</f>
        <v>0</v>
      </c>
      <c r="H45" s="871">
        <f>IF(Select2=1,Textiles!$K47,"")</f>
        <v>1.2770043003727844E-3</v>
      </c>
      <c r="I45" s="872">
        <f>Sludge!K47</f>
        <v>0</v>
      </c>
      <c r="J45" s="872" t="str">
        <f>IF(Select2=2,MSW!$K47,"")</f>
        <v/>
      </c>
      <c r="K45" s="872">
        <f>Industry!$K47</f>
        <v>0</v>
      </c>
      <c r="L45" s="873">
        <f t="shared" si="3"/>
        <v>6.687533085703927E-2</v>
      </c>
      <c r="M45" s="874">
        <f>Recovery_OX!C40</f>
        <v>0</v>
      </c>
      <c r="N45" s="868"/>
      <c r="O45" s="875">
        <f>(L45-M45)*(1-Recovery_OX!F40)</f>
        <v>6.687533085703927E-2</v>
      </c>
      <c r="P45" s="604"/>
      <c r="Q45" s="606"/>
      <c r="S45" s="648">
        <f t="shared" si="2"/>
        <v>2028</v>
      </c>
      <c r="T45" s="642">
        <f>IF(Select2=1,Food!$W47,"")</f>
        <v>3.1874821838793588E-2</v>
      </c>
      <c r="U45" s="643">
        <f>IF(Select2=1,Paper!$W47,"")</f>
        <v>1.1143822408123744E-2</v>
      </c>
      <c r="V45" s="635">
        <f>IF(Select2=1,Nappies!$W47,"")</f>
        <v>0</v>
      </c>
      <c r="W45" s="643">
        <f>IF(Select2=1,Garden!$W47,"")</f>
        <v>0</v>
      </c>
      <c r="X45" s="635">
        <f>IF(Select2=1,Wood!$W47,"")</f>
        <v>5.3013843612404587E-3</v>
      </c>
      <c r="Y45" s="643">
        <f>IF(Select2=1,Textiles!$W47,"")</f>
        <v>1.3994567675318188E-3</v>
      </c>
      <c r="Z45" s="637">
        <f>Sludge!W47</f>
        <v>0</v>
      </c>
      <c r="AA45" s="637" t="str">
        <f>IF(Select2=2,MSW!$W47,"")</f>
        <v/>
      </c>
      <c r="AB45" s="644">
        <f>Industry!$W47</f>
        <v>0</v>
      </c>
      <c r="AC45" s="645">
        <f t="shared" si="0"/>
        <v>4.9719485375689605E-2</v>
      </c>
      <c r="AD45" s="646">
        <f>Recovery_OX!R40</f>
        <v>0</v>
      </c>
      <c r="AE45" s="605"/>
      <c r="AF45" s="649">
        <f>(AC45-AD45)*(1-Recovery_OX!U40)</f>
        <v>4.9719485375689605E-2</v>
      </c>
    </row>
    <row r="46" spans="2:32">
      <c r="B46" s="597">
        <f t="shared" si="1"/>
        <v>2029</v>
      </c>
      <c r="C46" s="870">
        <f>IF(Select2=1,Food!$K48,"")</f>
        <v>5.2419571812869825E-2</v>
      </c>
      <c r="D46" s="871">
        <f>IF(Select2=1,Paper!$K48,"")</f>
        <v>6.1046395386109304E-3</v>
      </c>
      <c r="E46" s="863">
        <f>IF(Select2=1,Nappies!$K48,"")</f>
        <v>1.399046590384702E-2</v>
      </c>
      <c r="F46" s="871">
        <f>IF(Select2=1,Garden!$K48,"")</f>
        <v>0</v>
      </c>
      <c r="G46" s="863">
        <f>IF(Select2=1,Wood!$K48,"")</f>
        <v>0</v>
      </c>
      <c r="H46" s="871">
        <f>IF(Select2=1,Textiles!$K48,"")</f>
        <v>1.4453493814388504E-3</v>
      </c>
      <c r="I46" s="872">
        <f>Sludge!K48</f>
        <v>0</v>
      </c>
      <c r="J46" s="872" t="str">
        <f>IF(Select2=2,MSW!$K48,"")</f>
        <v/>
      </c>
      <c r="K46" s="872">
        <f>Industry!$K48</f>
        <v>0</v>
      </c>
      <c r="L46" s="873">
        <f t="shared" si="3"/>
        <v>7.3960026636766624E-2</v>
      </c>
      <c r="M46" s="874">
        <f>Recovery_OX!C41</f>
        <v>0</v>
      </c>
      <c r="N46" s="868"/>
      <c r="O46" s="875">
        <f>(L46-M46)*(1-Recovery_OX!F41)</f>
        <v>7.3960026636766624E-2</v>
      </c>
      <c r="P46" s="604"/>
      <c r="Q46" s="606"/>
      <c r="S46" s="648">
        <f t="shared" si="2"/>
        <v>2029</v>
      </c>
      <c r="T46" s="642">
        <f>IF(Select2=1,Food!$W48,"")</f>
        <v>3.5071078376139486E-2</v>
      </c>
      <c r="U46" s="643">
        <f>IF(Select2=1,Paper!$W48,"")</f>
        <v>1.2612891608700272E-2</v>
      </c>
      <c r="V46" s="635">
        <f>IF(Select2=1,Nappies!$W48,"")</f>
        <v>0</v>
      </c>
      <c r="W46" s="643">
        <f>IF(Select2=1,Garden!$W48,"")</f>
        <v>0</v>
      </c>
      <c r="X46" s="635">
        <f>IF(Select2=1,Wood!$W48,"")</f>
        <v>6.0518521437085641E-3</v>
      </c>
      <c r="Y46" s="643">
        <f>IF(Select2=1,Textiles!$W48,"")</f>
        <v>1.5839445276042198E-3</v>
      </c>
      <c r="Z46" s="637">
        <f>Sludge!W48</f>
        <v>0</v>
      </c>
      <c r="AA46" s="637" t="str">
        <f>IF(Select2=2,MSW!$W48,"")</f>
        <v/>
      </c>
      <c r="AB46" s="644">
        <f>Industry!$W48</f>
        <v>0</v>
      </c>
      <c r="AC46" s="645">
        <f t="shared" si="0"/>
        <v>5.5319766656152541E-2</v>
      </c>
      <c r="AD46" s="646">
        <f>Recovery_OX!R41</f>
        <v>0</v>
      </c>
      <c r="AE46" s="605"/>
      <c r="AF46" s="649">
        <f>(AC46-AD46)*(1-Recovery_OX!U41)</f>
        <v>5.5319766656152541E-2</v>
      </c>
    </row>
    <row r="47" spans="2:32">
      <c r="B47" s="597">
        <f t="shared" si="1"/>
        <v>2030</v>
      </c>
      <c r="C47" s="870">
        <f>IF(Select2=1,Food!$K49,"")</f>
        <v>5.7608099303882505E-2</v>
      </c>
      <c r="D47" s="871">
        <f>IF(Select2=1,Paper!$K49,"")</f>
        <v>6.8718987523954224E-3</v>
      </c>
      <c r="E47" s="863">
        <f>IF(Select2=1,Nappies!$K49,"")</f>
        <v>1.5524096012062574E-2</v>
      </c>
      <c r="F47" s="871">
        <f>IF(Select2=1,Garden!$K49,"")</f>
        <v>0</v>
      </c>
      <c r="G47" s="863">
        <f>IF(Select2=1,Wood!$K49,"")</f>
        <v>0</v>
      </c>
      <c r="H47" s="871">
        <f>IF(Select2=1,Textiles!$K49,"")</f>
        <v>1.627007548646379E-3</v>
      </c>
      <c r="I47" s="872">
        <f>Sludge!K49</f>
        <v>0</v>
      </c>
      <c r="J47" s="872" t="str">
        <f>IF(Select2=2,MSW!$K49,"")</f>
        <v/>
      </c>
      <c r="K47" s="872">
        <f>Industry!$K49</f>
        <v>0</v>
      </c>
      <c r="L47" s="873">
        <f t="shared" si="3"/>
        <v>8.1631101616986876E-2</v>
      </c>
      <c r="M47" s="874">
        <f>Recovery_OX!C42</f>
        <v>0</v>
      </c>
      <c r="N47" s="868"/>
      <c r="O47" s="875">
        <f>(L47-M47)*(1-Recovery_OX!F42)</f>
        <v>8.1631101616986876E-2</v>
      </c>
      <c r="P47" s="604"/>
      <c r="Q47" s="606"/>
      <c r="S47" s="648">
        <f t="shared" si="2"/>
        <v>2030</v>
      </c>
      <c r="T47" s="642">
        <f>IF(Select2=1,Food!$W49,"")</f>
        <v>3.8542439320171165E-2</v>
      </c>
      <c r="U47" s="643">
        <f>IF(Select2=1,Paper!$W49,"")</f>
        <v>1.4198137918172366E-2</v>
      </c>
      <c r="V47" s="635">
        <f>IF(Select2=1,Nappies!$W49,"")</f>
        <v>0</v>
      </c>
      <c r="W47" s="643">
        <f>IF(Select2=1,Garden!$W49,"")</f>
        <v>0</v>
      </c>
      <c r="X47" s="635">
        <f>IF(Select2=1,Wood!$W49,"")</f>
        <v>6.8669551440139667E-3</v>
      </c>
      <c r="Y47" s="643">
        <f>IF(Select2=1,Textiles!$W49,"")</f>
        <v>1.7830219711193198E-3</v>
      </c>
      <c r="Z47" s="637">
        <f>Sludge!W49</f>
        <v>0</v>
      </c>
      <c r="AA47" s="637" t="str">
        <f>IF(Select2=2,MSW!$W49,"")</f>
        <v/>
      </c>
      <c r="AB47" s="644">
        <f>Industry!$W49</f>
        <v>0</v>
      </c>
      <c r="AC47" s="645">
        <f t="shared" si="0"/>
        <v>6.1390554353476817E-2</v>
      </c>
      <c r="AD47" s="646">
        <f>Recovery_OX!R42</f>
        <v>0</v>
      </c>
      <c r="AE47" s="605"/>
      <c r="AF47" s="649">
        <f>(AC47-AD47)*(1-Recovery_OX!U42)</f>
        <v>6.1390554353476817E-2</v>
      </c>
    </row>
    <row r="48" spans="2:32">
      <c r="B48" s="597">
        <f t="shared" si="1"/>
        <v>2031</v>
      </c>
      <c r="C48" s="642">
        <f>IF(Select2=1,Food!$K50,"")</f>
        <v>6.3261227455444213E-2</v>
      </c>
      <c r="D48" s="643">
        <f>IF(Select2=1,Paper!$K50,"")</f>
        <v>7.7015096425347169E-3</v>
      </c>
      <c r="E48" s="635">
        <f>IF(Select2=1,Nappies!$K50,"")</f>
        <v>1.7178148602445542E-2</v>
      </c>
      <c r="F48" s="643">
        <f>IF(Select2=1,Garden!$K50,"")</f>
        <v>0</v>
      </c>
      <c r="G48" s="635">
        <f>IF(Select2=1,Wood!$K50,"")</f>
        <v>0</v>
      </c>
      <c r="H48" s="643">
        <f>IF(Select2=1,Textiles!$K50,"")</f>
        <v>1.8234282511815211E-3</v>
      </c>
      <c r="I48" s="644">
        <f>Sludge!K50</f>
        <v>0</v>
      </c>
      <c r="J48" s="644" t="str">
        <f>IF(Select2=2,MSW!$K50,"")</f>
        <v/>
      </c>
      <c r="K48" s="644">
        <f>Industry!$K50</f>
        <v>0</v>
      </c>
      <c r="L48" s="645">
        <f t="shared" si="3"/>
        <v>8.9964313951605993E-2</v>
      </c>
      <c r="M48" s="646">
        <f>Recovery_OX!C43</f>
        <v>0</v>
      </c>
      <c r="N48" s="605"/>
      <c r="O48" s="647">
        <f>(L48-M48)*(1-Recovery_OX!F43)</f>
        <v>8.9964313951605993E-2</v>
      </c>
      <c r="P48" s="604"/>
      <c r="Q48" s="606"/>
      <c r="S48" s="648">
        <f t="shared" si="2"/>
        <v>2031</v>
      </c>
      <c r="T48" s="642">
        <f>IF(Select2=1,Food!$W50,"")</f>
        <v>4.2324639243160711E-2</v>
      </c>
      <c r="U48" s="643">
        <f>IF(Select2=1,Paper!$W50,"")</f>
        <v>1.5912210005237022E-2</v>
      </c>
      <c r="V48" s="635">
        <f>IF(Select2=1,Nappies!$W50,"")</f>
        <v>0</v>
      </c>
      <c r="W48" s="643">
        <f>IF(Select2=1,Garden!$W50,"")</f>
        <v>0</v>
      </c>
      <c r="X48" s="635">
        <f>IF(Select2=1,Wood!$W50,"")</f>
        <v>7.753075722062094E-3</v>
      </c>
      <c r="Y48" s="643">
        <f>IF(Select2=1,Textiles!$W50,"")</f>
        <v>1.9982775355413935E-3</v>
      </c>
      <c r="Z48" s="637">
        <f>Sludge!W50</f>
        <v>0</v>
      </c>
      <c r="AA48" s="637" t="str">
        <f>IF(Select2=2,MSW!$W50,"")</f>
        <v/>
      </c>
      <c r="AB48" s="644">
        <f>Industry!$W50</f>
        <v>0</v>
      </c>
      <c r="AC48" s="645">
        <f t="shared" si="0"/>
        <v>6.7988202506001225E-2</v>
      </c>
      <c r="AD48" s="646">
        <f>Recovery_OX!R43</f>
        <v>0</v>
      </c>
      <c r="AE48" s="605"/>
      <c r="AF48" s="649">
        <f>(AC48-AD48)*(1-Recovery_OX!U43)</f>
        <v>6.7988202506001225E-2</v>
      </c>
    </row>
    <row r="49" spans="2:32">
      <c r="B49" s="597">
        <f t="shared" si="1"/>
        <v>2032</v>
      </c>
      <c r="C49" s="642">
        <f>IF(Select2=1,Food!$K51,"")</f>
        <v>4.2405268900204414E-2</v>
      </c>
      <c r="D49" s="643">
        <f>IF(Select2=1,Paper!$K51,"")</f>
        <v>7.1808399946454386E-3</v>
      </c>
      <c r="E49" s="635">
        <f>IF(Select2=1,Nappies!$K51,"")</f>
        <v>1.4492599590147643E-2</v>
      </c>
      <c r="F49" s="643">
        <f>IF(Select2=1,Garden!$K51,"")</f>
        <v>0</v>
      </c>
      <c r="G49" s="635">
        <f>IF(Select2=1,Wood!$K51,"")</f>
        <v>0</v>
      </c>
      <c r="H49" s="643">
        <f>IF(Select2=1,Textiles!$K51,"")</f>
        <v>1.7001532324435614E-3</v>
      </c>
      <c r="I49" s="644">
        <f>Sludge!K51</f>
        <v>0</v>
      </c>
      <c r="J49" s="644" t="str">
        <f>IF(Select2=2,MSW!$K51,"")</f>
        <v/>
      </c>
      <c r="K49" s="644">
        <f>Industry!$K51</f>
        <v>0</v>
      </c>
      <c r="L49" s="645">
        <f t="shared" si="3"/>
        <v>6.5778861717441059E-2</v>
      </c>
      <c r="M49" s="646">
        <f>Recovery_OX!C44</f>
        <v>0</v>
      </c>
      <c r="N49" s="605"/>
      <c r="O49" s="647">
        <f>(L49-M49)*(1-Recovery_OX!F44)</f>
        <v>6.5778861717441059E-2</v>
      </c>
      <c r="P49" s="604"/>
      <c r="Q49" s="606"/>
      <c r="S49" s="648">
        <f t="shared" si="2"/>
        <v>2032</v>
      </c>
      <c r="T49" s="642">
        <f>IF(Select2=1,Food!$W51,"")</f>
        <v>2.8371054125917314E-2</v>
      </c>
      <c r="U49" s="643">
        <f>IF(Select2=1,Paper!$W51,"")</f>
        <v>1.48364462699286E-2</v>
      </c>
      <c r="V49" s="635">
        <f>IF(Select2=1,Nappies!$W51,"")</f>
        <v>0</v>
      </c>
      <c r="W49" s="643">
        <f>IF(Select2=1,Garden!$W51,"")</f>
        <v>0</v>
      </c>
      <c r="X49" s="635">
        <f>IF(Select2=1,Wood!$W51,"")</f>
        <v>7.4864119098782007E-3</v>
      </c>
      <c r="Y49" s="643">
        <f>IF(Select2=1,Textiles!$W51,"")</f>
        <v>1.863181624595684E-3</v>
      </c>
      <c r="Z49" s="637">
        <f>Sludge!W51</f>
        <v>0</v>
      </c>
      <c r="AA49" s="637" t="str">
        <f>IF(Select2=2,MSW!$W51,"")</f>
        <v/>
      </c>
      <c r="AB49" s="644">
        <f>Industry!$W51</f>
        <v>0</v>
      </c>
      <c r="AC49" s="645">
        <f t="shared" ref="AC49:AC80" si="4">SUM(T49:AA49)</f>
        <v>5.25570939303198E-2</v>
      </c>
      <c r="AD49" s="646">
        <f>Recovery_OX!R44</f>
        <v>0</v>
      </c>
      <c r="AE49" s="605"/>
      <c r="AF49" s="649">
        <f>(AC49-AD49)*(1-Recovery_OX!U44)</f>
        <v>5.25570939303198E-2</v>
      </c>
    </row>
    <row r="50" spans="2:32">
      <c r="B50" s="597">
        <f t="shared" si="1"/>
        <v>2033</v>
      </c>
      <c r="C50" s="642">
        <f>IF(Select2=1,Food!$K52,"")</f>
        <v>2.8425101801338688E-2</v>
      </c>
      <c r="D50" s="643">
        <f>IF(Select2=1,Paper!$K52,"")</f>
        <v>6.6953708327408702E-3</v>
      </c>
      <c r="E50" s="635">
        <f>IF(Select2=1,Nappies!$K52,"")</f>
        <v>1.2226896375226736E-2</v>
      </c>
      <c r="F50" s="643">
        <f>IF(Select2=1,Garden!$K52,"")</f>
        <v>0</v>
      </c>
      <c r="G50" s="635">
        <f>IF(Select2=1,Wood!$K52,"")</f>
        <v>0</v>
      </c>
      <c r="H50" s="643">
        <f>IF(Select2=1,Textiles!$K52,"")</f>
        <v>1.5852123668234977E-3</v>
      </c>
      <c r="I50" s="644">
        <f>Sludge!K52</f>
        <v>0</v>
      </c>
      <c r="J50" s="644" t="str">
        <f>IF(Select2=2,MSW!$K52,"")</f>
        <v/>
      </c>
      <c r="K50" s="644">
        <f>Industry!$K52</f>
        <v>0</v>
      </c>
      <c r="L50" s="645">
        <f t="shared" si="3"/>
        <v>4.893258137612979E-2</v>
      </c>
      <c r="M50" s="646">
        <f>Recovery_OX!C45</f>
        <v>0</v>
      </c>
      <c r="N50" s="605"/>
      <c r="O50" s="647">
        <f>(L50-M50)*(1-Recovery_OX!F45)</f>
        <v>4.893258137612979E-2</v>
      </c>
      <c r="P50" s="604"/>
      <c r="Q50" s="606"/>
      <c r="S50" s="648">
        <f t="shared" si="2"/>
        <v>2033</v>
      </c>
      <c r="T50" s="642">
        <f>IF(Select2=1,Food!$W52,"")</f>
        <v>1.9017686307764507E-2</v>
      </c>
      <c r="U50" s="643">
        <f>IF(Select2=1,Paper!$W52,"")</f>
        <v>1.3833410811448083E-2</v>
      </c>
      <c r="V50" s="635">
        <f>IF(Select2=1,Nappies!$W52,"")</f>
        <v>0</v>
      </c>
      <c r="W50" s="643">
        <f>IF(Select2=1,Garden!$W52,"")</f>
        <v>0</v>
      </c>
      <c r="X50" s="635">
        <f>IF(Select2=1,Wood!$W52,"")</f>
        <v>7.2289198885135426E-3</v>
      </c>
      <c r="Y50" s="643">
        <f>IF(Select2=1,Textiles!$W52,"")</f>
        <v>1.7372190321353403E-3</v>
      </c>
      <c r="Z50" s="637">
        <f>Sludge!W52</f>
        <v>0</v>
      </c>
      <c r="AA50" s="637" t="str">
        <f>IF(Select2=2,MSW!$W52,"")</f>
        <v/>
      </c>
      <c r="AB50" s="644">
        <f>Industry!$W52</f>
        <v>0</v>
      </c>
      <c r="AC50" s="645">
        <f t="shared" si="4"/>
        <v>4.1817236039861476E-2</v>
      </c>
      <c r="AD50" s="646">
        <f>Recovery_OX!R45</f>
        <v>0</v>
      </c>
      <c r="AE50" s="605"/>
      <c r="AF50" s="649">
        <f>(AC50-AD50)*(1-Recovery_OX!U45)</f>
        <v>4.1817236039861476E-2</v>
      </c>
    </row>
    <row r="51" spans="2:32">
      <c r="B51" s="597">
        <f t="shared" si="1"/>
        <v>2034</v>
      </c>
      <c r="C51" s="642">
        <f>IF(Select2=1,Food!$K53,"")</f>
        <v>1.9053915548041082E-2</v>
      </c>
      <c r="D51" s="643">
        <f>IF(Select2=1,Paper!$K53,"")</f>
        <v>6.2427223864261298E-3</v>
      </c>
      <c r="E51" s="635">
        <f>IF(Select2=1,Nappies!$K53,"")</f>
        <v>1.0315402287948652E-2</v>
      </c>
      <c r="F51" s="643">
        <f>IF(Select2=1,Garden!$K53,"")</f>
        <v>0</v>
      </c>
      <c r="G51" s="635">
        <f>IF(Select2=1,Wood!$K53,"")</f>
        <v>0</v>
      </c>
      <c r="H51" s="643">
        <f>IF(Select2=1,Textiles!$K53,"")</f>
        <v>1.4780422140647103E-3</v>
      </c>
      <c r="I51" s="644">
        <f>Sludge!K53</f>
        <v>0</v>
      </c>
      <c r="J51" s="644" t="str">
        <f>IF(Select2=2,MSW!$K53,"")</f>
        <v/>
      </c>
      <c r="K51" s="644">
        <f>Industry!$K53</f>
        <v>0</v>
      </c>
      <c r="L51" s="645">
        <f t="shared" si="3"/>
        <v>3.709008243648057E-2</v>
      </c>
      <c r="M51" s="646">
        <f>Recovery_OX!C46</f>
        <v>0</v>
      </c>
      <c r="N51" s="605"/>
      <c r="O51" s="647">
        <f>(L51-M51)*(1-Recovery_OX!F46)</f>
        <v>3.709008243648057E-2</v>
      </c>
      <c r="P51" s="604"/>
      <c r="Q51" s="606"/>
      <c r="S51" s="648">
        <f t="shared" si="2"/>
        <v>2034</v>
      </c>
      <c r="T51" s="642">
        <f>IF(Select2=1,Food!$W53,"")</f>
        <v>1.2747936361312053E-2</v>
      </c>
      <c r="U51" s="643">
        <f>IF(Select2=1,Paper!$W53,"")</f>
        <v>1.2898186748814322E-2</v>
      </c>
      <c r="V51" s="635">
        <f>IF(Select2=1,Nappies!$W53,"")</f>
        <v>0</v>
      </c>
      <c r="W51" s="643">
        <f>IF(Select2=1,Garden!$W53,"")</f>
        <v>0</v>
      </c>
      <c r="X51" s="635">
        <f>IF(Select2=1,Wood!$W53,"")</f>
        <v>6.9802841980407199E-3</v>
      </c>
      <c r="Y51" s="643">
        <f>IF(Select2=1,Textiles!$W53,"")</f>
        <v>1.6197722893859844E-3</v>
      </c>
      <c r="Z51" s="637">
        <f>Sludge!W53</f>
        <v>0</v>
      </c>
      <c r="AA51" s="637" t="str">
        <f>IF(Select2=2,MSW!$W53,"")</f>
        <v/>
      </c>
      <c r="AB51" s="644">
        <f>Industry!$W53</f>
        <v>0</v>
      </c>
      <c r="AC51" s="645">
        <f t="shared" si="4"/>
        <v>3.4246179597553078E-2</v>
      </c>
      <c r="AD51" s="646">
        <f>Recovery_OX!R46</f>
        <v>0</v>
      </c>
      <c r="AE51" s="605"/>
      <c r="AF51" s="649">
        <f>(AC51-AD51)*(1-Recovery_OX!U46)</f>
        <v>3.4246179597553078E-2</v>
      </c>
    </row>
    <row r="52" spans="2:32">
      <c r="B52" s="597">
        <f t="shared" si="1"/>
        <v>2035</v>
      </c>
      <c r="C52" s="642">
        <f>IF(Select2=1,Food!$K54,"")</f>
        <v>1.2772221547322085E-2</v>
      </c>
      <c r="D52" s="643">
        <f>IF(Select2=1,Paper!$K54,"")</f>
        <v>5.820675772492236E-3</v>
      </c>
      <c r="E52" s="635">
        <f>IF(Select2=1,Nappies!$K54,"")</f>
        <v>8.7027419793801169E-3</v>
      </c>
      <c r="F52" s="643">
        <f>IF(Select2=1,Garden!$K54,"")</f>
        <v>0</v>
      </c>
      <c r="G52" s="635">
        <f>IF(Select2=1,Wood!$K54,"")</f>
        <v>0</v>
      </c>
      <c r="H52" s="643">
        <f>IF(Select2=1,Textiles!$K54,"")</f>
        <v>1.3781174259540406E-3</v>
      </c>
      <c r="I52" s="644">
        <f>Sludge!K54</f>
        <v>0</v>
      </c>
      <c r="J52" s="644" t="str">
        <f>IF(Select2=2,MSW!$K54,"")</f>
        <v/>
      </c>
      <c r="K52" s="644">
        <f>Industry!$K54</f>
        <v>0</v>
      </c>
      <c r="L52" s="645">
        <f t="shared" si="3"/>
        <v>2.8673756725148478E-2</v>
      </c>
      <c r="M52" s="646">
        <f>Recovery_OX!C47</f>
        <v>0</v>
      </c>
      <c r="N52" s="605"/>
      <c r="O52" s="647">
        <f>(L52-M52)*(1-Recovery_OX!F47)</f>
        <v>2.8673756725148478E-2</v>
      </c>
      <c r="P52" s="604"/>
      <c r="Q52" s="606"/>
      <c r="S52" s="648">
        <f t="shared" si="2"/>
        <v>2035</v>
      </c>
      <c r="T52" s="642">
        <f>IF(Select2=1,Food!$W54,"")</f>
        <v>8.5451972885740961E-3</v>
      </c>
      <c r="U52" s="643">
        <f>IF(Select2=1,Paper!$W54,"")</f>
        <v>1.2026189612587267E-2</v>
      </c>
      <c r="V52" s="635">
        <f>IF(Select2=1,Nappies!$W54,"")</f>
        <v>0</v>
      </c>
      <c r="W52" s="643">
        <f>IF(Select2=1,Garden!$W54,"")</f>
        <v>0</v>
      </c>
      <c r="X52" s="635">
        <f>IF(Select2=1,Wood!$W54,"")</f>
        <v>6.7402002286452234E-3</v>
      </c>
      <c r="Y52" s="643">
        <f>IF(Select2=1,Textiles!$W54,"")</f>
        <v>1.5102656722784009E-3</v>
      </c>
      <c r="Z52" s="637">
        <f>Sludge!W54</f>
        <v>0</v>
      </c>
      <c r="AA52" s="637" t="str">
        <f>IF(Select2=2,MSW!$W54,"")</f>
        <v/>
      </c>
      <c r="AB52" s="644">
        <f>Industry!$W54</f>
        <v>0</v>
      </c>
      <c r="AC52" s="645">
        <f t="shared" si="4"/>
        <v>2.8821852802084987E-2</v>
      </c>
      <c r="AD52" s="646">
        <f>Recovery_OX!R47</f>
        <v>0</v>
      </c>
      <c r="AE52" s="605"/>
      <c r="AF52" s="649">
        <f>(AC52-AD52)*(1-Recovery_OX!U47)</f>
        <v>2.8821852802084987E-2</v>
      </c>
    </row>
    <row r="53" spans="2:32">
      <c r="B53" s="597">
        <f t="shared" si="1"/>
        <v>2036</v>
      </c>
      <c r="C53" s="642">
        <f>IF(Select2=1,Food!$K55,"")</f>
        <v>8.5614761355783248E-3</v>
      </c>
      <c r="D53" s="643">
        <f>IF(Select2=1,Paper!$K55,"")</f>
        <v>5.427162117948043E-3</v>
      </c>
      <c r="E53" s="635">
        <f>IF(Select2=1,Nappies!$K55,"")</f>
        <v>7.3421972159193752E-3</v>
      </c>
      <c r="F53" s="643">
        <f>IF(Select2=1,Garden!$K55,"")</f>
        <v>0</v>
      </c>
      <c r="G53" s="635">
        <f>IF(Select2=1,Wood!$K55,"")</f>
        <v>0</v>
      </c>
      <c r="H53" s="643">
        <f>IF(Select2=1,Textiles!$K55,"")</f>
        <v>1.2849481710642406E-3</v>
      </c>
      <c r="I53" s="644">
        <f>Sludge!K55</f>
        <v>0</v>
      </c>
      <c r="J53" s="644" t="str">
        <f>IF(Select2=2,MSW!$K55,"")</f>
        <v/>
      </c>
      <c r="K53" s="644">
        <f>Industry!$K55</f>
        <v>0</v>
      </c>
      <c r="L53" s="645">
        <f t="shared" si="3"/>
        <v>2.2615783640509982E-2</v>
      </c>
      <c r="M53" s="646">
        <f>Recovery_OX!C48</f>
        <v>0</v>
      </c>
      <c r="N53" s="605"/>
      <c r="O53" s="647">
        <f>(L53-M53)*(1-Recovery_OX!F48)</f>
        <v>2.2615783640509982E-2</v>
      </c>
      <c r="P53" s="604"/>
      <c r="Q53" s="606"/>
      <c r="S53" s="648">
        <f t="shared" si="2"/>
        <v>2036</v>
      </c>
      <c r="T53" s="642">
        <f>IF(Select2=1,Food!$W55,"")</f>
        <v>5.728017039860608E-3</v>
      </c>
      <c r="U53" s="643">
        <f>IF(Select2=1,Paper!$W55,"")</f>
        <v>1.1213144871793481E-2</v>
      </c>
      <c r="V53" s="635">
        <f>IF(Select2=1,Nappies!$W55,"")</f>
        <v>0</v>
      </c>
      <c r="W53" s="643">
        <f>IF(Select2=1,Garden!$W55,"")</f>
        <v>0</v>
      </c>
      <c r="X53" s="635">
        <f>IF(Select2=1,Wood!$W55,"")</f>
        <v>6.5083738474403154E-3</v>
      </c>
      <c r="Y53" s="643">
        <f>IF(Select2=1,Textiles!$W55,"")</f>
        <v>1.4081623792484834E-3</v>
      </c>
      <c r="Z53" s="637">
        <f>Sludge!W55</f>
        <v>0</v>
      </c>
      <c r="AA53" s="637" t="str">
        <f>IF(Select2=2,MSW!$W55,"")</f>
        <v/>
      </c>
      <c r="AB53" s="644">
        <f>Industry!$W55</f>
        <v>0</v>
      </c>
      <c r="AC53" s="645">
        <f t="shared" si="4"/>
        <v>2.485769813834289E-2</v>
      </c>
      <c r="AD53" s="646">
        <f>Recovery_OX!R48</f>
        <v>0</v>
      </c>
      <c r="AE53" s="605"/>
      <c r="AF53" s="649">
        <f>(AC53-AD53)*(1-Recovery_OX!U48)</f>
        <v>2.485769813834289E-2</v>
      </c>
    </row>
    <row r="54" spans="2:32">
      <c r="B54" s="597">
        <f t="shared" si="1"/>
        <v>2037</v>
      </c>
      <c r="C54" s="642">
        <f>IF(Select2=1,Food!$K56,"")</f>
        <v>5.7389290773338895E-3</v>
      </c>
      <c r="D54" s="643">
        <f>IF(Select2=1,Paper!$K56,"")</f>
        <v>5.060252418402432E-3</v>
      </c>
      <c r="E54" s="635">
        <f>IF(Select2=1,Nappies!$K56,"")</f>
        <v>6.1943534675830986E-3</v>
      </c>
      <c r="F54" s="643">
        <f>IF(Select2=1,Garden!$K56,"")</f>
        <v>0</v>
      </c>
      <c r="G54" s="635">
        <f>IF(Select2=1,Wood!$K56,"")</f>
        <v>0</v>
      </c>
      <c r="H54" s="643">
        <f>IF(Select2=1,Textiles!$K56,"")</f>
        <v>1.1980777335997492E-3</v>
      </c>
      <c r="I54" s="644">
        <f>Sludge!K56</f>
        <v>0</v>
      </c>
      <c r="J54" s="644" t="str">
        <f>IF(Select2=2,MSW!$K56,"")</f>
        <v/>
      </c>
      <c r="K54" s="644">
        <f>Industry!$K56</f>
        <v>0</v>
      </c>
      <c r="L54" s="645">
        <f t="shared" si="3"/>
        <v>1.8191612696919171E-2</v>
      </c>
      <c r="M54" s="646">
        <f>Recovery_OX!C49</f>
        <v>0</v>
      </c>
      <c r="N54" s="605"/>
      <c r="O54" s="647">
        <f>(L54-M54)*(1-Recovery_OX!F49)</f>
        <v>1.8191612696919171E-2</v>
      </c>
      <c r="P54" s="604"/>
      <c r="Q54" s="606"/>
      <c r="S54" s="648">
        <f t="shared" si="2"/>
        <v>2037</v>
      </c>
      <c r="T54" s="642">
        <f>IF(Select2=1,Food!$W56,"")</f>
        <v>3.83960464585229E-3</v>
      </c>
      <c r="U54" s="643">
        <f>IF(Select2=1,Paper!$W56,"")</f>
        <v>1.0455066980170315E-2</v>
      </c>
      <c r="V54" s="635">
        <f>IF(Select2=1,Nappies!$W56,"")</f>
        <v>0</v>
      </c>
      <c r="W54" s="643">
        <f>IF(Select2=1,Garden!$W56,"")</f>
        <v>0</v>
      </c>
      <c r="X54" s="635">
        <f>IF(Select2=1,Wood!$W56,"")</f>
        <v>6.2845210381174636E-3</v>
      </c>
      <c r="Y54" s="643">
        <f>IF(Select2=1,Textiles!$W56,"")</f>
        <v>1.3129618998353417E-3</v>
      </c>
      <c r="Z54" s="637">
        <f>Sludge!W56</f>
        <v>0</v>
      </c>
      <c r="AA54" s="637" t="str">
        <f>IF(Select2=2,MSW!$W56,"")</f>
        <v/>
      </c>
      <c r="AB54" s="644">
        <f>Industry!$W56</f>
        <v>0</v>
      </c>
      <c r="AC54" s="645">
        <f t="shared" si="4"/>
        <v>2.1892154563975412E-2</v>
      </c>
      <c r="AD54" s="646">
        <f>Recovery_OX!R49</f>
        <v>0</v>
      </c>
      <c r="AE54" s="605"/>
      <c r="AF54" s="649">
        <f>(AC54-AD54)*(1-Recovery_OX!U49)</f>
        <v>2.1892154563975412E-2</v>
      </c>
    </row>
    <row r="55" spans="2:32">
      <c r="B55" s="597">
        <f t="shared" si="1"/>
        <v>2038</v>
      </c>
      <c r="C55" s="642">
        <f>IF(Select2=1,Food!$K57,"")</f>
        <v>3.8469192033137216E-3</v>
      </c>
      <c r="D55" s="643">
        <f>IF(Select2=1,Paper!$K57,"")</f>
        <v>4.7181480820825562E-3</v>
      </c>
      <c r="E55" s="635">
        <f>IF(Select2=1,Nappies!$K57,"")</f>
        <v>5.2259580821616691E-3</v>
      </c>
      <c r="F55" s="643">
        <f>IF(Select2=1,Garden!$K57,"")</f>
        <v>0</v>
      </c>
      <c r="G55" s="635">
        <f>IF(Select2=1,Wood!$K57,"")</f>
        <v>0</v>
      </c>
      <c r="H55" s="643">
        <f>IF(Select2=1,Textiles!$K57,"")</f>
        <v>1.1170802745753313E-3</v>
      </c>
      <c r="I55" s="644">
        <f>Sludge!K57</f>
        <v>0</v>
      </c>
      <c r="J55" s="644" t="str">
        <f>IF(Select2=2,MSW!$K57,"")</f>
        <v/>
      </c>
      <c r="K55" s="644">
        <f>Industry!$K57</f>
        <v>0</v>
      </c>
      <c r="L55" s="645">
        <f t="shared" si="3"/>
        <v>1.4908105642133278E-2</v>
      </c>
      <c r="M55" s="646">
        <f>Recovery_OX!C50</f>
        <v>0</v>
      </c>
      <c r="N55" s="605"/>
      <c r="O55" s="647">
        <f>(L55-M55)*(1-Recovery_OX!F50)</f>
        <v>1.4908105642133278E-2</v>
      </c>
      <c r="P55" s="604"/>
      <c r="Q55" s="606"/>
      <c r="S55" s="648">
        <f t="shared" si="2"/>
        <v>2038</v>
      </c>
      <c r="T55" s="642">
        <f>IF(Select2=1,Food!$W57,"")</f>
        <v>2.5737639629663618E-3</v>
      </c>
      <c r="U55" s="643">
        <f>IF(Select2=1,Paper!$W57,"")</f>
        <v>9.7482398390135484E-3</v>
      </c>
      <c r="V55" s="635">
        <f>IF(Select2=1,Nappies!$W57,"")</f>
        <v>0</v>
      </c>
      <c r="W55" s="643">
        <f>IF(Select2=1,Garden!$W57,"")</f>
        <v>0</v>
      </c>
      <c r="X55" s="635">
        <f>IF(Select2=1,Wood!$W57,"")</f>
        <v>6.0683675529908474E-3</v>
      </c>
      <c r="Y55" s="643">
        <f>IF(Select2=1,Textiles!$W57,"")</f>
        <v>1.2241975611784455E-3</v>
      </c>
      <c r="Z55" s="637">
        <f>Sludge!W57</f>
        <v>0</v>
      </c>
      <c r="AA55" s="637" t="str">
        <f>IF(Select2=2,MSW!$W57,"")</f>
        <v/>
      </c>
      <c r="AB55" s="644">
        <f>Industry!$W57</f>
        <v>0</v>
      </c>
      <c r="AC55" s="645">
        <f t="shared" si="4"/>
        <v>1.9614568916149204E-2</v>
      </c>
      <c r="AD55" s="646">
        <f>Recovery_OX!R50</f>
        <v>0</v>
      </c>
      <c r="AE55" s="605"/>
      <c r="AF55" s="649">
        <f>(AC55-AD55)*(1-Recovery_OX!U50)</f>
        <v>1.9614568916149204E-2</v>
      </c>
    </row>
    <row r="56" spans="2:32">
      <c r="B56" s="597">
        <f t="shared" si="1"/>
        <v>2039</v>
      </c>
      <c r="C56" s="642">
        <f>IF(Select2=1,Food!$K58,"")</f>
        <v>2.5786670574606384E-3</v>
      </c>
      <c r="D56" s="643">
        <f>IF(Select2=1,Paper!$K58,"")</f>
        <v>4.399172113134878E-3</v>
      </c>
      <c r="E56" s="635">
        <f>IF(Select2=1,Nappies!$K58,"")</f>
        <v>4.4089569669273129E-3</v>
      </c>
      <c r="F56" s="643">
        <f>IF(Select2=1,Garden!$K58,"")</f>
        <v>0</v>
      </c>
      <c r="G56" s="635">
        <f>IF(Select2=1,Wood!$K58,"")</f>
        <v>0</v>
      </c>
      <c r="H56" s="643">
        <f>IF(Select2=1,Textiles!$K58,"")</f>
        <v>1.0415587443528785E-3</v>
      </c>
      <c r="I56" s="644">
        <f>Sludge!K58</f>
        <v>0</v>
      </c>
      <c r="J56" s="644" t="str">
        <f>IF(Select2=2,MSW!$K58,"")</f>
        <v/>
      </c>
      <c r="K56" s="644">
        <f>Industry!$K58</f>
        <v>0</v>
      </c>
      <c r="L56" s="645">
        <f t="shared" si="3"/>
        <v>1.2428354881875707E-2</v>
      </c>
      <c r="M56" s="646">
        <f>Recovery_OX!C51</f>
        <v>0</v>
      </c>
      <c r="N56" s="605"/>
      <c r="O56" s="647">
        <f>(L56-M56)*(1-Recovery_OX!F51)</f>
        <v>1.2428354881875707E-2</v>
      </c>
      <c r="P56" s="604"/>
      <c r="Q56" s="606"/>
      <c r="S56" s="648">
        <f t="shared" si="2"/>
        <v>2039</v>
      </c>
      <c r="T56" s="642">
        <f>IF(Select2=1,Food!$W58,"")</f>
        <v>1.7252455781404813E-3</v>
      </c>
      <c r="U56" s="643">
        <f>IF(Select2=1,Paper!$W58,"")</f>
        <v>9.0891985808571885E-3</v>
      </c>
      <c r="V56" s="635">
        <f>IF(Select2=1,Nappies!$W58,"")</f>
        <v>0</v>
      </c>
      <c r="W56" s="643">
        <f>IF(Select2=1,Garden!$W58,"")</f>
        <v>0</v>
      </c>
      <c r="X56" s="635">
        <f>IF(Select2=1,Wood!$W58,"")</f>
        <v>5.8596485770096374E-3</v>
      </c>
      <c r="Y56" s="643">
        <f>IF(Select2=1,Textiles!$W58,"")</f>
        <v>1.1414342403867166E-3</v>
      </c>
      <c r="Z56" s="637">
        <f>Sludge!W58</f>
        <v>0</v>
      </c>
      <c r="AA56" s="637" t="str">
        <f>IF(Select2=2,MSW!$W58,"")</f>
        <v/>
      </c>
      <c r="AB56" s="644">
        <f>Industry!$W58</f>
        <v>0</v>
      </c>
      <c r="AC56" s="645">
        <f t="shared" si="4"/>
        <v>1.7815526976394026E-2</v>
      </c>
      <c r="AD56" s="646">
        <f>Recovery_OX!R51</f>
        <v>0</v>
      </c>
      <c r="AE56" s="605"/>
      <c r="AF56" s="649">
        <f>(AC56-AD56)*(1-Recovery_OX!U51)</f>
        <v>1.7815526976394026E-2</v>
      </c>
    </row>
    <row r="57" spans="2:32">
      <c r="B57" s="597">
        <f t="shared" si="1"/>
        <v>2040</v>
      </c>
      <c r="C57" s="642">
        <f>IF(Select2=1,Food!$K59,"")</f>
        <v>1.7285322206676019E-3</v>
      </c>
      <c r="D57" s="643">
        <f>IF(Select2=1,Paper!$K59,"")</f>
        <v>4.1017608909895515E-3</v>
      </c>
      <c r="E57" s="635">
        <f>IF(Select2=1,Nappies!$K59,"")</f>
        <v>3.71968187088408E-3</v>
      </c>
      <c r="F57" s="643">
        <f>IF(Select2=1,Garden!$K59,"")</f>
        <v>0</v>
      </c>
      <c r="G57" s="635">
        <f>IF(Select2=1,Wood!$K59,"")</f>
        <v>0</v>
      </c>
      <c r="H57" s="643">
        <f>IF(Select2=1,Textiles!$K59,"")</f>
        <v>9.7114293630362364E-4</v>
      </c>
      <c r="I57" s="644">
        <f>Sludge!K59</f>
        <v>0</v>
      </c>
      <c r="J57" s="644" t="str">
        <f>IF(Select2=2,MSW!$K59,"")</f>
        <v/>
      </c>
      <c r="K57" s="644">
        <f>Industry!$K59</f>
        <v>0</v>
      </c>
      <c r="L57" s="645">
        <f t="shared" si="3"/>
        <v>1.0521117918844858E-2</v>
      </c>
      <c r="M57" s="646">
        <f>Recovery_OX!C52</f>
        <v>0</v>
      </c>
      <c r="N57" s="605"/>
      <c r="O57" s="647">
        <f>(L57-M57)*(1-Recovery_OX!F52)</f>
        <v>1.0521117918844858E-2</v>
      </c>
      <c r="P57" s="604"/>
      <c r="Q57" s="606"/>
      <c r="S57" s="648">
        <f t="shared" si="2"/>
        <v>2040</v>
      </c>
      <c r="T57" s="642">
        <f>IF(Select2=1,Food!$W59,"")</f>
        <v>1.1564666953619105E-3</v>
      </c>
      <c r="U57" s="643">
        <f>IF(Select2=1,Paper!$W59,"")</f>
        <v>8.4747125846891588E-3</v>
      </c>
      <c r="V57" s="635">
        <f>IF(Select2=1,Nappies!$W59,"")</f>
        <v>0</v>
      </c>
      <c r="W57" s="643">
        <f>IF(Select2=1,Garden!$W59,"")</f>
        <v>0</v>
      </c>
      <c r="X57" s="635">
        <f>IF(Select2=1,Wood!$W59,"")</f>
        <v>5.658108403326448E-3</v>
      </c>
      <c r="Y57" s="643">
        <f>IF(Select2=1,Textiles!$W59,"")</f>
        <v>1.0642662315656151E-3</v>
      </c>
      <c r="Z57" s="637">
        <f>Sludge!W59</f>
        <v>0</v>
      </c>
      <c r="AA57" s="637" t="str">
        <f>IF(Select2=2,MSW!$W59,"")</f>
        <v/>
      </c>
      <c r="AB57" s="644">
        <f>Industry!$W59</f>
        <v>0</v>
      </c>
      <c r="AC57" s="645">
        <f t="shared" si="4"/>
        <v>1.6353553914943132E-2</v>
      </c>
      <c r="AD57" s="646">
        <f>Recovery_OX!R52</f>
        <v>0</v>
      </c>
      <c r="AE57" s="605"/>
      <c r="AF57" s="649">
        <f>(AC57-AD57)*(1-Recovery_OX!U52)</f>
        <v>1.6353553914943132E-2</v>
      </c>
    </row>
    <row r="58" spans="2:32">
      <c r="B58" s="597">
        <f t="shared" si="1"/>
        <v>2041</v>
      </c>
      <c r="C58" s="642">
        <f>IF(Select2=1,Food!$K60,"")</f>
        <v>1.1586697977319926E-3</v>
      </c>
      <c r="D58" s="643">
        <f>IF(Select2=1,Paper!$K60,"")</f>
        <v>3.8244565054905738E-3</v>
      </c>
      <c r="E58" s="635">
        <f>IF(Select2=1,Nappies!$K60,"")</f>
        <v>3.1381647233963109E-3</v>
      </c>
      <c r="F58" s="643">
        <f>IF(Select2=1,Garden!$K60,"")</f>
        <v>0</v>
      </c>
      <c r="G58" s="635">
        <f>IF(Select2=1,Wood!$K60,"")</f>
        <v>0</v>
      </c>
      <c r="H58" s="643">
        <f>IF(Select2=1,Textiles!$K60,"")</f>
        <v>9.0548767205481464E-4</v>
      </c>
      <c r="I58" s="644">
        <f>Sludge!K60</f>
        <v>0</v>
      </c>
      <c r="J58" s="644" t="str">
        <f>IF(Select2=2,MSW!$K60,"")</f>
        <v/>
      </c>
      <c r="K58" s="644">
        <f>Industry!$K60</f>
        <v>0</v>
      </c>
      <c r="L58" s="645">
        <f t="shared" si="3"/>
        <v>9.026778698673691E-3</v>
      </c>
      <c r="M58" s="646">
        <f>Recovery_OX!C53</f>
        <v>0</v>
      </c>
      <c r="N58" s="605"/>
      <c r="O58" s="647">
        <f>(L58-M58)*(1-Recovery_OX!F53)</f>
        <v>9.026778698673691E-3</v>
      </c>
      <c r="P58" s="604"/>
      <c r="Q58" s="606"/>
      <c r="S58" s="648">
        <f t="shared" si="2"/>
        <v>2041</v>
      </c>
      <c r="T58" s="642">
        <f>IF(Select2=1,Food!$W60,"")</f>
        <v>7.7520280847367961E-4</v>
      </c>
      <c r="U58" s="643">
        <f>IF(Select2=1,Paper!$W60,"")</f>
        <v>7.9017696394433363E-3</v>
      </c>
      <c r="V58" s="635">
        <f>IF(Select2=1,Nappies!$W60,"")</f>
        <v>0</v>
      </c>
      <c r="W58" s="643">
        <f>IF(Select2=1,Garden!$W60,"")</f>
        <v>0</v>
      </c>
      <c r="X58" s="635">
        <f>IF(Select2=1,Wood!$W60,"")</f>
        <v>5.46350012002447E-3</v>
      </c>
      <c r="Y58" s="643">
        <f>IF(Select2=1,Textiles!$W60,"")</f>
        <v>9.9231525704637238E-4</v>
      </c>
      <c r="Z58" s="637">
        <f>Sludge!W60</f>
        <v>0</v>
      </c>
      <c r="AA58" s="637" t="str">
        <f>IF(Select2=2,MSW!$W60,"")</f>
        <v/>
      </c>
      <c r="AB58" s="644">
        <f>Industry!$W60</f>
        <v>0</v>
      </c>
      <c r="AC58" s="645">
        <f t="shared" si="4"/>
        <v>1.5132787824987859E-2</v>
      </c>
      <c r="AD58" s="646">
        <f>Recovery_OX!R53</f>
        <v>0</v>
      </c>
      <c r="AE58" s="605"/>
      <c r="AF58" s="649">
        <f>(AC58-AD58)*(1-Recovery_OX!U53)</f>
        <v>1.5132787824987859E-2</v>
      </c>
    </row>
    <row r="59" spans="2:32">
      <c r="B59" s="597">
        <f t="shared" si="1"/>
        <v>2042</v>
      </c>
      <c r="C59" s="642">
        <f>IF(Select2=1,Food!$K61,"")</f>
        <v>7.7667959215581425E-4</v>
      </c>
      <c r="D59" s="643">
        <f>IF(Select2=1,Paper!$K61,"")</f>
        <v>3.5658996102185107E-3</v>
      </c>
      <c r="E59" s="635">
        <f>IF(Select2=1,Nappies!$K61,"")</f>
        <v>2.6475591658133898E-3</v>
      </c>
      <c r="F59" s="643">
        <f>IF(Select2=1,Garden!$K61,"")</f>
        <v>0</v>
      </c>
      <c r="G59" s="635">
        <f>IF(Select2=1,Wood!$K61,"")</f>
        <v>0</v>
      </c>
      <c r="H59" s="643">
        <f>IF(Select2=1,Textiles!$K61,"")</f>
        <v>8.4427110942493304E-4</v>
      </c>
      <c r="I59" s="644">
        <f>Sludge!K61</f>
        <v>0</v>
      </c>
      <c r="J59" s="644" t="str">
        <f>IF(Select2=2,MSW!$K61,"")</f>
        <v/>
      </c>
      <c r="K59" s="644">
        <f>Industry!$K61</f>
        <v>0</v>
      </c>
      <c r="L59" s="645">
        <f t="shared" si="3"/>
        <v>7.8344094776126479E-3</v>
      </c>
      <c r="M59" s="646">
        <f>Recovery_OX!C54</f>
        <v>0</v>
      </c>
      <c r="N59" s="605"/>
      <c r="O59" s="647">
        <f>(L59-M59)*(1-Recovery_OX!F54)</f>
        <v>7.8344094776126479E-3</v>
      </c>
      <c r="P59" s="604"/>
      <c r="Q59" s="606"/>
      <c r="S59" s="648">
        <f t="shared" si="2"/>
        <v>2042</v>
      </c>
      <c r="T59" s="642">
        <f>IF(Select2=1,Food!$W61,"")</f>
        <v>5.1963398226303375E-4</v>
      </c>
      <c r="U59" s="643">
        <f>IF(Select2=1,Paper!$W61,"")</f>
        <v>7.3675611781374205E-3</v>
      </c>
      <c r="V59" s="635">
        <f>IF(Select2=1,Nappies!$W61,"")</f>
        <v>0</v>
      </c>
      <c r="W59" s="643">
        <f>IF(Select2=1,Garden!$W61,"")</f>
        <v>0</v>
      </c>
      <c r="X59" s="635">
        <f>IF(Select2=1,Wood!$W61,"")</f>
        <v>5.2755853076194925E-3</v>
      </c>
      <c r="Y59" s="643">
        <f>IF(Select2=1,Textiles!$W61,"")</f>
        <v>9.2522861306842008E-4</v>
      </c>
      <c r="Z59" s="637">
        <f>Sludge!W61</f>
        <v>0</v>
      </c>
      <c r="AA59" s="637" t="str">
        <f>IF(Select2=2,MSW!$W61,"")</f>
        <v/>
      </c>
      <c r="AB59" s="644">
        <f>Industry!$W61</f>
        <v>0</v>
      </c>
      <c r="AC59" s="645">
        <f t="shared" si="4"/>
        <v>1.4088009081088369E-2</v>
      </c>
      <c r="AD59" s="646">
        <f>Recovery_OX!R54</f>
        <v>0</v>
      </c>
      <c r="AE59" s="605"/>
      <c r="AF59" s="649">
        <f>(AC59-AD59)*(1-Recovery_OX!U54)</f>
        <v>1.4088009081088369E-2</v>
      </c>
    </row>
    <row r="60" spans="2:32">
      <c r="B60" s="597">
        <f t="shared" si="1"/>
        <v>2043</v>
      </c>
      <c r="C60" s="642">
        <f>IF(Select2=1,Food!$K62,"")</f>
        <v>5.206238999688269E-4</v>
      </c>
      <c r="D60" s="643">
        <f>IF(Select2=1,Paper!$K62,"")</f>
        <v>3.3248227589727699E-3</v>
      </c>
      <c r="E60" s="635">
        <f>IF(Select2=1,Nappies!$K62,"")</f>
        <v>2.2336525180540277E-3</v>
      </c>
      <c r="F60" s="643">
        <f>IF(Select2=1,Garden!$K62,"")</f>
        <v>0</v>
      </c>
      <c r="G60" s="635">
        <f>IF(Select2=1,Wood!$K62,"")</f>
        <v>0</v>
      </c>
      <c r="H60" s="643">
        <f>IF(Select2=1,Textiles!$K62,"")</f>
        <v>7.8719316475294615E-4</v>
      </c>
      <c r="I60" s="644">
        <f>Sludge!K62</f>
        <v>0</v>
      </c>
      <c r="J60" s="644" t="str">
        <f>IF(Select2=2,MSW!$K62,"")</f>
        <v/>
      </c>
      <c r="K60" s="644">
        <f>Industry!$K62</f>
        <v>0</v>
      </c>
      <c r="L60" s="645">
        <f t="shared" si="3"/>
        <v>6.8662923417485699E-3</v>
      </c>
      <c r="M60" s="646">
        <f>Recovery_OX!C55</f>
        <v>0</v>
      </c>
      <c r="N60" s="605"/>
      <c r="O60" s="647">
        <f>(L60-M60)*(1-Recovery_OX!F55)</f>
        <v>6.8662923417485699E-3</v>
      </c>
      <c r="P60" s="604"/>
      <c r="Q60" s="606"/>
      <c r="S60" s="648">
        <f t="shared" si="2"/>
        <v>2043</v>
      </c>
      <c r="T60" s="642">
        <f>IF(Select2=1,Food!$W62,"")</f>
        <v>3.483210749122394E-4</v>
      </c>
      <c r="U60" s="643">
        <f>IF(Select2=1,Paper!$W62,"")</f>
        <v>6.8694685102743177E-3</v>
      </c>
      <c r="V60" s="635">
        <f>IF(Select2=1,Nappies!$W62,"")</f>
        <v>0</v>
      </c>
      <c r="W60" s="643">
        <f>IF(Select2=1,Garden!$W62,"")</f>
        <v>0</v>
      </c>
      <c r="X60" s="635">
        <f>IF(Select2=1,Wood!$W62,"")</f>
        <v>5.0941337469662222E-3</v>
      </c>
      <c r="Y60" s="643">
        <f>IF(Select2=1,Textiles!$W62,"")</f>
        <v>8.6267744082514685E-4</v>
      </c>
      <c r="Z60" s="637">
        <f>Sludge!W62</f>
        <v>0</v>
      </c>
      <c r="AA60" s="637" t="str">
        <f>IF(Select2=2,MSW!$W62,"")</f>
        <v/>
      </c>
      <c r="AB60" s="644">
        <f>Industry!$W62</f>
        <v>0</v>
      </c>
      <c r="AC60" s="645">
        <f t="shared" si="4"/>
        <v>1.3174600772977926E-2</v>
      </c>
      <c r="AD60" s="646">
        <f>Recovery_OX!R55</f>
        <v>0</v>
      </c>
      <c r="AE60" s="605"/>
      <c r="AF60" s="649">
        <f>(AC60-AD60)*(1-Recovery_OX!U55)</f>
        <v>1.3174600772977926E-2</v>
      </c>
    </row>
    <row r="61" spans="2:32">
      <c r="B61" s="597">
        <f t="shared" si="1"/>
        <v>2044</v>
      </c>
      <c r="C61" s="642">
        <f>IF(Select2=1,Food!$K63,"")</f>
        <v>3.4898463659435817E-4</v>
      </c>
      <c r="D61" s="643">
        <f>IF(Select2=1,Paper!$K63,"")</f>
        <v>3.1000441927488548E-3</v>
      </c>
      <c r="E61" s="635">
        <f>IF(Select2=1,Nappies!$K63,"")</f>
        <v>1.884454041984102E-3</v>
      </c>
      <c r="F61" s="643">
        <f>IF(Select2=1,Garden!$K63,"")</f>
        <v>0</v>
      </c>
      <c r="G61" s="635">
        <f>IF(Select2=1,Wood!$K63,"")</f>
        <v>0</v>
      </c>
      <c r="H61" s="643">
        <f>IF(Select2=1,Textiles!$K63,"")</f>
        <v>7.33974041887852E-4</v>
      </c>
      <c r="I61" s="644">
        <f>Sludge!K63</f>
        <v>0</v>
      </c>
      <c r="J61" s="644" t="str">
        <f>IF(Select2=2,MSW!$K63,"")</f>
        <v/>
      </c>
      <c r="K61" s="644">
        <f>Industry!$K63</f>
        <v>0</v>
      </c>
      <c r="L61" s="645">
        <f t="shared" si="3"/>
        <v>6.0674569132151664E-3</v>
      </c>
      <c r="M61" s="646">
        <f>Recovery_OX!C56</f>
        <v>0</v>
      </c>
      <c r="N61" s="605"/>
      <c r="O61" s="647">
        <f>(L61-M61)*(1-Recovery_OX!F56)</f>
        <v>6.0674569132151664E-3</v>
      </c>
      <c r="P61" s="604"/>
      <c r="Q61" s="606"/>
      <c r="S61" s="648">
        <f t="shared" si="2"/>
        <v>2044</v>
      </c>
      <c r="T61" s="642">
        <f>IF(Select2=1,Food!$W63,"")</f>
        <v>2.3348659897035572E-4</v>
      </c>
      <c r="U61" s="643">
        <f>IF(Select2=1,Paper!$W63,"")</f>
        <v>6.4050499850182956E-3</v>
      </c>
      <c r="V61" s="635">
        <f>IF(Select2=1,Nappies!$W63,"")</f>
        <v>0</v>
      </c>
      <c r="W61" s="643">
        <f>IF(Select2=1,Garden!$W63,"")</f>
        <v>0</v>
      </c>
      <c r="X61" s="635">
        <f>IF(Select2=1,Wood!$W63,"")</f>
        <v>4.9189231372110355E-3</v>
      </c>
      <c r="Y61" s="643">
        <f>IF(Select2=1,Textiles!$W63,"")</f>
        <v>8.0435511439764639E-4</v>
      </c>
      <c r="Z61" s="637">
        <f>Sludge!W63</f>
        <v>0</v>
      </c>
      <c r="AA61" s="637" t="str">
        <f>IF(Select2=2,MSW!$W63,"")</f>
        <v/>
      </c>
      <c r="AB61" s="644">
        <f>Industry!$W63</f>
        <v>0</v>
      </c>
      <c r="AC61" s="645">
        <f t="shared" si="4"/>
        <v>1.2361814835597333E-2</v>
      </c>
      <c r="AD61" s="646">
        <f>Recovery_OX!R56</f>
        <v>0</v>
      </c>
      <c r="AE61" s="605"/>
      <c r="AF61" s="649">
        <f>(AC61-AD61)*(1-Recovery_OX!U56)</f>
        <v>1.2361814835597333E-2</v>
      </c>
    </row>
    <row r="62" spans="2:32">
      <c r="B62" s="597">
        <f t="shared" si="1"/>
        <v>2045</v>
      </c>
      <c r="C62" s="642">
        <f>IF(Select2=1,Food!$K64,"")</f>
        <v>2.3393139766766103E-4</v>
      </c>
      <c r="D62" s="643">
        <f>IF(Select2=1,Paper!$K64,"")</f>
        <v>2.8904620467543564E-3</v>
      </c>
      <c r="E62" s="635">
        <f>IF(Select2=1,Nappies!$K64,"")</f>
        <v>1.5898475737148314E-3</v>
      </c>
      <c r="F62" s="643">
        <f>IF(Select2=1,Garden!$K64,"")</f>
        <v>0</v>
      </c>
      <c r="G62" s="635">
        <f>IF(Select2=1,Wood!$K64,"")</f>
        <v>0</v>
      </c>
      <c r="H62" s="643">
        <f>IF(Select2=1,Textiles!$K64,"")</f>
        <v>6.8435286062762282E-4</v>
      </c>
      <c r="I62" s="644">
        <f>Sludge!K64</f>
        <v>0</v>
      </c>
      <c r="J62" s="644" t="str">
        <f>IF(Select2=2,MSW!$K64,"")</f>
        <v/>
      </c>
      <c r="K62" s="644">
        <f>Industry!$K64</f>
        <v>0</v>
      </c>
      <c r="L62" s="645">
        <f t="shared" si="3"/>
        <v>5.3985938787644719E-3</v>
      </c>
      <c r="M62" s="646">
        <f>Recovery_OX!C57</f>
        <v>0</v>
      </c>
      <c r="N62" s="605"/>
      <c r="O62" s="647">
        <f>(L62-M62)*(1-Recovery_OX!F57)</f>
        <v>5.3985938787644719E-3</v>
      </c>
      <c r="P62" s="604"/>
      <c r="Q62" s="606"/>
      <c r="S62" s="648">
        <f t="shared" si="2"/>
        <v>2045</v>
      </c>
      <c r="T62" s="642">
        <f>IF(Select2=1,Food!$W64,"")</f>
        <v>1.565107477705137E-4</v>
      </c>
      <c r="U62" s="643">
        <f>IF(Select2=1,Paper!$W64,"")</f>
        <v>5.9720290222197445E-3</v>
      </c>
      <c r="V62" s="635">
        <f>IF(Select2=1,Nappies!$W64,"")</f>
        <v>0</v>
      </c>
      <c r="W62" s="643">
        <f>IF(Select2=1,Garden!$W64,"")</f>
        <v>0</v>
      </c>
      <c r="X62" s="635">
        <f>IF(Select2=1,Wood!$W64,"")</f>
        <v>4.7497388234456362E-3</v>
      </c>
      <c r="Y62" s="643">
        <f>IF(Select2=1,Textiles!$W64,"")</f>
        <v>7.4997573767410751E-4</v>
      </c>
      <c r="Z62" s="637">
        <f>Sludge!W64</f>
        <v>0</v>
      </c>
      <c r="AA62" s="637" t="str">
        <f>IF(Select2=2,MSW!$W64,"")</f>
        <v/>
      </c>
      <c r="AB62" s="644">
        <f>Industry!$W64</f>
        <v>0</v>
      </c>
      <c r="AC62" s="645">
        <f t="shared" si="4"/>
        <v>1.1628254331110002E-2</v>
      </c>
      <c r="AD62" s="646">
        <f>Recovery_OX!R57</f>
        <v>0</v>
      </c>
      <c r="AE62" s="605"/>
      <c r="AF62" s="649">
        <f>(AC62-AD62)*(1-Recovery_OX!U57)</f>
        <v>1.1628254331110002E-2</v>
      </c>
    </row>
    <row r="63" spans="2:32">
      <c r="B63" s="597">
        <f t="shared" si="1"/>
        <v>2046</v>
      </c>
      <c r="C63" s="642">
        <f>IF(Select2=1,Food!$K65,"")</f>
        <v>1.5680890525376798E-4</v>
      </c>
      <c r="D63" s="643">
        <f>IF(Select2=1,Paper!$K65,"")</f>
        <v>2.6950489490664602E-3</v>
      </c>
      <c r="E63" s="635">
        <f>IF(Select2=1,Nappies!$K65,"")</f>
        <v>1.3412984616943289E-3</v>
      </c>
      <c r="F63" s="643">
        <f>IF(Select2=1,Garden!$K65,"")</f>
        <v>0</v>
      </c>
      <c r="G63" s="635">
        <f>IF(Select2=1,Wood!$K65,"")</f>
        <v>0</v>
      </c>
      <c r="H63" s="643">
        <f>IF(Select2=1,Textiles!$K65,"")</f>
        <v>6.380863778841523E-4</v>
      </c>
      <c r="I63" s="644">
        <f>Sludge!K65</f>
        <v>0</v>
      </c>
      <c r="J63" s="644" t="str">
        <f>IF(Select2=2,MSW!$K65,"")</f>
        <v/>
      </c>
      <c r="K63" s="644">
        <f>Industry!$K65</f>
        <v>0</v>
      </c>
      <c r="L63" s="645">
        <f t="shared" si="3"/>
        <v>4.8312426938987088E-3</v>
      </c>
      <c r="M63" s="646">
        <f>Recovery_OX!C58</f>
        <v>0</v>
      </c>
      <c r="N63" s="605"/>
      <c r="O63" s="647">
        <f>(L63-M63)*(1-Recovery_OX!F58)</f>
        <v>4.8312426938987088E-3</v>
      </c>
      <c r="P63" s="604"/>
      <c r="Q63" s="606"/>
      <c r="S63" s="648">
        <f t="shared" si="2"/>
        <v>2046</v>
      </c>
      <c r="T63" s="642">
        <f>IF(Select2=1,Food!$W65,"")</f>
        <v>1.0491229165060307E-4</v>
      </c>
      <c r="U63" s="643">
        <f>IF(Select2=1,Paper!$W65,"")</f>
        <v>5.5682829526166539E-3</v>
      </c>
      <c r="V63" s="635">
        <f>IF(Select2=1,Nappies!$W65,"")</f>
        <v>0</v>
      </c>
      <c r="W63" s="643">
        <f>IF(Select2=1,Garden!$W65,"")</f>
        <v>0</v>
      </c>
      <c r="X63" s="635">
        <f>IF(Select2=1,Wood!$W65,"")</f>
        <v>4.5863735337279476E-3</v>
      </c>
      <c r="Y63" s="643">
        <f>IF(Select2=1,Textiles!$W65,"")</f>
        <v>6.9927274288674249E-4</v>
      </c>
      <c r="Z63" s="637">
        <f>Sludge!W65</f>
        <v>0</v>
      </c>
      <c r="AA63" s="637" t="str">
        <f>IF(Select2=2,MSW!$W65,"")</f>
        <v/>
      </c>
      <c r="AB63" s="644">
        <f>Industry!$W65</f>
        <v>0</v>
      </c>
      <c r="AC63" s="645">
        <f t="shared" si="4"/>
        <v>1.0958841520881947E-2</v>
      </c>
      <c r="AD63" s="646">
        <f>Recovery_OX!R58</f>
        <v>0</v>
      </c>
      <c r="AE63" s="605"/>
      <c r="AF63" s="649">
        <f>(AC63-AD63)*(1-Recovery_OX!U58)</f>
        <v>1.0958841520881947E-2</v>
      </c>
    </row>
    <row r="64" spans="2:32">
      <c r="B64" s="597">
        <f t="shared" si="1"/>
        <v>2047</v>
      </c>
      <c r="C64" s="642">
        <f>IF(Select2=1,Food!$K66,"")</f>
        <v>1.0511215258850396E-4</v>
      </c>
      <c r="D64" s="643">
        <f>IF(Select2=1,Paper!$K66,"")</f>
        <v>2.5128469844535881E-3</v>
      </c>
      <c r="E64" s="635">
        <f>IF(Select2=1,Nappies!$K66,"")</f>
        <v>1.1316063206863577E-3</v>
      </c>
      <c r="F64" s="643">
        <f>IF(Select2=1,Garden!$K66,"")</f>
        <v>0</v>
      </c>
      <c r="G64" s="635">
        <f>IF(Select2=1,Wood!$K66,"")</f>
        <v>0</v>
      </c>
      <c r="H64" s="643">
        <f>IF(Select2=1,Textiles!$K66,"")</f>
        <v>5.9494779530535507E-4</v>
      </c>
      <c r="I64" s="644">
        <f>Sludge!K66</f>
        <v>0</v>
      </c>
      <c r="J64" s="644" t="str">
        <f>IF(Select2=2,MSW!$K66,"")</f>
        <v/>
      </c>
      <c r="K64" s="644">
        <f>Industry!$K66</f>
        <v>0</v>
      </c>
      <c r="L64" s="645">
        <f t="shared" si="3"/>
        <v>4.3445132530338043E-3</v>
      </c>
      <c r="M64" s="646">
        <f>Recovery_OX!C59</f>
        <v>0</v>
      </c>
      <c r="N64" s="605"/>
      <c r="O64" s="647">
        <f>(L64-M64)*(1-Recovery_OX!F59)</f>
        <v>4.3445132530338043E-3</v>
      </c>
      <c r="P64" s="604"/>
      <c r="Q64" s="606"/>
      <c r="S64" s="648">
        <f t="shared" si="2"/>
        <v>2047</v>
      </c>
      <c r="T64" s="642">
        <f>IF(Select2=1,Food!$W66,"")</f>
        <v>7.0324812168936663E-5</v>
      </c>
      <c r="U64" s="643">
        <f>IF(Select2=1,Paper!$W66,"")</f>
        <v>5.1918326125074141E-3</v>
      </c>
      <c r="V64" s="635">
        <f>IF(Select2=1,Nappies!$W66,"")</f>
        <v>0</v>
      </c>
      <c r="W64" s="643">
        <f>IF(Select2=1,Garden!$W66,"")</f>
        <v>0</v>
      </c>
      <c r="X64" s="635">
        <f>IF(Select2=1,Wood!$W66,"")</f>
        <v>4.4286271251480613E-3</v>
      </c>
      <c r="Y64" s="643">
        <f>IF(Select2=1,Textiles!$W66,"")</f>
        <v>6.5199758389627993E-4</v>
      </c>
      <c r="Z64" s="637">
        <f>Sludge!W66</f>
        <v>0</v>
      </c>
      <c r="AA64" s="637" t="str">
        <f>IF(Select2=2,MSW!$W66,"")</f>
        <v/>
      </c>
      <c r="AB64" s="644">
        <f>Industry!$W66</f>
        <v>0</v>
      </c>
      <c r="AC64" s="645">
        <f t="shared" si="4"/>
        <v>1.0342782133720693E-2</v>
      </c>
      <c r="AD64" s="646">
        <f>Recovery_OX!R59</f>
        <v>0</v>
      </c>
      <c r="AE64" s="605"/>
      <c r="AF64" s="649">
        <f>(AC64-AD64)*(1-Recovery_OX!U59)</f>
        <v>1.0342782133720693E-2</v>
      </c>
    </row>
    <row r="65" spans="2:32">
      <c r="B65" s="597">
        <f t="shared" si="1"/>
        <v>2048</v>
      </c>
      <c r="C65" s="642">
        <f>IF(Select2=1,Food!$K67,"")</f>
        <v>7.0458782962031115E-5</v>
      </c>
      <c r="D65" s="643">
        <f>IF(Select2=1,Paper!$K67,"")</f>
        <v>2.3429629986738243E-3</v>
      </c>
      <c r="E65" s="635">
        <f>IF(Select2=1,Nappies!$K67,"")</f>
        <v>9.5469643900116463E-4</v>
      </c>
      <c r="F65" s="643">
        <f>IF(Select2=1,Garden!$K67,"")</f>
        <v>0</v>
      </c>
      <c r="G65" s="635">
        <f>IF(Select2=1,Wood!$K67,"")</f>
        <v>0</v>
      </c>
      <c r="H65" s="643">
        <f>IF(Select2=1,Textiles!$K67,"")</f>
        <v>5.5472564750938232E-4</v>
      </c>
      <c r="I65" s="644">
        <f>Sludge!K67</f>
        <v>0</v>
      </c>
      <c r="J65" s="644" t="str">
        <f>IF(Select2=2,MSW!$K67,"")</f>
        <v/>
      </c>
      <c r="K65" s="644">
        <f>Industry!$K67</f>
        <v>0</v>
      </c>
      <c r="L65" s="645">
        <f t="shared" si="3"/>
        <v>3.9228438681464025E-3</v>
      </c>
      <c r="M65" s="646">
        <f>Recovery_OX!C60</f>
        <v>0</v>
      </c>
      <c r="N65" s="605"/>
      <c r="O65" s="647">
        <f>(L65-M65)*(1-Recovery_OX!F60)</f>
        <v>3.9228438681464025E-3</v>
      </c>
      <c r="P65" s="604"/>
      <c r="Q65" s="606"/>
      <c r="S65" s="648">
        <f t="shared" si="2"/>
        <v>2048</v>
      </c>
      <c r="T65" s="642">
        <f>IF(Select2=1,Food!$W67,"")</f>
        <v>4.7140131330529309E-5</v>
      </c>
      <c r="U65" s="643">
        <f>IF(Select2=1,Paper!$W67,"")</f>
        <v>4.8408326418880668E-3</v>
      </c>
      <c r="V65" s="635">
        <f>IF(Select2=1,Nappies!$W67,"")</f>
        <v>0</v>
      </c>
      <c r="W65" s="643">
        <f>IF(Select2=1,Garden!$W67,"")</f>
        <v>0</v>
      </c>
      <c r="X65" s="635">
        <f>IF(Select2=1,Wood!$W67,"")</f>
        <v>4.2763063386281434E-3</v>
      </c>
      <c r="Y65" s="643">
        <f>IF(Select2=1,Textiles!$W67,"")</f>
        <v>6.0791851781850134E-4</v>
      </c>
      <c r="Z65" s="637">
        <f>Sludge!W67</f>
        <v>0</v>
      </c>
      <c r="AA65" s="637" t="str">
        <f>IF(Select2=2,MSW!$W67,"")</f>
        <v/>
      </c>
      <c r="AB65" s="644">
        <f>Industry!$W67</f>
        <v>0</v>
      </c>
      <c r="AC65" s="645">
        <f t="shared" si="4"/>
        <v>9.7721976296652399E-3</v>
      </c>
      <c r="AD65" s="646">
        <f>Recovery_OX!R60</f>
        <v>0</v>
      </c>
      <c r="AE65" s="605"/>
      <c r="AF65" s="649">
        <f>(AC65-AD65)*(1-Recovery_OX!U60)</f>
        <v>9.7721976296652399E-3</v>
      </c>
    </row>
    <row r="66" spans="2:32">
      <c r="B66" s="597">
        <f t="shared" si="1"/>
        <v>2049</v>
      </c>
      <c r="C66" s="642">
        <f>IF(Select2=1,Food!$K68,"")</f>
        <v>4.7229934638723821E-5</v>
      </c>
      <c r="D66" s="643">
        <f>IF(Select2=1,Paper!$K68,"")</f>
        <v>2.1845642202317824E-3</v>
      </c>
      <c r="E66" s="635">
        <f>IF(Select2=1,Nappies!$K68,"")</f>
        <v>8.054437961151382E-4</v>
      </c>
      <c r="F66" s="643">
        <f>IF(Select2=1,Garden!$K68,"")</f>
        <v>0</v>
      </c>
      <c r="G66" s="635">
        <f>IF(Select2=1,Wood!$K68,"")</f>
        <v>0</v>
      </c>
      <c r="H66" s="643">
        <f>IF(Select2=1,Textiles!$K68,"")</f>
        <v>5.1722276548107351E-4</v>
      </c>
      <c r="I66" s="644">
        <f>Sludge!K68</f>
        <v>0</v>
      </c>
      <c r="J66" s="644" t="str">
        <f>IF(Select2=2,MSW!$K68,"")</f>
        <v/>
      </c>
      <c r="K66" s="644">
        <f>Industry!$K68</f>
        <v>0</v>
      </c>
      <c r="L66" s="645">
        <f t="shared" si="3"/>
        <v>3.5544607164667177E-3</v>
      </c>
      <c r="M66" s="646">
        <f>Recovery_OX!C61</f>
        <v>0</v>
      </c>
      <c r="N66" s="605"/>
      <c r="O66" s="647">
        <f>(L66-M66)*(1-Recovery_OX!F61)</f>
        <v>3.5544607164667177E-3</v>
      </c>
      <c r="P66" s="604"/>
      <c r="Q66" s="606"/>
      <c r="S66" s="648">
        <f t="shared" si="2"/>
        <v>2049</v>
      </c>
      <c r="T66" s="642">
        <f>IF(Select2=1,Food!$W68,"")</f>
        <v>3.1598975003606489E-5</v>
      </c>
      <c r="U66" s="643">
        <f>IF(Select2=1,Paper!$W68,"")</f>
        <v>4.5135624384954175E-3</v>
      </c>
      <c r="V66" s="635">
        <f>IF(Select2=1,Nappies!$W68,"")</f>
        <v>0</v>
      </c>
      <c r="W66" s="643">
        <f>IF(Select2=1,Garden!$W68,"")</f>
        <v>0</v>
      </c>
      <c r="X66" s="635">
        <f>IF(Select2=1,Wood!$W68,"")</f>
        <v>4.1292245621558981E-3</v>
      </c>
      <c r="Y66" s="643">
        <f>IF(Select2=1,Textiles!$W68,"")</f>
        <v>5.6681946902035476E-4</v>
      </c>
      <c r="Z66" s="637">
        <f>Sludge!W68</f>
        <v>0</v>
      </c>
      <c r="AA66" s="637" t="str">
        <f>IF(Select2=2,MSW!$W68,"")</f>
        <v/>
      </c>
      <c r="AB66" s="644">
        <f>Industry!$W68</f>
        <v>0</v>
      </c>
      <c r="AC66" s="645">
        <f t="shared" si="4"/>
        <v>9.2412054446752764E-3</v>
      </c>
      <c r="AD66" s="646">
        <f>Recovery_OX!R61</f>
        <v>0</v>
      </c>
      <c r="AE66" s="605"/>
      <c r="AF66" s="649">
        <f>(AC66-AD66)*(1-Recovery_OX!U61)</f>
        <v>9.2412054446752764E-3</v>
      </c>
    </row>
    <row r="67" spans="2:32">
      <c r="B67" s="597">
        <f t="shared" si="1"/>
        <v>2050</v>
      </c>
      <c r="C67" s="642">
        <f>IF(Select2=1,Food!$K69,"")</f>
        <v>3.1659171961289585E-5</v>
      </c>
      <c r="D67" s="643">
        <f>IF(Select2=1,Paper!$K69,"")</f>
        <v>2.0368741781317708E-3</v>
      </c>
      <c r="E67" s="635">
        <f>IF(Select2=1,Nappies!$K69,"")</f>
        <v>6.7952459252817315E-4</v>
      </c>
      <c r="F67" s="643">
        <f>IF(Select2=1,Garden!$K69,"")</f>
        <v>0</v>
      </c>
      <c r="G67" s="635">
        <f>IF(Select2=1,Wood!$K69,"")</f>
        <v>0</v>
      </c>
      <c r="H67" s="643">
        <f>IF(Select2=1,Textiles!$K69,"")</f>
        <v>4.8225531004921662E-4</v>
      </c>
      <c r="I67" s="644">
        <f>Sludge!K69</f>
        <v>0</v>
      </c>
      <c r="J67" s="644" t="str">
        <f>IF(Select2=2,MSW!$K69,"")</f>
        <v/>
      </c>
      <c r="K67" s="644">
        <f>Industry!$K69</f>
        <v>0</v>
      </c>
      <c r="L67" s="645">
        <f t="shared" si="3"/>
        <v>3.2303132526704504E-3</v>
      </c>
      <c r="M67" s="646">
        <f>Recovery_OX!C62</f>
        <v>0</v>
      </c>
      <c r="N67" s="605"/>
      <c r="O67" s="647">
        <f>(L67-M67)*(1-Recovery_OX!F62)</f>
        <v>3.2303132526704504E-3</v>
      </c>
      <c r="P67" s="604"/>
      <c r="Q67" s="606"/>
      <c r="S67" s="648">
        <f t="shared" si="2"/>
        <v>2050</v>
      </c>
      <c r="T67" s="642">
        <f>IF(Select2=1,Food!$W69,"")</f>
        <v>2.1181426379096519E-5</v>
      </c>
      <c r="U67" s="643">
        <f>IF(Select2=1,Paper!$W69,"")</f>
        <v>4.2084177234127497E-3</v>
      </c>
      <c r="V67" s="635">
        <f>IF(Select2=1,Nappies!$W69,"")</f>
        <v>0</v>
      </c>
      <c r="W67" s="643">
        <f>IF(Select2=1,Garden!$W69,"")</f>
        <v>0</v>
      </c>
      <c r="X67" s="635">
        <f>IF(Select2=1,Wood!$W69,"")</f>
        <v>3.9872016021615135E-3</v>
      </c>
      <c r="Y67" s="643">
        <f>IF(Select2=1,Textiles!$W69,"")</f>
        <v>5.2849896991694989E-4</v>
      </c>
      <c r="Z67" s="637">
        <f>Sludge!W69</f>
        <v>0</v>
      </c>
      <c r="AA67" s="637" t="str">
        <f>IF(Select2=2,MSW!$W69,"")</f>
        <v/>
      </c>
      <c r="AB67" s="644">
        <f>Industry!$W69</f>
        <v>0</v>
      </c>
      <c r="AC67" s="645">
        <f t="shared" si="4"/>
        <v>8.7452997218703098E-3</v>
      </c>
      <c r="AD67" s="646">
        <f>Recovery_OX!R62</f>
        <v>0</v>
      </c>
      <c r="AE67" s="605"/>
      <c r="AF67" s="649">
        <f>(AC67-AD67)*(1-Recovery_OX!U62)</f>
        <v>8.7452997218703098E-3</v>
      </c>
    </row>
    <row r="68" spans="2:32">
      <c r="B68" s="597">
        <f t="shared" si="1"/>
        <v>2051</v>
      </c>
      <c r="C68" s="642">
        <f>IF(Select2=1,Food!$K70,"")</f>
        <v>2.122177760654186E-5</v>
      </c>
      <c r="D68" s="643">
        <f>IF(Select2=1,Paper!$K70,"")</f>
        <v>1.8991688956160708E-3</v>
      </c>
      <c r="E68" s="635">
        <f>IF(Select2=1,Nappies!$K70,"")</f>
        <v>5.7329099072801358E-4</v>
      </c>
      <c r="F68" s="643">
        <f>IF(Select2=1,Garden!$K70,"")</f>
        <v>0</v>
      </c>
      <c r="G68" s="635">
        <f>IF(Select2=1,Wood!$K70,"")</f>
        <v>0</v>
      </c>
      <c r="H68" s="643">
        <f>IF(Select2=1,Textiles!$K70,"")</f>
        <v>4.4965187070671655E-4</v>
      </c>
      <c r="I68" s="644">
        <f>Sludge!K70</f>
        <v>0</v>
      </c>
      <c r="J68" s="644" t="str">
        <f>IF(Select2=2,MSW!$K70,"")</f>
        <v/>
      </c>
      <c r="K68" s="644">
        <f>Industry!$K70</f>
        <v>0</v>
      </c>
      <c r="L68" s="645">
        <f t="shared" si="3"/>
        <v>2.9433335346573429E-3</v>
      </c>
      <c r="M68" s="646">
        <f>Recovery_OX!C63</f>
        <v>0</v>
      </c>
      <c r="N68" s="605"/>
      <c r="O68" s="647">
        <f>(L68-M68)*(1-Recovery_OX!F63)</f>
        <v>2.9433335346573429E-3</v>
      </c>
      <c r="P68" s="604"/>
      <c r="Q68" s="606"/>
      <c r="S68" s="648">
        <f t="shared" si="2"/>
        <v>2051</v>
      </c>
      <c r="T68" s="642">
        <f>IF(Select2=1,Food!$W70,"")</f>
        <v>1.4198334705536484E-5</v>
      </c>
      <c r="U68" s="643">
        <f>IF(Select2=1,Paper!$W70,"")</f>
        <v>3.9239026768927085E-3</v>
      </c>
      <c r="V68" s="635">
        <f>IF(Select2=1,Nappies!$W70,"")</f>
        <v>0</v>
      </c>
      <c r="W68" s="643">
        <f>IF(Select2=1,Garden!$W70,"")</f>
        <v>0</v>
      </c>
      <c r="X68" s="635">
        <f>IF(Select2=1,Wood!$W70,"")</f>
        <v>3.8500634627580037E-3</v>
      </c>
      <c r="Y68" s="643">
        <f>IF(Select2=1,Textiles!$W70,"")</f>
        <v>4.9276917337722371E-4</v>
      </c>
      <c r="Z68" s="637">
        <f>Sludge!W70</f>
        <v>0</v>
      </c>
      <c r="AA68" s="637" t="str">
        <f>IF(Select2=2,MSW!$W70,"")</f>
        <v/>
      </c>
      <c r="AB68" s="644">
        <f>Industry!$W70</f>
        <v>0</v>
      </c>
      <c r="AC68" s="645">
        <f t="shared" si="4"/>
        <v>8.2809336477334718E-3</v>
      </c>
      <c r="AD68" s="646">
        <f>Recovery_OX!R63</f>
        <v>0</v>
      </c>
      <c r="AE68" s="605"/>
      <c r="AF68" s="649">
        <f>(AC68-AD68)*(1-Recovery_OX!U63)</f>
        <v>8.2809336477334718E-3</v>
      </c>
    </row>
    <row r="69" spans="2:32">
      <c r="B69" s="597">
        <f t="shared" si="1"/>
        <v>2052</v>
      </c>
      <c r="C69" s="642">
        <f>IF(Select2=1,Food!$K71,"")</f>
        <v>1.4225382942175239E-5</v>
      </c>
      <c r="D69" s="643">
        <f>IF(Select2=1,Paper!$K71,"")</f>
        <v>1.7707733412300295E-3</v>
      </c>
      <c r="E69" s="635">
        <f>IF(Select2=1,Nappies!$K71,"")</f>
        <v>4.8366543854890871E-4</v>
      </c>
      <c r="F69" s="643">
        <f>IF(Select2=1,Garden!$K71,"")</f>
        <v>0</v>
      </c>
      <c r="G69" s="635">
        <f>IF(Select2=1,Wood!$K71,"")</f>
        <v>0</v>
      </c>
      <c r="H69" s="643">
        <f>IF(Select2=1,Textiles!$K71,"")</f>
        <v>4.1925262535609108E-4</v>
      </c>
      <c r="I69" s="644">
        <f>Sludge!K71</f>
        <v>0</v>
      </c>
      <c r="J69" s="644" t="str">
        <f>IF(Select2=2,MSW!$K71,"")</f>
        <v/>
      </c>
      <c r="K69" s="644">
        <f>Industry!$K71</f>
        <v>0</v>
      </c>
      <c r="L69" s="645">
        <f t="shared" si="3"/>
        <v>2.6879167880772045E-3</v>
      </c>
      <c r="M69" s="646">
        <f>Recovery_OX!C64</f>
        <v>0</v>
      </c>
      <c r="N69" s="605"/>
      <c r="O69" s="647">
        <f>(L69-M69)*(1-Recovery_OX!F64)</f>
        <v>2.6879167880772045E-3</v>
      </c>
      <c r="P69" s="604"/>
      <c r="Q69" s="606"/>
      <c r="S69" s="648">
        <f t="shared" si="2"/>
        <v>2052</v>
      </c>
      <c r="T69" s="642">
        <f>IF(Select2=1,Food!$W71,"")</f>
        <v>9.5174283734446305E-6</v>
      </c>
      <c r="U69" s="643">
        <f>IF(Select2=1,Paper!$W71,"")</f>
        <v>3.6586226058471683E-3</v>
      </c>
      <c r="V69" s="635">
        <f>IF(Select2=1,Nappies!$W71,"")</f>
        <v>0</v>
      </c>
      <c r="W69" s="643">
        <f>IF(Select2=1,Garden!$W71,"")</f>
        <v>0</v>
      </c>
      <c r="X69" s="635">
        <f>IF(Select2=1,Wood!$W71,"")</f>
        <v>3.7176421325744902E-3</v>
      </c>
      <c r="Y69" s="643">
        <f>IF(Select2=1,Textiles!$W71,"")</f>
        <v>4.5945493189708617E-4</v>
      </c>
      <c r="Z69" s="637">
        <f>Sludge!W71</f>
        <v>0</v>
      </c>
      <c r="AA69" s="637" t="str">
        <f>IF(Select2=2,MSW!$W71,"")</f>
        <v/>
      </c>
      <c r="AB69" s="644">
        <f>Industry!$W71</f>
        <v>0</v>
      </c>
      <c r="AC69" s="645">
        <f t="shared" si="4"/>
        <v>7.8452370986921878E-3</v>
      </c>
      <c r="AD69" s="646">
        <f>Recovery_OX!R64</f>
        <v>0</v>
      </c>
      <c r="AE69" s="605"/>
      <c r="AF69" s="649">
        <f>(AC69-AD69)*(1-Recovery_OX!U64)</f>
        <v>7.8452370986921878E-3</v>
      </c>
    </row>
    <row r="70" spans="2:32">
      <c r="B70" s="597">
        <f t="shared" si="1"/>
        <v>2053</v>
      </c>
      <c r="C70" s="642">
        <f>IF(Select2=1,Food!$K72,"")</f>
        <v>9.5355593486735048E-6</v>
      </c>
      <c r="D70" s="643">
        <f>IF(Select2=1,Paper!$K72,"")</f>
        <v>1.6510581198170863E-3</v>
      </c>
      <c r="E70" s="635">
        <f>IF(Select2=1,Nappies!$K72,"")</f>
        <v>4.0805151350737452E-4</v>
      </c>
      <c r="F70" s="643">
        <f>IF(Select2=1,Garden!$K72,"")</f>
        <v>0</v>
      </c>
      <c r="G70" s="635">
        <f>IF(Select2=1,Wood!$K72,"")</f>
        <v>0</v>
      </c>
      <c r="H70" s="643">
        <f>IF(Select2=1,Textiles!$K72,"")</f>
        <v>3.9090855686136321E-4</v>
      </c>
      <c r="I70" s="644">
        <f>Sludge!K72</f>
        <v>0</v>
      </c>
      <c r="J70" s="644" t="str">
        <f>IF(Select2=2,MSW!$K72,"")</f>
        <v/>
      </c>
      <c r="K70" s="644">
        <f>Industry!$K72</f>
        <v>0</v>
      </c>
      <c r="L70" s="645">
        <f t="shared" si="3"/>
        <v>2.4595537495344976E-3</v>
      </c>
      <c r="M70" s="646">
        <f>Recovery_OX!C65</f>
        <v>0</v>
      </c>
      <c r="N70" s="605"/>
      <c r="O70" s="647">
        <f>(L70-M70)*(1-Recovery_OX!F65)</f>
        <v>2.4595537495344976E-3</v>
      </c>
      <c r="P70" s="604"/>
      <c r="Q70" s="606"/>
      <c r="S70" s="648">
        <f t="shared" si="2"/>
        <v>2053</v>
      </c>
      <c r="T70" s="642">
        <f>IF(Select2=1,Food!$W72,"")</f>
        <v>6.3797230254283048E-6</v>
      </c>
      <c r="U70" s="643">
        <f>IF(Select2=1,Paper!$W72,"")</f>
        <v>3.4112771070600959E-3</v>
      </c>
      <c r="V70" s="635">
        <f>IF(Select2=1,Nappies!$W72,"")</f>
        <v>0</v>
      </c>
      <c r="W70" s="643">
        <f>IF(Select2=1,Garden!$W72,"")</f>
        <v>0</v>
      </c>
      <c r="X70" s="635">
        <f>IF(Select2=1,Wood!$W72,"")</f>
        <v>3.5897753789212576E-3</v>
      </c>
      <c r="Y70" s="643">
        <f>IF(Select2=1,Textiles!$W72,"")</f>
        <v>4.2839293902615147E-4</v>
      </c>
      <c r="Z70" s="637">
        <f>Sludge!W72</f>
        <v>0</v>
      </c>
      <c r="AA70" s="637" t="str">
        <f>IF(Select2=2,MSW!$W72,"")</f>
        <v/>
      </c>
      <c r="AB70" s="644">
        <f>Industry!$W72</f>
        <v>0</v>
      </c>
      <c r="AC70" s="645">
        <f t="shared" si="4"/>
        <v>7.4358251480329332E-3</v>
      </c>
      <c r="AD70" s="646">
        <f>Recovery_OX!R65</f>
        <v>0</v>
      </c>
      <c r="AE70" s="605"/>
      <c r="AF70" s="649">
        <f>(AC70-AD70)*(1-Recovery_OX!U65)</f>
        <v>7.4358251480329332E-3</v>
      </c>
    </row>
    <row r="71" spans="2:32">
      <c r="B71" s="597">
        <f t="shared" si="1"/>
        <v>2054</v>
      </c>
      <c r="C71" s="642">
        <f>IF(Select2=1,Food!$K73,"")</f>
        <v>6.391876581578395E-6</v>
      </c>
      <c r="D71" s="643">
        <f>IF(Select2=1,Paper!$K73,"")</f>
        <v>1.5394363872229858E-3</v>
      </c>
      <c r="E71" s="635">
        <f>IF(Select2=1,Nappies!$K73,"")</f>
        <v>3.4425870530507591E-4</v>
      </c>
      <c r="F71" s="643">
        <f>IF(Select2=1,Garden!$K73,"")</f>
        <v>0</v>
      </c>
      <c r="G71" s="635">
        <f>IF(Select2=1,Wood!$K73,"")</f>
        <v>0</v>
      </c>
      <c r="H71" s="643">
        <f>IF(Select2=1,Textiles!$K73,"")</f>
        <v>3.6448072256588796E-4</v>
      </c>
      <c r="I71" s="644">
        <f>Sludge!K73</f>
        <v>0</v>
      </c>
      <c r="J71" s="644" t="str">
        <f>IF(Select2=2,MSW!$K73,"")</f>
        <v/>
      </c>
      <c r="K71" s="644">
        <f>Industry!$K73</f>
        <v>0</v>
      </c>
      <c r="L71" s="645">
        <f t="shared" si="3"/>
        <v>2.2545676916755283E-3</v>
      </c>
      <c r="M71" s="646">
        <f>Recovery_OX!C66</f>
        <v>0</v>
      </c>
      <c r="N71" s="605"/>
      <c r="O71" s="647">
        <f>(L71-M71)*(1-Recovery_OX!F66)</f>
        <v>2.2545676916755283E-3</v>
      </c>
      <c r="P71" s="604"/>
      <c r="Q71" s="606"/>
      <c r="S71" s="648">
        <f t="shared" si="2"/>
        <v>2054</v>
      </c>
      <c r="T71" s="642">
        <f>IF(Select2=1,Food!$W73,"")</f>
        <v>4.2764562320997298E-6</v>
      </c>
      <c r="U71" s="643">
        <f>IF(Select2=1,Paper!$W73,"")</f>
        <v>3.1806536926094753E-3</v>
      </c>
      <c r="V71" s="635">
        <f>IF(Select2=1,Nappies!$W73,"")</f>
        <v>0</v>
      </c>
      <c r="W71" s="643">
        <f>IF(Select2=1,Garden!$W73,"")</f>
        <v>0</v>
      </c>
      <c r="X71" s="635">
        <f>IF(Select2=1,Wood!$W73,"")</f>
        <v>3.4663065490344244E-3</v>
      </c>
      <c r="Y71" s="643">
        <f>IF(Select2=1,Textiles!$W73,"")</f>
        <v>3.9943092883932933E-4</v>
      </c>
      <c r="Z71" s="637">
        <f>Sludge!W73</f>
        <v>0</v>
      </c>
      <c r="AA71" s="637" t="str">
        <f>IF(Select2=2,MSW!$W73,"")</f>
        <v/>
      </c>
      <c r="AB71" s="644">
        <f>Industry!$W73</f>
        <v>0</v>
      </c>
      <c r="AC71" s="645">
        <f t="shared" si="4"/>
        <v>7.050667626715329E-3</v>
      </c>
      <c r="AD71" s="646">
        <f>Recovery_OX!R66</f>
        <v>0</v>
      </c>
      <c r="AE71" s="605"/>
      <c r="AF71" s="649">
        <f>(AC71-AD71)*(1-Recovery_OX!U66)</f>
        <v>7.050667626715329E-3</v>
      </c>
    </row>
    <row r="72" spans="2:32">
      <c r="B72" s="597">
        <f t="shared" si="1"/>
        <v>2055</v>
      </c>
      <c r="C72" s="642">
        <f>IF(Select2=1,Food!$K74,"")</f>
        <v>4.284603004417754E-6</v>
      </c>
      <c r="D72" s="643">
        <f>IF(Select2=1,Paper!$K74,"")</f>
        <v>1.4353609735850523E-3</v>
      </c>
      <c r="E72" s="635">
        <f>IF(Select2=1,Nappies!$K74,"")</f>
        <v>2.9043895747291537E-4</v>
      </c>
      <c r="F72" s="643">
        <f>IF(Select2=1,Garden!$K74,"")</f>
        <v>0</v>
      </c>
      <c r="G72" s="635">
        <f>IF(Select2=1,Wood!$K74,"")</f>
        <v>0</v>
      </c>
      <c r="H72" s="643">
        <f>IF(Select2=1,Textiles!$K74,"")</f>
        <v>3.3983957319528842E-4</v>
      </c>
      <c r="I72" s="644">
        <f>Sludge!K74</f>
        <v>0</v>
      </c>
      <c r="J72" s="644" t="str">
        <f>IF(Select2=2,MSW!$K74,"")</f>
        <v/>
      </c>
      <c r="K72" s="644">
        <f>Industry!$K74</f>
        <v>0</v>
      </c>
      <c r="L72" s="645">
        <f t="shared" si="3"/>
        <v>2.0699241072576736E-3</v>
      </c>
      <c r="M72" s="646">
        <f>Recovery_OX!C67</f>
        <v>0</v>
      </c>
      <c r="N72" s="605"/>
      <c r="O72" s="647">
        <f>(L72-M72)*(1-Recovery_OX!F67)</f>
        <v>2.0699241072576736E-3</v>
      </c>
      <c r="P72" s="604"/>
      <c r="Q72" s="606"/>
      <c r="S72" s="648">
        <f t="shared" si="2"/>
        <v>2055</v>
      </c>
      <c r="T72" s="642">
        <f>IF(Select2=1,Food!$W74,"")</f>
        <v>2.8665943383704873E-6</v>
      </c>
      <c r="U72" s="643">
        <f>IF(Select2=1,Paper!$W74,"")</f>
        <v>2.9656218462501085E-3</v>
      </c>
      <c r="V72" s="635">
        <f>IF(Select2=1,Nappies!$W74,"")</f>
        <v>0</v>
      </c>
      <c r="W72" s="643">
        <f>IF(Select2=1,Garden!$W74,"")</f>
        <v>0</v>
      </c>
      <c r="X72" s="635">
        <f>IF(Select2=1,Wood!$W74,"")</f>
        <v>3.3470843781567136E-3</v>
      </c>
      <c r="Y72" s="643">
        <f>IF(Select2=1,Textiles!$W74,"")</f>
        <v>3.7242692952908324E-4</v>
      </c>
      <c r="Z72" s="637">
        <f>Sludge!W74</f>
        <v>0</v>
      </c>
      <c r="AA72" s="637" t="str">
        <f>IF(Select2=2,MSW!$W74,"")</f>
        <v/>
      </c>
      <c r="AB72" s="644">
        <f>Industry!$W74</f>
        <v>0</v>
      </c>
      <c r="AC72" s="645">
        <f t="shared" si="4"/>
        <v>6.6879997482742759E-3</v>
      </c>
      <c r="AD72" s="646">
        <f>Recovery_OX!R67</f>
        <v>0</v>
      </c>
      <c r="AE72" s="605"/>
      <c r="AF72" s="649">
        <f>(AC72-AD72)*(1-Recovery_OX!U67)</f>
        <v>6.6879997482742759E-3</v>
      </c>
    </row>
    <row r="73" spans="2:32">
      <c r="B73" s="597">
        <f t="shared" si="1"/>
        <v>2056</v>
      </c>
      <c r="C73" s="642">
        <f>IF(Select2=1,Food!$K75,"")</f>
        <v>2.8720552831657471E-6</v>
      </c>
      <c r="D73" s="643">
        <f>IF(Select2=1,Paper!$K75,"")</f>
        <v>1.3383217011048879E-3</v>
      </c>
      <c r="E73" s="635">
        <f>IF(Select2=1,Nappies!$K75,"")</f>
        <v>2.4503312978883205E-4</v>
      </c>
      <c r="F73" s="643">
        <f>IF(Select2=1,Garden!$K75,"")</f>
        <v>0</v>
      </c>
      <c r="G73" s="635">
        <f>IF(Select2=1,Wood!$K75,"")</f>
        <v>0</v>
      </c>
      <c r="H73" s="643">
        <f>IF(Select2=1,Textiles!$K75,"")</f>
        <v>3.1686431780676206E-4</v>
      </c>
      <c r="I73" s="644">
        <f>Sludge!K75</f>
        <v>0</v>
      </c>
      <c r="J73" s="644" t="str">
        <f>IF(Select2=2,MSW!$K75,"")</f>
        <v/>
      </c>
      <c r="K73" s="644">
        <f>Industry!$K75</f>
        <v>0</v>
      </c>
      <c r="L73" s="645">
        <f t="shared" si="3"/>
        <v>1.9030912039836477E-3</v>
      </c>
      <c r="M73" s="646">
        <f>Recovery_OX!C68</f>
        <v>0</v>
      </c>
      <c r="N73" s="605"/>
      <c r="O73" s="647">
        <f>(L73-M73)*(1-Recovery_OX!F68)</f>
        <v>1.9030912039836477E-3</v>
      </c>
      <c r="P73" s="604"/>
      <c r="Q73" s="606"/>
      <c r="S73" s="648">
        <f t="shared" si="2"/>
        <v>2056</v>
      </c>
      <c r="T73" s="642">
        <f>IF(Select2=1,Food!$W75,"")</f>
        <v>1.9215356488620079E-6</v>
      </c>
      <c r="U73" s="643">
        <f>IF(Select2=1,Paper!$W75,"")</f>
        <v>2.7651274816216697E-3</v>
      </c>
      <c r="V73" s="635">
        <f>IF(Select2=1,Nappies!$W75,"")</f>
        <v>0</v>
      </c>
      <c r="W73" s="643">
        <f>IF(Select2=1,Garden!$W75,"")</f>
        <v>0</v>
      </c>
      <c r="X73" s="635">
        <f>IF(Select2=1,Wood!$W75,"")</f>
        <v>3.2319628042192117E-3</v>
      </c>
      <c r="Y73" s="643">
        <f>IF(Select2=1,Textiles!$W75,"")</f>
        <v>3.4724856745946536E-4</v>
      </c>
      <c r="Z73" s="637">
        <f>Sludge!W75</f>
        <v>0</v>
      </c>
      <c r="AA73" s="637" t="str">
        <f>IF(Select2=2,MSW!$W75,"")</f>
        <v/>
      </c>
      <c r="AB73" s="644">
        <f>Industry!$W75</f>
        <v>0</v>
      </c>
      <c r="AC73" s="645">
        <f t="shared" si="4"/>
        <v>6.3462603889492082E-3</v>
      </c>
      <c r="AD73" s="646">
        <f>Recovery_OX!R68</f>
        <v>0</v>
      </c>
      <c r="AE73" s="605"/>
      <c r="AF73" s="649">
        <f>(AC73-AD73)*(1-Recovery_OX!U68)</f>
        <v>6.3462603889492082E-3</v>
      </c>
    </row>
    <row r="74" spans="2:32">
      <c r="B74" s="597">
        <f t="shared" si="1"/>
        <v>2057</v>
      </c>
      <c r="C74" s="642">
        <f>IF(Select2=1,Food!$K76,"")</f>
        <v>1.9251962296285649E-6</v>
      </c>
      <c r="D74" s="643">
        <f>IF(Select2=1,Paper!$K76,"")</f>
        <v>1.2478428831562132E-3</v>
      </c>
      <c r="E74" s="635">
        <f>IF(Select2=1,Nappies!$K76,"")</f>
        <v>2.0672583050333288E-4</v>
      </c>
      <c r="F74" s="643">
        <f>IF(Select2=1,Garden!$K76,"")</f>
        <v>0</v>
      </c>
      <c r="G74" s="635">
        <f>IF(Select2=1,Wood!$K76,"")</f>
        <v>0</v>
      </c>
      <c r="H74" s="643">
        <f>IF(Select2=1,Textiles!$K76,"")</f>
        <v>2.9544233167173926E-4</v>
      </c>
      <c r="I74" s="644">
        <f>Sludge!K76</f>
        <v>0</v>
      </c>
      <c r="J74" s="644" t="str">
        <f>IF(Select2=2,MSW!$K76,"")</f>
        <v/>
      </c>
      <c r="K74" s="644">
        <f>Industry!$K76</f>
        <v>0</v>
      </c>
      <c r="L74" s="645">
        <f t="shared" si="3"/>
        <v>1.7519362415609138E-3</v>
      </c>
      <c r="M74" s="646">
        <f>Recovery_OX!C69</f>
        <v>0</v>
      </c>
      <c r="N74" s="605"/>
      <c r="O74" s="647">
        <f>(L74-M74)*(1-Recovery_OX!F69)</f>
        <v>1.7519362415609138E-3</v>
      </c>
      <c r="P74" s="604"/>
      <c r="Q74" s="606"/>
      <c r="S74" s="648">
        <f t="shared" si="2"/>
        <v>2057</v>
      </c>
      <c r="T74" s="642">
        <f>IF(Select2=1,Food!$W76,"")</f>
        <v>1.2880438646043035E-6</v>
      </c>
      <c r="U74" s="643">
        <f>IF(Select2=1,Paper!$W76,"")</f>
        <v>2.5781877751161432E-3</v>
      </c>
      <c r="V74" s="635">
        <f>IF(Select2=1,Nappies!$W76,"")</f>
        <v>0</v>
      </c>
      <c r="W74" s="643">
        <f>IF(Select2=1,Garden!$W76,"")</f>
        <v>0</v>
      </c>
      <c r="X74" s="635">
        <f>IF(Select2=1,Wood!$W76,"")</f>
        <v>3.120800788897064E-3</v>
      </c>
      <c r="Y74" s="643">
        <f>IF(Select2=1,Textiles!$W76,"")</f>
        <v>3.2377241827039922E-4</v>
      </c>
      <c r="Z74" s="637">
        <f>Sludge!W76</f>
        <v>0</v>
      </c>
      <c r="AA74" s="637" t="str">
        <f>IF(Select2=2,MSW!$W76,"")</f>
        <v/>
      </c>
      <c r="AB74" s="644">
        <f>Industry!$W76</f>
        <v>0</v>
      </c>
      <c r="AC74" s="645">
        <f t="shared" si="4"/>
        <v>6.0240490261482104E-3</v>
      </c>
      <c r="AD74" s="646">
        <f>Recovery_OX!R69</f>
        <v>0</v>
      </c>
      <c r="AE74" s="605"/>
      <c r="AF74" s="649">
        <f>(AC74-AD74)*(1-Recovery_OX!U69)</f>
        <v>6.0240490261482104E-3</v>
      </c>
    </row>
    <row r="75" spans="2:32">
      <c r="B75" s="597">
        <f t="shared" si="1"/>
        <v>2058</v>
      </c>
      <c r="C75" s="642">
        <f>IF(Select2=1,Food!$K77,"")</f>
        <v>1.2904976252722588E-6</v>
      </c>
      <c r="D75" s="643">
        <f>IF(Select2=1,Paper!$K77,"")</f>
        <v>1.1634809924684734E-3</v>
      </c>
      <c r="E75" s="635">
        <f>IF(Select2=1,Nappies!$K77,"")</f>
        <v>1.7440730987732946E-4</v>
      </c>
      <c r="F75" s="643">
        <f>IF(Select2=1,Garden!$K77,"")</f>
        <v>0</v>
      </c>
      <c r="G75" s="635">
        <f>IF(Select2=1,Wood!$K77,"")</f>
        <v>0</v>
      </c>
      <c r="H75" s="643">
        <f>IF(Select2=1,Textiles!$K77,"")</f>
        <v>2.7546860418933313E-4</v>
      </c>
      <c r="I75" s="644">
        <f>Sludge!K77</f>
        <v>0</v>
      </c>
      <c r="J75" s="644" t="str">
        <f>IF(Select2=2,MSW!$K77,"")</f>
        <v/>
      </c>
      <c r="K75" s="644">
        <f>Industry!$K77</f>
        <v>0</v>
      </c>
      <c r="L75" s="645">
        <f t="shared" si="3"/>
        <v>1.6146474041604084E-3</v>
      </c>
      <c r="M75" s="646">
        <f>Recovery_OX!C70</f>
        <v>0</v>
      </c>
      <c r="N75" s="605"/>
      <c r="O75" s="647">
        <f>(L75-M75)*(1-Recovery_OX!F70)</f>
        <v>1.6146474041604084E-3</v>
      </c>
      <c r="P75" s="604"/>
      <c r="Q75" s="606"/>
      <c r="S75" s="648">
        <f t="shared" si="2"/>
        <v>2058</v>
      </c>
      <c r="T75" s="642">
        <f>IF(Select2=1,Food!$W77,"")</f>
        <v>8.6340162261747942E-7</v>
      </c>
      <c r="U75" s="643">
        <f>IF(Select2=1,Paper!$W77,"")</f>
        <v>2.4038863480753585E-3</v>
      </c>
      <c r="V75" s="635">
        <f>IF(Select2=1,Nappies!$W77,"")</f>
        <v>0</v>
      </c>
      <c r="W75" s="643">
        <f>IF(Select2=1,Garden!$W77,"")</f>
        <v>0</v>
      </c>
      <c r="X75" s="635">
        <f>IF(Select2=1,Wood!$W77,"")</f>
        <v>3.0134621448198911E-3</v>
      </c>
      <c r="Y75" s="643">
        <f>IF(Select2=1,Textiles!$W77,"")</f>
        <v>3.01883401851324E-4</v>
      </c>
      <c r="Z75" s="637">
        <f>Sludge!W77</f>
        <v>0</v>
      </c>
      <c r="AA75" s="637" t="str">
        <f>IF(Select2=2,MSW!$W77,"")</f>
        <v/>
      </c>
      <c r="AB75" s="644">
        <f>Industry!$W77</f>
        <v>0</v>
      </c>
      <c r="AC75" s="645">
        <f t="shared" si="4"/>
        <v>5.720095296369191E-3</v>
      </c>
      <c r="AD75" s="646">
        <f>Recovery_OX!R70</f>
        <v>0</v>
      </c>
      <c r="AE75" s="605"/>
      <c r="AF75" s="649">
        <f>(AC75-AD75)*(1-Recovery_OX!U70)</f>
        <v>5.720095296369191E-3</v>
      </c>
    </row>
    <row r="76" spans="2:32">
      <c r="B76" s="597">
        <f t="shared" si="1"/>
        <v>2059</v>
      </c>
      <c r="C76" s="642">
        <f>IF(Select2=1,Food!$K78,"")</f>
        <v>8.6504642758138387E-7</v>
      </c>
      <c r="D76" s="643">
        <f>IF(Select2=1,Paper!$K78,"")</f>
        <v>1.0848224869556438E-3</v>
      </c>
      <c r="E76" s="635">
        <f>IF(Select2=1,Nappies!$K78,"")</f>
        <v>1.4714131110072579E-4</v>
      </c>
      <c r="F76" s="643">
        <f>IF(Select2=1,Garden!$K78,"")</f>
        <v>0</v>
      </c>
      <c r="G76" s="635">
        <f>IF(Select2=1,Wood!$K78,"")</f>
        <v>0</v>
      </c>
      <c r="H76" s="643">
        <f>IF(Select2=1,Textiles!$K78,"")</f>
        <v>2.5684522412425205E-4</v>
      </c>
      <c r="I76" s="644">
        <f>Sludge!K78</f>
        <v>0</v>
      </c>
      <c r="J76" s="644" t="str">
        <f>IF(Select2=2,MSW!$K78,"")</f>
        <v/>
      </c>
      <c r="K76" s="644">
        <f>Industry!$K78</f>
        <v>0</v>
      </c>
      <c r="L76" s="645">
        <f t="shared" si="3"/>
        <v>1.4896740686082032E-3</v>
      </c>
      <c r="M76" s="646">
        <f>Recovery_OX!C71</f>
        <v>0</v>
      </c>
      <c r="N76" s="605"/>
      <c r="O76" s="647">
        <f>(L76-M76)*(1-Recovery_OX!F71)</f>
        <v>1.4896740686082032E-3</v>
      </c>
      <c r="P76" s="604"/>
      <c r="Q76" s="606"/>
      <c r="S76" s="648">
        <f t="shared" si="2"/>
        <v>2059</v>
      </c>
      <c r="T76" s="642">
        <f>IF(Select2=1,Food!$W78,"")</f>
        <v>5.7875541542019454E-7</v>
      </c>
      <c r="U76" s="643">
        <f>IF(Select2=1,Paper!$W78,"")</f>
        <v>2.2413687747017438E-3</v>
      </c>
      <c r="V76" s="635">
        <f>IF(Select2=1,Nappies!$W78,"")</f>
        <v>0</v>
      </c>
      <c r="W76" s="643">
        <f>IF(Select2=1,Garden!$W78,"")</f>
        <v>0</v>
      </c>
      <c r="X76" s="635">
        <f>IF(Select2=1,Wood!$W78,"")</f>
        <v>2.9098153687252297E-3</v>
      </c>
      <c r="Y76" s="643">
        <f>IF(Select2=1,Textiles!$W78,"")</f>
        <v>2.814742182183584E-4</v>
      </c>
      <c r="Z76" s="637">
        <f>Sludge!W78</f>
        <v>0</v>
      </c>
      <c r="AA76" s="637" t="str">
        <f>IF(Select2=2,MSW!$W78,"")</f>
        <v/>
      </c>
      <c r="AB76" s="644">
        <f>Industry!$W78</f>
        <v>0</v>
      </c>
      <c r="AC76" s="645">
        <f t="shared" si="4"/>
        <v>5.4332371170607522E-3</v>
      </c>
      <c r="AD76" s="646">
        <f>Recovery_OX!R71</f>
        <v>0</v>
      </c>
      <c r="AE76" s="605"/>
      <c r="AF76" s="649">
        <f>(AC76-AD76)*(1-Recovery_OX!U71)</f>
        <v>5.4332371170607522E-3</v>
      </c>
    </row>
    <row r="77" spans="2:32">
      <c r="B77" s="597">
        <f t="shared" si="1"/>
        <v>2060</v>
      </c>
      <c r="C77" s="642">
        <f>IF(Select2=1,Food!$K79,"")</f>
        <v>5.7985796115931855E-7</v>
      </c>
      <c r="D77" s="643">
        <f>IF(Select2=1,Paper!$K79,"")</f>
        <v>1.0114817825324432E-3</v>
      </c>
      <c r="E77" s="635">
        <f>IF(Select2=1,Nappies!$K79,"")</f>
        <v>1.2413794724354526E-4</v>
      </c>
      <c r="F77" s="643">
        <f>IF(Select2=1,Garden!$K79,"")</f>
        <v>0</v>
      </c>
      <c r="G77" s="635">
        <f>IF(Select2=1,Wood!$K79,"")</f>
        <v>0</v>
      </c>
      <c r="H77" s="643">
        <f>IF(Select2=1,Textiles!$K79,"")</f>
        <v>2.3948089964581079E-4</v>
      </c>
      <c r="I77" s="644">
        <f>Sludge!K79</f>
        <v>0</v>
      </c>
      <c r="J77" s="644" t="str">
        <f>IF(Select2=2,MSW!$K79,"")</f>
        <v/>
      </c>
      <c r="K77" s="644">
        <f>Industry!$K79</f>
        <v>0</v>
      </c>
      <c r="L77" s="645">
        <f t="shared" si="3"/>
        <v>1.3756804873829584E-3</v>
      </c>
      <c r="M77" s="646">
        <f>Recovery_OX!C72</f>
        <v>0</v>
      </c>
      <c r="N77" s="605"/>
      <c r="O77" s="647">
        <f>(L77-M77)*(1-Recovery_OX!F72)</f>
        <v>1.3756804873829584E-3</v>
      </c>
      <c r="P77" s="604"/>
      <c r="Q77" s="606"/>
      <c r="S77" s="648">
        <f t="shared" si="2"/>
        <v>2060</v>
      </c>
      <c r="T77" s="642">
        <f>IF(Select2=1,Food!$W79,"")</f>
        <v>3.8795135670784037E-7</v>
      </c>
      <c r="U77" s="643">
        <f>IF(Select2=1,Paper!$W79,"")</f>
        <v>2.0898383936620735E-3</v>
      </c>
      <c r="V77" s="635">
        <f>IF(Select2=1,Nappies!$W79,"")</f>
        <v>0</v>
      </c>
      <c r="W77" s="643">
        <f>IF(Select2=1,Garden!$W79,"")</f>
        <v>0</v>
      </c>
      <c r="X77" s="635">
        <f>IF(Select2=1,Wood!$W79,"")</f>
        <v>2.8097334803505901E-3</v>
      </c>
      <c r="Y77" s="643">
        <f>IF(Select2=1,Textiles!$W79,"")</f>
        <v>2.6244482152965563E-4</v>
      </c>
      <c r="Z77" s="637">
        <f>Sludge!W79</f>
        <v>0</v>
      </c>
      <c r="AA77" s="637" t="str">
        <f>IF(Select2=2,MSW!$W79,"")</f>
        <v/>
      </c>
      <c r="AB77" s="644">
        <f>Industry!$W79</f>
        <v>0</v>
      </c>
      <c r="AC77" s="645">
        <f t="shared" si="4"/>
        <v>5.1624046468990272E-3</v>
      </c>
      <c r="AD77" s="646">
        <f>Recovery_OX!R72</f>
        <v>0</v>
      </c>
      <c r="AE77" s="605"/>
      <c r="AF77" s="649">
        <f>(AC77-AD77)*(1-Recovery_OX!U72)</f>
        <v>5.1624046468990272E-3</v>
      </c>
    </row>
    <row r="78" spans="2:32">
      <c r="B78" s="597">
        <f t="shared" si="1"/>
        <v>2061</v>
      </c>
      <c r="C78" s="642">
        <f>IF(Select2=1,Food!$K80,"")</f>
        <v>3.8869041521844645E-7</v>
      </c>
      <c r="D78" s="643">
        <f>IF(Select2=1,Paper!$K80,"")</f>
        <v>9.4309936298070255E-4</v>
      </c>
      <c r="E78" s="635">
        <f>IF(Select2=1,Nappies!$K80,"")</f>
        <v>1.0473081849387716E-4</v>
      </c>
      <c r="F78" s="643">
        <f>IF(Select2=1,Garden!$K80,"")</f>
        <v>0</v>
      </c>
      <c r="G78" s="635">
        <f>IF(Select2=1,Wood!$K80,"")</f>
        <v>0</v>
      </c>
      <c r="H78" s="643">
        <f>IF(Select2=1,Textiles!$K80,"")</f>
        <v>2.2329051081527057E-4</v>
      </c>
      <c r="I78" s="644">
        <f>Sludge!K80</f>
        <v>0</v>
      </c>
      <c r="J78" s="644" t="str">
        <f>IF(Select2=2,MSW!$K80,"")</f>
        <v/>
      </c>
      <c r="K78" s="644">
        <f>Industry!$K80</f>
        <v>0</v>
      </c>
      <c r="L78" s="645">
        <f t="shared" si="3"/>
        <v>1.2715093827050687E-3</v>
      </c>
      <c r="M78" s="646">
        <f>Recovery_OX!C73</f>
        <v>0</v>
      </c>
      <c r="N78" s="605"/>
      <c r="O78" s="647">
        <f>(L78-M78)*(1-Recovery_OX!F73)</f>
        <v>1.2715093827050687E-3</v>
      </c>
      <c r="P78" s="604"/>
      <c r="Q78" s="606"/>
      <c r="S78" s="648">
        <f t="shared" si="2"/>
        <v>2061</v>
      </c>
      <c r="T78" s="642">
        <f>IF(Select2=1,Food!$W80,"")</f>
        <v>2.6005157128798827E-7</v>
      </c>
      <c r="U78" s="643">
        <f>IF(Select2=1,Paper!$W80,"")</f>
        <v>1.9485524028526916E-3</v>
      </c>
      <c r="V78" s="635">
        <f>IF(Select2=1,Nappies!$W80,"")</f>
        <v>0</v>
      </c>
      <c r="W78" s="643">
        <f>IF(Select2=1,Garden!$W80,"")</f>
        <v>0</v>
      </c>
      <c r="X78" s="635">
        <f>IF(Select2=1,Wood!$W80,"")</f>
        <v>2.7130938668667522E-3</v>
      </c>
      <c r="Y78" s="643">
        <f>IF(Select2=1,Textiles!$W80,"")</f>
        <v>2.4470192966057048E-4</v>
      </c>
      <c r="Z78" s="637">
        <f>Sludge!W80</f>
        <v>0</v>
      </c>
      <c r="AA78" s="637" t="str">
        <f>IF(Select2=2,MSW!$W80,"")</f>
        <v/>
      </c>
      <c r="AB78" s="644">
        <f>Industry!$W80</f>
        <v>0</v>
      </c>
      <c r="AC78" s="645">
        <f t="shared" si="4"/>
        <v>4.9066082509513029E-3</v>
      </c>
      <c r="AD78" s="646">
        <f>Recovery_OX!R73</f>
        <v>0</v>
      </c>
      <c r="AE78" s="605"/>
      <c r="AF78" s="649">
        <f>(AC78-AD78)*(1-Recovery_OX!U73)</f>
        <v>4.9066082509513029E-3</v>
      </c>
    </row>
    <row r="79" spans="2:32">
      <c r="B79" s="597">
        <f t="shared" si="1"/>
        <v>2062</v>
      </c>
      <c r="C79" s="642">
        <f>IF(Select2=1,Food!$K81,"")</f>
        <v>2.6054697702284081E-7</v>
      </c>
      <c r="D79" s="643">
        <f>IF(Select2=1,Paper!$K81,"")</f>
        <v>8.7934001760044383E-4</v>
      </c>
      <c r="E79" s="635">
        <f>IF(Select2=1,Nappies!$K81,"")</f>
        <v>8.8357706776626016E-5</v>
      </c>
      <c r="F79" s="643">
        <f>IF(Select2=1,Garden!$K81,"")</f>
        <v>0</v>
      </c>
      <c r="G79" s="635">
        <f>IF(Select2=1,Wood!$K81,"")</f>
        <v>0</v>
      </c>
      <c r="H79" s="643">
        <f>IF(Select2=1,Textiles!$K81,"")</f>
        <v>2.0819469232780056E-4</v>
      </c>
      <c r="I79" s="644">
        <f>Sludge!K81</f>
        <v>0</v>
      </c>
      <c r="J79" s="644" t="str">
        <f>IF(Select2=2,MSW!$K81,"")</f>
        <v/>
      </c>
      <c r="K79" s="644">
        <f>Industry!$K81</f>
        <v>0</v>
      </c>
      <c r="L79" s="645">
        <f t="shared" si="3"/>
        <v>1.1761529636818934E-3</v>
      </c>
      <c r="M79" s="646">
        <f>Recovery_OX!C74</f>
        <v>0</v>
      </c>
      <c r="N79" s="605"/>
      <c r="O79" s="647">
        <f>(L79-M79)*(1-Recovery_OX!F74)</f>
        <v>1.1761529636818934E-3</v>
      </c>
      <c r="P79" s="604"/>
      <c r="Q79" s="606"/>
      <c r="S79" s="648">
        <f t="shared" si="2"/>
        <v>2062</v>
      </c>
      <c r="T79" s="642">
        <f>IF(Select2=1,Food!$W81,"")</f>
        <v>1.7431778123740463E-7</v>
      </c>
      <c r="U79" s="643">
        <f>IF(Select2=1,Paper!$W81,"")</f>
        <v>1.8168182181827353E-3</v>
      </c>
      <c r="V79" s="635">
        <f>IF(Select2=1,Nappies!$W81,"")</f>
        <v>0</v>
      </c>
      <c r="W79" s="643">
        <f>IF(Select2=1,Garden!$W81,"")</f>
        <v>0</v>
      </c>
      <c r="X79" s="635">
        <f>IF(Select2=1,Wood!$W81,"")</f>
        <v>2.6197781326617207E-3</v>
      </c>
      <c r="Y79" s="643">
        <f>IF(Select2=1,Textiles!$W81,"")</f>
        <v>2.2815856693457592E-4</v>
      </c>
      <c r="Z79" s="637">
        <f>Sludge!W81</f>
        <v>0</v>
      </c>
      <c r="AA79" s="637" t="str">
        <f>IF(Select2=2,MSW!$W81,"")</f>
        <v/>
      </c>
      <c r="AB79" s="644">
        <f>Industry!$W81</f>
        <v>0</v>
      </c>
      <c r="AC79" s="645">
        <f t="shared" si="4"/>
        <v>4.6649292355602692E-3</v>
      </c>
      <c r="AD79" s="646">
        <f>Recovery_OX!R74</f>
        <v>0</v>
      </c>
      <c r="AE79" s="605"/>
      <c r="AF79" s="649">
        <f>(AC79-AD79)*(1-Recovery_OX!U74)</f>
        <v>4.6649292355602692E-3</v>
      </c>
    </row>
    <row r="80" spans="2:32">
      <c r="B80" s="597">
        <f t="shared" si="1"/>
        <v>2063</v>
      </c>
      <c r="C80" s="642">
        <f>IF(Select2=1,Food!$K82,"")</f>
        <v>1.7464986163239728E-7</v>
      </c>
      <c r="D80" s="643">
        <f>IF(Select2=1,Paper!$K82,"")</f>
        <v>8.1989119800664157E-4</v>
      </c>
      <c r="E80" s="635">
        <f>IF(Select2=1,Nappies!$K82,"")</f>
        <v>7.4544288482579252E-5</v>
      </c>
      <c r="F80" s="643">
        <f>IF(Select2=1,Garden!$K82,"")</f>
        <v>0</v>
      </c>
      <c r="G80" s="635">
        <f>IF(Select2=1,Wood!$K82,"")</f>
        <v>0</v>
      </c>
      <c r="H80" s="643">
        <f>IF(Select2=1,Textiles!$K82,"")</f>
        <v>1.941194444636616E-4</v>
      </c>
      <c r="I80" s="644">
        <f>Sludge!K82</f>
        <v>0</v>
      </c>
      <c r="J80" s="644" t="str">
        <f>IF(Select2=2,MSW!$K82,"")</f>
        <v/>
      </c>
      <c r="K80" s="644">
        <f>Industry!$K82</f>
        <v>0</v>
      </c>
      <c r="L80" s="645">
        <f t="shared" si="3"/>
        <v>1.0887295808145148E-3</v>
      </c>
      <c r="M80" s="646">
        <f>Recovery_OX!C75</f>
        <v>0</v>
      </c>
      <c r="N80" s="605"/>
      <c r="O80" s="647">
        <f>(L80-M80)*(1-Recovery_OX!F75)</f>
        <v>1.0887295808145148E-3</v>
      </c>
      <c r="P80" s="604"/>
      <c r="Q80" s="606"/>
      <c r="S80" s="648">
        <f t="shared" si="2"/>
        <v>2063</v>
      </c>
      <c r="T80" s="642">
        <f>IF(Select2=1,Food!$W82,"")</f>
        <v>1.1684870314388758E-7</v>
      </c>
      <c r="U80" s="643">
        <f>IF(Select2=1,Paper!$W82,"")</f>
        <v>1.6939900785261192E-3</v>
      </c>
      <c r="V80" s="635">
        <f>IF(Select2=1,Nappies!$W82,"")</f>
        <v>0</v>
      </c>
      <c r="W80" s="643">
        <f>IF(Select2=1,Garden!$W82,"")</f>
        <v>0</v>
      </c>
      <c r="X80" s="635">
        <f>IF(Select2=1,Wood!$W82,"")</f>
        <v>2.5296719542912912E-3</v>
      </c>
      <c r="Y80" s="643">
        <f>IF(Select2=1,Textiles!$W82,"")</f>
        <v>2.1273363776839625E-4</v>
      </c>
      <c r="Z80" s="637">
        <f>Sludge!W82</f>
        <v>0</v>
      </c>
      <c r="AA80" s="637" t="str">
        <f>IF(Select2=2,MSW!$W82,"")</f>
        <v/>
      </c>
      <c r="AB80" s="644">
        <f>Industry!$W82</f>
        <v>0</v>
      </c>
      <c r="AC80" s="645">
        <f t="shared" si="4"/>
        <v>4.4365125192889505E-3</v>
      </c>
      <c r="AD80" s="646">
        <f>Recovery_OX!R75</f>
        <v>0</v>
      </c>
      <c r="AE80" s="605"/>
      <c r="AF80" s="649">
        <f>(AC80-AD80)*(1-Recovery_OX!U75)</f>
        <v>4.4365125192889505E-3</v>
      </c>
    </row>
    <row r="81" spans="2:32">
      <c r="B81" s="597">
        <f t="shared" si="1"/>
        <v>2064</v>
      </c>
      <c r="C81" s="642">
        <f>IF(Select2=1,Food!$K83,"")</f>
        <v>1.1707130328954658E-7</v>
      </c>
      <c r="D81" s="643">
        <f>IF(Select2=1,Paper!$K83,"")</f>
        <v>7.6446148601667669E-4</v>
      </c>
      <c r="E81" s="635">
        <f>IF(Select2=1,Nappies!$K83,"")</f>
        <v>6.2890393470963144E-5</v>
      </c>
      <c r="F81" s="643">
        <f>IF(Select2=1,Garden!$K83,"")</f>
        <v>0</v>
      </c>
      <c r="G81" s="635">
        <f>IF(Select2=1,Wood!$K83,"")</f>
        <v>0</v>
      </c>
      <c r="H81" s="643">
        <f>IF(Select2=1,Textiles!$K83,"")</f>
        <v>1.8099577034149403E-4</v>
      </c>
      <c r="I81" s="644">
        <f>Sludge!K83</f>
        <v>0</v>
      </c>
      <c r="J81" s="644" t="str">
        <f>IF(Select2=2,MSW!$K83,"")</f>
        <v/>
      </c>
      <c r="K81" s="644">
        <f>Industry!$K83</f>
        <v>0</v>
      </c>
      <c r="L81" s="645">
        <f t="shared" si="3"/>
        <v>1.0084647211324235E-3</v>
      </c>
      <c r="M81" s="646">
        <f>Recovery_OX!C76</f>
        <v>0</v>
      </c>
      <c r="N81" s="605"/>
      <c r="O81" s="647">
        <f>(L81-M81)*(1-Recovery_OX!F76)</f>
        <v>1.0084647211324235E-3</v>
      </c>
      <c r="P81" s="604"/>
      <c r="Q81" s="606"/>
      <c r="S81" s="648">
        <f t="shared" si="2"/>
        <v>2064</v>
      </c>
      <c r="T81" s="642">
        <f>IF(Select2=1,Food!$W83,"")</f>
        <v>7.8326028070615474E-8</v>
      </c>
      <c r="U81" s="643">
        <f>IF(Select2=1,Paper!$W83,"")</f>
        <v>1.5794658801997459E-3</v>
      </c>
      <c r="V81" s="635">
        <f>IF(Select2=1,Nappies!$W83,"")</f>
        <v>0</v>
      </c>
      <c r="W81" s="643">
        <f>IF(Select2=1,Garden!$W83,"")</f>
        <v>0</v>
      </c>
      <c r="X81" s="635">
        <f>IF(Select2=1,Wood!$W83,"")</f>
        <v>2.4426649404185336E-3</v>
      </c>
      <c r="Y81" s="643">
        <f>IF(Select2=1,Textiles!$W83,"")</f>
        <v>1.9835152914136328E-4</v>
      </c>
      <c r="Z81" s="637">
        <f>Sludge!W83</f>
        <v>0</v>
      </c>
      <c r="AA81" s="637" t="str">
        <f>IF(Select2=2,MSW!$W83,"")</f>
        <v/>
      </c>
      <c r="AB81" s="644">
        <f>Industry!$W83</f>
        <v>0</v>
      </c>
      <c r="AC81" s="645">
        <f t="shared" ref="AC81:AC97" si="5">SUM(T81:AA81)</f>
        <v>4.2205606757877131E-3</v>
      </c>
      <c r="AD81" s="646">
        <f>Recovery_OX!R76</f>
        <v>0</v>
      </c>
      <c r="AE81" s="605"/>
      <c r="AF81" s="649">
        <f>(AC81-AD81)*(1-Recovery_OX!U76)</f>
        <v>4.2205606757877131E-3</v>
      </c>
    </row>
    <row r="82" spans="2:32">
      <c r="B82" s="597">
        <f t="shared" ref="B82:B97" si="6">B81+1</f>
        <v>2065</v>
      </c>
      <c r="C82" s="642">
        <f>IF(Select2=1,Food!$K84,"")</f>
        <v>7.8475241410501158E-8</v>
      </c>
      <c r="D82" s="643">
        <f>IF(Select2=1,Paper!$K84,"")</f>
        <v>7.1277916511806676E-4</v>
      </c>
      <c r="E82" s="635">
        <f>IF(Select2=1,Nappies!$K84,"")</f>
        <v>5.3058412273354527E-5</v>
      </c>
      <c r="F82" s="643">
        <f>IF(Select2=1,Garden!$K84,"")</f>
        <v>0</v>
      </c>
      <c r="G82" s="635">
        <f>IF(Select2=1,Wood!$K84,"")</f>
        <v>0</v>
      </c>
      <c r="H82" s="643">
        <f>IF(Select2=1,Textiles!$K84,"")</f>
        <v>1.6875933769552534E-4</v>
      </c>
      <c r="I82" s="644">
        <f>Sludge!K84</f>
        <v>0</v>
      </c>
      <c r="J82" s="644" t="str">
        <f>IF(Select2=2,MSW!$K84,"")</f>
        <v/>
      </c>
      <c r="K82" s="644">
        <f>Industry!$K84</f>
        <v>0</v>
      </c>
      <c r="L82" s="645">
        <f t="shared" si="3"/>
        <v>9.3467539032835714E-4</v>
      </c>
      <c r="M82" s="646">
        <f>Recovery_OX!C77</f>
        <v>0</v>
      </c>
      <c r="N82" s="605"/>
      <c r="O82" s="647">
        <f>(L82-M82)*(1-Recovery_OX!F77)</f>
        <v>9.3467539032835714E-4</v>
      </c>
      <c r="P82" s="604"/>
      <c r="Q82" s="606"/>
      <c r="S82" s="648">
        <f t="shared" ref="S82:S97" si="7">S81+1</f>
        <v>2065</v>
      </c>
      <c r="T82" s="642">
        <f>IF(Select2=1,Food!$W84,"")</f>
        <v>5.2503506742083751E-8</v>
      </c>
      <c r="U82" s="643">
        <f>IF(Select2=1,Paper!$W84,"")</f>
        <v>1.4726842254505518E-3</v>
      </c>
      <c r="V82" s="635">
        <f>IF(Select2=1,Nappies!$W84,"")</f>
        <v>0</v>
      </c>
      <c r="W82" s="643">
        <f>IF(Select2=1,Garden!$W84,"")</f>
        <v>0</v>
      </c>
      <c r="X82" s="635">
        <f>IF(Select2=1,Wood!$W84,"")</f>
        <v>2.3586504965706022E-3</v>
      </c>
      <c r="Y82" s="643">
        <f>IF(Select2=1,Textiles!$W84,"")</f>
        <v>1.8494173994030173E-4</v>
      </c>
      <c r="Z82" s="637">
        <f>Sludge!W84</f>
        <v>0</v>
      </c>
      <c r="AA82" s="637" t="str">
        <f>IF(Select2=2,MSW!$W84,"")</f>
        <v/>
      </c>
      <c r="AB82" s="644">
        <f>Industry!$W84</f>
        <v>0</v>
      </c>
      <c r="AC82" s="645">
        <f t="shared" si="5"/>
        <v>4.016328965468198E-3</v>
      </c>
      <c r="AD82" s="646">
        <f>Recovery_OX!R77</f>
        <v>0</v>
      </c>
      <c r="AE82" s="605"/>
      <c r="AF82" s="649">
        <f>(AC82-AD82)*(1-Recovery_OX!U77)</f>
        <v>4.016328965468198E-3</v>
      </c>
    </row>
    <row r="83" spans="2:32">
      <c r="B83" s="597">
        <f t="shared" si="6"/>
        <v>2066</v>
      </c>
      <c r="C83" s="642">
        <f>IF(Select2=1,Food!$K85,"")</f>
        <v>5.2603527434945043E-8</v>
      </c>
      <c r="D83" s="643">
        <f>IF(Select2=1,Paper!$K85,"")</f>
        <v>6.6459088851380697E-4</v>
      </c>
      <c r="E83" s="635">
        <f>IF(Select2=1,Nappies!$K85,"")</f>
        <v>4.4763515659494967E-5</v>
      </c>
      <c r="F83" s="643">
        <f>IF(Select2=1,Garden!$K85,"")</f>
        <v>0</v>
      </c>
      <c r="G83" s="635">
        <f>IF(Select2=1,Wood!$K85,"")</f>
        <v>0</v>
      </c>
      <c r="H83" s="643">
        <f>IF(Select2=1,Textiles!$K85,"")</f>
        <v>1.5735016351872878E-4</v>
      </c>
      <c r="I83" s="644">
        <f>Sludge!K85</f>
        <v>0</v>
      </c>
      <c r="J83" s="644" t="str">
        <f>IF(Select2=2,MSW!$K85,"")</f>
        <v/>
      </c>
      <c r="K83" s="644">
        <f>Industry!$K85</f>
        <v>0</v>
      </c>
      <c r="L83" s="645">
        <f t="shared" ref="L83:L97" si="8">SUM(C83:K83)</f>
        <v>8.6675717121946559E-4</v>
      </c>
      <c r="M83" s="646">
        <f>Recovery_OX!C78</f>
        <v>0</v>
      </c>
      <c r="N83" s="605"/>
      <c r="O83" s="647">
        <f>(L83-M83)*(1-Recovery_OX!F78)</f>
        <v>8.6675717121946559E-4</v>
      </c>
      <c r="P83" s="604"/>
      <c r="Q83" s="606"/>
      <c r="S83" s="648">
        <f t="shared" si="7"/>
        <v>2066</v>
      </c>
      <c r="T83" s="642">
        <f>IF(Select2=1,Food!$W85,"")</f>
        <v>3.5194153056386073E-8</v>
      </c>
      <c r="U83" s="643">
        <f>IF(Select2=1,Paper!$W85,"")</f>
        <v>1.3731216704830729E-3</v>
      </c>
      <c r="V83" s="635">
        <f>IF(Select2=1,Nappies!$W85,"")</f>
        <v>0</v>
      </c>
      <c r="W83" s="643">
        <f>IF(Select2=1,Garden!$W85,"")</f>
        <v>0</v>
      </c>
      <c r="X83" s="635">
        <f>IF(Select2=1,Wood!$W85,"")</f>
        <v>2.2775256945471722E-3</v>
      </c>
      <c r="Y83" s="643">
        <f>IF(Select2=1,Textiles!$W85,"")</f>
        <v>1.7243853536299042E-4</v>
      </c>
      <c r="Z83" s="637">
        <f>Sludge!W85</f>
        <v>0</v>
      </c>
      <c r="AA83" s="637" t="str">
        <f>IF(Select2=2,MSW!$W85,"")</f>
        <v/>
      </c>
      <c r="AB83" s="644">
        <f>Industry!$W85</f>
        <v>0</v>
      </c>
      <c r="AC83" s="645">
        <f t="shared" si="5"/>
        <v>3.8231210945462923E-3</v>
      </c>
      <c r="AD83" s="646">
        <f>Recovery_OX!R78</f>
        <v>0</v>
      </c>
      <c r="AE83" s="605"/>
      <c r="AF83" s="649">
        <f>(AC83-AD83)*(1-Recovery_OX!U78)</f>
        <v>3.8231210945462923E-3</v>
      </c>
    </row>
    <row r="84" spans="2:32">
      <c r="B84" s="597">
        <f t="shared" si="6"/>
        <v>2067</v>
      </c>
      <c r="C84" s="642">
        <f>IF(Select2=1,Food!$K86,"")</f>
        <v>3.526119893182938E-8</v>
      </c>
      <c r="D84" s="643">
        <f>IF(Select2=1,Paper!$K86,"")</f>
        <v>6.1966043721607667E-4</v>
      </c>
      <c r="E84" s="635">
        <f>IF(Select2=1,Nappies!$K86,"")</f>
        <v>3.7765403229077171E-5</v>
      </c>
      <c r="F84" s="643">
        <f>IF(Select2=1,Garden!$K86,"")</f>
        <v>0</v>
      </c>
      <c r="G84" s="635">
        <f>IF(Select2=1,Wood!$K86,"")</f>
        <v>0</v>
      </c>
      <c r="H84" s="643">
        <f>IF(Select2=1,Textiles!$K86,"")</f>
        <v>1.4671232002605309E-4</v>
      </c>
      <c r="I84" s="644">
        <f>Sludge!K86</f>
        <v>0</v>
      </c>
      <c r="J84" s="644" t="str">
        <f>IF(Select2=2,MSW!$K86,"")</f>
        <v/>
      </c>
      <c r="K84" s="644">
        <f>Industry!$K86</f>
        <v>0</v>
      </c>
      <c r="L84" s="645">
        <f t="shared" si="8"/>
        <v>8.0417342167013873E-4</v>
      </c>
      <c r="M84" s="646">
        <f>Recovery_OX!C79</f>
        <v>0</v>
      </c>
      <c r="N84" s="605"/>
      <c r="O84" s="647">
        <f>(L84-M84)*(1-Recovery_OX!F79)</f>
        <v>8.0417342167013873E-4</v>
      </c>
      <c r="P84" s="604"/>
      <c r="Q84" s="606"/>
      <c r="S84" s="648">
        <f t="shared" si="7"/>
        <v>2067</v>
      </c>
      <c r="T84" s="642">
        <f>IF(Select2=1,Food!$W86,"")</f>
        <v>2.3591346296942051E-8</v>
      </c>
      <c r="U84" s="643">
        <f>IF(Select2=1,Paper!$W86,"")</f>
        <v>1.2802901595373492E-3</v>
      </c>
      <c r="V84" s="635">
        <f>IF(Select2=1,Nappies!$W86,"")</f>
        <v>0</v>
      </c>
      <c r="W84" s="643">
        <f>IF(Select2=1,Garden!$W86,"")</f>
        <v>0</v>
      </c>
      <c r="X84" s="635">
        <f>IF(Select2=1,Wood!$W86,"")</f>
        <v>2.1991911463205257E-3</v>
      </c>
      <c r="Y84" s="643">
        <f>IF(Select2=1,Textiles!$W86,"")</f>
        <v>1.6078062468608556E-4</v>
      </c>
      <c r="Z84" s="637">
        <f>Sludge!W86</f>
        <v>0</v>
      </c>
      <c r="AA84" s="637" t="str">
        <f>IF(Select2=2,MSW!$W86,"")</f>
        <v/>
      </c>
      <c r="AB84" s="644">
        <f>Industry!$W86</f>
        <v>0</v>
      </c>
      <c r="AC84" s="645">
        <f t="shared" si="5"/>
        <v>3.6402855218902572E-3</v>
      </c>
      <c r="AD84" s="646">
        <f>Recovery_OX!R79</f>
        <v>0</v>
      </c>
      <c r="AE84" s="605"/>
      <c r="AF84" s="649">
        <f>(AC84-AD84)*(1-Recovery_OX!U79)</f>
        <v>3.6402855218902572E-3</v>
      </c>
    </row>
    <row r="85" spans="2:32">
      <c r="B85" s="597">
        <f t="shared" si="6"/>
        <v>2068</v>
      </c>
      <c r="C85" s="642">
        <f>IF(Select2=1,Food!$K87,"")</f>
        <v>2.363628849125571E-8</v>
      </c>
      <c r="D85" s="643">
        <f>IF(Select2=1,Paper!$K87,"")</f>
        <v>5.7776756210048776E-4</v>
      </c>
      <c r="E85" s="635">
        <f>IF(Select2=1,Nappies!$K87,"")</f>
        <v>3.1861341988947874E-5</v>
      </c>
      <c r="F85" s="643">
        <f>IF(Select2=1,Garden!$K87,"")</f>
        <v>0</v>
      </c>
      <c r="G85" s="635">
        <f>IF(Select2=1,Wood!$K87,"")</f>
        <v>0</v>
      </c>
      <c r="H85" s="643">
        <f>IF(Select2=1,Textiles!$K87,"")</f>
        <v>1.367936604963556E-4</v>
      </c>
      <c r="I85" s="644">
        <f>Sludge!K87</f>
        <v>0</v>
      </c>
      <c r="J85" s="644" t="str">
        <f>IF(Select2=2,MSW!$K87,"")</f>
        <v/>
      </c>
      <c r="K85" s="644">
        <f>Industry!$K87</f>
        <v>0</v>
      </c>
      <c r="L85" s="645">
        <f t="shared" si="8"/>
        <v>7.4644620087428249E-4</v>
      </c>
      <c r="M85" s="646">
        <f>Recovery_OX!C80</f>
        <v>0</v>
      </c>
      <c r="N85" s="605"/>
      <c r="O85" s="647">
        <f>(L85-M85)*(1-Recovery_OX!F80)</f>
        <v>7.4644620087428249E-4</v>
      </c>
      <c r="P85" s="604"/>
      <c r="Q85" s="606"/>
      <c r="S85" s="648">
        <f t="shared" si="7"/>
        <v>2068</v>
      </c>
      <c r="T85" s="642">
        <f>IF(Select2=1,Food!$W87,"")</f>
        <v>1.5813752335808904E-8</v>
      </c>
      <c r="U85" s="643">
        <f>IF(Select2=1,Paper!$W87,"")</f>
        <v>1.1937346324390249E-3</v>
      </c>
      <c r="V85" s="635">
        <f>IF(Select2=1,Nappies!$W87,"")</f>
        <v>0</v>
      </c>
      <c r="W85" s="643">
        <f>IF(Select2=1,Garden!$W87,"")</f>
        <v>0</v>
      </c>
      <c r="X85" s="635">
        <f>IF(Select2=1,Wood!$W87,"")</f>
        <v>2.1235508822727853E-3</v>
      </c>
      <c r="Y85" s="643">
        <f>IF(Select2=1,Textiles!$W87,"")</f>
        <v>1.4991086081792392E-4</v>
      </c>
      <c r="Z85" s="637">
        <f>Sludge!W87</f>
        <v>0</v>
      </c>
      <c r="AA85" s="637" t="str">
        <f>IF(Select2=2,MSW!$W87,"")</f>
        <v/>
      </c>
      <c r="AB85" s="644">
        <f>Industry!$W87</f>
        <v>0</v>
      </c>
      <c r="AC85" s="645">
        <f t="shared" si="5"/>
        <v>3.46721218928207E-3</v>
      </c>
      <c r="AD85" s="646">
        <f>Recovery_OX!R80</f>
        <v>0</v>
      </c>
      <c r="AE85" s="605"/>
      <c r="AF85" s="649">
        <f>(AC85-AD85)*(1-Recovery_OX!U80)</f>
        <v>3.46721218928207E-3</v>
      </c>
    </row>
    <row r="86" spans="2:32">
      <c r="B86" s="597">
        <f t="shared" si="6"/>
        <v>2069</v>
      </c>
      <c r="C86" s="642">
        <f>IF(Select2=1,Food!$K88,"")</f>
        <v>1.5843877989570179E-8</v>
      </c>
      <c r="D86" s="643">
        <f>IF(Select2=1,Paper!$K88,"")</f>
        <v>5.3870690424462104E-4</v>
      </c>
      <c r="E86" s="635">
        <f>IF(Select2=1,Nappies!$K88,"")</f>
        <v>2.6880293245620366E-5</v>
      </c>
      <c r="F86" s="643">
        <f>IF(Select2=1,Garden!$K88,"")</f>
        <v>0</v>
      </c>
      <c r="G86" s="635">
        <f>IF(Select2=1,Wood!$K88,"")</f>
        <v>0</v>
      </c>
      <c r="H86" s="643">
        <f>IF(Select2=1,Textiles!$K88,"")</f>
        <v>1.2754556364911443E-4</v>
      </c>
      <c r="I86" s="644">
        <f>Sludge!K88</f>
        <v>0</v>
      </c>
      <c r="J86" s="644" t="str">
        <f>IF(Select2=2,MSW!$K88,"")</f>
        <v/>
      </c>
      <c r="K86" s="644">
        <f>Industry!$K88</f>
        <v>0</v>
      </c>
      <c r="L86" s="645">
        <f t="shared" si="8"/>
        <v>6.9314860501734534E-4</v>
      </c>
      <c r="M86" s="646">
        <f>Recovery_OX!C81</f>
        <v>0</v>
      </c>
      <c r="N86" s="605"/>
      <c r="O86" s="647">
        <f>(L86-M86)*(1-Recovery_OX!F81)</f>
        <v>6.9314860501734534E-4</v>
      </c>
      <c r="P86" s="604"/>
      <c r="Q86" s="606"/>
      <c r="S86" s="648">
        <f t="shared" si="7"/>
        <v>2069</v>
      </c>
      <c r="T86" s="642">
        <f>IF(Select2=1,Food!$W88,"")</f>
        <v>1.0600275193735623E-8</v>
      </c>
      <c r="U86" s="643">
        <f>IF(Select2=1,Paper!$W88,"")</f>
        <v>1.1130307938938457E-3</v>
      </c>
      <c r="V86" s="635">
        <f>IF(Select2=1,Nappies!$W88,"")</f>
        <v>0</v>
      </c>
      <c r="W86" s="643">
        <f>IF(Select2=1,Garden!$W88,"")</f>
        <v>0</v>
      </c>
      <c r="X86" s="635">
        <f>IF(Select2=1,Wood!$W88,"")</f>
        <v>2.0505122336211355E-3</v>
      </c>
      <c r="Y86" s="643">
        <f>IF(Select2=1,Textiles!$W88,"")</f>
        <v>1.3977596016341305E-4</v>
      </c>
      <c r="Z86" s="637">
        <f>Sludge!W88</f>
        <v>0</v>
      </c>
      <c r="AA86" s="637" t="str">
        <f>IF(Select2=2,MSW!$W88,"")</f>
        <v/>
      </c>
      <c r="AB86" s="644">
        <f>Industry!$W88</f>
        <v>0</v>
      </c>
      <c r="AC86" s="645">
        <f t="shared" si="5"/>
        <v>3.303329587953588E-3</v>
      </c>
      <c r="AD86" s="646">
        <f>Recovery_OX!R81</f>
        <v>0</v>
      </c>
      <c r="AE86" s="605"/>
      <c r="AF86" s="649">
        <f>(AC86-AD86)*(1-Recovery_OX!U81)</f>
        <v>3.303329587953588E-3</v>
      </c>
    </row>
    <row r="87" spans="2:32">
      <c r="B87" s="597">
        <f t="shared" si="6"/>
        <v>2070</v>
      </c>
      <c r="C87" s="642">
        <f>IF(Select2=1,Food!$K89,"")</f>
        <v>1.0620469023351735E-8</v>
      </c>
      <c r="D87" s="643">
        <f>IF(Select2=1,Paper!$K89,"")</f>
        <v>5.0228698825835005E-4</v>
      </c>
      <c r="E87" s="635">
        <f>IF(Select2=1,Nappies!$K89,"")</f>
        <v>2.2677957671123318E-5</v>
      </c>
      <c r="F87" s="643">
        <f>IF(Select2=1,Garden!$K89,"")</f>
        <v>0</v>
      </c>
      <c r="G87" s="635">
        <f>IF(Select2=1,Wood!$K89,"")</f>
        <v>0</v>
      </c>
      <c r="H87" s="643">
        <f>IF(Select2=1,Textiles!$K89,"")</f>
        <v>1.1892269530285506E-4</v>
      </c>
      <c r="I87" s="644">
        <f>Sludge!K89</f>
        <v>0</v>
      </c>
      <c r="J87" s="644" t="str">
        <f>IF(Select2=2,MSW!$K89,"")</f>
        <v/>
      </c>
      <c r="K87" s="644">
        <f>Industry!$K89</f>
        <v>0</v>
      </c>
      <c r="L87" s="645">
        <f t="shared" si="8"/>
        <v>6.4389826170135173E-4</v>
      </c>
      <c r="M87" s="646">
        <f>Recovery_OX!C82</f>
        <v>0</v>
      </c>
      <c r="N87" s="605"/>
      <c r="O87" s="647">
        <f>(L87-M87)*(1-Recovery_OX!F82)</f>
        <v>6.4389826170135173E-4</v>
      </c>
      <c r="P87" s="604"/>
      <c r="Q87" s="606"/>
      <c r="S87" s="648">
        <f t="shared" si="7"/>
        <v>2070</v>
      </c>
      <c r="T87" s="642">
        <f>IF(Select2=1,Food!$W89,"")</f>
        <v>7.105576955855308E-9</v>
      </c>
      <c r="U87" s="643">
        <f>IF(Select2=1,Paper!$W89,"")</f>
        <v>1.037783033591633E-3</v>
      </c>
      <c r="V87" s="635">
        <f>IF(Select2=1,Nappies!$W89,"")</f>
        <v>0</v>
      </c>
      <c r="W87" s="643">
        <f>IF(Select2=1,Garden!$W89,"")</f>
        <v>0</v>
      </c>
      <c r="X87" s="635">
        <f>IF(Select2=1,Wood!$W89,"")</f>
        <v>1.9799857188869691E-3</v>
      </c>
      <c r="Y87" s="643">
        <f>IF(Select2=1,Textiles!$W89,"")</f>
        <v>1.3032624142778634E-4</v>
      </c>
      <c r="Z87" s="637">
        <f>Sludge!W89</f>
        <v>0</v>
      </c>
      <c r="AA87" s="637" t="str">
        <f>IF(Select2=2,MSW!$W89,"")</f>
        <v/>
      </c>
      <c r="AB87" s="644">
        <f>Industry!$W89</f>
        <v>0</v>
      </c>
      <c r="AC87" s="645">
        <f t="shared" si="5"/>
        <v>3.1481020994833442E-3</v>
      </c>
      <c r="AD87" s="646">
        <f>Recovery_OX!R82</f>
        <v>0</v>
      </c>
      <c r="AE87" s="605"/>
      <c r="AF87" s="649">
        <f>(AC87-AD87)*(1-Recovery_OX!U82)</f>
        <v>3.1481020994833442E-3</v>
      </c>
    </row>
    <row r="88" spans="2:32">
      <c r="B88" s="597">
        <f t="shared" si="6"/>
        <v>2071</v>
      </c>
      <c r="C88" s="642">
        <f>IF(Select2=1,Food!$K90,"")</f>
        <v>7.119113284653216E-9</v>
      </c>
      <c r="D88" s="643">
        <f>IF(Select2=1,Paper!$K90,"")</f>
        <v>4.6832928367125724E-4</v>
      </c>
      <c r="E88" s="635">
        <f>IF(Select2=1,Nappies!$K90,"")</f>
        <v>1.9132594999388808E-5</v>
      </c>
      <c r="F88" s="643">
        <f>IF(Select2=1,Garden!$K90,"")</f>
        <v>0</v>
      </c>
      <c r="G88" s="635">
        <f>IF(Select2=1,Wood!$K90,"")</f>
        <v>0</v>
      </c>
      <c r="H88" s="643">
        <f>IF(Select2=1,Textiles!$K90,"")</f>
        <v>1.1088278614694019E-4</v>
      </c>
      <c r="I88" s="644">
        <f>Sludge!K90</f>
        <v>0</v>
      </c>
      <c r="J88" s="644" t="str">
        <f>IF(Select2=2,MSW!$K90,"")</f>
        <v/>
      </c>
      <c r="K88" s="644">
        <f>Industry!$K90</f>
        <v>0</v>
      </c>
      <c r="L88" s="645">
        <f t="shared" si="8"/>
        <v>5.9835178393087085E-4</v>
      </c>
      <c r="M88" s="646">
        <f>Recovery_OX!C83</f>
        <v>0</v>
      </c>
      <c r="N88" s="605"/>
      <c r="O88" s="647">
        <f>(L88-M88)*(1-Recovery_OX!F83)</f>
        <v>5.9835178393087085E-4</v>
      </c>
      <c r="P88" s="604"/>
      <c r="Q88" s="606"/>
      <c r="S88" s="648">
        <f t="shared" si="7"/>
        <v>2071</v>
      </c>
      <c r="T88" s="642">
        <f>IF(Select2=1,Food!$W90,"")</f>
        <v>4.7630106721587081E-9</v>
      </c>
      <c r="U88" s="643">
        <f>IF(Select2=1,Paper!$W90,"")</f>
        <v>9.676224869240857E-4</v>
      </c>
      <c r="V88" s="635">
        <f>IF(Select2=1,Nappies!$W90,"")</f>
        <v>0</v>
      </c>
      <c r="W88" s="643">
        <f>IF(Select2=1,Garden!$W90,"")</f>
        <v>0</v>
      </c>
      <c r="X88" s="635">
        <f>IF(Select2=1,Wood!$W90,"")</f>
        <v>1.9118849342698889E-3</v>
      </c>
      <c r="Y88" s="643">
        <f>IF(Select2=1,Textiles!$W90,"")</f>
        <v>1.2151538207883853E-4</v>
      </c>
      <c r="Z88" s="637">
        <f>Sludge!W90</f>
        <v>0</v>
      </c>
      <c r="AA88" s="637" t="str">
        <f>IF(Select2=2,MSW!$W90,"")</f>
        <v/>
      </c>
      <c r="AB88" s="644">
        <f>Industry!$W90</f>
        <v>0</v>
      </c>
      <c r="AC88" s="645">
        <f t="shared" si="5"/>
        <v>3.0010275662834852E-3</v>
      </c>
      <c r="AD88" s="646">
        <f>Recovery_OX!R83</f>
        <v>0</v>
      </c>
      <c r="AE88" s="605"/>
      <c r="AF88" s="649">
        <f>(AC88-AD88)*(1-Recovery_OX!U83)</f>
        <v>3.0010275662834852E-3</v>
      </c>
    </row>
    <row r="89" spans="2:32">
      <c r="B89" s="597">
        <f t="shared" si="6"/>
        <v>2072</v>
      </c>
      <c r="C89" s="642">
        <f>IF(Select2=1,Food!$K91,"")</f>
        <v>4.772084344701675E-9</v>
      </c>
      <c r="D89" s="643">
        <f>IF(Select2=1,Paper!$K91,"")</f>
        <v>4.3666732977605993E-4</v>
      </c>
      <c r="E89" s="635">
        <f>IF(Select2=1,Nappies!$K91,"")</f>
        <v>1.6141497251172245E-5</v>
      </c>
      <c r="F89" s="643">
        <f>IF(Select2=1,Garden!$K91,"")</f>
        <v>0</v>
      </c>
      <c r="G89" s="635">
        <f>IF(Select2=1,Wood!$K91,"")</f>
        <v>0</v>
      </c>
      <c r="H89" s="643">
        <f>IF(Select2=1,Textiles!$K91,"")</f>
        <v>1.0338642453735993E-4</v>
      </c>
      <c r="I89" s="644">
        <f>Sludge!K91</f>
        <v>0</v>
      </c>
      <c r="J89" s="644" t="str">
        <f>IF(Select2=2,MSW!$K91,"")</f>
        <v/>
      </c>
      <c r="K89" s="644">
        <f>Industry!$K91</f>
        <v>0</v>
      </c>
      <c r="L89" s="645">
        <f t="shared" si="8"/>
        <v>5.5620002364893683E-4</v>
      </c>
      <c r="M89" s="646">
        <f>Recovery_OX!C84</f>
        <v>0</v>
      </c>
      <c r="N89" s="605"/>
      <c r="O89" s="647">
        <f>(L89-M89)*(1-Recovery_OX!F84)</f>
        <v>5.5620002364893683E-4</v>
      </c>
      <c r="P89" s="604"/>
      <c r="Q89" s="606"/>
      <c r="S89" s="648">
        <f t="shared" si="7"/>
        <v>2072</v>
      </c>
      <c r="T89" s="642">
        <f>IF(Select2=1,Food!$W91,"")</f>
        <v>3.1927415330296671E-9</v>
      </c>
      <c r="U89" s="643">
        <f>IF(Select2=1,Paper!$W91,"")</f>
        <v>9.0220522681004178E-4</v>
      </c>
      <c r="V89" s="635">
        <f>IF(Select2=1,Nappies!$W91,"")</f>
        <v>0</v>
      </c>
      <c r="W89" s="643">
        <f>IF(Select2=1,Garden!$W91,"")</f>
        <v>0</v>
      </c>
      <c r="X89" s="635">
        <f>IF(Select2=1,Wood!$W91,"")</f>
        <v>1.8461264477922462E-3</v>
      </c>
      <c r="Y89" s="643">
        <f>IF(Select2=1,Textiles!$W91,"")</f>
        <v>1.1330019127381909E-4</v>
      </c>
      <c r="Z89" s="637">
        <f>Sludge!W91</f>
        <v>0</v>
      </c>
      <c r="AA89" s="637" t="str">
        <f>IF(Select2=2,MSW!$W91,"")</f>
        <v/>
      </c>
      <c r="AB89" s="644">
        <f>Industry!$W91</f>
        <v>0</v>
      </c>
      <c r="AC89" s="645">
        <f t="shared" si="5"/>
        <v>2.8616350586176402E-3</v>
      </c>
      <c r="AD89" s="646">
        <f>Recovery_OX!R84</f>
        <v>0</v>
      </c>
      <c r="AE89" s="605"/>
      <c r="AF89" s="649">
        <f>(AC89-AD89)*(1-Recovery_OX!U84)</f>
        <v>2.8616350586176402E-3</v>
      </c>
    </row>
    <row r="90" spans="2:32">
      <c r="B90" s="597">
        <f t="shared" si="6"/>
        <v>2073</v>
      </c>
      <c r="C90" s="642">
        <f>IF(Select2=1,Food!$K92,"")</f>
        <v>3.1988237976263807E-9</v>
      </c>
      <c r="D90" s="643">
        <f>IF(Select2=1,Paper!$K92,"")</f>
        <v>4.0714591963803096E-4</v>
      </c>
      <c r="E90" s="635">
        <f>IF(Select2=1,Nappies!$K92,"")</f>
        <v>1.3618013318001264E-5</v>
      </c>
      <c r="F90" s="643">
        <f>IF(Select2=1,Garden!$K92,"")</f>
        <v>0</v>
      </c>
      <c r="G90" s="635">
        <f>IF(Select2=1,Wood!$K92,"")</f>
        <v>0</v>
      </c>
      <c r="H90" s="643">
        <f>IF(Select2=1,Textiles!$K92,"")</f>
        <v>9.6396863300807065E-5</v>
      </c>
      <c r="I90" s="644">
        <f>Sludge!K92</f>
        <v>0</v>
      </c>
      <c r="J90" s="644" t="str">
        <f>IF(Select2=2,MSW!$K92,"")</f>
        <v/>
      </c>
      <c r="K90" s="644">
        <f>Industry!$K92</f>
        <v>0</v>
      </c>
      <c r="L90" s="645">
        <f t="shared" si="8"/>
        <v>5.1716399508063698E-4</v>
      </c>
      <c r="M90" s="646">
        <f>Recovery_OX!C85</f>
        <v>0</v>
      </c>
      <c r="N90" s="605"/>
      <c r="O90" s="647">
        <f>(L90-M90)*(1-Recovery_OX!F85)</f>
        <v>5.1716399508063698E-4</v>
      </c>
      <c r="P90" s="604"/>
      <c r="Q90" s="606"/>
      <c r="S90" s="648">
        <f t="shared" si="7"/>
        <v>2073</v>
      </c>
      <c r="T90" s="642">
        <f>IF(Select2=1,Food!$W92,"")</f>
        <v>2.1401586514003442E-9</v>
      </c>
      <c r="U90" s="643">
        <f>IF(Select2=1,Paper!$W92,"")</f>
        <v>8.4121057776452741E-4</v>
      </c>
      <c r="V90" s="635">
        <f>IF(Select2=1,Nappies!$W92,"")</f>
        <v>0</v>
      </c>
      <c r="W90" s="643">
        <f>IF(Select2=1,Garden!$W92,"")</f>
        <v>0</v>
      </c>
      <c r="X90" s="635">
        <f>IF(Select2=1,Wood!$W92,"")</f>
        <v>1.7826296970845346E-3</v>
      </c>
      <c r="Y90" s="643">
        <f>IF(Select2=1,Textiles!$W92,"")</f>
        <v>1.0564039813787077E-4</v>
      </c>
      <c r="Z90" s="637">
        <f>Sludge!W92</f>
        <v>0</v>
      </c>
      <c r="AA90" s="637" t="str">
        <f>IF(Select2=2,MSW!$W92,"")</f>
        <v/>
      </c>
      <c r="AB90" s="644">
        <f>Industry!$W92</f>
        <v>0</v>
      </c>
      <c r="AC90" s="645">
        <f t="shared" si="5"/>
        <v>2.7294828131455844E-3</v>
      </c>
      <c r="AD90" s="646">
        <f>Recovery_OX!R85</f>
        <v>0</v>
      </c>
      <c r="AE90" s="605"/>
      <c r="AF90" s="649">
        <f>(AC90-AD90)*(1-Recovery_OX!U85)</f>
        <v>2.7294828131455844E-3</v>
      </c>
    </row>
    <row r="91" spans="2:32">
      <c r="B91" s="597">
        <f t="shared" si="6"/>
        <v>2074</v>
      </c>
      <c r="C91" s="642">
        <f>IF(Select2=1,Food!$K93,"")</f>
        <v>2.1442357152848141E-9</v>
      </c>
      <c r="D91" s="643">
        <f>IF(Select2=1,Paper!$K93,"")</f>
        <v>3.7962033927042388E-4</v>
      </c>
      <c r="E91" s="635">
        <f>IF(Select2=1,Nappies!$K93,"")</f>
        <v>1.1489038708338646E-5</v>
      </c>
      <c r="F91" s="643">
        <f>IF(Select2=1,Garden!$K93,"")</f>
        <v>0</v>
      </c>
      <c r="G91" s="635">
        <f>IF(Select2=1,Wood!$K93,"")</f>
        <v>0</v>
      </c>
      <c r="H91" s="643">
        <f>IF(Select2=1,Textiles!$K93,"")</f>
        <v>8.9879839599991024E-5</v>
      </c>
      <c r="I91" s="644">
        <f>Sludge!K93</f>
        <v>0</v>
      </c>
      <c r="J91" s="644" t="str">
        <f>IF(Select2=2,MSW!$K93,"")</f>
        <v/>
      </c>
      <c r="K91" s="644">
        <f>Industry!$K93</f>
        <v>0</v>
      </c>
      <c r="L91" s="645">
        <f t="shared" si="8"/>
        <v>4.8099136181446885E-4</v>
      </c>
      <c r="M91" s="646">
        <f>Recovery_OX!C86</f>
        <v>0</v>
      </c>
      <c r="N91" s="605"/>
      <c r="O91" s="647">
        <f>(L91-M91)*(1-Recovery_OX!F86)</f>
        <v>4.8099136181446885E-4</v>
      </c>
      <c r="P91" s="604"/>
      <c r="Q91" s="606"/>
      <c r="S91" s="648">
        <f t="shared" si="7"/>
        <v>2074</v>
      </c>
      <c r="T91" s="642">
        <f>IF(Select2=1,Food!$W93,"")</f>
        <v>1.4345912457302505E-9</v>
      </c>
      <c r="U91" s="643">
        <f>IF(Select2=1,Paper!$W93,"")</f>
        <v>7.8433954394715728E-4</v>
      </c>
      <c r="V91" s="635">
        <f>IF(Select2=1,Nappies!$W93,"")</f>
        <v>0</v>
      </c>
      <c r="W91" s="643">
        <f>IF(Select2=1,Garden!$W93,"")</f>
        <v>0</v>
      </c>
      <c r="X91" s="635">
        <f>IF(Select2=1,Wood!$W93,"")</f>
        <v>1.7213168906864116E-3</v>
      </c>
      <c r="Y91" s="643">
        <f>IF(Select2=1,Textiles!$W93,"")</f>
        <v>9.8498454356154538E-5</v>
      </c>
      <c r="Z91" s="637">
        <f>Sludge!W93</f>
        <v>0</v>
      </c>
      <c r="AA91" s="637" t="str">
        <f>IF(Select2=2,MSW!$W93,"")</f>
        <v/>
      </c>
      <c r="AB91" s="644">
        <f>Industry!$W93</f>
        <v>0</v>
      </c>
      <c r="AC91" s="645">
        <f t="shared" si="5"/>
        <v>2.6041563235809691E-3</v>
      </c>
      <c r="AD91" s="646">
        <f>Recovery_OX!R86</f>
        <v>0</v>
      </c>
      <c r="AE91" s="605"/>
      <c r="AF91" s="649">
        <f>(AC91-AD91)*(1-Recovery_OX!U86)</f>
        <v>2.6041563235809691E-3</v>
      </c>
    </row>
    <row r="92" spans="2:32">
      <c r="B92" s="597">
        <f t="shared" si="6"/>
        <v>2075</v>
      </c>
      <c r="C92" s="642">
        <f>IF(Select2=1,Food!$K94,"")</f>
        <v>1.4373241833809787E-9</v>
      </c>
      <c r="D92" s="643">
        <f>IF(Select2=1,Paper!$K94,"")</f>
        <v>3.5395565824634261E-4</v>
      </c>
      <c r="E92" s="635">
        <f>IF(Select2=1,Nappies!$K94,"")</f>
        <v>9.6928977347392772E-6</v>
      </c>
      <c r="F92" s="643">
        <f>IF(Select2=1,Garden!$K94,"")</f>
        <v>0</v>
      </c>
      <c r="G92" s="635">
        <f>IF(Select2=1,Wood!$K94,"")</f>
        <v>0</v>
      </c>
      <c r="H92" s="643">
        <f>IF(Select2=1,Textiles!$K94,"")</f>
        <v>8.3803406977169559E-5</v>
      </c>
      <c r="I92" s="644">
        <f>Sludge!K94</f>
        <v>0</v>
      </c>
      <c r="J92" s="644" t="str">
        <f>IF(Select2=2,MSW!$K94,"")</f>
        <v/>
      </c>
      <c r="K92" s="644">
        <f>Industry!$K94</f>
        <v>0</v>
      </c>
      <c r="L92" s="645">
        <f t="shared" si="8"/>
        <v>4.474534002824348E-4</v>
      </c>
      <c r="M92" s="646">
        <f>Recovery_OX!C87</f>
        <v>0</v>
      </c>
      <c r="N92" s="605"/>
      <c r="O92" s="647">
        <f>(L92-M92)*(1-Recovery_OX!F87)</f>
        <v>4.474534002824348E-4</v>
      </c>
      <c r="P92" s="604"/>
      <c r="Q92" s="606"/>
      <c r="S92" s="648">
        <f t="shared" si="7"/>
        <v>2075</v>
      </c>
      <c r="T92" s="642">
        <f>IF(Select2=1,Food!$W94,"")</f>
        <v>9.6163526988022654E-10</v>
      </c>
      <c r="U92" s="643">
        <f>IF(Select2=1,Paper!$W94,"")</f>
        <v>7.313133434841794E-4</v>
      </c>
      <c r="V92" s="635">
        <f>IF(Select2=1,Nappies!$W94,"")</f>
        <v>0</v>
      </c>
      <c r="W92" s="643">
        <f>IF(Select2=1,Garden!$W94,"")</f>
        <v>0</v>
      </c>
      <c r="X92" s="635">
        <f>IF(Select2=1,Wood!$W94,"")</f>
        <v>1.6621129127424325E-3</v>
      </c>
      <c r="Y92" s="643">
        <f>IF(Select2=1,Textiles!$W94,"")</f>
        <v>9.1839350111966626E-5</v>
      </c>
      <c r="Z92" s="637">
        <f>Sludge!W94</f>
        <v>0</v>
      </c>
      <c r="AA92" s="637" t="str">
        <f>IF(Select2=2,MSW!$W94,"")</f>
        <v/>
      </c>
      <c r="AB92" s="644">
        <f>Industry!$W94</f>
        <v>0</v>
      </c>
      <c r="AC92" s="645">
        <f t="shared" si="5"/>
        <v>2.4852665679738484E-3</v>
      </c>
      <c r="AD92" s="646">
        <f>Recovery_OX!R87</f>
        <v>0</v>
      </c>
      <c r="AE92" s="605"/>
      <c r="AF92" s="649">
        <f>(AC92-AD92)*(1-Recovery_OX!U87)</f>
        <v>2.4852665679738484E-3</v>
      </c>
    </row>
    <row r="93" spans="2:32">
      <c r="B93" s="597">
        <f t="shared" si="6"/>
        <v>2076</v>
      </c>
      <c r="C93" s="642">
        <f>IF(Select2=1,Food!$K95,"")</f>
        <v>9.6346721277207534E-10</v>
      </c>
      <c r="D93" s="643">
        <f>IF(Select2=1,Paper!$K95,"")</f>
        <v>3.3002606826963173E-4</v>
      </c>
      <c r="E93" s="635">
        <f>IF(Select2=1,Nappies!$K95,"")</f>
        <v>8.1775567896663169E-6</v>
      </c>
      <c r="F93" s="643">
        <f>IF(Select2=1,Garden!$K95,"")</f>
        <v>0</v>
      </c>
      <c r="G93" s="635">
        <f>IF(Select2=1,Wood!$K95,"")</f>
        <v>0</v>
      </c>
      <c r="H93" s="643">
        <f>IF(Select2=1,Textiles!$K95,"")</f>
        <v>7.8137778752575921E-5</v>
      </c>
      <c r="I93" s="644">
        <f>Sludge!K95</f>
        <v>0</v>
      </c>
      <c r="J93" s="644" t="str">
        <f>IF(Select2=2,MSW!$K95,"")</f>
        <v/>
      </c>
      <c r="K93" s="644">
        <f>Industry!$K95</f>
        <v>0</v>
      </c>
      <c r="L93" s="645">
        <f t="shared" si="8"/>
        <v>4.1634236727908669E-4</v>
      </c>
      <c r="M93" s="646">
        <f>Recovery_OX!C88</f>
        <v>0</v>
      </c>
      <c r="N93" s="605"/>
      <c r="O93" s="647">
        <f>(L93-M93)*(1-Recovery_OX!F88)</f>
        <v>4.1634236727908669E-4</v>
      </c>
      <c r="P93" s="604"/>
      <c r="Q93" s="606"/>
      <c r="S93" s="648">
        <f t="shared" si="7"/>
        <v>2076</v>
      </c>
      <c r="T93" s="642">
        <f>IF(Select2=1,Food!$W95,"")</f>
        <v>6.4460339837560792E-10</v>
      </c>
      <c r="U93" s="643">
        <f>IF(Select2=1,Paper!$W95,"")</f>
        <v>6.8187204187940493E-4</v>
      </c>
      <c r="V93" s="635">
        <f>IF(Select2=1,Nappies!$W95,"")</f>
        <v>0</v>
      </c>
      <c r="W93" s="643">
        <f>IF(Select2=1,Garden!$W95,"")</f>
        <v>0</v>
      </c>
      <c r="X93" s="635">
        <f>IF(Select2=1,Wood!$W95,"")</f>
        <v>1.6049452309757327E-3</v>
      </c>
      <c r="Y93" s="643">
        <f>IF(Select2=1,Textiles!$W95,"")</f>
        <v>8.5630442468576337E-5</v>
      </c>
      <c r="Z93" s="637">
        <f>Sludge!W95</f>
        <v>0</v>
      </c>
      <c r="AA93" s="637" t="str">
        <f>IF(Select2=2,MSW!$W95,"")</f>
        <v/>
      </c>
      <c r="AB93" s="644">
        <f>Industry!$W95</f>
        <v>0</v>
      </c>
      <c r="AC93" s="645">
        <f t="shared" si="5"/>
        <v>2.3724483599271121E-3</v>
      </c>
      <c r="AD93" s="646">
        <f>Recovery_OX!R88</f>
        <v>0</v>
      </c>
      <c r="AE93" s="605"/>
      <c r="AF93" s="649">
        <f>(AC93-AD93)*(1-Recovery_OX!U88)</f>
        <v>2.3724483599271121E-3</v>
      </c>
    </row>
    <row r="94" spans="2:32">
      <c r="B94" s="597">
        <f t="shared" si="6"/>
        <v>2077</v>
      </c>
      <c r="C94" s="642">
        <f>IF(Select2=1,Food!$K96,"")</f>
        <v>6.458313864192066E-10</v>
      </c>
      <c r="D94" s="643">
        <f>IF(Select2=1,Paper!$K96,"")</f>
        <v>3.0771426646246321E-4</v>
      </c>
      <c r="E94" s="635">
        <f>IF(Select2=1,Nappies!$K96,"")</f>
        <v>6.8991169491603443E-6</v>
      </c>
      <c r="F94" s="643">
        <f>IF(Select2=1,Garden!$K96,"")</f>
        <v>0</v>
      </c>
      <c r="G94" s="635">
        <f>IF(Select2=1,Wood!$K96,"")</f>
        <v>0</v>
      </c>
      <c r="H94" s="643">
        <f>IF(Select2=1,Textiles!$K96,"")</f>
        <v>7.285518201008011E-5</v>
      </c>
      <c r="I94" s="644">
        <f>Sludge!K96</f>
        <v>0</v>
      </c>
      <c r="J94" s="644" t="str">
        <f>IF(Select2=2,MSW!$K96,"")</f>
        <v/>
      </c>
      <c r="K94" s="644">
        <f>Industry!$K96</f>
        <v>0</v>
      </c>
      <c r="L94" s="645">
        <f t="shared" si="8"/>
        <v>3.8746921125309009E-4</v>
      </c>
      <c r="M94" s="646">
        <f>Recovery_OX!C89</f>
        <v>0</v>
      </c>
      <c r="N94" s="605"/>
      <c r="O94" s="647">
        <f>(L94-M94)*(1-Recovery_OX!F89)</f>
        <v>3.8746921125309009E-4</v>
      </c>
      <c r="P94" s="604"/>
      <c r="Q94" s="606"/>
      <c r="S94" s="648">
        <f t="shared" si="7"/>
        <v>2077</v>
      </c>
      <c r="T94" s="642">
        <f>IF(Select2=1,Food!$W96,"")</f>
        <v>4.3209057967386709E-10</v>
      </c>
      <c r="U94" s="643">
        <f>IF(Select2=1,Paper!$W96,"")</f>
        <v>6.3577327781500696E-4</v>
      </c>
      <c r="V94" s="635">
        <f>IF(Select2=1,Nappies!$W96,"")</f>
        <v>0</v>
      </c>
      <c r="W94" s="643">
        <f>IF(Select2=1,Garden!$W96,"")</f>
        <v>0</v>
      </c>
      <c r="X94" s="635">
        <f>IF(Select2=1,Wood!$W96,"")</f>
        <v>1.5497438078269186E-3</v>
      </c>
      <c r="Y94" s="643">
        <f>IF(Select2=1,Textiles!$W96,"")</f>
        <v>7.9841295353512437E-5</v>
      </c>
      <c r="Z94" s="637">
        <f>Sludge!W96</f>
        <v>0</v>
      </c>
      <c r="AA94" s="637" t="str">
        <f>IF(Select2=2,MSW!$W96,"")</f>
        <v/>
      </c>
      <c r="AB94" s="644">
        <f>Industry!$W96</f>
        <v>0</v>
      </c>
      <c r="AC94" s="645">
        <f t="shared" si="5"/>
        <v>2.2653588130860172E-3</v>
      </c>
      <c r="AD94" s="646">
        <f>Recovery_OX!R89</f>
        <v>0</v>
      </c>
      <c r="AE94" s="605"/>
      <c r="AF94" s="649">
        <f>(AC94-AD94)*(1-Recovery_OX!U89)</f>
        <v>2.2653588130860172E-3</v>
      </c>
    </row>
    <row r="95" spans="2:32">
      <c r="B95" s="597">
        <f t="shared" si="6"/>
        <v>2078</v>
      </c>
      <c r="C95" s="642">
        <f>IF(Select2=1,Food!$K97,"")</f>
        <v>4.3291372467578336E-10</v>
      </c>
      <c r="D95" s="643">
        <f>IF(Select2=1,Paper!$K97,"")</f>
        <v>2.8691088034649289E-4</v>
      </c>
      <c r="E95" s="635">
        <f>IF(Select2=1,Nappies!$K97,"")</f>
        <v>5.8205422355903638E-6</v>
      </c>
      <c r="F95" s="643">
        <f>IF(Select2=1,Garden!$K97,"")</f>
        <v>0</v>
      </c>
      <c r="G95" s="635">
        <f>IF(Select2=1,Wood!$K97,"")</f>
        <v>0</v>
      </c>
      <c r="H95" s="643">
        <f>IF(Select2=1,Textiles!$K97,"")</f>
        <v>6.7929721454321705E-5</v>
      </c>
      <c r="I95" s="644">
        <f>Sludge!K97</f>
        <v>0</v>
      </c>
      <c r="J95" s="644" t="str">
        <f>IF(Select2=2,MSW!$K97,"")</f>
        <v/>
      </c>
      <c r="K95" s="644">
        <f>Industry!$K97</f>
        <v>0</v>
      </c>
      <c r="L95" s="645">
        <f t="shared" si="8"/>
        <v>3.6066157695012967E-4</v>
      </c>
      <c r="M95" s="646">
        <f>Recovery_OX!C90</f>
        <v>0</v>
      </c>
      <c r="N95" s="605"/>
      <c r="O95" s="647">
        <f>(L95-M95)*(1-Recovery_OX!F90)</f>
        <v>3.6066157695012967E-4</v>
      </c>
      <c r="P95" s="604"/>
      <c r="Q95" s="606"/>
      <c r="S95" s="648">
        <f t="shared" si="7"/>
        <v>2078</v>
      </c>
      <c r="T95" s="642">
        <f>IF(Select2=1,Food!$W97,"")</f>
        <v>2.8963897725855269E-10</v>
      </c>
      <c r="U95" s="643">
        <f>IF(Select2=1,Paper!$W97,"")</f>
        <v>5.9279107509606008E-4</v>
      </c>
      <c r="V95" s="635">
        <f>IF(Select2=1,Nappies!$W97,"")</f>
        <v>0</v>
      </c>
      <c r="W95" s="643">
        <f>IF(Select2=1,Garden!$W97,"")</f>
        <v>0</v>
      </c>
      <c r="X95" s="635">
        <f>IF(Select2=1,Wood!$W97,"")</f>
        <v>1.4964410146492977E-3</v>
      </c>
      <c r="Y95" s="643">
        <f>IF(Select2=1,Textiles!$W97,"")</f>
        <v>7.4443530360900493E-5</v>
      </c>
      <c r="Z95" s="637">
        <f>Sludge!W97</f>
        <v>0</v>
      </c>
      <c r="AA95" s="637" t="str">
        <f>IF(Select2=2,MSW!$W97,"")</f>
        <v/>
      </c>
      <c r="AB95" s="644">
        <f>Industry!$W97</f>
        <v>0</v>
      </c>
      <c r="AC95" s="645">
        <f t="shared" si="5"/>
        <v>2.1636759097452356E-3</v>
      </c>
      <c r="AD95" s="646">
        <f>Recovery_OX!R90</f>
        <v>0</v>
      </c>
      <c r="AE95" s="605"/>
      <c r="AF95" s="649">
        <f>(AC95-AD95)*(1-Recovery_OX!U90)</f>
        <v>2.1636759097452356E-3</v>
      </c>
    </row>
    <row r="96" spans="2:32">
      <c r="B96" s="597">
        <f t="shared" si="6"/>
        <v>2079</v>
      </c>
      <c r="C96" s="642">
        <f>IF(Select2=1,Food!$K98,"")</f>
        <v>2.901907478541312E-10</v>
      </c>
      <c r="D96" s="643">
        <f>IF(Select2=1,Paper!$K98,"")</f>
        <v>2.6751393169884501E-4</v>
      </c>
      <c r="E96" s="635">
        <f>IF(Select2=1,Nappies!$K98,"")</f>
        <v>4.9105866976808497E-6</v>
      </c>
      <c r="F96" s="643">
        <f>IF(Select2=1,Garden!$K98,"")</f>
        <v>0</v>
      </c>
      <c r="G96" s="635">
        <f>IF(Select2=1,Wood!$K98,"")</f>
        <v>0</v>
      </c>
      <c r="H96" s="643">
        <f>IF(Select2=1,Textiles!$K98,"")</f>
        <v>6.3337252471942068E-5</v>
      </c>
      <c r="I96" s="644">
        <f>Sludge!K98</f>
        <v>0</v>
      </c>
      <c r="J96" s="644" t="str">
        <f>IF(Select2=2,MSW!$K98,"")</f>
        <v/>
      </c>
      <c r="K96" s="644">
        <f>Industry!$K98</f>
        <v>0</v>
      </c>
      <c r="L96" s="645">
        <f t="shared" si="8"/>
        <v>3.3576206105921576E-4</v>
      </c>
      <c r="M96" s="646">
        <f>Recovery_OX!C91</f>
        <v>0</v>
      </c>
      <c r="N96" s="605"/>
      <c r="O96" s="647">
        <f>(L96-M96)*(1-Recovery_OX!F91)</f>
        <v>3.3576206105921576E-4</v>
      </c>
      <c r="P96" s="602"/>
      <c r="S96" s="648">
        <f t="shared" si="7"/>
        <v>2079</v>
      </c>
      <c r="T96" s="642">
        <f>IF(Select2=1,Food!$W98,"")</f>
        <v>1.9415081256966851E-10</v>
      </c>
      <c r="U96" s="643">
        <f>IF(Select2=1,Paper!$W98,"")</f>
        <v>5.5271473491496931E-4</v>
      </c>
      <c r="V96" s="635">
        <f>IF(Select2=1,Nappies!$W98,"")</f>
        <v>0</v>
      </c>
      <c r="W96" s="643">
        <f>IF(Select2=1,Garden!$W98,"")</f>
        <v>0</v>
      </c>
      <c r="X96" s="635">
        <f>IF(Select2=1,Wood!$W98,"")</f>
        <v>1.4449715488553303E-3</v>
      </c>
      <c r="Y96" s="643">
        <f>IF(Select2=1,Textiles!$W98,"")</f>
        <v>6.9410687640484458E-5</v>
      </c>
      <c r="Z96" s="637">
        <f>Sludge!W98</f>
        <v>0</v>
      </c>
      <c r="AA96" s="637" t="str">
        <f>IF(Select2=2,MSW!$W98,"")</f>
        <v/>
      </c>
      <c r="AB96" s="644">
        <f>Industry!$W98</f>
        <v>0</v>
      </c>
      <c r="AC96" s="645">
        <f t="shared" si="5"/>
        <v>2.0670971655615965E-3</v>
      </c>
      <c r="AD96" s="646">
        <f>Recovery_OX!R91</f>
        <v>0</v>
      </c>
      <c r="AE96" s="605"/>
      <c r="AF96" s="649">
        <f>(AC96-AD96)*(1-Recovery_OX!U91)</f>
        <v>2.0670971655615965E-3</v>
      </c>
    </row>
    <row r="97" spans="2:32" ht="13.5" thickBot="1">
      <c r="B97" s="598">
        <f t="shared" si="6"/>
        <v>2080</v>
      </c>
      <c r="C97" s="650">
        <f>IF(Select2=1,Food!$K99,"")</f>
        <v>1.9452067546069783E-10</v>
      </c>
      <c r="D97" s="651">
        <f>IF(Select2=1,Paper!$K99,"")</f>
        <v>2.4942833665474499E-4</v>
      </c>
      <c r="E97" s="651">
        <f>IF(Select2=1,Nappies!$K99,"")</f>
        <v>4.1428892256795558E-6</v>
      </c>
      <c r="F97" s="651">
        <f>IF(Select2=1,Garden!$K99,"")</f>
        <v>0</v>
      </c>
      <c r="G97" s="651">
        <f>IF(Select2=1,Wood!$K99,"")</f>
        <v>0</v>
      </c>
      <c r="H97" s="651">
        <f>IF(Select2=1,Textiles!$K99,"")</f>
        <v>5.9055262774661537E-5</v>
      </c>
      <c r="I97" s="652">
        <f>Sludge!K99</f>
        <v>0</v>
      </c>
      <c r="J97" s="652" t="str">
        <f>IF(Select2=2,MSW!$K99,"")</f>
        <v/>
      </c>
      <c r="K97" s="644">
        <f>Industry!$K99</f>
        <v>0</v>
      </c>
      <c r="L97" s="645">
        <f t="shared" si="8"/>
        <v>3.126266831757615E-4</v>
      </c>
      <c r="M97" s="653">
        <f>Recovery_OX!C92</f>
        <v>0</v>
      </c>
      <c r="N97" s="605"/>
      <c r="O97" s="654">
        <f>(L97-M97)*(1-Recovery_OX!F92)</f>
        <v>3.126266831757615E-4</v>
      </c>
      <c r="S97" s="655">
        <f t="shared" si="7"/>
        <v>2080</v>
      </c>
      <c r="T97" s="650">
        <f>IF(Select2=1,Food!$W99,"")</f>
        <v>1.3014318161955698E-10</v>
      </c>
      <c r="U97" s="651">
        <f>IF(Select2=1,Paper!$W99,"")</f>
        <v>5.1534780300567171E-4</v>
      </c>
      <c r="V97" s="651">
        <f>IF(Select2=1,Nappies!$W99,"")</f>
        <v>0</v>
      </c>
      <c r="W97" s="651">
        <f>IF(Select2=1,Garden!$W99,"")</f>
        <v>0</v>
      </c>
      <c r="X97" s="651">
        <f>IF(Select2=1,Wood!$W99,"")</f>
        <v>1.3952723539127918E-3</v>
      </c>
      <c r="Y97" s="651">
        <f>IF(Select2=1,Textiles!$W99,"")</f>
        <v>6.4718096191409885E-5</v>
      </c>
      <c r="Z97" s="652">
        <f>Sludge!W99</f>
        <v>0</v>
      </c>
      <c r="AA97" s="652" t="str">
        <f>IF(Select2=2,MSW!$W99,"")</f>
        <v/>
      </c>
      <c r="AB97" s="644">
        <f>Industry!$W99</f>
        <v>0</v>
      </c>
      <c r="AC97" s="656">
        <f t="shared" si="5"/>
        <v>1.9753383832530548E-3</v>
      </c>
      <c r="AD97" s="653">
        <f>Recovery_OX!R92</f>
        <v>0</v>
      </c>
      <c r="AE97" s="605"/>
      <c r="AF97" s="657">
        <f>(AC97-AD97)*(1-Recovery_OX!U92)</f>
        <v>1.9753383832530548E-3</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topLeftCell="A76"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933" t="s">
        <v>284</v>
      </c>
      <c r="D8" s="934"/>
      <c r="E8" s="935"/>
      <c r="F8" s="933" t="s">
        <v>285</v>
      </c>
      <c r="G8" s="934"/>
      <c r="H8" s="936"/>
      <c r="I8" s="435"/>
      <c r="J8" s="933" t="s">
        <v>286</v>
      </c>
      <c r="K8" s="934"/>
      <c r="L8" s="936"/>
      <c r="M8" s="937" t="s">
        <v>287</v>
      </c>
      <c r="N8" s="938"/>
      <c r="O8" s="939"/>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v>1950</v>
      </c>
      <c r="C12" s="462">
        <f>Stored_C!E18</f>
        <v>0</v>
      </c>
      <c r="D12" s="463">
        <f>Stored_C!F18+Stored_C!L18</f>
        <v>5.6670260169600008E-2</v>
      </c>
      <c r="E12" s="464">
        <f>Stored_C!G18+Stored_C!M18</f>
        <v>4.675296463992E-2</v>
      </c>
      <c r="F12" s="465">
        <f>F11+HWP!C12</f>
        <v>0</v>
      </c>
      <c r="G12" s="463">
        <f>G11+HWP!D12</f>
        <v>5.6670260169600008E-2</v>
      </c>
      <c r="H12" s="464">
        <f>H11+HWP!E12</f>
        <v>4.675296463992E-2</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5.7840844921200001E-2</v>
      </c>
      <c r="E13" s="473">
        <f>Stored_C!G19+Stored_C!M19</f>
        <v>4.7718697059990003E-2</v>
      </c>
      <c r="F13" s="474">
        <f>F12+HWP!C13</f>
        <v>0</v>
      </c>
      <c r="G13" s="472">
        <f>G12+HWP!D13</f>
        <v>0.11451110509080001</v>
      </c>
      <c r="H13" s="473">
        <f>H12+HWP!E13</f>
        <v>9.4471661699910003E-2</v>
      </c>
      <c r="I13" s="456"/>
      <c r="J13" s="475">
        <f>Garden!J20</f>
        <v>0</v>
      </c>
      <c r="K13" s="476">
        <f>Paper!J20</f>
        <v>0</v>
      </c>
      <c r="L13" s="477">
        <f>Wood!J20</f>
        <v>0</v>
      </c>
      <c r="M13" s="478">
        <f>J13*(1-Recovery_OX!E13)*(1-Recovery_OX!F13)</f>
        <v>0</v>
      </c>
      <c r="N13" s="476">
        <f>K13*(1-Recovery_OX!E13)*(1-Recovery_OX!F13)</f>
        <v>0</v>
      </c>
      <c r="O13" s="477">
        <f>L13*(1-Recovery_OX!E13)*(1-Recovery_OX!F13)</f>
        <v>0</v>
      </c>
    </row>
    <row r="14" spans="2:15">
      <c r="B14" s="470">
        <f t="shared" ref="B14:B77" si="0">B13+1</f>
        <v>1952</v>
      </c>
      <c r="C14" s="471">
        <f>Stored_C!E20</f>
        <v>0</v>
      </c>
      <c r="D14" s="472">
        <f>Stored_C!F20+Stored_C!L20</f>
        <v>3.5938538032320007E-2</v>
      </c>
      <c r="E14" s="473">
        <f>Stored_C!G20+Stored_C!M20</f>
        <v>2.9649293876664002E-2</v>
      </c>
      <c r="F14" s="474">
        <f>F13+HWP!C14</f>
        <v>0</v>
      </c>
      <c r="G14" s="472">
        <f>G13+HWP!D14</f>
        <v>0.15044964312312001</v>
      </c>
      <c r="H14" s="473">
        <f>H13+HWP!E14</f>
        <v>0.124120955576574</v>
      </c>
      <c r="I14" s="456"/>
      <c r="J14" s="475">
        <f>Garden!J21</f>
        <v>0</v>
      </c>
      <c r="K14" s="476">
        <f>Paper!J21</f>
        <v>0</v>
      </c>
      <c r="L14" s="477">
        <f>Wood!J21</f>
        <v>0</v>
      </c>
      <c r="M14" s="478">
        <f>J14*(1-Recovery_OX!E14)*(1-Recovery_OX!F14)</f>
        <v>0</v>
      </c>
      <c r="N14" s="476">
        <f>K14*(1-Recovery_OX!E14)*(1-Recovery_OX!F14)</f>
        <v>0</v>
      </c>
      <c r="O14" s="477">
        <f>L14*(1-Recovery_OX!E14)*(1-Recovery_OX!F14)</f>
        <v>0</v>
      </c>
    </row>
    <row r="15" spans="2:15">
      <c r="B15" s="470">
        <f t="shared" si="0"/>
        <v>1953</v>
      </c>
      <c r="C15" s="471">
        <f>Stored_C!E21</f>
        <v>0</v>
      </c>
      <c r="D15" s="472">
        <f>Stored_C!F21+Stored_C!L21</f>
        <v>3.6554601877200006E-2</v>
      </c>
      <c r="E15" s="473">
        <f>Stored_C!G21+Stored_C!M21</f>
        <v>3.0157546548690004E-2</v>
      </c>
      <c r="F15" s="474">
        <f>F14+HWP!C15</f>
        <v>0</v>
      </c>
      <c r="G15" s="472">
        <f>G14+HWP!D15</f>
        <v>0.18700424500032001</v>
      </c>
      <c r="H15" s="473">
        <f>H14+HWP!E15</f>
        <v>0.15427850212526401</v>
      </c>
      <c r="I15" s="456"/>
      <c r="J15" s="475">
        <f>Garden!J22</f>
        <v>0</v>
      </c>
      <c r="K15" s="476">
        <f>Paper!J22</f>
        <v>0</v>
      </c>
      <c r="L15" s="477">
        <f>Wood!J22</f>
        <v>0</v>
      </c>
      <c r="M15" s="478">
        <f>J15*(1-Recovery_OX!E15)*(1-Recovery_OX!F15)</f>
        <v>0</v>
      </c>
      <c r="N15" s="476">
        <f>K15*(1-Recovery_OX!E15)*(1-Recovery_OX!F15)</f>
        <v>0</v>
      </c>
      <c r="O15" s="477">
        <f>L15*(1-Recovery_OX!E15)*(1-Recovery_OX!F15)</f>
        <v>0</v>
      </c>
    </row>
    <row r="16" spans="2:15">
      <c r="B16" s="470">
        <f t="shared" si="0"/>
        <v>1954</v>
      </c>
      <c r="C16" s="471">
        <f>Stored_C!E22</f>
        <v>0</v>
      </c>
      <c r="D16" s="472">
        <f>Stored_C!F22+Stored_C!L22</f>
        <v>3.6327886998479997E-2</v>
      </c>
      <c r="E16" s="473">
        <f>Stored_C!G22+Stored_C!M22</f>
        <v>2.9970506773745995E-2</v>
      </c>
      <c r="F16" s="474">
        <f>F15+HWP!C16</f>
        <v>0</v>
      </c>
      <c r="G16" s="472">
        <f>G15+HWP!D16</f>
        <v>0.2233321319988</v>
      </c>
      <c r="H16" s="473">
        <f>H15+HWP!E16</f>
        <v>0.18424900889901</v>
      </c>
      <c r="I16" s="456"/>
      <c r="J16" s="475">
        <f>Garden!J23</f>
        <v>0</v>
      </c>
      <c r="K16" s="476">
        <f>Paper!J23</f>
        <v>0</v>
      </c>
      <c r="L16" s="477">
        <f>Wood!J23</f>
        <v>0</v>
      </c>
      <c r="M16" s="478">
        <f>J16*(1-Recovery_OX!E16)*(1-Recovery_OX!F16)</f>
        <v>0</v>
      </c>
      <c r="N16" s="476">
        <f>K16*(1-Recovery_OX!E16)*(1-Recovery_OX!F16)</f>
        <v>0</v>
      </c>
      <c r="O16" s="477">
        <f>L16*(1-Recovery_OX!E16)*(1-Recovery_OX!F16)</f>
        <v>0</v>
      </c>
    </row>
    <row r="17" spans="2:15">
      <c r="B17" s="470">
        <f t="shared" si="0"/>
        <v>1955</v>
      </c>
      <c r="C17" s="471">
        <f>Stored_C!E23</f>
        <v>0</v>
      </c>
      <c r="D17" s="472">
        <f>Stored_C!F23+Stored_C!L23</f>
        <v>3.7487897362080004E-2</v>
      </c>
      <c r="E17" s="473">
        <f>Stored_C!G23+Stored_C!M23</f>
        <v>3.0927515323716001E-2</v>
      </c>
      <c r="F17" s="474">
        <f>F16+HWP!C17</f>
        <v>0</v>
      </c>
      <c r="G17" s="472">
        <f>G16+HWP!D17</f>
        <v>0.26082002936088</v>
      </c>
      <c r="H17" s="473">
        <f>H16+HWP!E17</f>
        <v>0.21517652422272598</v>
      </c>
      <c r="I17" s="456"/>
      <c r="J17" s="475">
        <f>Garden!J24</f>
        <v>0</v>
      </c>
      <c r="K17" s="476">
        <f>Paper!J24</f>
        <v>0</v>
      </c>
      <c r="L17" s="477">
        <f>Wood!J24</f>
        <v>0</v>
      </c>
      <c r="M17" s="478">
        <f>J17*(1-Recovery_OX!E17)*(1-Recovery_OX!F17)</f>
        <v>0</v>
      </c>
      <c r="N17" s="476">
        <f>K17*(1-Recovery_OX!E17)*(1-Recovery_OX!F17)</f>
        <v>0</v>
      </c>
      <c r="O17" s="477">
        <f>L17*(1-Recovery_OX!E17)*(1-Recovery_OX!F17)</f>
        <v>0</v>
      </c>
    </row>
    <row r="18" spans="2:15">
      <c r="B18" s="470">
        <f t="shared" si="0"/>
        <v>1956</v>
      </c>
      <c r="C18" s="471">
        <f>Stored_C!E24</f>
        <v>0</v>
      </c>
      <c r="D18" s="472">
        <f>Stored_C!F24+Stored_C!L24</f>
        <v>3.7888032203999999E-2</v>
      </c>
      <c r="E18" s="473">
        <f>Stored_C!G24+Stored_C!M24</f>
        <v>3.1257626568300001E-2</v>
      </c>
      <c r="F18" s="474">
        <f>F17+HWP!C18</f>
        <v>0</v>
      </c>
      <c r="G18" s="472">
        <f>G17+HWP!D18</f>
        <v>0.29870806156488</v>
      </c>
      <c r="H18" s="473">
        <f>H17+HWP!E18</f>
        <v>0.24643415079102599</v>
      </c>
      <c r="I18" s="456"/>
      <c r="J18" s="475">
        <f>Garden!J25</f>
        <v>0</v>
      </c>
      <c r="K18" s="476">
        <f>Paper!J25</f>
        <v>0</v>
      </c>
      <c r="L18" s="477">
        <f>Wood!J25</f>
        <v>0</v>
      </c>
      <c r="M18" s="478">
        <f>J18*(1-Recovery_OX!E18)*(1-Recovery_OX!F18)</f>
        <v>0</v>
      </c>
      <c r="N18" s="476">
        <f>K18*(1-Recovery_OX!E18)*(1-Recovery_OX!F18)</f>
        <v>0</v>
      </c>
      <c r="O18" s="477">
        <f>L18*(1-Recovery_OX!E18)*(1-Recovery_OX!F18)</f>
        <v>0</v>
      </c>
    </row>
    <row r="19" spans="2:15">
      <c r="B19" s="470">
        <f t="shared" si="0"/>
        <v>1957</v>
      </c>
      <c r="C19" s="471">
        <f>Stored_C!E25</f>
        <v>0</v>
      </c>
      <c r="D19" s="472">
        <f>Stored_C!F25+Stored_C!L25</f>
        <v>3.8276323731359994E-2</v>
      </c>
      <c r="E19" s="473">
        <f>Stored_C!G25+Stored_C!M25</f>
        <v>3.1577967078371995E-2</v>
      </c>
      <c r="F19" s="474">
        <f>F18+HWP!C19</f>
        <v>0</v>
      </c>
      <c r="G19" s="472">
        <f>G18+HWP!D19</f>
        <v>0.33698438529623997</v>
      </c>
      <c r="H19" s="473">
        <f>H18+HWP!E19</f>
        <v>0.278012117869398</v>
      </c>
      <c r="I19" s="456"/>
      <c r="J19" s="475">
        <f>Garden!J26</f>
        <v>0</v>
      </c>
      <c r="K19" s="476">
        <f>Paper!J26</f>
        <v>0</v>
      </c>
      <c r="L19" s="477">
        <f>Wood!J26</f>
        <v>0</v>
      </c>
      <c r="M19" s="478">
        <f>J19*(1-Recovery_OX!E19)*(1-Recovery_OX!F19)</f>
        <v>0</v>
      </c>
      <c r="N19" s="476">
        <f>K19*(1-Recovery_OX!E19)*(1-Recovery_OX!F19)</f>
        <v>0</v>
      </c>
      <c r="O19" s="477">
        <f>L19*(1-Recovery_OX!E19)*(1-Recovery_OX!F19)</f>
        <v>0</v>
      </c>
    </row>
    <row r="20" spans="2:15">
      <c r="B20" s="470">
        <f t="shared" si="0"/>
        <v>1958</v>
      </c>
      <c r="C20" s="471">
        <f>Stored_C!E26</f>
        <v>0</v>
      </c>
      <c r="D20" s="472">
        <f>Stored_C!F26+Stored_C!L26</f>
        <v>3.8648330701200009E-2</v>
      </c>
      <c r="E20" s="473">
        <f>Stored_C!G26+Stored_C!M26</f>
        <v>3.188487282849E-2</v>
      </c>
      <c r="F20" s="474">
        <f>F19+HWP!C20</f>
        <v>0</v>
      </c>
      <c r="G20" s="472">
        <f>G19+HWP!D20</f>
        <v>0.37563271599743997</v>
      </c>
      <c r="H20" s="473">
        <f>H19+HWP!E20</f>
        <v>0.30989699069788801</v>
      </c>
      <c r="I20" s="456"/>
      <c r="J20" s="475">
        <f>Garden!J27</f>
        <v>0</v>
      </c>
      <c r="K20" s="476">
        <f>Paper!J27</f>
        <v>0</v>
      </c>
      <c r="L20" s="477">
        <f>Wood!J27</f>
        <v>0</v>
      </c>
      <c r="M20" s="478">
        <f>J20*(1-Recovery_OX!E20)*(1-Recovery_OX!F20)</f>
        <v>0</v>
      </c>
      <c r="N20" s="476">
        <f>K20*(1-Recovery_OX!E20)*(1-Recovery_OX!F20)</f>
        <v>0</v>
      </c>
      <c r="O20" s="477">
        <f>L20*(1-Recovery_OX!E20)*(1-Recovery_OX!F20)</f>
        <v>0</v>
      </c>
    </row>
    <row r="21" spans="2:15">
      <c r="B21" s="470">
        <f t="shared" si="0"/>
        <v>1959</v>
      </c>
      <c r="C21" s="471">
        <f>Stored_C!E27</f>
        <v>0</v>
      </c>
      <c r="D21" s="472">
        <f>Stored_C!F27+Stored_C!L27</f>
        <v>3.8998765919520013E-2</v>
      </c>
      <c r="E21" s="473">
        <f>Stored_C!G27+Stored_C!M27</f>
        <v>3.2173981883604007E-2</v>
      </c>
      <c r="F21" s="474">
        <f>F20+HWP!C21</f>
        <v>0</v>
      </c>
      <c r="G21" s="472">
        <f>G20+HWP!D21</f>
        <v>0.41463148191695998</v>
      </c>
      <c r="H21" s="473">
        <f>H20+HWP!E21</f>
        <v>0.34207097258149199</v>
      </c>
      <c r="I21" s="456"/>
      <c r="J21" s="475">
        <f>Garden!J28</f>
        <v>0</v>
      </c>
      <c r="K21" s="476">
        <f>Paper!J28</f>
        <v>0</v>
      </c>
      <c r="L21" s="477">
        <f>Wood!J28</f>
        <v>0</v>
      </c>
      <c r="M21" s="478">
        <f>J21*(1-Recovery_OX!E21)*(1-Recovery_OX!F21)</f>
        <v>0</v>
      </c>
      <c r="N21" s="476">
        <f>K21*(1-Recovery_OX!E21)*(1-Recovery_OX!F21)</f>
        <v>0</v>
      </c>
      <c r="O21" s="477">
        <f>L21*(1-Recovery_OX!E21)*(1-Recovery_OX!F21)</f>
        <v>0</v>
      </c>
    </row>
    <row r="22" spans="2:15">
      <c r="B22" s="470">
        <f t="shared" si="0"/>
        <v>1960</v>
      </c>
      <c r="C22" s="471">
        <f>Stored_C!E28</f>
        <v>0</v>
      </c>
      <c r="D22" s="472">
        <f>Stored_C!F28+Stored_C!L28</f>
        <v>4.8709014932159997E-2</v>
      </c>
      <c r="E22" s="473">
        <f>Stored_C!G28+Stored_C!M28</f>
        <v>4.0184937319031992E-2</v>
      </c>
      <c r="F22" s="474">
        <f>F21+HWP!C22</f>
        <v>0</v>
      </c>
      <c r="G22" s="472">
        <f>G21+HWP!D22</f>
        <v>0.46334049684911999</v>
      </c>
      <c r="H22" s="473">
        <f>H21+HWP!E22</f>
        <v>0.38225590990052399</v>
      </c>
      <c r="I22" s="456"/>
      <c r="J22" s="475">
        <f>Garden!J29</f>
        <v>0</v>
      </c>
      <c r="K22" s="476">
        <f>Paper!J29</f>
        <v>0</v>
      </c>
      <c r="L22" s="477">
        <f>Wood!J29</f>
        <v>0</v>
      </c>
      <c r="M22" s="478">
        <f>J22*(1-Recovery_OX!E22)*(1-Recovery_OX!F22)</f>
        <v>0</v>
      </c>
      <c r="N22" s="476">
        <f>K22*(1-Recovery_OX!E22)*(1-Recovery_OX!F22)</f>
        <v>0</v>
      </c>
      <c r="O22" s="477">
        <f>L22*(1-Recovery_OX!E22)*(1-Recovery_OX!F22)</f>
        <v>0</v>
      </c>
    </row>
    <row r="23" spans="2:15">
      <c r="B23" s="470">
        <f t="shared" si="0"/>
        <v>1961</v>
      </c>
      <c r="C23" s="471">
        <f>Stored_C!E29</f>
        <v>0</v>
      </c>
      <c r="D23" s="472">
        <f>Stored_C!F29+Stored_C!L29</f>
        <v>4.5716540032800013E-2</v>
      </c>
      <c r="E23" s="473">
        <f>Stored_C!G29+Stored_C!M29</f>
        <v>3.7716145527060006E-2</v>
      </c>
      <c r="F23" s="474">
        <f>F22+HWP!C23</f>
        <v>0</v>
      </c>
      <c r="G23" s="472">
        <f>G22+HWP!D23</f>
        <v>0.50905703688192006</v>
      </c>
      <c r="H23" s="473">
        <f>H22+HWP!E23</f>
        <v>0.41997205542758398</v>
      </c>
      <c r="I23" s="456"/>
      <c r="J23" s="475">
        <f>Garden!J30</f>
        <v>0</v>
      </c>
      <c r="K23" s="476">
        <f>Paper!J30</f>
        <v>0</v>
      </c>
      <c r="L23" s="477">
        <f>Wood!J30</f>
        <v>0</v>
      </c>
      <c r="M23" s="478">
        <f>J23*(1-Recovery_OX!E23)*(1-Recovery_OX!F23)</f>
        <v>0</v>
      </c>
      <c r="N23" s="476">
        <f>K23*(1-Recovery_OX!E23)*(1-Recovery_OX!F23)</f>
        <v>0</v>
      </c>
      <c r="O23" s="477">
        <f>L23*(1-Recovery_OX!E23)*(1-Recovery_OX!F23)</f>
        <v>0</v>
      </c>
    </row>
    <row r="24" spans="2:15">
      <c r="B24" s="470">
        <f t="shared" si="0"/>
        <v>1962</v>
      </c>
      <c r="C24" s="471">
        <f>Stored_C!E30</f>
        <v>0</v>
      </c>
      <c r="D24" s="472">
        <f>Stored_C!F30+Stored_C!L30</f>
        <v>4.6933171437600014E-2</v>
      </c>
      <c r="E24" s="473">
        <f>Stored_C!G30+Stored_C!M30</f>
        <v>3.8719866436020003E-2</v>
      </c>
      <c r="F24" s="474">
        <f>F23+HWP!C24</f>
        <v>0</v>
      </c>
      <c r="G24" s="472">
        <f>G23+HWP!D24</f>
        <v>0.55599020831952006</v>
      </c>
      <c r="H24" s="473">
        <f>H23+HWP!E24</f>
        <v>0.45869192186360397</v>
      </c>
      <c r="I24" s="456"/>
      <c r="J24" s="475">
        <f>Garden!J31</f>
        <v>0</v>
      </c>
      <c r="K24" s="476">
        <f>Paper!J31</f>
        <v>0</v>
      </c>
      <c r="L24" s="477">
        <f>Wood!J31</f>
        <v>0</v>
      </c>
      <c r="M24" s="478">
        <f>J24*(1-Recovery_OX!E24)*(1-Recovery_OX!F24)</f>
        <v>0</v>
      </c>
      <c r="N24" s="476">
        <f>K24*(1-Recovery_OX!E24)*(1-Recovery_OX!F24)</f>
        <v>0</v>
      </c>
      <c r="O24" s="477">
        <f>L24*(1-Recovery_OX!E24)*(1-Recovery_OX!F24)</f>
        <v>0</v>
      </c>
    </row>
    <row r="25" spans="2:15">
      <c r="B25" s="470">
        <f t="shared" si="0"/>
        <v>1963</v>
      </c>
      <c r="C25" s="471">
        <f>Stored_C!E31</f>
        <v>0</v>
      </c>
      <c r="D25" s="472">
        <f>Stored_C!F31+Stored_C!L31</f>
        <v>4.8063669645600007E-2</v>
      </c>
      <c r="E25" s="473">
        <f>Stored_C!G31+Stored_C!M31</f>
        <v>3.9652527457620004E-2</v>
      </c>
      <c r="F25" s="474">
        <f>F24+HWP!C25</f>
        <v>0</v>
      </c>
      <c r="G25" s="472">
        <f>G24+HWP!D25</f>
        <v>0.60405387796512011</v>
      </c>
      <c r="H25" s="473">
        <f>H24+HWP!E25</f>
        <v>0.49834444932122396</v>
      </c>
      <c r="I25" s="456"/>
      <c r="J25" s="475">
        <f>Garden!J32</f>
        <v>0</v>
      </c>
      <c r="K25" s="476">
        <f>Paper!J32</f>
        <v>0</v>
      </c>
      <c r="L25" s="477">
        <f>Wood!J32</f>
        <v>0</v>
      </c>
      <c r="M25" s="478">
        <f>J25*(1-Recovery_OX!E25)*(1-Recovery_OX!F25)</f>
        <v>0</v>
      </c>
      <c r="N25" s="476">
        <f>K25*(1-Recovery_OX!E25)*(1-Recovery_OX!F25)</f>
        <v>0</v>
      </c>
      <c r="O25" s="477">
        <f>L25*(1-Recovery_OX!E25)*(1-Recovery_OX!F25)</f>
        <v>0</v>
      </c>
    </row>
    <row r="26" spans="2:15">
      <c r="B26" s="470">
        <f t="shared" si="0"/>
        <v>1964</v>
      </c>
      <c r="C26" s="471">
        <f>Stored_C!E32</f>
        <v>0</v>
      </c>
      <c r="D26" s="472">
        <f>Stored_C!F32+Stored_C!L32</f>
        <v>4.925261538000001E-2</v>
      </c>
      <c r="E26" s="473">
        <f>Stored_C!G32+Stored_C!M32</f>
        <v>4.063340768850001E-2</v>
      </c>
      <c r="F26" s="474">
        <f>F25+HWP!C26</f>
        <v>0</v>
      </c>
      <c r="G26" s="472">
        <f>G25+HWP!D26</f>
        <v>0.65330649334512014</v>
      </c>
      <c r="H26" s="473">
        <f>H25+HWP!E26</f>
        <v>0.538977857009724</v>
      </c>
      <c r="I26" s="456"/>
      <c r="J26" s="475">
        <f>Garden!J33</f>
        <v>0</v>
      </c>
      <c r="K26" s="476">
        <f>Paper!J33</f>
        <v>0</v>
      </c>
      <c r="L26" s="477">
        <f>Wood!J33</f>
        <v>0</v>
      </c>
      <c r="M26" s="478">
        <f>J26*(1-Recovery_OX!E26)*(1-Recovery_OX!F26)</f>
        <v>0</v>
      </c>
      <c r="N26" s="476">
        <f>K26*(1-Recovery_OX!E26)*(1-Recovery_OX!F26)</f>
        <v>0</v>
      </c>
      <c r="O26" s="477">
        <f>L26*(1-Recovery_OX!E26)*(1-Recovery_OX!F26)</f>
        <v>0</v>
      </c>
    </row>
    <row r="27" spans="2:15">
      <c r="B27" s="470">
        <f t="shared" si="0"/>
        <v>1965</v>
      </c>
      <c r="C27" s="471">
        <f>Stored_C!E33</f>
        <v>0</v>
      </c>
      <c r="D27" s="472">
        <f>Stored_C!F33+Stored_C!L33</f>
        <v>5.0430409941600016E-2</v>
      </c>
      <c r="E27" s="473">
        <f>Stored_C!G33+Stored_C!M33</f>
        <v>4.160508820182001E-2</v>
      </c>
      <c r="F27" s="474">
        <f>F26+HWP!C27</f>
        <v>0</v>
      </c>
      <c r="G27" s="472">
        <f>G26+HWP!D27</f>
        <v>0.70373690328672012</v>
      </c>
      <c r="H27" s="473">
        <f>H26+HWP!E27</f>
        <v>0.58058294521154397</v>
      </c>
      <c r="I27" s="456"/>
      <c r="J27" s="475">
        <f>Garden!J34</f>
        <v>0</v>
      </c>
      <c r="K27" s="476">
        <f>Paper!J34</f>
        <v>0</v>
      </c>
      <c r="L27" s="477">
        <f>Wood!J34</f>
        <v>0</v>
      </c>
      <c r="M27" s="478">
        <f>J27*(1-Recovery_OX!E27)*(1-Recovery_OX!F27)</f>
        <v>0</v>
      </c>
      <c r="N27" s="476">
        <f>K27*(1-Recovery_OX!E27)*(1-Recovery_OX!F27)</f>
        <v>0</v>
      </c>
      <c r="O27" s="477">
        <f>L27*(1-Recovery_OX!E27)*(1-Recovery_OX!F27)</f>
        <v>0</v>
      </c>
    </row>
    <row r="28" spans="2:15">
      <c r="B28" s="470">
        <f t="shared" si="0"/>
        <v>1966</v>
      </c>
      <c r="C28" s="471">
        <f>Stored_C!E34</f>
        <v>0</v>
      </c>
      <c r="D28" s="472">
        <f>Stored_C!F34+Stored_C!L34</f>
        <v>5.1576289077600014E-2</v>
      </c>
      <c r="E28" s="473">
        <f>Stored_C!G34+Stored_C!M34</f>
        <v>4.2550438489020008E-2</v>
      </c>
      <c r="F28" s="474">
        <f>F27+HWP!C28</f>
        <v>0</v>
      </c>
      <c r="G28" s="472">
        <f>G27+HWP!D28</f>
        <v>0.75531319236432015</v>
      </c>
      <c r="H28" s="473">
        <f>H27+HWP!E28</f>
        <v>0.62313338370056393</v>
      </c>
      <c r="I28" s="456"/>
      <c r="J28" s="475">
        <f>Garden!J35</f>
        <v>0</v>
      </c>
      <c r="K28" s="476">
        <f>Paper!J35</f>
        <v>0</v>
      </c>
      <c r="L28" s="477">
        <f>Wood!J35</f>
        <v>0</v>
      </c>
      <c r="M28" s="478">
        <f>J28*(1-Recovery_OX!E28)*(1-Recovery_OX!F28)</f>
        <v>0</v>
      </c>
      <c r="N28" s="476">
        <f>K28*(1-Recovery_OX!E28)*(1-Recovery_OX!F28)</f>
        <v>0</v>
      </c>
      <c r="O28" s="477">
        <f>L28*(1-Recovery_OX!E28)*(1-Recovery_OX!F28)</f>
        <v>0</v>
      </c>
    </row>
    <row r="29" spans="2:15">
      <c r="B29" s="470">
        <f t="shared" si="0"/>
        <v>1967</v>
      </c>
      <c r="C29" s="471">
        <f>Stored_C!E35</f>
        <v>0</v>
      </c>
      <c r="D29" s="472">
        <f>Stored_C!F35+Stored_C!L35</f>
        <v>5.2388231270794568E-2</v>
      </c>
      <c r="E29" s="473">
        <f>Stored_C!G35+Stored_C!M35</f>
        <v>4.3220290798405517E-2</v>
      </c>
      <c r="F29" s="474">
        <f>F28+HWP!C29</f>
        <v>0</v>
      </c>
      <c r="G29" s="472">
        <f>G28+HWP!D29</f>
        <v>0.80770142363511477</v>
      </c>
      <c r="H29" s="473">
        <f>H28+HWP!E29</f>
        <v>0.66635367449896943</v>
      </c>
      <c r="I29" s="456"/>
      <c r="J29" s="475">
        <f>Garden!J36</f>
        <v>0</v>
      </c>
      <c r="K29" s="476">
        <f>Paper!J36</f>
        <v>0</v>
      </c>
      <c r="L29" s="477">
        <f>Wood!J36</f>
        <v>0</v>
      </c>
      <c r="M29" s="478">
        <f>J29*(1-Recovery_OX!E29)*(1-Recovery_OX!F29)</f>
        <v>0</v>
      </c>
      <c r="N29" s="476">
        <f>K29*(1-Recovery_OX!E29)*(1-Recovery_OX!F29)</f>
        <v>0</v>
      </c>
      <c r="O29" s="477">
        <f>L29*(1-Recovery_OX!E29)*(1-Recovery_OX!F29)</f>
        <v>0</v>
      </c>
    </row>
    <row r="30" spans="2:15">
      <c r="B30" s="470">
        <f t="shared" si="0"/>
        <v>1968</v>
      </c>
      <c r="C30" s="471">
        <f>Stored_C!E36</f>
        <v>0</v>
      </c>
      <c r="D30" s="472">
        <f>Stored_C!F36+Stored_C!L36</f>
        <v>5.3108509234192622E-2</v>
      </c>
      <c r="E30" s="473">
        <f>Stored_C!G36+Stored_C!M36</f>
        <v>4.3814520118208918E-2</v>
      </c>
      <c r="F30" s="474">
        <f>F29+HWP!C30</f>
        <v>0</v>
      </c>
      <c r="G30" s="472">
        <f>G29+HWP!D30</f>
        <v>0.8608099328693074</v>
      </c>
      <c r="H30" s="473">
        <f>H29+HWP!E30</f>
        <v>0.71016819461717839</v>
      </c>
      <c r="I30" s="456"/>
      <c r="J30" s="475">
        <f>Garden!J37</f>
        <v>0</v>
      </c>
      <c r="K30" s="476">
        <f>Paper!J37</f>
        <v>5.6071743427902416E-4</v>
      </c>
      <c r="L30" s="477">
        <f>Wood!J37</f>
        <v>0</v>
      </c>
      <c r="M30" s="478">
        <f>J30*(1-Recovery_OX!E30)*(1-Recovery_OX!F30)</f>
        <v>0</v>
      </c>
      <c r="N30" s="476">
        <f>K30*(1-Recovery_OX!E30)*(1-Recovery_OX!F30)</f>
        <v>5.6071743427902416E-4</v>
      </c>
      <c r="O30" s="477">
        <f>L30*(1-Recovery_OX!E30)*(1-Recovery_OX!F30)</f>
        <v>0</v>
      </c>
    </row>
    <row r="31" spans="2:15">
      <c r="B31" s="470">
        <f t="shared" si="0"/>
        <v>1969</v>
      </c>
      <c r="C31" s="471">
        <f>Stored_C!E37</f>
        <v>0</v>
      </c>
      <c r="D31" s="472">
        <f>Stored_C!F37+Stored_C!L37</f>
        <v>5.3794178243389841E-2</v>
      </c>
      <c r="E31" s="473">
        <f>Stored_C!G37+Stored_C!M37</f>
        <v>4.438019705079662E-2</v>
      </c>
      <c r="F31" s="474">
        <f>F30+HWP!C31</f>
        <v>0</v>
      </c>
      <c r="G31" s="472">
        <f>G30+HWP!D31</f>
        <v>0.91460411111269724</v>
      </c>
      <c r="H31" s="473">
        <f>H30+HWP!E31</f>
        <v>0.75454839166797505</v>
      </c>
      <c r="I31" s="456"/>
      <c r="J31" s="475">
        <f>Garden!J38</f>
        <v>0</v>
      </c>
      <c r="K31" s="476">
        <f>Paper!J38</f>
        <v>1.1422709779239939E-3</v>
      </c>
      <c r="L31" s="477">
        <f>Wood!J38</f>
        <v>0</v>
      </c>
      <c r="M31" s="478">
        <f>J31*(1-Recovery_OX!E31)*(1-Recovery_OX!F31)</f>
        <v>0</v>
      </c>
      <c r="N31" s="476">
        <f>K31*(1-Recovery_OX!E31)*(1-Recovery_OX!F31)</f>
        <v>1.1422709779239939E-3</v>
      </c>
      <c r="O31" s="477">
        <f>L31*(1-Recovery_OX!E31)*(1-Recovery_OX!F31)</f>
        <v>0</v>
      </c>
    </row>
    <row r="32" spans="2:15">
      <c r="B32" s="470">
        <f t="shared" si="0"/>
        <v>1970</v>
      </c>
      <c r="C32" s="471">
        <f>Stored_C!E38</f>
        <v>0</v>
      </c>
      <c r="D32" s="472">
        <f>Stored_C!F38+Stored_C!L38</f>
        <v>5.4446133433053795E-2</v>
      </c>
      <c r="E32" s="473">
        <f>Stored_C!G38+Stored_C!M38</f>
        <v>4.4918060082269375E-2</v>
      </c>
      <c r="F32" s="474">
        <f>F31+HWP!C32</f>
        <v>0</v>
      </c>
      <c r="G32" s="472">
        <f>G31+HWP!D32</f>
        <v>0.96905024454575106</v>
      </c>
      <c r="H32" s="473">
        <f>H31+HWP!E32</f>
        <v>0.79946645175024444</v>
      </c>
      <c r="I32" s="456"/>
      <c r="J32" s="475">
        <f>Garden!J39</f>
        <v>0</v>
      </c>
      <c r="K32" s="476">
        <f>Paper!J39</f>
        <v>1.7488405526539976E-3</v>
      </c>
      <c r="L32" s="477">
        <f>Wood!J39</f>
        <v>0</v>
      </c>
      <c r="M32" s="478">
        <f>J32*(1-Recovery_OX!E32)*(1-Recovery_OX!F32)</f>
        <v>0</v>
      </c>
      <c r="N32" s="476">
        <f>K32*(1-Recovery_OX!E32)*(1-Recovery_OX!F32)</f>
        <v>1.7488405526539976E-3</v>
      </c>
      <c r="O32" s="477">
        <f>L32*(1-Recovery_OX!E32)*(1-Recovery_OX!F32)</f>
        <v>0</v>
      </c>
    </row>
    <row r="33" spans="2:15">
      <c r="B33" s="470">
        <f t="shared" si="0"/>
        <v>1971</v>
      </c>
      <c r="C33" s="471">
        <f>Stored_C!E39</f>
        <v>0</v>
      </c>
      <c r="D33" s="472">
        <f>Stored_C!F39+Stored_C!L39</f>
        <v>5.5065250575563912E-2</v>
      </c>
      <c r="E33" s="473">
        <f>Stored_C!G39+Stored_C!M39</f>
        <v>4.5428831724840218E-2</v>
      </c>
      <c r="F33" s="474">
        <f>F32+HWP!C33</f>
        <v>0</v>
      </c>
      <c r="G33" s="472">
        <f>G32+HWP!D33</f>
        <v>1.0241154951213149</v>
      </c>
      <c r="H33" s="473">
        <f>H32+HWP!E33</f>
        <v>0.84489528347508469</v>
      </c>
      <c r="I33" s="456"/>
      <c r="J33" s="475">
        <f>Garden!J40</f>
        <v>0</v>
      </c>
      <c r="K33" s="476">
        <f>Paper!J40</f>
        <v>2.3848263759177445E-3</v>
      </c>
      <c r="L33" s="477">
        <f>Wood!J40</f>
        <v>0</v>
      </c>
      <c r="M33" s="478">
        <f>J33*(1-Recovery_OX!E33)*(1-Recovery_OX!F33)</f>
        <v>0</v>
      </c>
      <c r="N33" s="476">
        <f>K33*(1-Recovery_OX!E33)*(1-Recovery_OX!F33)</f>
        <v>2.3848263759177445E-3</v>
      </c>
      <c r="O33" s="477">
        <f>L33*(1-Recovery_OX!E33)*(1-Recovery_OX!F33)</f>
        <v>0</v>
      </c>
    </row>
    <row r="34" spans="2:15">
      <c r="B34" s="470">
        <f t="shared" si="0"/>
        <v>1972</v>
      </c>
      <c r="C34" s="471">
        <f>Stored_C!E40</f>
        <v>0</v>
      </c>
      <c r="D34" s="472">
        <f>Stored_C!F40+Stored_C!L40</f>
        <v>5.5652386465079716E-2</v>
      </c>
      <c r="E34" s="473">
        <f>Stored_C!G40+Stored_C!M40</f>
        <v>4.5913218833690761E-2</v>
      </c>
      <c r="F34" s="474">
        <f>F33+HWP!C34</f>
        <v>0</v>
      </c>
      <c r="G34" s="472">
        <f>G33+HWP!D34</f>
        <v>1.0797678815863947</v>
      </c>
      <c r="H34" s="473">
        <f>H33+HWP!E34</f>
        <v>0.89080850230877551</v>
      </c>
      <c r="I34" s="456"/>
      <c r="J34" s="475">
        <f>Garden!J41</f>
        <v>0</v>
      </c>
      <c r="K34" s="476">
        <f>Paper!J41</f>
        <v>3.0548777071468121E-3</v>
      </c>
      <c r="L34" s="477">
        <f>Wood!J41</f>
        <v>0</v>
      </c>
      <c r="M34" s="478">
        <f>J34*(1-Recovery_OX!E34)*(1-Recovery_OX!F34)</f>
        <v>0</v>
      </c>
      <c r="N34" s="476">
        <f>K34*(1-Recovery_OX!E34)*(1-Recovery_OX!F34)</f>
        <v>3.0548777071468121E-3</v>
      </c>
      <c r="O34" s="477">
        <f>L34*(1-Recovery_OX!E34)*(1-Recovery_OX!F34)</f>
        <v>0</v>
      </c>
    </row>
    <row r="35" spans="2:15">
      <c r="B35" s="470">
        <f t="shared" si="0"/>
        <v>1973</v>
      </c>
      <c r="C35" s="471">
        <f>Stored_C!E41</f>
        <v>0</v>
      </c>
      <c r="D35" s="472">
        <f>Stored_C!F41+Stored_C!L41</f>
        <v>5.6208379294371946E-2</v>
      </c>
      <c r="E35" s="473">
        <f>Stored_C!G41+Stored_C!M41</f>
        <v>4.6371912917856861E-2</v>
      </c>
      <c r="F35" s="474">
        <f>F34+HWP!C35</f>
        <v>0</v>
      </c>
      <c r="G35" s="472">
        <f>G34+HWP!D35</f>
        <v>1.1359762608807666</v>
      </c>
      <c r="H35" s="473">
        <f>H34+HWP!E35</f>
        <v>0.93718041522663231</v>
      </c>
      <c r="I35" s="456"/>
      <c r="J35" s="475">
        <f>Garden!J42</f>
        <v>0</v>
      </c>
      <c r="K35" s="476">
        <f>Paper!J42</f>
        <v>3.7639233420967196E-3</v>
      </c>
      <c r="L35" s="477">
        <f>Wood!J42</f>
        <v>0</v>
      </c>
      <c r="M35" s="478">
        <f>J35*(1-Recovery_OX!E35)*(1-Recovery_OX!F35)</f>
        <v>0</v>
      </c>
      <c r="N35" s="476">
        <f>K35*(1-Recovery_OX!E35)*(1-Recovery_OX!F35)</f>
        <v>3.7639233420967196E-3</v>
      </c>
      <c r="O35" s="477">
        <f>L35*(1-Recovery_OX!E35)*(1-Recovery_OX!F35)</f>
        <v>0</v>
      </c>
    </row>
    <row r="36" spans="2:15">
      <c r="B36" s="470">
        <f t="shared" si="0"/>
        <v>1974</v>
      </c>
      <c r="C36" s="471">
        <f>Stored_C!E42</f>
        <v>0</v>
      </c>
      <c r="D36" s="472">
        <f>Stored_C!F42+Stored_C!L42</f>
        <v>5.6734049024547914E-2</v>
      </c>
      <c r="E36" s="473">
        <f>Stored_C!G42+Stored_C!M42</f>
        <v>4.6805590445252031E-2</v>
      </c>
      <c r="F36" s="474">
        <f>F35+HWP!C36</f>
        <v>0</v>
      </c>
      <c r="G36" s="472">
        <f>G35+HWP!D36</f>
        <v>1.1927103099053145</v>
      </c>
      <c r="H36" s="473">
        <f>H35+HWP!E36</f>
        <v>0.98398600567188432</v>
      </c>
      <c r="I36" s="456"/>
      <c r="J36" s="475">
        <f>Garden!J43</f>
        <v>0</v>
      </c>
      <c r="K36" s="476">
        <f>Paper!J43</f>
        <v>4.517204043499614E-3</v>
      </c>
      <c r="L36" s="477">
        <f>Wood!J43</f>
        <v>0</v>
      </c>
      <c r="M36" s="478">
        <f>J36*(1-Recovery_OX!E36)*(1-Recovery_OX!F36)</f>
        <v>0</v>
      </c>
      <c r="N36" s="476">
        <f>K36*(1-Recovery_OX!E36)*(1-Recovery_OX!F36)</f>
        <v>4.517204043499614E-3</v>
      </c>
      <c r="O36" s="477">
        <f>L36*(1-Recovery_OX!E36)*(1-Recovery_OX!F36)</f>
        <v>0</v>
      </c>
    </row>
    <row r="37" spans="2:15">
      <c r="B37" s="470">
        <f t="shared" si="0"/>
        <v>1975</v>
      </c>
      <c r="C37" s="471">
        <f>Stored_C!E43</f>
        <v>0</v>
      </c>
      <c r="D37" s="472">
        <f>Stored_C!F43+Stored_C!L43</f>
        <v>5.7230197747801005E-2</v>
      </c>
      <c r="E37" s="473">
        <f>Stored_C!G43+Stored_C!M43</f>
        <v>4.7214913141935828E-2</v>
      </c>
      <c r="F37" s="474">
        <f>F36+HWP!C37</f>
        <v>0</v>
      </c>
      <c r="G37" s="472">
        <f>G36+HWP!D37</f>
        <v>1.2499405076531154</v>
      </c>
      <c r="H37" s="473">
        <f>H36+HWP!E37</f>
        <v>1.0312009188138203</v>
      </c>
      <c r="I37" s="456"/>
      <c r="J37" s="475">
        <f>Garden!J44</f>
        <v>0</v>
      </c>
      <c r="K37" s="476">
        <f>Paper!J44</f>
        <v>5.3203071085903579E-3</v>
      </c>
      <c r="L37" s="477">
        <f>Wood!J44</f>
        <v>0</v>
      </c>
      <c r="M37" s="478">
        <f>J37*(1-Recovery_OX!E37)*(1-Recovery_OX!F37)</f>
        <v>0</v>
      </c>
      <c r="N37" s="476">
        <f>K37*(1-Recovery_OX!E37)*(1-Recovery_OX!F37)</f>
        <v>5.3203071085903579E-3</v>
      </c>
      <c r="O37" s="477">
        <f>L37*(1-Recovery_OX!E37)*(1-Recovery_OX!F37)</f>
        <v>0</v>
      </c>
    </row>
    <row r="38" spans="2:15">
      <c r="B38" s="470">
        <f t="shared" si="0"/>
        <v>1976</v>
      </c>
      <c r="C38" s="471">
        <f>Stored_C!E44</f>
        <v>0</v>
      </c>
      <c r="D38" s="472">
        <f>Stored_C!F44+Stored_C!L44</f>
        <v>5.7697610043311254E-2</v>
      </c>
      <c r="E38" s="473">
        <f>Stored_C!G44+Stored_C!M44</f>
        <v>4.7600528285731782E-2</v>
      </c>
      <c r="F38" s="474">
        <f>F37+HWP!C38</f>
        <v>0</v>
      </c>
      <c r="G38" s="472">
        <f>G37+HWP!D38</f>
        <v>1.3076381176964267</v>
      </c>
      <c r="H38" s="473">
        <f>H37+HWP!E38</f>
        <v>1.0788014470995519</v>
      </c>
      <c r="I38" s="456"/>
      <c r="J38" s="475">
        <f>Garden!J45</f>
        <v>0</v>
      </c>
      <c r="K38" s="476">
        <f>Paper!J45</f>
        <v>6.1792032875981036E-3</v>
      </c>
      <c r="L38" s="477">
        <f>Wood!J45</f>
        <v>0</v>
      </c>
      <c r="M38" s="478">
        <f>J38*(1-Recovery_OX!E38)*(1-Recovery_OX!F38)</f>
        <v>0</v>
      </c>
      <c r="N38" s="476">
        <f>K38*(1-Recovery_OX!E38)*(1-Recovery_OX!F38)</f>
        <v>6.1792032875981036E-3</v>
      </c>
      <c r="O38" s="477">
        <f>L38*(1-Recovery_OX!E38)*(1-Recovery_OX!F38)</f>
        <v>0</v>
      </c>
    </row>
    <row r="39" spans="2:15">
      <c r="B39" s="470">
        <f t="shared" si="0"/>
        <v>1977</v>
      </c>
      <c r="C39" s="471">
        <f>Stored_C!E45</f>
        <v>0</v>
      </c>
      <c r="D39" s="472">
        <f>Stored_C!F45+Stored_C!L45</f>
        <v>5.8137053326421897E-2</v>
      </c>
      <c r="E39" s="473">
        <f>Stored_C!G45+Stored_C!M45</f>
        <v>4.7963068994298065E-2</v>
      </c>
      <c r="F39" s="474">
        <f>F38+HWP!C39</f>
        <v>0</v>
      </c>
      <c r="G39" s="472">
        <f>G38+HWP!D39</f>
        <v>1.3657751710228485</v>
      </c>
      <c r="H39" s="473">
        <f>H38+HWP!E39</f>
        <v>1.12676451609385</v>
      </c>
      <c r="I39" s="456"/>
      <c r="J39" s="475">
        <f>Garden!J46</f>
        <v>0</v>
      </c>
      <c r="K39" s="476">
        <f>Paper!J46</f>
        <v>7.1002862820996136E-3</v>
      </c>
      <c r="L39" s="477">
        <f>Wood!J46</f>
        <v>0</v>
      </c>
      <c r="M39" s="478">
        <f>J39*(1-Recovery_OX!E39)*(1-Recovery_OX!F39)</f>
        <v>0</v>
      </c>
      <c r="N39" s="476">
        <f>K39*(1-Recovery_OX!E39)*(1-Recovery_OX!F39)</f>
        <v>7.1002862820996136E-3</v>
      </c>
      <c r="O39" s="477">
        <f>L39*(1-Recovery_OX!E39)*(1-Recovery_OX!F39)</f>
        <v>0</v>
      </c>
    </row>
    <row r="40" spans="2:15">
      <c r="B40" s="470">
        <f t="shared" si="0"/>
        <v>1978</v>
      </c>
      <c r="C40" s="471">
        <f>Stored_C!E46</f>
        <v>0</v>
      </c>
      <c r="D40" s="472">
        <f>Stored_C!F46+Stored_C!L46</f>
        <v>5.8549278191214874E-2</v>
      </c>
      <c r="E40" s="473">
        <f>Stored_C!G46+Stored_C!M46</f>
        <v>4.8303154507752272E-2</v>
      </c>
      <c r="F40" s="474">
        <f>F39+HWP!C40</f>
        <v>0</v>
      </c>
      <c r="G40" s="472">
        <f>G39+HWP!D40</f>
        <v>1.4243244492140634</v>
      </c>
      <c r="H40" s="473">
        <f>H39+HWP!E40</f>
        <v>1.1750676706016023</v>
      </c>
      <c r="I40" s="456"/>
      <c r="J40" s="475">
        <f>Garden!J47</f>
        <v>0</v>
      </c>
      <c r="K40" s="476">
        <f>Paper!J47</f>
        <v>8.090415068297838E-3</v>
      </c>
      <c r="L40" s="477">
        <f>Wood!J47</f>
        <v>0</v>
      </c>
      <c r="M40" s="478">
        <f>J40*(1-Recovery_OX!E40)*(1-Recovery_OX!F40)</f>
        <v>0</v>
      </c>
      <c r="N40" s="476">
        <f>K40*(1-Recovery_OX!E40)*(1-Recovery_OX!F40)</f>
        <v>8.090415068297838E-3</v>
      </c>
      <c r="O40" s="477">
        <f>L40*(1-Recovery_OX!E40)*(1-Recovery_OX!F40)</f>
        <v>0</v>
      </c>
    </row>
    <row r="41" spans="2:15">
      <c r="B41" s="470">
        <f t="shared" si="0"/>
        <v>1979</v>
      </c>
      <c r="C41" s="471">
        <f>Stored_C!E47</f>
        <v>0</v>
      </c>
      <c r="D41" s="472">
        <f>Stored_C!F47+Stored_C!L47</f>
        <v>5.8935018746605339E-2</v>
      </c>
      <c r="E41" s="473">
        <f>Stored_C!G47+Stored_C!M47</f>
        <v>4.8621390465949405E-2</v>
      </c>
      <c r="F41" s="474">
        <f>F40+HWP!C41</f>
        <v>0</v>
      </c>
      <c r="G41" s="472">
        <f>G40+HWP!D41</f>
        <v>1.4832594679606688</v>
      </c>
      <c r="H41" s="473">
        <f>H40+HWP!E41</f>
        <v>1.2236890610675517</v>
      </c>
      <c r="I41" s="456"/>
      <c r="J41" s="475">
        <f>Garden!J48</f>
        <v>0</v>
      </c>
      <c r="K41" s="476">
        <f>Paper!J48</f>
        <v>9.1569593079163965E-3</v>
      </c>
      <c r="L41" s="477">
        <f>Wood!J48</f>
        <v>0</v>
      </c>
      <c r="M41" s="478">
        <f>J41*(1-Recovery_OX!E41)*(1-Recovery_OX!F41)</f>
        <v>0</v>
      </c>
      <c r="N41" s="476">
        <f>K41*(1-Recovery_OX!E41)*(1-Recovery_OX!F41)</f>
        <v>9.1569593079163965E-3</v>
      </c>
      <c r="O41" s="477">
        <f>L41*(1-Recovery_OX!E41)*(1-Recovery_OX!F41)</f>
        <v>0</v>
      </c>
    </row>
    <row r="42" spans="2:15">
      <c r="B42" s="470">
        <f t="shared" si="0"/>
        <v>1980</v>
      </c>
      <c r="C42" s="471">
        <f>Stored_C!E48</f>
        <v>0</v>
      </c>
      <c r="D42" s="472">
        <f>Stored_C!F48+Stored_C!L48</f>
        <v>5.9327874000000003E-2</v>
      </c>
      <c r="E42" s="473">
        <f>Stored_C!G48+Stored_C!M48</f>
        <v>4.8945496049999995E-2</v>
      </c>
      <c r="F42" s="474">
        <f>F41+HWP!C42</f>
        <v>0</v>
      </c>
      <c r="G42" s="472">
        <f>G41+HWP!D42</f>
        <v>1.5425873419606688</v>
      </c>
      <c r="H42" s="473">
        <f>H41+HWP!E42</f>
        <v>1.2726345571175517</v>
      </c>
      <c r="I42" s="456"/>
      <c r="J42" s="475">
        <f>Garden!J49</f>
        <v>0</v>
      </c>
      <c r="K42" s="476">
        <f>Paper!J49</f>
        <v>1.0307848128593134E-2</v>
      </c>
      <c r="L42" s="477">
        <f>Wood!J49</f>
        <v>0</v>
      </c>
      <c r="M42" s="478">
        <f>J42*(1-Recovery_OX!E42)*(1-Recovery_OX!F42)</f>
        <v>0</v>
      </c>
      <c r="N42" s="476">
        <f>K42*(1-Recovery_OX!E42)*(1-Recovery_OX!F42)</f>
        <v>1.0307848128593134E-2</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1.5425873419606688</v>
      </c>
      <c r="H43" s="473">
        <f>H42+HWP!E43</f>
        <v>1.2726345571175517</v>
      </c>
      <c r="I43" s="456"/>
      <c r="J43" s="475">
        <f>Garden!J50</f>
        <v>0</v>
      </c>
      <c r="K43" s="476">
        <f>Paper!J50</f>
        <v>1.1552264463802076E-2</v>
      </c>
      <c r="L43" s="477">
        <f>Wood!J50</f>
        <v>0</v>
      </c>
      <c r="M43" s="478">
        <f>J43*(1-Recovery_OX!E43)*(1-Recovery_OX!F43)</f>
        <v>0</v>
      </c>
      <c r="N43" s="476">
        <f>K43*(1-Recovery_OX!E43)*(1-Recovery_OX!F43)</f>
        <v>1.1552264463802076E-2</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1.5425873419606688</v>
      </c>
      <c r="H44" s="473">
        <f>H43+HWP!E44</f>
        <v>1.2726345571175517</v>
      </c>
      <c r="I44" s="456"/>
      <c r="J44" s="475">
        <f>Garden!J51</f>
        <v>0</v>
      </c>
      <c r="K44" s="476">
        <f>Paper!J51</f>
        <v>1.0771259991968159E-2</v>
      </c>
      <c r="L44" s="477">
        <f>Wood!J51</f>
        <v>0</v>
      </c>
      <c r="M44" s="478">
        <f>J44*(1-Recovery_OX!E44)*(1-Recovery_OX!F44)</f>
        <v>0</v>
      </c>
      <c r="N44" s="476">
        <f>K44*(1-Recovery_OX!E44)*(1-Recovery_OX!F44)</f>
        <v>1.0771259991968159E-2</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1.5425873419606688</v>
      </c>
      <c r="H45" s="473">
        <f>H44+HWP!E45</f>
        <v>1.2726345571175517</v>
      </c>
      <c r="I45" s="456"/>
      <c r="J45" s="475">
        <f>Garden!J52</f>
        <v>0</v>
      </c>
      <c r="K45" s="476">
        <f>Paper!J52</f>
        <v>1.0043056249111306E-2</v>
      </c>
      <c r="L45" s="477">
        <f>Wood!J52</f>
        <v>0</v>
      </c>
      <c r="M45" s="478">
        <f>J45*(1-Recovery_OX!E45)*(1-Recovery_OX!F45)</f>
        <v>0</v>
      </c>
      <c r="N45" s="476">
        <f>K45*(1-Recovery_OX!E45)*(1-Recovery_OX!F45)</f>
        <v>1.0043056249111306E-2</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1.5425873419606688</v>
      </c>
      <c r="H46" s="473">
        <f>H45+HWP!E46</f>
        <v>1.2726345571175517</v>
      </c>
      <c r="I46" s="456"/>
      <c r="J46" s="475">
        <f>Garden!J53</f>
        <v>0</v>
      </c>
      <c r="K46" s="476">
        <f>Paper!J53</f>
        <v>9.3640835796391948E-3</v>
      </c>
      <c r="L46" s="477">
        <f>Wood!J53</f>
        <v>0</v>
      </c>
      <c r="M46" s="478">
        <f>J46*(1-Recovery_OX!E46)*(1-Recovery_OX!F46)</f>
        <v>0</v>
      </c>
      <c r="N46" s="476">
        <f>K46*(1-Recovery_OX!E46)*(1-Recovery_OX!F46)</f>
        <v>9.3640835796391948E-3</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1.5425873419606688</v>
      </c>
      <c r="H47" s="473">
        <f>H46+HWP!E47</f>
        <v>1.2726345571175517</v>
      </c>
      <c r="I47" s="456"/>
      <c r="J47" s="475">
        <f>Garden!J54</f>
        <v>0</v>
      </c>
      <c r="K47" s="476">
        <f>Paper!J54</f>
        <v>8.7310136587383548E-3</v>
      </c>
      <c r="L47" s="477">
        <f>Wood!J54</f>
        <v>0</v>
      </c>
      <c r="M47" s="478">
        <f>J47*(1-Recovery_OX!E47)*(1-Recovery_OX!F47)</f>
        <v>0</v>
      </c>
      <c r="N47" s="476">
        <f>K47*(1-Recovery_OX!E47)*(1-Recovery_OX!F47)</f>
        <v>8.7310136587383548E-3</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1.5425873419606688</v>
      </c>
      <c r="H48" s="473">
        <f>H47+HWP!E48</f>
        <v>1.2726345571175517</v>
      </c>
      <c r="I48" s="456"/>
      <c r="J48" s="475">
        <f>Garden!J55</f>
        <v>0</v>
      </c>
      <c r="K48" s="476">
        <f>Paper!J55</f>
        <v>8.1407431769220644E-3</v>
      </c>
      <c r="L48" s="477">
        <f>Wood!J55</f>
        <v>0</v>
      </c>
      <c r="M48" s="478">
        <f>J48*(1-Recovery_OX!E48)*(1-Recovery_OX!F48)</f>
        <v>0</v>
      </c>
      <c r="N48" s="476">
        <f>K48*(1-Recovery_OX!E48)*(1-Recovery_OX!F48)</f>
        <v>8.1407431769220644E-3</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1.5425873419606688</v>
      </c>
      <c r="H49" s="473">
        <f>H48+HWP!E49</f>
        <v>1.2726345571175517</v>
      </c>
      <c r="I49" s="456"/>
      <c r="J49" s="475">
        <f>Garden!J56</f>
        <v>0</v>
      </c>
      <c r="K49" s="476">
        <f>Paper!J56</f>
        <v>7.5903786276036488E-3</v>
      </c>
      <c r="L49" s="477">
        <f>Wood!J56</f>
        <v>0</v>
      </c>
      <c r="M49" s="478">
        <f>J49*(1-Recovery_OX!E49)*(1-Recovery_OX!F49)</f>
        <v>0</v>
      </c>
      <c r="N49" s="476">
        <f>K49*(1-Recovery_OX!E49)*(1-Recovery_OX!F49)</f>
        <v>7.5903786276036488E-3</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1.5425873419606688</v>
      </c>
      <c r="H50" s="473">
        <f>H49+HWP!E50</f>
        <v>1.2726345571175517</v>
      </c>
      <c r="I50" s="456"/>
      <c r="J50" s="475">
        <f>Garden!J57</f>
        <v>0</v>
      </c>
      <c r="K50" s="476">
        <f>Paper!J57</f>
        <v>7.0772221231238351E-3</v>
      </c>
      <c r="L50" s="477">
        <f>Wood!J57</f>
        <v>0</v>
      </c>
      <c r="M50" s="478">
        <f>J50*(1-Recovery_OX!E50)*(1-Recovery_OX!F50)</f>
        <v>0</v>
      </c>
      <c r="N50" s="476">
        <f>K50*(1-Recovery_OX!E50)*(1-Recovery_OX!F50)</f>
        <v>7.0772221231238351E-3</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1.5425873419606688</v>
      </c>
      <c r="H51" s="473">
        <f>H50+HWP!E51</f>
        <v>1.2726345571175517</v>
      </c>
      <c r="I51" s="456"/>
      <c r="J51" s="475">
        <f>Garden!J58</f>
        <v>0</v>
      </c>
      <c r="K51" s="476">
        <f>Paper!J58</f>
        <v>6.5987581697023179E-3</v>
      </c>
      <c r="L51" s="477">
        <f>Wood!J58</f>
        <v>0</v>
      </c>
      <c r="M51" s="478">
        <f>J51*(1-Recovery_OX!E51)*(1-Recovery_OX!F51)</f>
        <v>0</v>
      </c>
      <c r="N51" s="476">
        <f>K51*(1-Recovery_OX!E51)*(1-Recovery_OX!F51)</f>
        <v>6.5987581697023179E-3</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1.5425873419606688</v>
      </c>
      <c r="H52" s="473">
        <f>H51+HWP!E52</f>
        <v>1.2726345571175517</v>
      </c>
      <c r="I52" s="456"/>
      <c r="J52" s="475">
        <f>Garden!J59</f>
        <v>0</v>
      </c>
      <c r="K52" s="476">
        <f>Paper!J59</f>
        <v>6.1526413364843277E-3</v>
      </c>
      <c r="L52" s="477">
        <f>Wood!J59</f>
        <v>0</v>
      </c>
      <c r="M52" s="478">
        <f>J52*(1-Recovery_OX!E52)*(1-Recovery_OX!F52)</f>
        <v>0</v>
      </c>
      <c r="N52" s="476">
        <f>K52*(1-Recovery_OX!E52)*(1-Recovery_OX!F52)</f>
        <v>6.1526413364843277E-3</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1.5425873419606688</v>
      </c>
      <c r="H53" s="473">
        <f>H52+HWP!E53</f>
        <v>1.2726345571175517</v>
      </c>
      <c r="I53" s="456"/>
      <c r="J53" s="475">
        <f>Garden!J60</f>
        <v>0</v>
      </c>
      <c r="K53" s="476">
        <f>Paper!J60</f>
        <v>5.736684758235861E-3</v>
      </c>
      <c r="L53" s="477">
        <f>Wood!J60</f>
        <v>0</v>
      </c>
      <c r="M53" s="478">
        <f>J53*(1-Recovery_OX!E53)*(1-Recovery_OX!F53)</f>
        <v>0</v>
      </c>
      <c r="N53" s="476">
        <f>K53*(1-Recovery_OX!E53)*(1-Recovery_OX!F53)</f>
        <v>5.736684758235861E-3</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1.5425873419606688</v>
      </c>
      <c r="H54" s="473">
        <f>H53+HWP!E54</f>
        <v>1.2726345571175517</v>
      </c>
      <c r="I54" s="456"/>
      <c r="J54" s="475">
        <f>Garden!J61</f>
        <v>0</v>
      </c>
      <c r="K54" s="476">
        <f>Paper!J61</f>
        <v>5.3488494153277662E-3</v>
      </c>
      <c r="L54" s="477">
        <f>Wood!J61</f>
        <v>0</v>
      </c>
      <c r="M54" s="478">
        <f>J54*(1-Recovery_OX!E54)*(1-Recovery_OX!F54)</f>
        <v>0</v>
      </c>
      <c r="N54" s="476">
        <f>K54*(1-Recovery_OX!E54)*(1-Recovery_OX!F54)</f>
        <v>5.3488494153277662E-3</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1.5425873419606688</v>
      </c>
      <c r="H55" s="473">
        <f>H54+HWP!E55</f>
        <v>1.2726345571175517</v>
      </c>
      <c r="I55" s="456"/>
      <c r="J55" s="475">
        <f>Garden!J62</f>
        <v>0</v>
      </c>
      <c r="K55" s="476">
        <f>Paper!J62</f>
        <v>4.9872341384591548E-3</v>
      </c>
      <c r="L55" s="477">
        <f>Wood!J62</f>
        <v>0</v>
      </c>
      <c r="M55" s="478">
        <f>J55*(1-Recovery_OX!E55)*(1-Recovery_OX!F55)</f>
        <v>0</v>
      </c>
      <c r="N55" s="476">
        <f>K55*(1-Recovery_OX!E55)*(1-Recovery_OX!F55)</f>
        <v>4.9872341384591548E-3</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1.5425873419606688</v>
      </c>
      <c r="H56" s="473">
        <f>H55+HWP!E56</f>
        <v>1.2726345571175517</v>
      </c>
      <c r="I56" s="456"/>
      <c r="J56" s="475">
        <f>Garden!J63</f>
        <v>0</v>
      </c>
      <c r="K56" s="476">
        <f>Paper!J63</f>
        <v>4.6500662891232822E-3</v>
      </c>
      <c r="L56" s="477">
        <f>Wood!J63</f>
        <v>0</v>
      </c>
      <c r="M56" s="478">
        <f>J56*(1-Recovery_OX!E56)*(1-Recovery_OX!F56)</f>
        <v>0</v>
      </c>
      <c r="N56" s="476">
        <f>K56*(1-Recovery_OX!E56)*(1-Recovery_OX!F56)</f>
        <v>4.6500662891232822E-3</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1.5425873419606688</v>
      </c>
      <c r="H57" s="473">
        <f>H56+HWP!E57</f>
        <v>1.2726345571175517</v>
      </c>
      <c r="I57" s="456"/>
      <c r="J57" s="475">
        <f>Garden!J64</f>
        <v>0</v>
      </c>
      <c r="K57" s="476">
        <f>Paper!J64</f>
        <v>4.335693070131535E-3</v>
      </c>
      <c r="L57" s="477">
        <f>Wood!J64</f>
        <v>0</v>
      </c>
      <c r="M57" s="478">
        <f>J57*(1-Recovery_OX!E57)*(1-Recovery_OX!F57)</f>
        <v>0</v>
      </c>
      <c r="N57" s="476">
        <f>K57*(1-Recovery_OX!E57)*(1-Recovery_OX!F57)</f>
        <v>4.335693070131535E-3</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1.5425873419606688</v>
      </c>
      <c r="H58" s="473">
        <f>H57+HWP!E58</f>
        <v>1.2726345571175517</v>
      </c>
      <c r="I58" s="456"/>
      <c r="J58" s="475">
        <f>Garden!J65</f>
        <v>0</v>
      </c>
      <c r="K58" s="476">
        <f>Paper!J65</f>
        <v>4.0425734235996907E-3</v>
      </c>
      <c r="L58" s="477">
        <f>Wood!J65</f>
        <v>0</v>
      </c>
      <c r="M58" s="478">
        <f>J58*(1-Recovery_OX!E58)*(1-Recovery_OX!F58)</f>
        <v>0</v>
      </c>
      <c r="N58" s="476">
        <f>K58*(1-Recovery_OX!E58)*(1-Recovery_OX!F58)</f>
        <v>4.0425734235996907E-3</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1.5425873419606688</v>
      </c>
      <c r="H59" s="473">
        <f>H58+HWP!E59</f>
        <v>1.2726345571175517</v>
      </c>
      <c r="I59" s="456"/>
      <c r="J59" s="475">
        <f>Garden!J66</f>
        <v>0</v>
      </c>
      <c r="K59" s="476">
        <f>Paper!J66</f>
        <v>3.7692704766803826E-3</v>
      </c>
      <c r="L59" s="477">
        <f>Wood!J66</f>
        <v>0</v>
      </c>
      <c r="M59" s="478">
        <f>J59*(1-Recovery_OX!E59)*(1-Recovery_OX!F59)</f>
        <v>0</v>
      </c>
      <c r="N59" s="476">
        <f>K59*(1-Recovery_OX!E59)*(1-Recovery_OX!F59)</f>
        <v>3.7692704766803826E-3</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1.5425873419606688</v>
      </c>
      <c r="H60" s="473">
        <f>H59+HWP!E60</f>
        <v>1.2726345571175517</v>
      </c>
      <c r="I60" s="456"/>
      <c r="J60" s="475">
        <f>Garden!J67</f>
        <v>0</v>
      </c>
      <c r="K60" s="476">
        <f>Paper!J67</f>
        <v>3.5144444980107366E-3</v>
      </c>
      <c r="L60" s="477">
        <f>Wood!J67</f>
        <v>0</v>
      </c>
      <c r="M60" s="478">
        <f>J60*(1-Recovery_OX!E60)*(1-Recovery_OX!F60)</f>
        <v>0</v>
      </c>
      <c r="N60" s="476">
        <f>K60*(1-Recovery_OX!E60)*(1-Recovery_OX!F60)</f>
        <v>3.5144444980107366E-3</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1.5425873419606688</v>
      </c>
      <c r="H61" s="473">
        <f>H60+HWP!E61</f>
        <v>1.2726345571175517</v>
      </c>
      <c r="I61" s="456"/>
      <c r="J61" s="475">
        <f>Garden!J68</f>
        <v>0</v>
      </c>
      <c r="K61" s="476">
        <f>Paper!J68</f>
        <v>3.2768463303476736E-3</v>
      </c>
      <c r="L61" s="477">
        <f>Wood!J68</f>
        <v>0</v>
      </c>
      <c r="M61" s="478">
        <f>J61*(1-Recovery_OX!E61)*(1-Recovery_OX!F61)</f>
        <v>0</v>
      </c>
      <c r="N61" s="476">
        <f>K61*(1-Recovery_OX!E61)*(1-Recovery_OX!F61)</f>
        <v>3.2768463303476736E-3</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1.5425873419606688</v>
      </c>
      <c r="H62" s="473">
        <f>H61+HWP!E62</f>
        <v>1.2726345571175517</v>
      </c>
      <c r="I62" s="456"/>
      <c r="J62" s="475">
        <f>Garden!J69</f>
        <v>0</v>
      </c>
      <c r="K62" s="476">
        <f>Paper!J69</f>
        <v>3.0553112671976566E-3</v>
      </c>
      <c r="L62" s="477">
        <f>Wood!J69</f>
        <v>0</v>
      </c>
      <c r="M62" s="478">
        <f>J62*(1-Recovery_OX!E62)*(1-Recovery_OX!F62)</f>
        <v>0</v>
      </c>
      <c r="N62" s="476">
        <f>K62*(1-Recovery_OX!E62)*(1-Recovery_OX!F62)</f>
        <v>3.0553112671976566E-3</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1.5425873419606688</v>
      </c>
      <c r="H63" s="473">
        <f>H62+HWP!E63</f>
        <v>1.2726345571175517</v>
      </c>
      <c r="I63" s="456"/>
      <c r="J63" s="475">
        <f>Garden!J70</f>
        <v>0</v>
      </c>
      <c r="K63" s="476">
        <f>Paper!J70</f>
        <v>2.8487533434241063E-3</v>
      </c>
      <c r="L63" s="477">
        <f>Wood!J70</f>
        <v>0</v>
      </c>
      <c r="M63" s="478">
        <f>J63*(1-Recovery_OX!E63)*(1-Recovery_OX!F63)</f>
        <v>0</v>
      </c>
      <c r="N63" s="476">
        <f>K63*(1-Recovery_OX!E63)*(1-Recovery_OX!F63)</f>
        <v>2.8487533434241063E-3</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1.5425873419606688</v>
      </c>
      <c r="H64" s="473">
        <f>H63+HWP!E64</f>
        <v>1.2726345571175517</v>
      </c>
      <c r="I64" s="456"/>
      <c r="J64" s="475">
        <f>Garden!J71</f>
        <v>0</v>
      </c>
      <c r="K64" s="476">
        <f>Paper!J71</f>
        <v>2.6561600118450443E-3</v>
      </c>
      <c r="L64" s="477">
        <f>Wood!J71</f>
        <v>0</v>
      </c>
      <c r="M64" s="478">
        <f>J64*(1-Recovery_OX!E64)*(1-Recovery_OX!F64)</f>
        <v>0</v>
      </c>
      <c r="N64" s="476">
        <f>K64*(1-Recovery_OX!E64)*(1-Recovery_OX!F64)</f>
        <v>2.6561600118450443E-3</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1.5425873419606688</v>
      </c>
      <c r="H65" s="473">
        <f>H64+HWP!E65</f>
        <v>1.2726345571175517</v>
      </c>
      <c r="I65" s="456"/>
      <c r="J65" s="475">
        <f>Garden!J72</f>
        <v>0</v>
      </c>
      <c r="K65" s="476">
        <f>Paper!J72</f>
        <v>2.4765871797256295E-3</v>
      </c>
      <c r="L65" s="477">
        <f>Wood!J72</f>
        <v>0</v>
      </c>
      <c r="M65" s="478">
        <f>J65*(1-Recovery_OX!E65)*(1-Recovery_OX!F65)</f>
        <v>0</v>
      </c>
      <c r="N65" s="476">
        <f>K65*(1-Recovery_OX!E65)*(1-Recovery_OX!F65)</f>
        <v>2.4765871797256295E-3</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1.5425873419606688</v>
      </c>
      <c r="H66" s="473">
        <f>H65+HWP!E66</f>
        <v>1.2726345571175517</v>
      </c>
      <c r="I66" s="456"/>
      <c r="J66" s="475">
        <f>Garden!J73</f>
        <v>0</v>
      </c>
      <c r="K66" s="476">
        <f>Paper!J73</f>
        <v>2.3091545808344789E-3</v>
      </c>
      <c r="L66" s="477">
        <f>Wood!J73</f>
        <v>0</v>
      </c>
      <c r="M66" s="478">
        <f>J66*(1-Recovery_OX!E66)*(1-Recovery_OX!F66)</f>
        <v>0</v>
      </c>
      <c r="N66" s="476">
        <f>K66*(1-Recovery_OX!E66)*(1-Recovery_OX!F66)</f>
        <v>2.3091545808344789E-3</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1.5425873419606688</v>
      </c>
      <c r="H67" s="473">
        <f>H66+HWP!E67</f>
        <v>1.2726345571175517</v>
      </c>
      <c r="I67" s="456"/>
      <c r="J67" s="475">
        <f>Garden!J74</f>
        <v>0</v>
      </c>
      <c r="K67" s="476">
        <f>Paper!J74</f>
        <v>2.1530414603775786E-3</v>
      </c>
      <c r="L67" s="477">
        <f>Wood!J74</f>
        <v>0</v>
      </c>
      <c r="M67" s="478">
        <f>J67*(1-Recovery_OX!E67)*(1-Recovery_OX!F67)</f>
        <v>0</v>
      </c>
      <c r="N67" s="476">
        <f>K67*(1-Recovery_OX!E67)*(1-Recovery_OX!F67)</f>
        <v>2.1530414603775786E-3</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1.5425873419606688</v>
      </c>
      <c r="H68" s="473">
        <f>H67+HWP!E68</f>
        <v>1.2726345571175517</v>
      </c>
      <c r="I68" s="456"/>
      <c r="J68" s="475">
        <f>Garden!J75</f>
        <v>0</v>
      </c>
      <c r="K68" s="476">
        <f>Paper!J75</f>
        <v>2.0074825516573319E-3</v>
      </c>
      <c r="L68" s="477">
        <f>Wood!J75</f>
        <v>0</v>
      </c>
      <c r="M68" s="478">
        <f>J68*(1-Recovery_OX!E68)*(1-Recovery_OX!F68)</f>
        <v>0</v>
      </c>
      <c r="N68" s="476">
        <f>K68*(1-Recovery_OX!E68)*(1-Recovery_OX!F68)</f>
        <v>2.0074825516573319E-3</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1.5425873419606688</v>
      </c>
      <c r="H69" s="473">
        <f>H68+HWP!E69</f>
        <v>1.2726345571175517</v>
      </c>
      <c r="I69" s="456"/>
      <c r="J69" s="475">
        <f>Garden!J76</f>
        <v>0</v>
      </c>
      <c r="K69" s="476">
        <f>Paper!J76</f>
        <v>1.8717643247343199E-3</v>
      </c>
      <c r="L69" s="477">
        <f>Wood!J76</f>
        <v>0</v>
      </c>
      <c r="M69" s="478">
        <f>J69*(1-Recovery_OX!E69)*(1-Recovery_OX!F69)</f>
        <v>0</v>
      </c>
      <c r="N69" s="476">
        <f>K69*(1-Recovery_OX!E69)*(1-Recovery_OX!F69)</f>
        <v>1.8717643247343199E-3</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1.5425873419606688</v>
      </c>
      <c r="H70" s="473">
        <f>H69+HWP!E70</f>
        <v>1.2726345571175517</v>
      </c>
      <c r="I70" s="456"/>
      <c r="J70" s="475">
        <f>Garden!J77</f>
        <v>0</v>
      </c>
      <c r="K70" s="476">
        <f>Paper!J77</f>
        <v>1.7452214887027102E-3</v>
      </c>
      <c r="L70" s="477">
        <f>Wood!J77</f>
        <v>0</v>
      </c>
      <c r="M70" s="478">
        <f>J70*(1-Recovery_OX!E70)*(1-Recovery_OX!F70)</f>
        <v>0</v>
      </c>
      <c r="N70" s="476">
        <f>K70*(1-Recovery_OX!E70)*(1-Recovery_OX!F70)</f>
        <v>1.7452214887027102E-3</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1.5425873419606688</v>
      </c>
      <c r="H71" s="473">
        <f>H70+HWP!E71</f>
        <v>1.2726345571175517</v>
      </c>
      <c r="I71" s="456"/>
      <c r="J71" s="475">
        <f>Garden!J78</f>
        <v>0</v>
      </c>
      <c r="K71" s="476">
        <f>Paper!J78</f>
        <v>1.6272337304334657E-3</v>
      </c>
      <c r="L71" s="477">
        <f>Wood!J78</f>
        <v>0</v>
      </c>
      <c r="M71" s="478">
        <f>J71*(1-Recovery_OX!E71)*(1-Recovery_OX!F71)</f>
        <v>0</v>
      </c>
      <c r="N71" s="476">
        <f>K71*(1-Recovery_OX!E71)*(1-Recovery_OX!F71)</f>
        <v>1.6272337304334657E-3</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1.5425873419606688</v>
      </c>
      <c r="H72" s="473">
        <f>H71+HWP!E72</f>
        <v>1.2726345571175517</v>
      </c>
      <c r="I72" s="456"/>
      <c r="J72" s="475">
        <f>Garden!J79</f>
        <v>0</v>
      </c>
      <c r="K72" s="476">
        <f>Paper!J79</f>
        <v>1.517222673798665E-3</v>
      </c>
      <c r="L72" s="477">
        <f>Wood!J79</f>
        <v>0</v>
      </c>
      <c r="M72" s="478">
        <f>J72*(1-Recovery_OX!E72)*(1-Recovery_OX!F72)</f>
        <v>0</v>
      </c>
      <c r="N72" s="476">
        <f>K72*(1-Recovery_OX!E72)*(1-Recovery_OX!F72)</f>
        <v>1.517222673798665E-3</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1.5425873419606688</v>
      </c>
      <c r="H73" s="473">
        <f>H72+HWP!E73</f>
        <v>1.2726345571175517</v>
      </c>
      <c r="I73" s="456"/>
      <c r="J73" s="475">
        <f>Garden!J80</f>
        <v>0</v>
      </c>
      <c r="K73" s="476">
        <f>Paper!J80</f>
        <v>1.4146490444710538E-3</v>
      </c>
      <c r="L73" s="477">
        <f>Wood!J80</f>
        <v>0</v>
      </c>
      <c r="M73" s="478">
        <f>J73*(1-Recovery_OX!E73)*(1-Recovery_OX!F73)</f>
        <v>0</v>
      </c>
      <c r="N73" s="476">
        <f>K73*(1-Recovery_OX!E73)*(1-Recovery_OX!F73)</f>
        <v>1.4146490444710538E-3</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1.5425873419606688</v>
      </c>
      <c r="H74" s="473">
        <f>H73+HWP!E74</f>
        <v>1.2726345571175517</v>
      </c>
      <c r="I74" s="456"/>
      <c r="J74" s="475">
        <f>Garden!J81</f>
        <v>0</v>
      </c>
      <c r="K74" s="476">
        <f>Paper!J81</f>
        <v>1.3190100264006657E-3</v>
      </c>
      <c r="L74" s="477">
        <f>Wood!J81</f>
        <v>0</v>
      </c>
      <c r="M74" s="478">
        <f>J74*(1-Recovery_OX!E74)*(1-Recovery_OX!F74)</f>
        <v>0</v>
      </c>
      <c r="N74" s="476">
        <f>K74*(1-Recovery_OX!E74)*(1-Recovery_OX!F74)</f>
        <v>1.3190100264006657E-3</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1.5425873419606688</v>
      </c>
      <c r="H75" s="473">
        <f>H74+HWP!E75</f>
        <v>1.2726345571175517</v>
      </c>
      <c r="I75" s="456"/>
      <c r="J75" s="475">
        <f>Garden!J82</f>
        <v>0</v>
      </c>
      <c r="K75" s="476">
        <f>Paper!J82</f>
        <v>1.2298367970099624E-3</v>
      </c>
      <c r="L75" s="477">
        <f>Wood!J82</f>
        <v>0</v>
      </c>
      <c r="M75" s="478">
        <f>J75*(1-Recovery_OX!E75)*(1-Recovery_OX!F75)</f>
        <v>0</v>
      </c>
      <c r="N75" s="476">
        <f>K75*(1-Recovery_OX!E75)*(1-Recovery_OX!F75)</f>
        <v>1.2298367970099624E-3</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1.5425873419606688</v>
      </c>
      <c r="H76" s="473">
        <f>H75+HWP!E76</f>
        <v>1.2726345571175517</v>
      </c>
      <c r="I76" s="456"/>
      <c r="J76" s="475">
        <f>Garden!J83</f>
        <v>0</v>
      </c>
      <c r="K76" s="476">
        <f>Paper!J83</f>
        <v>1.146692229025015E-3</v>
      </c>
      <c r="L76" s="477">
        <f>Wood!J83</f>
        <v>0</v>
      </c>
      <c r="M76" s="478">
        <f>J76*(1-Recovery_OX!E76)*(1-Recovery_OX!F76)</f>
        <v>0</v>
      </c>
      <c r="N76" s="476">
        <f>K76*(1-Recovery_OX!E76)*(1-Recovery_OX!F76)</f>
        <v>1.146692229025015E-3</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1.5425873419606688</v>
      </c>
      <c r="H77" s="473">
        <f>H76+HWP!E77</f>
        <v>1.2726345571175517</v>
      </c>
      <c r="I77" s="456"/>
      <c r="J77" s="475">
        <f>Garden!J84</f>
        <v>0</v>
      </c>
      <c r="K77" s="476">
        <f>Paper!J84</f>
        <v>1.0691687476771003E-3</v>
      </c>
      <c r="L77" s="477">
        <f>Wood!J84</f>
        <v>0</v>
      </c>
      <c r="M77" s="478">
        <f>J77*(1-Recovery_OX!E77)*(1-Recovery_OX!F77)</f>
        <v>0</v>
      </c>
      <c r="N77" s="476">
        <f>K77*(1-Recovery_OX!E77)*(1-Recovery_OX!F77)</f>
        <v>1.0691687476771003E-3</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1.5425873419606688</v>
      </c>
      <c r="H78" s="473">
        <f>H77+HWP!E78</f>
        <v>1.2726345571175517</v>
      </c>
      <c r="I78" s="456"/>
      <c r="J78" s="475">
        <f>Garden!J85</f>
        <v>0</v>
      </c>
      <c r="K78" s="476">
        <f>Paper!J85</f>
        <v>9.9688633277071051E-4</v>
      </c>
      <c r="L78" s="477">
        <f>Wood!J85</f>
        <v>0</v>
      </c>
      <c r="M78" s="478">
        <f>J78*(1-Recovery_OX!E78)*(1-Recovery_OX!F78)</f>
        <v>0</v>
      </c>
      <c r="N78" s="476">
        <f>K78*(1-Recovery_OX!E78)*(1-Recovery_OX!F78)</f>
        <v>9.9688633277071051E-4</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1.5425873419606688</v>
      </c>
      <c r="H79" s="473">
        <f>H78+HWP!E79</f>
        <v>1.2726345571175517</v>
      </c>
      <c r="I79" s="456"/>
      <c r="J79" s="475">
        <f>Garden!J86</f>
        <v>0</v>
      </c>
      <c r="K79" s="476">
        <f>Paper!J86</f>
        <v>9.2949065582411511E-4</v>
      </c>
      <c r="L79" s="477">
        <f>Wood!J86</f>
        <v>0</v>
      </c>
      <c r="M79" s="478">
        <f>J79*(1-Recovery_OX!E79)*(1-Recovery_OX!F79)</f>
        <v>0</v>
      </c>
      <c r="N79" s="476">
        <f>K79*(1-Recovery_OX!E79)*(1-Recovery_OX!F79)</f>
        <v>9.2949065582411511E-4</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1.5425873419606688</v>
      </c>
      <c r="H80" s="473">
        <f>H79+HWP!E80</f>
        <v>1.2726345571175517</v>
      </c>
      <c r="I80" s="456"/>
      <c r="J80" s="475">
        <f>Garden!J87</f>
        <v>0</v>
      </c>
      <c r="K80" s="476">
        <f>Paper!J87</f>
        <v>8.6665134315073175E-4</v>
      </c>
      <c r="L80" s="477">
        <f>Wood!J87</f>
        <v>0</v>
      </c>
      <c r="M80" s="478">
        <f>J80*(1-Recovery_OX!E80)*(1-Recovery_OX!F80)</f>
        <v>0</v>
      </c>
      <c r="N80" s="476">
        <f>K80*(1-Recovery_OX!E80)*(1-Recovery_OX!F80)</f>
        <v>8.6665134315073175E-4</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1.5425873419606688</v>
      </c>
      <c r="H81" s="473">
        <f>H80+HWP!E81</f>
        <v>1.2726345571175517</v>
      </c>
      <c r="I81" s="456"/>
      <c r="J81" s="475">
        <f>Garden!J88</f>
        <v>0</v>
      </c>
      <c r="K81" s="476">
        <f>Paper!J88</f>
        <v>8.0806035636693161E-4</v>
      </c>
      <c r="L81" s="477">
        <f>Wood!J88</f>
        <v>0</v>
      </c>
      <c r="M81" s="478">
        <f>J81*(1-Recovery_OX!E81)*(1-Recovery_OX!F81)</f>
        <v>0</v>
      </c>
      <c r="N81" s="476">
        <f>K81*(1-Recovery_OX!E81)*(1-Recovery_OX!F81)</f>
        <v>8.0806035636693161E-4</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1.5425873419606688</v>
      </c>
      <c r="H82" s="473">
        <f>H81+HWP!E82</f>
        <v>1.2726345571175517</v>
      </c>
      <c r="I82" s="456"/>
      <c r="J82" s="475">
        <f>Garden!J89</f>
        <v>0</v>
      </c>
      <c r="K82" s="476">
        <f>Paper!J89</f>
        <v>7.5343048238752514E-4</v>
      </c>
      <c r="L82" s="477">
        <f>Wood!J89</f>
        <v>0</v>
      </c>
      <c r="M82" s="478">
        <f>J82*(1-Recovery_OX!E82)*(1-Recovery_OX!F82)</f>
        <v>0</v>
      </c>
      <c r="N82" s="476">
        <f>K82*(1-Recovery_OX!E82)*(1-Recovery_OX!F82)</f>
        <v>7.5343048238752514E-4</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1.5425873419606688</v>
      </c>
      <c r="H83" s="473">
        <f>H82+HWP!E83</f>
        <v>1.2726345571175517</v>
      </c>
      <c r="I83" s="456"/>
      <c r="J83" s="475">
        <f>Garden!J90</f>
        <v>0</v>
      </c>
      <c r="K83" s="476">
        <f>Paper!J90</f>
        <v>7.0249392550688586E-4</v>
      </c>
      <c r="L83" s="477">
        <f>Wood!J90</f>
        <v>0</v>
      </c>
      <c r="M83" s="478">
        <f>J83*(1-Recovery_OX!E83)*(1-Recovery_OX!F83)</f>
        <v>0</v>
      </c>
      <c r="N83" s="476">
        <f>K83*(1-Recovery_OX!E83)*(1-Recovery_OX!F83)</f>
        <v>7.0249392550688586E-4</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1.5425873419606688</v>
      </c>
      <c r="H84" s="473">
        <f>H83+HWP!E84</f>
        <v>1.2726345571175517</v>
      </c>
      <c r="I84" s="456"/>
      <c r="J84" s="475">
        <f>Garden!J91</f>
        <v>0</v>
      </c>
      <c r="K84" s="476">
        <f>Paper!J91</f>
        <v>6.550009946640899E-4</v>
      </c>
      <c r="L84" s="477">
        <f>Wood!J91</f>
        <v>0</v>
      </c>
      <c r="M84" s="478">
        <f>J84*(1-Recovery_OX!E84)*(1-Recovery_OX!F84)</f>
        <v>0</v>
      </c>
      <c r="N84" s="476">
        <f>K84*(1-Recovery_OX!E84)*(1-Recovery_OX!F84)</f>
        <v>6.550009946640899E-4</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1.5425873419606688</v>
      </c>
      <c r="H85" s="473">
        <f>H84+HWP!E85</f>
        <v>1.2726345571175517</v>
      </c>
      <c r="I85" s="456"/>
      <c r="J85" s="475">
        <f>Garden!J92</f>
        <v>0</v>
      </c>
      <c r="K85" s="476">
        <f>Paper!J92</f>
        <v>6.1071887945704647E-4</v>
      </c>
      <c r="L85" s="477">
        <f>Wood!J92</f>
        <v>0</v>
      </c>
      <c r="M85" s="478">
        <f>J85*(1-Recovery_OX!E85)*(1-Recovery_OX!F85)</f>
        <v>0</v>
      </c>
      <c r="N85" s="476">
        <f>K85*(1-Recovery_OX!E85)*(1-Recovery_OX!F85)</f>
        <v>6.1071887945704647E-4</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1.5425873419606688</v>
      </c>
      <c r="H86" s="473">
        <f>H85+HWP!E86</f>
        <v>1.2726345571175517</v>
      </c>
      <c r="I86" s="456"/>
      <c r="J86" s="475">
        <f>Garden!J93</f>
        <v>0</v>
      </c>
      <c r="K86" s="476">
        <f>Paper!J93</f>
        <v>5.6943050890563584E-4</v>
      </c>
      <c r="L86" s="477">
        <f>Wood!J93</f>
        <v>0</v>
      </c>
      <c r="M86" s="478">
        <f>J86*(1-Recovery_OX!E86)*(1-Recovery_OX!F86)</f>
        <v>0</v>
      </c>
      <c r="N86" s="476">
        <f>K86*(1-Recovery_OX!E86)*(1-Recovery_OX!F86)</f>
        <v>5.6943050890563584E-4</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1.5425873419606688</v>
      </c>
      <c r="H87" s="473">
        <f>H86+HWP!E87</f>
        <v>1.2726345571175517</v>
      </c>
      <c r="I87" s="456"/>
      <c r="J87" s="475">
        <f>Garden!J94</f>
        <v>0</v>
      </c>
      <c r="K87" s="476">
        <f>Paper!J94</f>
        <v>5.3093348736951392E-4</v>
      </c>
      <c r="L87" s="477">
        <f>Wood!J94</f>
        <v>0</v>
      </c>
      <c r="M87" s="478">
        <f>J87*(1-Recovery_OX!E87)*(1-Recovery_OX!F87)</f>
        <v>0</v>
      </c>
      <c r="N87" s="476">
        <f>K87*(1-Recovery_OX!E87)*(1-Recovery_OX!F87)</f>
        <v>5.3093348736951392E-4</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1.5425873419606688</v>
      </c>
      <c r="H88" s="473">
        <f>H87+HWP!E88</f>
        <v>1.2726345571175517</v>
      </c>
      <c r="I88" s="456"/>
      <c r="J88" s="475">
        <f>Garden!J95</f>
        <v>0</v>
      </c>
      <c r="K88" s="476">
        <f>Paper!J95</f>
        <v>4.9503910240444762E-4</v>
      </c>
      <c r="L88" s="477">
        <f>Wood!J95</f>
        <v>0</v>
      </c>
      <c r="M88" s="478">
        <f>J88*(1-Recovery_OX!E88)*(1-Recovery_OX!F88)</f>
        <v>0</v>
      </c>
      <c r="N88" s="476">
        <f>K88*(1-Recovery_OX!E88)*(1-Recovery_OX!F88)</f>
        <v>4.9503910240444762E-4</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1.5425873419606688</v>
      </c>
      <c r="H89" s="473">
        <f>H88+HWP!E89</f>
        <v>1.2726345571175517</v>
      </c>
      <c r="I89" s="456"/>
      <c r="J89" s="475">
        <f>Garden!J96</f>
        <v>0</v>
      </c>
      <c r="K89" s="476">
        <f>Paper!J96</f>
        <v>4.6157139969369484E-4</v>
      </c>
      <c r="L89" s="477">
        <f>Wood!J96</f>
        <v>0</v>
      </c>
      <c r="M89" s="478">
        <f>J89*(1-Recovery_OX!E89)*(1-Recovery_OX!F89)</f>
        <v>0</v>
      </c>
      <c r="N89" s="476">
        <f>K89*(1-Recovery_OX!E89)*(1-Recovery_OX!F89)</f>
        <v>4.6157139969369484E-4</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1.5425873419606688</v>
      </c>
      <c r="H90" s="473">
        <f>H89+HWP!E90</f>
        <v>1.2726345571175517</v>
      </c>
      <c r="I90" s="456"/>
      <c r="J90" s="475">
        <f>Garden!J97</f>
        <v>0</v>
      </c>
      <c r="K90" s="476">
        <f>Paper!J97</f>
        <v>4.3036632051973939E-4</v>
      </c>
      <c r="L90" s="477">
        <f>Wood!J97</f>
        <v>0</v>
      </c>
      <c r="M90" s="478">
        <f>J90*(1-Recovery_OX!E90)*(1-Recovery_OX!F90)</f>
        <v>0</v>
      </c>
      <c r="N90" s="476">
        <f>K90*(1-Recovery_OX!E90)*(1-Recovery_OX!F90)</f>
        <v>4.3036632051973939E-4</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1.5425873419606688</v>
      </c>
      <c r="H91" s="473">
        <f>H90+HWP!E91</f>
        <v>1.2726345571175517</v>
      </c>
      <c r="I91" s="456"/>
      <c r="J91" s="475">
        <f>Garden!J98</f>
        <v>0</v>
      </c>
      <c r="K91" s="476">
        <f>Paper!J98</f>
        <v>4.0127089754826755E-4</v>
      </c>
      <c r="L91" s="477">
        <f>Wood!J98</f>
        <v>0</v>
      </c>
      <c r="M91" s="478">
        <f>J91*(1-Recovery_OX!E91)*(1-Recovery_OX!F91)</f>
        <v>0</v>
      </c>
      <c r="N91" s="476">
        <f>K91*(1-Recovery_OX!E91)*(1-Recovery_OX!F91)</f>
        <v>4.0127089754826755E-4</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1.5425873419606688</v>
      </c>
      <c r="H92" s="482">
        <f>H91+HWP!E92</f>
        <v>1.2726345571175517</v>
      </c>
      <c r="I92" s="456"/>
      <c r="J92" s="484">
        <f>Garden!J99</f>
        <v>0</v>
      </c>
      <c r="K92" s="485">
        <f>Paper!J99</f>
        <v>3.7414250498211753E-4</v>
      </c>
      <c r="L92" s="486">
        <f>Wood!J99</f>
        <v>0</v>
      </c>
      <c r="M92" s="487">
        <f>J92*(1-Recovery_OX!E92)*(1-Recovery_OX!F92)</f>
        <v>0</v>
      </c>
      <c r="N92" s="485">
        <f>K92*(1-Recovery_OX!E92)*(1-Recovery_OX!F92)</f>
        <v>3.7414250498211753E-4</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2017-09-14T08:48:30Z</dcterms:modified>
</cp:coreProperties>
</file>