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Samarinda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5" i="6" l="1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F56" i="1" s="1"/>
  <c r="E41" i="1"/>
  <c r="G41" i="1"/>
  <c r="C41" i="1"/>
  <c r="D41" i="1"/>
  <c r="D40" i="1"/>
  <c r="H40" i="1"/>
  <c r="F40" i="1"/>
  <c r="G40" i="1"/>
  <c r="E40" i="1"/>
  <c r="C40" i="1"/>
  <c r="G47" i="1"/>
  <c r="E47" i="1"/>
  <c r="C47" i="1"/>
  <c r="D47" i="1"/>
  <c r="H47" i="1"/>
  <c r="F47" i="1"/>
  <c r="F62" i="1" s="1"/>
  <c r="G43" i="1"/>
  <c r="E43" i="1"/>
  <c r="C43" i="1"/>
  <c r="D43" i="1"/>
  <c r="H43" i="1"/>
  <c r="F43" i="1"/>
  <c r="H45" i="1"/>
  <c r="F45" i="1"/>
  <c r="F60" i="1" s="1"/>
  <c r="D45" i="1"/>
  <c r="G45" i="1"/>
  <c r="E45" i="1"/>
  <c r="C45" i="1"/>
  <c r="D48" i="1"/>
  <c r="G48" i="1"/>
  <c r="H48" i="1"/>
  <c r="F48" i="1"/>
  <c r="F63" i="1" s="1"/>
  <c r="E48" i="1"/>
  <c r="C48" i="1"/>
  <c r="D44" i="1"/>
  <c r="H44" i="1"/>
  <c r="F44" i="1"/>
  <c r="F59" i="1" s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D42" i="1"/>
  <c r="H42" i="1"/>
  <c r="B48" i="1" l="1"/>
  <c r="B69" i="1" s="1"/>
  <c r="B41" i="1"/>
  <c r="B62" i="1" s="1"/>
  <c r="B43" i="1"/>
  <c r="B64" i="1" s="1"/>
  <c r="F58" i="1"/>
  <c r="B46" i="1"/>
  <c r="B67" i="1" s="1"/>
  <c r="F61" i="1"/>
  <c r="B44" i="1"/>
  <c r="B40" i="1"/>
  <c r="F55" i="1"/>
  <c r="B45" i="1"/>
  <c r="B42" i="1"/>
  <c r="B63" i="1" s="1"/>
  <c r="F57" i="1"/>
  <c r="B47" i="1"/>
  <c r="M15" i="1"/>
  <c r="M14" i="1" s="1"/>
  <c r="M13" i="1" s="1"/>
  <c r="M12" i="1" s="1"/>
  <c r="M11" i="1" s="1"/>
  <c r="M10" i="1" s="1"/>
  <c r="M9" i="1" s="1"/>
  <c r="M8" i="1" s="1"/>
  <c r="M7" i="1" s="1"/>
  <c r="J41" i="1" l="1"/>
  <c r="J46" i="1"/>
  <c r="J40" i="1"/>
  <c r="B61" i="1"/>
  <c r="J43" i="1"/>
  <c r="J44" i="1"/>
  <c r="B65" i="1"/>
  <c r="J48" i="1"/>
  <c r="J42" i="1"/>
  <c r="J45" i="1"/>
  <c r="B66" i="1"/>
  <c r="J47" i="1"/>
  <c r="B68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I47" i="2"/>
  <c r="F33" i="1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C38" i="1" l="1"/>
  <c r="C37" i="1"/>
  <c r="C39" i="1"/>
  <c r="B39" i="1"/>
  <c r="B60" i="1" s="1"/>
  <c r="J32" i="1"/>
  <c r="J30" i="1"/>
  <c r="J33" i="1"/>
  <c r="E29" i="1"/>
  <c r="F34" i="1"/>
  <c r="C34" i="1"/>
  <c r="F36" i="1"/>
  <c r="F51" i="1" s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F54" i="1" s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8" i="1" l="1"/>
  <c r="B59" i="1" s="1"/>
  <c r="F53" i="1"/>
  <c r="B36" i="1"/>
  <c r="B57" i="1" s="1"/>
  <c r="B35" i="1"/>
  <c r="B56" i="1" s="1"/>
  <c r="F50" i="1"/>
  <c r="B37" i="1"/>
  <c r="F52" i="1"/>
  <c r="J39" i="1"/>
  <c r="J31" i="1"/>
  <c r="J29" i="1"/>
  <c r="J38" i="1"/>
  <c r="J34" i="1"/>
  <c r="J35" i="1" l="1"/>
  <c r="J37" i="1"/>
  <c r="B58" i="1"/>
  <c r="B70" i="1" s="1"/>
  <c r="B71" i="1" s="1"/>
  <c r="J36" i="1"/>
  <c r="F64" i="1"/>
  <c r="F65" i="1" s="1"/>
  <c r="C9" i="3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<sst xmlns="http://schemas.openxmlformats.org/spreadsheetml/2006/main" count="303" uniqueCount="157">
  <si>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</si>
  <si>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</si>
  <si>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</si>
  <si>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</si>
  <si>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</si>
  <si>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</si>
  <si>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</si>
  <si>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</si>
  <si>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</si>
  <si>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</si>
  <si>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</si>
  <si>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</si>
  <si>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</si>
  <si>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</si>
  <si>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</si>
  <si>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</si>
  <si>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</si>
  <si>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</si>
  <si>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</si>
  <si>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</si>
  <si>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</si>
  <si>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</si>
  <si>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</si>
  <si>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</si>
  <si>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</si>
  <si>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</si>
  <si>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</si>
  <si>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</si>
  <si>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</si>
  <si>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</si>
  <si>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</si>
  <si>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</si>
  <si>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</si>
  <si>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</si>
  <si>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</si>
  <si>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</si>
  <si>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</si>
  <si>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</si>
  <si>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</si>
  <si>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</si>
  <si>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</si>
  <si>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</si>
  <si>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</si>
  <si>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</si>
  <si>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</si>
  <si>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</si>
  <si>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</si>
  <si>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</si>
  <si>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</si>
  <si>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</si>
  <si>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</si>
  <si>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</si>
  <si>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</si>
  <si>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</si>
  <si>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</si>
  <si>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</si>
  <si>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</si>
  <si>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</si>
  <si>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</si>
  <si>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</si>
  <si>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</si>
  <si>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</si>
  <si>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</si>
  <si>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</si>
  <si>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</si>
  <si>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</si>
  <si>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</si>
  <si>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</si>
  <si>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</si>
  <si>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</si>
  <si>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</si>
  <si>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</si>
  <si>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</si>
  <si>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</si>
  <si>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</si>
  <si>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</si>
  <si>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</si>
  <si>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</si>
  <si>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</si>
  <si>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</si>
  <si>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</si>
  <si>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</si>
  <si>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</si>
  <si>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</si>
  <si>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</si>
  <si>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</si>
  <si>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</si>
  <si>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</si>
  <si>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</si>
  <si>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</si>
  <si>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</si>
  <si>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</si>
  <si>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</si>
  <si>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</si>
  <si>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</si>
  <si>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</si>
  <si>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</si>
  <si>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</si>
  <si>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</si>
  <si>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</si>
  <si>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</si>
  <si>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</si>
  <si>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</si>
  <si>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</si>
  <si>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</si>
  <si>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</si>
  <si>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</si>
  <si>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</si>
  <si>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</si>
  <si>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</si>
  <si>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</si>
  <si>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</si>
  <si>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</si>
  <si>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</si>
  <si>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</si>
  <si>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</si>
  <si>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</si>
  <si>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</si>
  <si>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</si>
  <si>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</si>
  <si>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</si>
  <si>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</si>
  <si>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</si>
  <si>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</si>
  <si>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</si>
  <si>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</si>
  <si>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</si>
  <si>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</si>
  <si>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</si>
  <si>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</si>
  <si>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</si>
  <si>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</si>
  <si>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</si>
  <si>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</si>
  <si>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</si>
  <si>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</si>
  <si>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</si>
  <si>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</si>
  <si>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</si>
  <si>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</si>
  <si>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</si>
  <si>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</si>
  <si>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</si>
  <si>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</si>
  <si>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</si>
  <si>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</si>
  <si>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</si>
  <si>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</si>
  <si>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</si>
  <si>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</si>
  <si>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</si>
  <si>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</si>
  <si>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KOTA SAMARINDA</t>
  </si>
  <si>
    <t>KONDISI MITIGASI</t>
  </si>
  <si>
    <t>AM1: Meningkatkan jumlah sampah yang diangkut ke TPA dan mengurangi jumlah fraksi lainnya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</si>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</sst>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9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0" fontId="60" fillId="8" borderId="0" xfId="0" applyFont="1" applyFill="1" applyAlignment="1">
      <alignment vertical="center" wrapText="1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43" fontId="54" fillId="0" borderId="0" xfId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0.39778804593</c:v>
                </c:pt>
                <c:pt idx="1">
                  <c:v>0.40210448651999997</c:v>
                </c:pt>
                <c:pt idx="2">
                  <c:v>0.41057177535</c:v>
                </c:pt>
                <c:pt idx="3">
                  <c:v>0.41897808413999993</c:v>
                </c:pt>
                <c:pt idx="4">
                  <c:v>0.42717411693000001</c:v>
                </c:pt>
                <c:pt idx="5">
                  <c:v>0.43543060406999995</c:v>
                </c:pt>
                <c:pt idx="6">
                  <c:v>0.45843917273648999</c:v>
                </c:pt>
                <c:pt idx="7">
                  <c:v>0.48326358478820097</c:v>
                </c:pt>
                <c:pt idx="8">
                  <c:v>0.50913062110880425</c:v>
                </c:pt>
                <c:pt idx="9">
                  <c:v>0.53607954765293775</c:v>
                </c:pt>
                <c:pt idx="10">
                  <c:v>0.56415102166309139</c:v>
                </c:pt>
                <c:pt idx="11">
                  <c:v>0.59338713907924268</c:v>
                </c:pt>
                <c:pt idx="12">
                  <c:v>0.62383148352076834</c:v>
                </c:pt>
                <c:pt idx="13">
                  <c:v>0.65552917689174417</c:v>
                </c:pt>
                <c:pt idx="14">
                  <c:v>0.68852693166237589</c:v>
                </c:pt>
                <c:pt idx="15">
                  <c:v>0.7228731048810032</c:v>
                </c:pt>
                <c:pt idx="16">
                  <c:v>0.75861775397284947</c:v>
                </c:pt>
                <c:pt idx="17">
                  <c:v>0.79581269438349156</c:v>
                </c:pt>
                <c:pt idx="18">
                  <c:v>0.83451155912687569</c:v>
                </c:pt>
                <c:pt idx="19">
                  <c:v>0.87443975520000006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0.61995639157028648</c:v>
                </c:pt>
                <c:pt idx="8">
                  <c:v>1.1204087642657132</c:v>
                </c:pt>
                <c:pt idx="9">
                  <c:v>1.5459386150716143</c:v>
                </c:pt>
                <c:pt idx="10">
                  <c:v>1.9272582405700487</c:v>
                </c:pt>
                <c:pt idx="11">
                  <c:v>2.2858004002264796</c:v>
                </c:pt>
                <c:pt idx="12">
                  <c:v>2.6368044610579284</c:v>
                </c:pt>
                <c:pt idx="13">
                  <c:v>2.9913942430798603</c:v>
                </c:pt>
                <c:pt idx="14">
                  <c:v>3.357979677571687</c:v>
                </c:pt>
                <c:pt idx="15">
                  <c:v>3.743205038517107</c:v>
                </c:pt>
                <c:pt idx="16">
                  <c:v>4.1525931926931907</c:v>
                </c:pt>
                <c:pt idx="17">
                  <c:v>4.590986158015145</c:v>
                </c:pt>
                <c:pt idx="18">
                  <c:v>5.0628493005797193</c:v>
                </c:pt>
                <c:pt idx="19">
                  <c:v>5.5724844007633765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43.379394044065428</c:v>
                </c:pt>
                <c:pt idx="1">
                  <c:v>46.397105102204144</c:v>
                </c:pt>
                <c:pt idx="2">
                  <c:v>48.802337199246224</c:v>
                </c:pt>
                <c:pt idx="3">
                  <c:v>50.930231110485913</c:v>
                </c:pt>
                <c:pt idx="4">
                  <c:v>52.859222409055199</c:v>
                </c:pt>
                <c:pt idx="5">
                  <c:v>54.63773462766423</c:v>
                </c:pt>
                <c:pt idx="6">
                  <c:v>56.309069728200861</c:v>
                </c:pt>
                <c:pt idx="7">
                  <c:v>57.359423595272595</c:v>
                </c:pt>
                <c:pt idx="8">
                  <c:v>58.958493075620979</c:v>
                </c:pt>
                <c:pt idx="9">
                  <c:v>58.226266012014321</c:v>
                </c:pt>
                <c:pt idx="10">
                  <c:v>60.412414359917697</c:v>
                </c:pt>
                <c:pt idx="11">
                  <c:v>62.836568085175621</c:v>
                </c:pt>
                <c:pt idx="12">
                  <c:v>65.454284785816284</c:v>
                </c:pt>
                <c:pt idx="13">
                  <c:v>68.235426754114286</c:v>
                </c:pt>
                <c:pt idx="14">
                  <c:v>71.159479977341462</c:v>
                </c:pt>
                <c:pt idx="15">
                  <c:v>74.212395081764868</c:v>
                </c:pt>
                <c:pt idx="16">
                  <c:v>77.384449973837789</c:v>
                </c:pt>
                <c:pt idx="17">
                  <c:v>80.668798457433155</c:v>
                </c:pt>
                <c:pt idx="18">
                  <c:v>84.060479438667812</c:v>
                </c:pt>
                <c:pt idx="19">
                  <c:v>87.552804255152282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1.9459276804275003</c:v>
                </c:pt>
                <c:pt idx="1">
                  <c:v>1.9670431496099998</c:v>
                </c:pt>
                <c:pt idx="2">
                  <c:v>2.0084640316125002</c:v>
                </c:pt>
                <c:pt idx="3">
                  <c:v>2.0495866071449997</c:v>
                </c:pt>
                <c:pt idx="4">
                  <c:v>2.0896805396774996</c:v>
                </c:pt>
                <c:pt idx="5">
                  <c:v>2.1300702070724995</c:v>
                </c:pt>
                <c:pt idx="6">
                  <c:v>2.1804814288949999</c:v>
                </c:pt>
                <c:pt idx="7">
                  <c:v>2.2348606410899992</c:v>
                </c:pt>
                <c:pt idx="8">
                  <c:v>2.2892398532850002</c:v>
                </c:pt>
                <c:pt idx="9">
                  <c:v>2.3436190654799995</c:v>
                </c:pt>
                <c:pt idx="10">
                  <c:v>2.3979982776749997</c:v>
                </c:pt>
                <c:pt idx="11">
                  <c:v>2.4523774898699999</c:v>
                </c:pt>
                <c:pt idx="12">
                  <c:v>2.5067567020649997</c:v>
                </c:pt>
                <c:pt idx="13">
                  <c:v>2.5611359142599994</c:v>
                </c:pt>
                <c:pt idx="14">
                  <c:v>2.6155151264549996</c:v>
                </c:pt>
                <c:pt idx="15">
                  <c:v>2.6698943386500003</c:v>
                </c:pt>
                <c:pt idx="16">
                  <c:v>2.724273550845</c:v>
                </c:pt>
                <c:pt idx="17">
                  <c:v>2.7786527630399993</c:v>
                </c:pt>
                <c:pt idx="18">
                  <c:v>2.8330319752349999</c:v>
                </c:pt>
                <c:pt idx="19">
                  <c:v>2.8874111874299997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909264"/>
        <c:axId val="228911224"/>
        <c:axId val="0"/>
      </c:bar3DChart>
      <c:catAx>
        <c:axId val="2289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911224"/>
        <c:crosses val="autoZero"/>
        <c:auto val="1"/>
        <c:lblAlgn val="ctr"/>
        <c:lblOffset val="100"/>
        <c:noMultiLvlLbl val="0"/>
      </c:catAx>
      <c:valAx>
        <c:axId val="228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890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8.3153820476257145</c:v>
                </c:pt>
                <c:pt idx="1">
                  <c:v>8.1029200597714297</c:v>
                </c:pt>
                <c:pt idx="2">
                  <c:v>8.15681142697143</c:v>
                </c:pt>
                <c:pt idx="3">
                  <c:v>8.5088661331980955</c:v>
                </c:pt>
                <c:pt idx="4">
                  <c:v>8.6755672285438106</c:v>
                </c:pt>
                <c:pt idx="5">
                  <c:v>8.8434979195514281</c:v>
                </c:pt>
                <c:pt idx="6">
                  <c:v>9.0530958652933347</c:v>
                </c:pt>
                <c:pt idx="7">
                  <c:v>9.2791917771771431</c:v>
                </c:pt>
                <c:pt idx="8">
                  <c:v>9.5052876890609532</c:v>
                </c:pt>
                <c:pt idx="9">
                  <c:v>9.7313836009447652</c:v>
                </c:pt>
                <c:pt idx="10">
                  <c:v>9.9574795128285718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16.574901265591198</c:v>
                </c:pt>
                <c:pt idx="1">
                  <c:v>16.7550429660768</c:v>
                </c:pt>
                <c:pt idx="2">
                  <c:v>17.108415560124001</c:v>
                </c:pt>
                <c:pt idx="3">
                  <c:v>17.459243222097601</c:v>
                </c:pt>
                <c:pt idx="4">
                  <c:v>17.801295256231199</c:v>
                </c:pt>
                <c:pt idx="5">
                  <c:v>18.145870283368801</c:v>
                </c:pt>
                <c:pt idx="6">
                  <c:v>18.575941864737597</c:v>
                </c:pt>
                <c:pt idx="7">
                  <c:v>19.039865430499198</c:v>
                </c:pt>
                <c:pt idx="8">
                  <c:v>19.503788996260798</c:v>
                </c:pt>
                <c:pt idx="9">
                  <c:v>19.967712562022403</c:v>
                </c:pt>
                <c:pt idx="10">
                  <c:v>20.431636127784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912400"/>
        <c:axId val="228912792"/>
        <c:axId val="0"/>
      </c:bar3DChart>
      <c:catAx>
        <c:axId val="2289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2792"/>
        <c:crosses val="autoZero"/>
        <c:auto val="1"/>
        <c:lblAlgn val="ctr"/>
        <c:lblOffset val="100"/>
        <c:noMultiLvlLbl val="0"/>
      </c:catAx>
      <c:valAx>
        <c:axId val="2289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24890.283313216911</c:v>
                </c:pt>
                <c:pt idx="1">
                  <c:v>24857.963025848228</c:v>
                </c:pt>
                <c:pt idx="2">
                  <c:v>25265.22698709543</c:v>
                </c:pt>
                <c:pt idx="3">
                  <c:v>25968.109355295695</c:v>
                </c:pt>
                <c:pt idx="4">
                  <c:v>26476.862484775011</c:v>
                </c:pt>
                <c:pt idx="5">
                  <c:v>26989.368202920228</c:v>
                </c:pt>
                <c:pt idx="6">
                  <c:v>27629.03773003093</c:v>
                </c:pt>
                <c:pt idx="7">
                  <c:v>28319.057207676342</c:v>
                </c:pt>
                <c:pt idx="8">
                  <c:v>29009.07668532175</c:v>
                </c:pt>
                <c:pt idx="9">
                  <c:v>29699.096162967166</c:v>
                </c:pt>
                <c:pt idx="10">
                  <c:v>30389.115640612574</c:v>
                </c:pt>
                <c:pt idx="11">
                  <c:v>31079.135118257982</c:v>
                </c:pt>
                <c:pt idx="12">
                  <c:v>31769.154595903387</c:v>
                </c:pt>
                <c:pt idx="13">
                  <c:v>32459.174073548802</c:v>
                </c:pt>
                <c:pt idx="14">
                  <c:v>33149.193551194214</c:v>
                </c:pt>
                <c:pt idx="15">
                  <c:v>33839.213028839615</c:v>
                </c:pt>
                <c:pt idx="16">
                  <c:v>34529.23250648503</c:v>
                </c:pt>
                <c:pt idx="17">
                  <c:v>35219.251984130438</c:v>
                </c:pt>
                <c:pt idx="18">
                  <c:v>35909.271461775847</c:v>
                </c:pt>
                <c:pt idx="19">
                  <c:v>36599.290939421269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38072"/>
        <c:axId val="307338464"/>
      </c:lineChart>
      <c:catAx>
        <c:axId val="3073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8464"/>
        <c:crosses val="autoZero"/>
        <c:auto val="1"/>
        <c:lblAlgn val="ctr"/>
        <c:lblOffset val="100"/>
        <c:noMultiLvlLbl val="0"/>
      </c:catAx>
      <c:valAx>
        <c:axId val="307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76485.289362063893</c:v>
                </c:pt>
                <c:pt idx="1">
                  <c:v>81668.420026249631</c:v>
                </c:pt>
                <c:pt idx="2">
                  <c:v>85829.193020707404</c:v>
                </c:pt>
                <c:pt idx="3">
                  <c:v>89515.596199513791</c:v>
                </c:pt>
                <c:pt idx="4">
                  <c:v>92860.807515564069</c:v>
                </c:pt>
                <c:pt idx="5">
                  <c:v>95949.184803366108</c:v>
                </c:pt>
                <c:pt idx="6">
                  <c:v>98879.154740694445</c:v>
                </c:pt>
                <c:pt idx="7">
                  <c:v>100295.40309750402</c:v>
                </c:pt>
                <c:pt idx="8">
                  <c:v>102195.39460651121</c:v>
                </c:pt>
                <c:pt idx="9">
                  <c:v>101698.29877862173</c:v>
                </c:pt>
                <c:pt idx="10">
                  <c:v>104053.78653756999</c:v>
                </c:pt>
                <c:pt idx="11">
                  <c:v>106581.87257836298</c:v>
                </c:pt>
                <c:pt idx="12">
                  <c:v>109238.60622885058</c:v>
                </c:pt>
                <c:pt idx="13">
                  <c:v>111994.26958154907</c:v>
                </c:pt>
                <c:pt idx="14">
                  <c:v>114828.58221630978</c:v>
                </c:pt>
                <c:pt idx="15">
                  <c:v>117727.4691969656</c:v>
                </c:pt>
                <c:pt idx="16">
                  <c:v>120680.87667429345</c:v>
                </c:pt>
                <c:pt idx="17">
                  <c:v>123681.28920702833</c:v>
                </c:pt>
                <c:pt idx="18">
                  <c:v>126722.71673238846</c:v>
                </c:pt>
                <c:pt idx="19">
                  <c:v>129796.73424480626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39248"/>
        <c:axId val="307339640"/>
      </c:lineChart>
      <c:catAx>
        <c:axId val="3073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640"/>
        <c:crosses val="autoZero"/>
        <c:auto val="1"/>
        <c:lblAlgn val="ctr"/>
        <c:lblOffset val="100"/>
        <c:noMultiLvlLbl val="0"/>
      </c:catAx>
      <c:valAx>
        <c:axId val="3073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437030</xdr:colOff>
      <xdr:row>52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D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MD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J14">
            <v>756697</v>
          </cell>
        </row>
        <row r="15">
          <cell r="J15">
            <v>764908</v>
          </cell>
        </row>
        <row r="16">
          <cell r="J16">
            <v>781015</v>
          </cell>
        </row>
        <row r="17">
          <cell r="J17">
            <v>797006</v>
          </cell>
        </row>
        <row r="18">
          <cell r="J18">
            <v>812597</v>
          </cell>
        </row>
        <row r="19">
          <cell r="J19">
            <v>828303</v>
          </cell>
        </row>
        <row r="20">
          <cell r="J20">
            <v>847906</v>
          </cell>
        </row>
        <row r="21">
          <cell r="J21">
            <v>869052</v>
          </cell>
        </row>
        <row r="22">
          <cell r="J22">
            <v>890198</v>
          </cell>
        </row>
        <row r="23">
          <cell r="J23">
            <v>911344</v>
          </cell>
        </row>
        <row r="24">
          <cell r="J24">
            <v>932490</v>
          </cell>
        </row>
        <row r="25">
          <cell r="J25">
            <v>953636</v>
          </cell>
        </row>
        <row r="26">
          <cell r="J26">
            <v>974782</v>
          </cell>
        </row>
        <row r="27">
          <cell r="J27">
            <v>995928</v>
          </cell>
        </row>
        <row r="28">
          <cell r="J28">
            <v>1017074</v>
          </cell>
        </row>
        <row r="29">
          <cell r="J29">
            <v>1038220</v>
          </cell>
        </row>
        <row r="30">
          <cell r="J30">
            <v>1059366</v>
          </cell>
        </row>
        <row r="31">
          <cell r="J31">
            <v>1080512</v>
          </cell>
        </row>
        <row r="32">
          <cell r="J32">
            <v>1101658</v>
          </cell>
        </row>
        <row r="33">
          <cell r="J33">
            <v>1122804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2.0656854306697823</v>
          </cell>
        </row>
        <row r="29">
          <cell r="O29">
            <v>2.2093859572478163</v>
          </cell>
        </row>
        <row r="30">
          <cell r="O30">
            <v>2.3239208190117249</v>
          </cell>
        </row>
        <row r="31">
          <cell r="O31">
            <v>2.4252491004993293</v>
          </cell>
        </row>
        <row r="32">
          <cell r="O32">
            <v>2.5171058290026287</v>
          </cell>
        </row>
        <row r="33">
          <cell r="O33">
            <v>2.6017968870316301</v>
          </cell>
        </row>
        <row r="34">
          <cell r="O34">
            <v>2.6813842727714694</v>
          </cell>
        </row>
        <row r="35">
          <cell r="O35">
            <v>2.7314011235844093</v>
          </cell>
        </row>
        <row r="36">
          <cell r="O36">
            <v>2.8075472893152846</v>
          </cell>
        </row>
        <row r="37">
          <cell r="O37">
            <v>2.7726793339054439</v>
          </cell>
        </row>
        <row r="38">
          <cell r="O38">
            <v>2.876781636186557</v>
          </cell>
        </row>
        <row r="39">
          <cell r="O39">
            <v>2.9922175278655057</v>
          </cell>
        </row>
        <row r="40">
          <cell r="O40">
            <v>3.11687070408649</v>
          </cell>
        </row>
        <row r="41">
          <cell r="O41">
            <v>3.2493060359102044</v>
          </cell>
        </row>
        <row r="42">
          <cell r="O42">
            <v>3.3885466655876884</v>
          </cell>
        </row>
        <row r="43">
          <cell r="O43">
            <v>3.5339235753221363</v>
          </cell>
        </row>
        <row r="44">
          <cell r="O44">
            <v>3.6849738082779901</v>
          </cell>
        </row>
        <row r="45">
          <cell r="O45">
            <v>3.8413713551158648</v>
          </cell>
        </row>
        <row r="46">
          <cell r="O46">
            <v>4.0028799732698959</v>
          </cell>
        </row>
        <row r="47">
          <cell r="O47">
            <v>4.1691811550072515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1.464865694840046</v>
          </cell>
        </row>
        <row r="29">
          <cell r="O29">
            <v>1.5667698708531181</v>
          </cell>
        </row>
        <row r="30">
          <cell r="O30">
            <v>1.6479914292618421</v>
          </cell>
        </row>
        <row r="31">
          <cell r="O31">
            <v>1.7198476379877561</v>
          </cell>
        </row>
        <row r="32">
          <cell r="O32">
            <v>1.7849871642810167</v>
          </cell>
        </row>
        <row r="33">
          <cell r="O33">
            <v>1.8450452078361603</v>
          </cell>
        </row>
        <row r="34">
          <cell r="O34">
            <v>1.9014840195648612</v>
          </cell>
        </row>
        <row r="35">
          <cell r="O35">
            <v>1.9446576984725481</v>
          </cell>
        </row>
        <row r="36">
          <cell r="O36">
            <v>1.9789971343220072</v>
          </cell>
        </row>
        <row r="37">
          <cell r="O37">
            <v>2.0065844175498144</v>
          </cell>
        </row>
        <row r="38">
          <cell r="O38">
            <v>2.0288800532802025</v>
          </cell>
        </row>
        <row r="39">
          <cell r="O39">
            <v>2.0469209649745044</v>
          </cell>
        </row>
        <row r="40">
          <cell r="O40">
            <v>2.0614541770717354</v>
          </cell>
        </row>
        <row r="41">
          <cell r="O41">
            <v>2.0730272371125191</v>
          </cell>
        </row>
        <row r="42">
          <cell r="O42">
            <v>2.0820495170677447</v>
          </cell>
        </row>
        <row r="43">
          <cell r="O43">
            <v>2.0888338909612783</v>
          </cell>
        </row>
        <row r="44">
          <cell r="O44">
            <v>2.0936251708729059</v>
          </cell>
        </row>
        <row r="45">
          <cell r="O45">
            <v>2.0966195928660394</v>
          </cell>
        </row>
        <row r="46">
          <cell r="O46">
            <v>2.0979782409494527</v>
          </cell>
        </row>
        <row r="47">
          <cell r="O47">
            <v>2.0978363546565424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2.9521732931918405E-2</v>
          </cell>
        </row>
        <row r="36">
          <cell r="O36">
            <v>5.3352798298367296E-2</v>
          </cell>
        </row>
        <row r="37">
          <cell r="O37">
            <v>7.3616124527219731E-2</v>
          </cell>
        </row>
        <row r="38">
          <cell r="O38">
            <v>9.1774201931907079E-2</v>
          </cell>
        </row>
        <row r="39">
          <cell r="O39">
            <v>0.10884763810602284</v>
          </cell>
        </row>
        <row r="40">
          <cell r="O40">
            <v>0.12556211719323468</v>
          </cell>
        </row>
        <row r="41">
          <cell r="O41">
            <v>0.14244734490856478</v>
          </cell>
        </row>
        <row r="42">
          <cell r="O42">
            <v>0.15990379417008033</v>
          </cell>
        </row>
        <row r="43">
          <cell r="O43">
            <v>0.1782478589770051</v>
          </cell>
        </row>
        <row r="44">
          <cell r="O44">
            <v>0.19774253298539002</v>
          </cell>
        </row>
        <row r="45">
          <cell r="O45">
            <v>0.21861838847691167</v>
          </cell>
        </row>
        <row r="46">
          <cell r="O46">
            <v>0.24108806193236756</v>
          </cell>
        </row>
        <row r="47">
          <cell r="O47">
            <v>0.26535640003635125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8.9895603600000009E-3</v>
          </cell>
          <cell r="D6">
            <v>6.7421702699999996E-4</v>
          </cell>
        </row>
        <row r="7">
          <cell r="B7">
            <v>9.0871070400000004E-3</v>
          </cell>
          <cell r="D7">
            <v>6.8153302800000001E-4</v>
          </cell>
        </row>
        <row r="8">
          <cell r="B8">
            <v>9.278458199999999E-3</v>
          </cell>
          <cell r="D8">
            <v>6.9588436499999997E-4</v>
          </cell>
        </row>
        <row r="9">
          <cell r="B9">
            <v>9.4684312799999983E-3</v>
          </cell>
          <cell r="D9">
            <v>7.1013234599999985E-4</v>
          </cell>
        </row>
        <row r="10">
          <cell r="B10">
            <v>9.6536523600000007E-3</v>
          </cell>
          <cell r="D10">
            <v>7.2402392700000005E-4</v>
          </cell>
        </row>
        <row r="11">
          <cell r="B11">
            <v>9.8402396399999998E-3</v>
          </cell>
          <cell r="D11">
            <v>7.380179729999999E-4</v>
          </cell>
        </row>
        <row r="12">
          <cell r="B12">
            <v>1.036020729348E-2</v>
          </cell>
          <cell r="D12">
            <v>7.770155470109999E-4</v>
          </cell>
        </row>
        <row r="13">
          <cell r="B13">
            <v>1.0921210955665559E-2</v>
          </cell>
          <cell r="D13">
            <v>8.1909082167491698E-4</v>
          </cell>
        </row>
        <row r="14">
          <cell r="B14">
            <v>1.1505776748221565E-2</v>
          </cell>
          <cell r="D14">
            <v>8.6293325611661747E-4</v>
          </cell>
        </row>
        <row r="15">
          <cell r="B15">
            <v>1.2114792037354527E-2</v>
          </cell>
          <cell r="D15">
            <v>9.0860940280158939E-4</v>
          </cell>
        </row>
        <row r="16">
          <cell r="B16">
            <v>1.2749175630804323E-2</v>
          </cell>
          <cell r="D16">
            <v>9.5618817231032428E-4</v>
          </cell>
        </row>
        <row r="17">
          <cell r="B17">
            <v>1.340987884924842E-2</v>
          </cell>
          <cell r="D17">
            <v>1.0057409136936316E-3</v>
          </cell>
        </row>
        <row r="18">
          <cell r="B18">
            <v>1.4097886633237704E-2</v>
          </cell>
          <cell r="D18">
            <v>1.0573414974928278E-3</v>
          </cell>
        </row>
        <row r="19">
          <cell r="B19">
            <v>1.4814218686819078E-2</v>
          </cell>
          <cell r="D19">
            <v>1.1110664015114308E-3</v>
          </cell>
        </row>
        <row r="20">
          <cell r="B20">
            <v>1.5559930659036743E-2</v>
          </cell>
          <cell r="D20">
            <v>1.1669947994277557E-3</v>
          </cell>
        </row>
        <row r="21">
          <cell r="B21">
            <v>1.6336115364542443E-2</v>
          </cell>
          <cell r="D21">
            <v>1.2252086523406834E-3</v>
          </cell>
        </row>
        <row r="22">
          <cell r="B22">
            <v>1.7143904044584168E-2</v>
          </cell>
          <cell r="D22">
            <v>1.2857928033438127E-3</v>
          </cell>
        </row>
        <row r="23">
          <cell r="B23">
            <v>1.7984467669683427E-2</v>
          </cell>
          <cell r="D23">
            <v>1.3488350752262567E-3</v>
          </cell>
        </row>
        <row r="24">
          <cell r="B24">
            <v>1.8859018285353125E-2</v>
          </cell>
          <cell r="D24">
            <v>1.4144263714014841E-3</v>
          </cell>
        </row>
        <row r="25">
          <cell r="B25">
            <v>1.9761350400000002E-2</v>
          </cell>
          <cell r="D25">
            <v>1.48210128E-3</v>
          </cell>
        </row>
        <row r="32">
          <cell r="B32">
            <v>6.9117649851250004E-2</v>
          </cell>
          <cell r="D32">
            <v>1.5950226888750002E-3</v>
          </cell>
        </row>
        <row r="33">
          <cell r="B33">
            <v>6.986765285499999E-2</v>
          </cell>
          <cell r="D33">
            <v>1.6123304504999999E-3</v>
          </cell>
        </row>
        <row r="34">
          <cell r="B34">
            <v>7.1338886368750007E-2</v>
          </cell>
          <cell r="D34">
            <v>1.6462819931250001E-3</v>
          </cell>
        </row>
        <row r="35">
          <cell r="B35">
            <v>7.2799524297500001E-2</v>
          </cell>
          <cell r="D35">
            <v>1.6799890222499998E-3</v>
          </cell>
        </row>
        <row r="36">
          <cell r="B36">
            <v>7.4223625726249992E-2</v>
          </cell>
          <cell r="D36">
            <v>1.712852901375E-3</v>
          </cell>
        </row>
        <row r="37">
          <cell r="B37">
            <v>7.5658231398749984E-2</v>
          </cell>
          <cell r="D37">
            <v>1.7459591861249996E-3</v>
          </cell>
        </row>
        <row r="38">
          <cell r="B38">
            <v>7.7448793922499995E-2</v>
          </cell>
          <cell r="D38">
            <v>1.7872798597500001E-3</v>
          </cell>
        </row>
        <row r="39">
          <cell r="B39">
            <v>7.9380295994999975E-2</v>
          </cell>
          <cell r="D39">
            <v>1.8318529844999995E-3</v>
          </cell>
        </row>
        <row r="40">
          <cell r="B40">
            <v>8.1311798067499996E-2</v>
          </cell>
          <cell r="D40">
            <v>1.8764261092500002E-3</v>
          </cell>
        </row>
        <row r="41">
          <cell r="B41">
            <v>8.324330013999999E-2</v>
          </cell>
          <cell r="D41">
            <v>1.9209992339999996E-3</v>
          </cell>
        </row>
        <row r="42">
          <cell r="B42">
            <v>8.5174802212499998E-2</v>
          </cell>
          <cell r="D42">
            <v>1.9655723587500003E-3</v>
          </cell>
        </row>
        <row r="43">
          <cell r="B43">
            <v>8.7106304284999991E-2</v>
          </cell>
          <cell r="D43">
            <v>2.0101454835000001E-3</v>
          </cell>
        </row>
        <row r="44">
          <cell r="B44">
            <v>8.9037806357499985E-2</v>
          </cell>
          <cell r="D44">
            <v>2.0547186082499999E-3</v>
          </cell>
        </row>
        <row r="45">
          <cell r="B45">
            <v>9.0969308429999993E-2</v>
          </cell>
          <cell r="D45">
            <v>2.0992917329999998E-3</v>
          </cell>
        </row>
        <row r="46">
          <cell r="B46">
            <v>9.2900810502499986E-2</v>
          </cell>
          <cell r="D46">
            <v>2.14386485775E-3</v>
          </cell>
        </row>
        <row r="47">
          <cell r="B47">
            <v>9.4832312575000008E-2</v>
          </cell>
          <cell r="D47">
            <v>2.1884379825000003E-3</v>
          </cell>
        </row>
        <row r="48">
          <cell r="B48">
            <v>9.6763814647500002E-2</v>
          </cell>
          <cell r="D48">
            <v>2.2330111072499997E-3</v>
          </cell>
        </row>
        <row r="49">
          <cell r="B49">
            <v>9.8695316719999968E-2</v>
          </cell>
          <cell r="D49">
            <v>2.2775842319999995E-3</v>
          </cell>
        </row>
        <row r="50">
          <cell r="B50">
            <v>0.1006268187925</v>
          </cell>
          <cell r="D50">
            <v>2.3221573567499998E-3</v>
          </cell>
        </row>
        <row r="51">
          <cell r="B51">
            <v>0.10255832086499998</v>
          </cell>
          <cell r="D51">
            <v>2.3667304814999996E-3</v>
          </cell>
        </row>
        <row r="59">
          <cell r="B59">
            <v>0.78928101264719996</v>
          </cell>
          <cell r="D59">
            <v>2.6823813056857142E-2</v>
          </cell>
        </row>
        <row r="60">
          <cell r="B60">
            <v>0.79785918886079998</v>
          </cell>
          <cell r="D60">
            <v>2.6138451805714287E-2</v>
          </cell>
        </row>
        <row r="61">
          <cell r="B61">
            <v>0.81468645524400007</v>
          </cell>
          <cell r="D61">
            <v>2.631229492571429E-2</v>
          </cell>
        </row>
        <row r="62">
          <cell r="B62">
            <v>0.83139253438560012</v>
          </cell>
          <cell r="D62">
            <v>2.7447955268380956E-2</v>
          </cell>
        </row>
        <row r="63">
          <cell r="B63">
            <v>0.84768072648719994</v>
          </cell>
          <cell r="D63">
            <v>2.7985700737238099E-2</v>
          </cell>
        </row>
        <row r="64">
          <cell r="B64">
            <v>0.86408906111280004</v>
          </cell>
          <cell r="D64">
            <v>2.8527412643714285E-2</v>
          </cell>
        </row>
        <row r="65">
          <cell r="B65">
            <v>0.88456866022559988</v>
          </cell>
          <cell r="D65">
            <v>2.9203535049333335E-2</v>
          </cell>
        </row>
        <row r="66">
          <cell r="B66">
            <v>0.90666025859519994</v>
          </cell>
          <cell r="D66">
            <v>2.9932876700571428E-2</v>
          </cell>
        </row>
        <row r="67">
          <cell r="B67">
            <v>0.9287518569648</v>
          </cell>
          <cell r="D67">
            <v>3.0662218351809527E-2</v>
          </cell>
        </row>
        <row r="68">
          <cell r="B68">
            <v>0.95084345533440007</v>
          </cell>
          <cell r="D68">
            <v>3.1391560003047631E-2</v>
          </cell>
        </row>
        <row r="69">
          <cell r="B69">
            <v>0.97293505370400002</v>
          </cell>
          <cell r="D69">
            <v>3.2120901654285716E-2</v>
          </cell>
        </row>
        <row r="70">
          <cell r="B70">
            <v>0.99502665207359986</v>
          </cell>
          <cell r="D70">
            <v>3.2850243305523816E-2</v>
          </cell>
        </row>
        <row r="71">
          <cell r="B71">
            <v>1.0171182504431999</v>
          </cell>
          <cell r="D71">
            <v>3.3579584956761908E-2</v>
          </cell>
        </row>
        <row r="72">
          <cell r="B72">
            <v>1.0392098488128001</v>
          </cell>
          <cell r="D72">
            <v>3.4308926608000001E-2</v>
          </cell>
        </row>
        <row r="73">
          <cell r="B73">
            <v>1.0613014471824</v>
          </cell>
          <cell r="D73">
            <v>3.5038268259238101E-2</v>
          </cell>
        </row>
        <row r="74">
          <cell r="B74">
            <v>1.083393045552</v>
          </cell>
          <cell r="D74">
            <v>3.5767609910476193E-2</v>
          </cell>
        </row>
        <row r="75">
          <cell r="B75">
            <v>1.1054846439216002</v>
          </cell>
          <cell r="D75">
            <v>3.6496951561714286E-2</v>
          </cell>
        </row>
        <row r="76">
          <cell r="B76">
            <v>1.1275762422911999</v>
          </cell>
          <cell r="D76">
            <v>3.7226293212952385E-2</v>
          </cell>
        </row>
        <row r="77">
          <cell r="B77">
            <v>1.1496678406608001</v>
          </cell>
          <cell r="D77">
            <v>3.7955634864190471E-2</v>
          </cell>
        </row>
        <row r="78">
          <cell r="B78">
            <v>1.1717594390304003</v>
          </cell>
          <cell r="D78">
            <v>3.8684976515428578E-2</v>
          </cell>
        </row>
      </sheetData>
      <sheetData sheetId="4"/>
      <sheetData sheetId="5">
        <row r="14">
          <cell r="M14">
            <v>1.8631439884914958</v>
          </cell>
        </row>
        <row r="15">
          <cell r="M15">
            <v>1.9023770207288793</v>
          </cell>
        </row>
        <row r="16">
          <cell r="M16">
            <v>1.941327503035206</v>
          </cell>
        </row>
        <row r="17">
          <cell r="M17">
            <v>1.9793036752344386</v>
          </cell>
        </row>
        <row r="18">
          <cell r="M18">
            <v>2.0175599615894608</v>
          </cell>
        </row>
        <row r="19">
          <cell r="M19">
            <v>2.065308464162841</v>
          </cell>
        </row>
        <row r="20">
          <cell r="M20">
            <v>2.1168153679743331</v>
          </cell>
        </row>
        <row r="21">
          <cell r="M21">
            <v>2.1683222717858266</v>
          </cell>
        </row>
        <row r="22">
          <cell r="M22">
            <v>2.2198291755973187</v>
          </cell>
        </row>
        <row r="23">
          <cell r="M23">
            <v>2.2713360794088113</v>
          </cell>
        </row>
        <row r="24">
          <cell r="M24">
            <v>2.3228429832203035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6384</v>
          </cell>
        </row>
        <row r="13">
          <cell r="G13">
            <v>31464</v>
          </cell>
        </row>
        <row r="14">
          <cell r="G14">
            <v>35466</v>
          </cell>
        </row>
        <row r="15">
          <cell r="G15">
            <v>33984</v>
          </cell>
        </row>
        <row r="16">
          <cell r="G16">
            <v>42564</v>
          </cell>
        </row>
        <row r="17">
          <cell r="G17">
            <v>35700</v>
          </cell>
        </row>
        <row r="18">
          <cell r="G18">
            <v>193995.43596</v>
          </cell>
        </row>
        <row r="19">
          <cell r="G19">
            <v>250077.57924095995</v>
          </cell>
        </row>
        <row r="20">
          <cell r="G20">
            <v>322240.45957778767</v>
          </cell>
        </row>
        <row r="21">
          <cell r="G21">
            <v>415063.39889326872</v>
          </cell>
        </row>
        <row r="22">
          <cell r="G22">
            <v>534422.15394015692</v>
          </cell>
        </row>
        <row r="23">
          <cell r="G23">
            <v>687854.09390365973</v>
          </cell>
        </row>
        <row r="24">
          <cell r="G24">
            <v>885025.78832207806</v>
          </cell>
        </row>
        <row r="25">
          <cell r="G25">
            <v>1138331.6141833623</v>
          </cell>
        </row>
        <row r="26">
          <cell r="G26">
            <v>1463659.9556952326</v>
          </cell>
        </row>
        <row r="27">
          <cell r="G27">
            <v>1881373.7454208974</v>
          </cell>
        </row>
        <row r="28">
          <cell r="G28">
            <v>2417565.0930667785</v>
          </cell>
        </row>
        <row r="29">
          <cell r="G29">
            <v>3105660.3489773753</v>
          </cell>
        </row>
        <row r="30">
          <cell r="G30">
            <v>3988473.1495746095</v>
          </cell>
        </row>
        <row r="31">
          <cell r="G31">
            <v>5126037.407999998</v>
          </cell>
        </row>
        <row r="32">
          <cell r="G32"/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B5" sqref="B5:B24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123</v>
      </c>
    </row>
    <row r="2" spans="1:14" ht="21" x14ac:dyDescent="0.25">
      <c r="G2" s="80" t="s">
        <v>17</v>
      </c>
    </row>
    <row r="3" spans="1:14" ht="15.75" customHeight="1" x14ac:dyDescent="0.25">
      <c r="A3" s="182" t="s">
        <v>10</v>
      </c>
      <c r="B3" s="182" t="s">
        <v>124</v>
      </c>
      <c r="C3" s="78" t="s">
        <v>11</v>
      </c>
      <c r="D3" s="181" t="s">
        <v>11</v>
      </c>
      <c r="E3" s="181"/>
      <c r="G3" s="81" t="s">
        <v>15</v>
      </c>
      <c r="H3" s="81"/>
      <c r="I3" s="81"/>
    </row>
    <row r="4" spans="1:14" x14ac:dyDescent="0.25">
      <c r="A4" s="183"/>
      <c r="B4" s="183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9">
        <v>2011</v>
      </c>
      <c r="B5" s="90">
        <f>[1]Sheet3!J14</f>
        <v>756697</v>
      </c>
      <c r="C5" s="82">
        <v>0.22</v>
      </c>
      <c r="D5" s="151">
        <f t="shared" ref="D5:D24" si="0">C5*B5</f>
        <v>166473.34</v>
      </c>
      <c r="E5" s="151">
        <f>D5/1000</f>
        <v>166.47334000000001</v>
      </c>
    </row>
    <row r="6" spans="1:14" x14ac:dyDescent="0.25">
      <c r="A6" s="89">
        <v>2012</v>
      </c>
      <c r="B6" s="90">
        <f>[1]Sheet3!J15</f>
        <v>764908</v>
      </c>
      <c r="C6" s="82">
        <v>0.22</v>
      </c>
      <c r="D6" s="151">
        <f t="shared" si="0"/>
        <v>168279.76</v>
      </c>
      <c r="E6" s="151">
        <f t="shared" ref="E6:E24" si="1">D6/1000</f>
        <v>168.27976000000001</v>
      </c>
      <c r="G6" s="83" t="s">
        <v>36</v>
      </c>
      <c r="H6" s="83"/>
      <c r="I6" s="83"/>
      <c r="J6" s="84">
        <v>2</v>
      </c>
      <c r="K6" s="85" t="s">
        <v>32</v>
      </c>
      <c r="L6" s="84">
        <v>3</v>
      </c>
      <c r="M6" s="83" t="s">
        <v>37</v>
      </c>
      <c r="N6" s="83"/>
    </row>
    <row r="7" spans="1:14" x14ac:dyDescent="0.25">
      <c r="A7" s="89">
        <v>2013</v>
      </c>
      <c r="B7" s="90">
        <f>[1]Sheet3!J16</f>
        <v>781015</v>
      </c>
      <c r="C7" s="82">
        <v>0.22</v>
      </c>
      <c r="D7" s="151">
        <f t="shared" si="0"/>
        <v>171823.3</v>
      </c>
      <c r="E7" s="151">
        <f t="shared" si="1"/>
        <v>171.82329999999999</v>
      </c>
      <c r="G7" s="83"/>
      <c r="H7" s="83"/>
      <c r="I7" s="83"/>
      <c r="J7" s="84">
        <f>(2*250)/1000</f>
        <v>0.5</v>
      </c>
      <c r="K7" s="85" t="s">
        <v>32</v>
      </c>
      <c r="L7" s="84">
        <f>(3*250)/1000</f>
        <v>0.75</v>
      </c>
      <c r="M7" s="83" t="s">
        <v>12</v>
      </c>
      <c r="N7" s="83"/>
    </row>
    <row r="8" spans="1:14" x14ac:dyDescent="0.25">
      <c r="A8" s="89">
        <v>2014</v>
      </c>
      <c r="B8" s="90">
        <f>[1]Sheet3!J17</f>
        <v>797006</v>
      </c>
      <c r="C8" s="82">
        <v>0.22</v>
      </c>
      <c r="D8" s="151">
        <f t="shared" si="0"/>
        <v>175341.32</v>
      </c>
      <c r="E8" s="151">
        <f t="shared" si="1"/>
        <v>175.34132</v>
      </c>
      <c r="G8" s="83"/>
      <c r="H8" s="83"/>
      <c r="I8" s="83"/>
      <c r="J8" s="86">
        <f>J7*(365/1000)</f>
        <v>0.1825</v>
      </c>
      <c r="K8" s="87" t="s">
        <v>32</v>
      </c>
      <c r="L8" s="86">
        <f>L7*(365/1000)</f>
        <v>0.27374999999999999</v>
      </c>
      <c r="M8" s="83" t="s">
        <v>38</v>
      </c>
      <c r="N8" s="83"/>
    </row>
    <row r="9" spans="1:14" x14ac:dyDescent="0.25">
      <c r="A9" s="89">
        <v>2015</v>
      </c>
      <c r="B9" s="90">
        <f>[1]Sheet3!J18</f>
        <v>812597</v>
      </c>
      <c r="C9" s="82">
        <v>0.22</v>
      </c>
      <c r="D9" s="151">
        <f t="shared" si="0"/>
        <v>178771.34</v>
      </c>
      <c r="E9" s="151">
        <f t="shared" si="1"/>
        <v>178.77134000000001</v>
      </c>
    </row>
    <row r="10" spans="1:14" x14ac:dyDescent="0.25">
      <c r="A10" s="89">
        <v>2016</v>
      </c>
      <c r="B10" s="90">
        <f>[1]Sheet3!J19</f>
        <v>828303</v>
      </c>
      <c r="C10" s="82">
        <v>0.22</v>
      </c>
      <c r="D10" s="151">
        <f t="shared" si="0"/>
        <v>182226.66</v>
      </c>
      <c r="E10" s="151">
        <f t="shared" si="1"/>
        <v>182.22666000000001</v>
      </c>
      <c r="G10" s="88" t="s">
        <v>33</v>
      </c>
      <c r="H10" s="88"/>
      <c r="I10" s="88" t="s">
        <v>34</v>
      </c>
      <c r="J10" s="88"/>
      <c r="K10" s="88"/>
    </row>
    <row r="11" spans="1:14" x14ac:dyDescent="0.25">
      <c r="A11" s="89">
        <v>2017</v>
      </c>
      <c r="B11" s="90">
        <f>[1]Sheet3!J20</f>
        <v>847906</v>
      </c>
      <c r="C11" s="82">
        <v>0.22</v>
      </c>
      <c r="D11" s="151">
        <f t="shared" si="0"/>
        <v>186539.32</v>
      </c>
      <c r="E11" s="151">
        <f t="shared" si="1"/>
        <v>186.53932</v>
      </c>
      <c r="G11" s="88"/>
      <c r="H11" s="88"/>
      <c r="I11" s="88" t="s">
        <v>35</v>
      </c>
      <c r="J11" s="88"/>
      <c r="K11" s="88"/>
    </row>
    <row r="12" spans="1:14" x14ac:dyDescent="0.25">
      <c r="A12" s="89">
        <v>2018</v>
      </c>
      <c r="B12" s="90">
        <f>[1]Sheet3!J21</f>
        <v>869052</v>
      </c>
      <c r="C12" s="82">
        <v>0.22</v>
      </c>
      <c r="D12" s="151">
        <f t="shared" si="0"/>
        <v>191191.44</v>
      </c>
      <c r="E12" s="151">
        <f t="shared" si="1"/>
        <v>191.19144</v>
      </c>
    </row>
    <row r="13" spans="1:14" x14ac:dyDescent="0.25">
      <c r="A13" s="89">
        <v>2019</v>
      </c>
      <c r="B13" s="90">
        <f>[1]Sheet3!J22</f>
        <v>890198</v>
      </c>
      <c r="C13" s="82">
        <v>0.22</v>
      </c>
      <c r="D13" s="151">
        <f t="shared" si="0"/>
        <v>195843.56</v>
      </c>
      <c r="E13" s="151">
        <f t="shared" si="1"/>
        <v>195.84356</v>
      </c>
    </row>
    <row r="14" spans="1:14" x14ac:dyDescent="0.25">
      <c r="A14" s="89">
        <v>2020</v>
      </c>
      <c r="B14" s="90">
        <f>[1]Sheet3!J23</f>
        <v>911344</v>
      </c>
      <c r="C14" s="82">
        <v>0.22</v>
      </c>
      <c r="D14" s="151">
        <f t="shared" si="0"/>
        <v>200495.68</v>
      </c>
      <c r="E14" s="151">
        <f t="shared" si="1"/>
        <v>200.49567999999999</v>
      </c>
    </row>
    <row r="15" spans="1:14" x14ac:dyDescent="0.25">
      <c r="A15" s="89">
        <v>2021</v>
      </c>
      <c r="B15" s="90">
        <f>[1]Sheet3!J24</f>
        <v>932490</v>
      </c>
      <c r="C15" s="82">
        <v>0.22</v>
      </c>
      <c r="D15" s="151">
        <f t="shared" si="0"/>
        <v>205147.8</v>
      </c>
      <c r="E15" s="151">
        <f t="shared" si="1"/>
        <v>205.14779999999999</v>
      </c>
    </row>
    <row r="16" spans="1:14" x14ac:dyDescent="0.25">
      <c r="A16" s="89">
        <v>2022</v>
      </c>
      <c r="B16" s="90">
        <f>[1]Sheet3!J25</f>
        <v>953636</v>
      </c>
      <c r="C16" s="82">
        <v>0.22</v>
      </c>
      <c r="D16" s="151">
        <f t="shared" si="0"/>
        <v>209799.92</v>
      </c>
      <c r="E16" s="151">
        <f t="shared" si="1"/>
        <v>209.79992000000001</v>
      </c>
    </row>
    <row r="17" spans="1:10" x14ac:dyDescent="0.25">
      <c r="A17" s="89">
        <v>2023</v>
      </c>
      <c r="B17" s="90">
        <f>[1]Sheet3!J26</f>
        <v>974782</v>
      </c>
      <c r="C17" s="82">
        <v>0.22</v>
      </c>
      <c r="D17" s="151">
        <f t="shared" si="0"/>
        <v>214452.04</v>
      </c>
      <c r="E17" s="151">
        <f t="shared" si="1"/>
        <v>214.45204000000001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[1]Sheet3!J27</f>
        <v>995928</v>
      </c>
      <c r="C18" s="82">
        <v>0.22</v>
      </c>
      <c r="D18" s="151">
        <f t="shared" si="0"/>
        <v>219104.16</v>
      </c>
      <c r="E18" s="151">
        <f t="shared" si="1"/>
        <v>219.10416000000001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[1]Sheet3!J28</f>
        <v>1017074</v>
      </c>
      <c r="C19" s="82">
        <v>0.22</v>
      </c>
      <c r="D19" s="151">
        <f t="shared" si="0"/>
        <v>223756.28</v>
      </c>
      <c r="E19" s="151">
        <f t="shared" si="1"/>
        <v>223.75628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[1]Sheet3!J29</f>
        <v>1038220</v>
      </c>
      <c r="C20" s="82">
        <v>0.22</v>
      </c>
      <c r="D20" s="151">
        <f t="shared" si="0"/>
        <v>228408.4</v>
      </c>
      <c r="E20" s="151">
        <f t="shared" si="1"/>
        <v>228.4084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[1]Sheet3!J30</f>
        <v>1059366</v>
      </c>
      <c r="C21" s="82">
        <v>0.22</v>
      </c>
      <c r="D21" s="151">
        <f t="shared" si="0"/>
        <v>233060.52</v>
      </c>
      <c r="E21" s="151">
        <f t="shared" si="1"/>
        <v>233.06052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[1]Sheet3!J31</f>
        <v>1080512</v>
      </c>
      <c r="C22" s="82">
        <v>0.22</v>
      </c>
      <c r="D22" s="151">
        <f t="shared" si="0"/>
        <v>237712.64000000001</v>
      </c>
      <c r="E22" s="151">
        <f t="shared" si="1"/>
        <v>237.71264000000002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[1]Sheet3!J32</f>
        <v>1101658</v>
      </c>
      <c r="C23" s="82">
        <v>0.22</v>
      </c>
      <c r="D23" s="151">
        <f t="shared" si="0"/>
        <v>242364.76</v>
      </c>
      <c r="E23" s="151">
        <f t="shared" si="1"/>
        <v>242.36476000000002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[1]Sheet3!J33</f>
        <v>1122804</v>
      </c>
      <c r="C24" s="82">
        <v>0.22</v>
      </c>
      <c r="D24" s="151">
        <f t="shared" si="0"/>
        <v>247016.88</v>
      </c>
      <c r="E24" s="151">
        <f t="shared" si="1"/>
        <v>247.01688000000001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3"/>
  <sheetViews>
    <sheetView topLeftCell="A11" zoomScaleNormal="100" workbookViewId="0">
      <selection activeCell="B70" sqref="B70"/>
    </sheetView>
  </sheetViews>
  <sheetFormatPr defaultRowHeight="12.75" x14ac:dyDescent="0.25"/>
  <cols>
    <col min="1" max="1" width="9.140625" style="145"/>
    <col min="2" max="2" width="15.5703125" style="145" customWidth="1"/>
    <col min="3" max="3" width="11" style="145" customWidth="1"/>
    <col min="4" max="5" width="9.140625" style="145"/>
    <col min="6" max="6" width="10" style="145" bestFit="1" customWidth="1"/>
    <col min="7" max="7" width="12.28515625" style="145" customWidth="1"/>
    <col min="8" max="8" width="9.140625" style="145"/>
    <col min="9" max="9" width="16.85546875" style="145" customWidth="1"/>
    <col min="10" max="10" width="22.5703125" style="145" customWidth="1"/>
    <col min="11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ht="63.75" x14ac:dyDescent="0.25">
      <c r="A2" s="184" t="s">
        <v>153</v>
      </c>
      <c r="B2" s="184"/>
      <c r="C2" s="184"/>
      <c r="D2" s="184"/>
      <c r="E2" s="184"/>
      <c r="F2" s="184"/>
      <c r="G2" s="184"/>
      <c r="H2" s="184"/>
      <c r="I2" s="184"/>
      <c r="J2" s="168" t="s">
        <v>154</v>
      </c>
    </row>
    <row r="3" spans="1:21" x14ac:dyDescent="0.25">
      <c r="A3" s="153" t="s">
        <v>152</v>
      </c>
    </row>
    <row r="4" spans="1:21" x14ac:dyDescent="0.25">
      <c r="A4" s="185" t="s">
        <v>8</v>
      </c>
      <c r="B4" s="185" t="s">
        <v>0</v>
      </c>
      <c r="C4" s="185"/>
      <c r="D4" s="185"/>
      <c r="E4" s="185"/>
      <c r="F4" s="185"/>
      <c r="G4" s="185"/>
      <c r="H4" s="185"/>
      <c r="I4" s="189" t="s">
        <v>9</v>
      </c>
    </row>
    <row r="5" spans="1:21" ht="25.5" x14ac:dyDescent="0.25">
      <c r="A5" s="185"/>
      <c r="B5" s="150" t="s">
        <v>1</v>
      </c>
      <c r="C5" s="150" t="s">
        <v>2</v>
      </c>
      <c r="D5" s="150" t="s">
        <v>148</v>
      </c>
      <c r="E5" s="150" t="s">
        <v>4</v>
      </c>
      <c r="F5" s="175" t="s">
        <v>155</v>
      </c>
      <c r="G5" s="150" t="s">
        <v>127</v>
      </c>
      <c r="H5" s="150" t="s">
        <v>7</v>
      </c>
      <c r="I5" s="190"/>
      <c r="P5" s="154"/>
    </row>
    <row r="6" spans="1:21" ht="17.25" customHeight="1" x14ac:dyDescent="0.25">
      <c r="A6" s="155">
        <v>2011</v>
      </c>
      <c r="B6" s="174">
        <v>0.31609999999999999</v>
      </c>
      <c r="C6" s="174">
        <f>4%+9.35%+8.46%+6.21%</f>
        <v>0.2802</v>
      </c>
      <c r="D6" s="174">
        <v>1.35E-2</v>
      </c>
      <c r="E6" s="174">
        <v>0.39019999999999999</v>
      </c>
      <c r="F6" s="166">
        <v>0</v>
      </c>
      <c r="G6" s="166"/>
      <c r="H6" s="166"/>
      <c r="I6" s="156">
        <f>SUM(B6:H6)</f>
        <v>1</v>
      </c>
      <c r="L6" s="92"/>
    </row>
    <row r="7" spans="1:21" x14ac:dyDescent="0.25">
      <c r="A7" s="155">
        <v>2012</v>
      </c>
      <c r="B7" s="174">
        <v>0.31609999999999999</v>
      </c>
      <c r="C7" s="174">
        <f t="shared" ref="C7:C11" si="0">4%+9.35%+8.46%+6.21%</f>
        <v>0.2802</v>
      </c>
      <c r="D7" s="174">
        <v>1.35E-2</v>
      </c>
      <c r="E7" s="174">
        <v>0.39019999999999999</v>
      </c>
      <c r="F7" s="166">
        <v>0</v>
      </c>
      <c r="G7" s="166"/>
      <c r="H7" s="166"/>
      <c r="I7" s="156">
        <f t="shared" ref="I7:I25" si="1">SUM(B7:H7)</f>
        <v>1</v>
      </c>
      <c r="L7" s="152">
        <v>2000</v>
      </c>
      <c r="M7" s="152">
        <f>M8-(M8*0.024)</f>
        <v>0</v>
      </c>
      <c r="N7" s="93"/>
      <c r="O7" s="94"/>
      <c r="P7" s="154"/>
      <c r="S7" s="157"/>
      <c r="T7" s="158"/>
      <c r="U7" s="157"/>
    </row>
    <row r="8" spans="1:21" x14ac:dyDescent="0.25">
      <c r="A8" s="155">
        <v>2013</v>
      </c>
      <c r="B8" s="174">
        <v>0.31609999999999999</v>
      </c>
      <c r="C8" s="174">
        <f t="shared" si="0"/>
        <v>0.2802</v>
      </c>
      <c r="D8" s="174">
        <v>1.35E-2</v>
      </c>
      <c r="E8" s="174">
        <v>0.39019999999999999</v>
      </c>
      <c r="F8" s="166">
        <v>0</v>
      </c>
      <c r="G8" s="166"/>
      <c r="H8" s="166"/>
      <c r="I8" s="156">
        <f t="shared" si="1"/>
        <v>1</v>
      </c>
      <c r="L8" s="152">
        <v>2001</v>
      </c>
      <c r="M8" s="152">
        <f t="shared" ref="M8:M10" si="2">M9-(M9*0.024)</f>
        <v>0</v>
      </c>
      <c r="N8" s="94"/>
      <c r="O8" s="94"/>
      <c r="P8" s="154"/>
      <c r="S8" s="159"/>
      <c r="T8" s="159"/>
      <c r="U8" s="159"/>
    </row>
    <row r="9" spans="1:21" x14ac:dyDescent="0.25">
      <c r="A9" s="155">
        <v>2014</v>
      </c>
      <c r="B9" s="174">
        <v>0.31609999999999999</v>
      </c>
      <c r="C9" s="174">
        <f t="shared" si="0"/>
        <v>0.2802</v>
      </c>
      <c r="D9" s="174">
        <v>1.35E-2</v>
      </c>
      <c r="E9" s="174">
        <v>0.39019999999999999</v>
      </c>
      <c r="F9" s="166">
        <v>0</v>
      </c>
      <c r="G9" s="166"/>
      <c r="H9" s="166"/>
      <c r="I9" s="156">
        <f t="shared" si="1"/>
        <v>1</v>
      </c>
      <c r="L9" s="152">
        <v>2002</v>
      </c>
      <c r="M9" s="152">
        <f t="shared" si="2"/>
        <v>0</v>
      </c>
      <c r="N9" s="94"/>
      <c r="O9" s="94"/>
      <c r="P9" s="154"/>
    </row>
    <row r="10" spans="1:21" x14ac:dyDescent="0.25">
      <c r="A10" s="155">
        <v>2015</v>
      </c>
      <c r="B10" s="174">
        <v>0.31609999999999999</v>
      </c>
      <c r="C10" s="174">
        <f t="shared" si="0"/>
        <v>0.2802</v>
      </c>
      <c r="D10" s="174">
        <v>1.35E-2</v>
      </c>
      <c r="E10" s="174">
        <v>0.39019999999999999</v>
      </c>
      <c r="F10" s="166">
        <v>0</v>
      </c>
      <c r="G10" s="166"/>
      <c r="H10" s="166"/>
      <c r="I10" s="156">
        <f t="shared" si="1"/>
        <v>1</v>
      </c>
      <c r="L10" s="152">
        <v>2003</v>
      </c>
      <c r="M10" s="152">
        <f t="shared" si="2"/>
        <v>0</v>
      </c>
      <c r="N10" s="93"/>
      <c r="O10" s="94"/>
      <c r="P10" s="154"/>
    </row>
    <row r="11" spans="1:21" x14ac:dyDescent="0.25">
      <c r="A11" s="155">
        <v>2016</v>
      </c>
      <c r="B11" s="174">
        <v>0.31609999999999999</v>
      </c>
      <c r="C11" s="174">
        <f t="shared" si="0"/>
        <v>0.2802</v>
      </c>
      <c r="D11" s="174">
        <v>1.35E-2</v>
      </c>
      <c r="E11" s="174">
        <v>0.39019999999999999</v>
      </c>
      <c r="F11" s="166">
        <v>0</v>
      </c>
      <c r="G11" s="166"/>
      <c r="H11" s="166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4">
        <f>B11*1.0255</f>
        <v>0.32416054999999999</v>
      </c>
      <c r="C12" s="174">
        <f>C11*(1-0.0238)</f>
        <v>0.27353124000000001</v>
      </c>
      <c r="D12" s="174">
        <f t="shared" ref="D12:D24" si="3">D11*1.0285</f>
        <v>1.388475E-2</v>
      </c>
      <c r="E12" s="174">
        <f>E11*(1-0.0119)</f>
        <v>0.38555661999999996</v>
      </c>
      <c r="F12" s="166">
        <v>0.02</v>
      </c>
      <c r="G12" s="166"/>
      <c r="H12" s="166"/>
      <c r="I12" s="156">
        <f t="shared" si="1"/>
        <v>1.01713316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4">
        <f t="shared" ref="B13:B24" si="4">B12*1.0255</f>
        <v>0.332426644025</v>
      </c>
      <c r="C13" s="174">
        <f t="shared" ref="C13:C24" si="5">C12*(1-0.0238)</f>
        <v>0.26702119648799999</v>
      </c>
      <c r="D13" s="174">
        <f t="shared" si="3"/>
        <v>1.4280465374999999E-2</v>
      </c>
      <c r="E13" s="174">
        <f t="shared" ref="E13:E24" si="6">E12*(1-0.0119)</f>
        <v>0.38096849622199996</v>
      </c>
      <c r="F13" s="166">
        <f>F12*1.073</f>
        <v>2.146E-2</v>
      </c>
      <c r="G13" s="166"/>
      <c r="H13" s="166"/>
      <c r="I13" s="156">
        <f t="shared" si="1"/>
        <v>1.01615680211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4">
        <f t="shared" si="4"/>
        <v>0.34090352344763752</v>
      </c>
      <c r="C14" s="174">
        <f t="shared" si="5"/>
        <v>0.26066609201158558</v>
      </c>
      <c r="D14" s="174">
        <f t="shared" si="3"/>
        <v>1.4687458638187498E-2</v>
      </c>
      <c r="E14" s="174">
        <f t="shared" si="6"/>
        <v>0.37643497111695817</v>
      </c>
      <c r="F14" s="166">
        <f t="shared" ref="F14:F24" si="7">F13*1.073</f>
        <v>2.3026579999999998E-2</v>
      </c>
      <c r="G14" s="166"/>
      <c r="H14" s="166"/>
      <c r="I14" s="156">
        <f t="shared" si="1"/>
        <v>1.0157186252143688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4">
        <f t="shared" si="4"/>
        <v>0.34959656329555233</v>
      </c>
      <c r="C15" s="174">
        <f t="shared" si="5"/>
        <v>0.25446223902170984</v>
      </c>
      <c r="D15" s="174">
        <f t="shared" si="3"/>
        <v>1.5106051209375842E-2</v>
      </c>
      <c r="E15" s="174">
        <f t="shared" si="6"/>
        <v>0.37195539496066637</v>
      </c>
      <c r="F15" s="166">
        <f t="shared" si="7"/>
        <v>2.4707520339999997E-2</v>
      </c>
      <c r="G15" s="166"/>
      <c r="H15" s="166"/>
      <c r="I15" s="156">
        <f t="shared" si="1"/>
        <v>1.0158277688273043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4">
        <f t="shared" si="4"/>
        <v>0.35851127565958896</v>
      </c>
      <c r="C16" s="174">
        <f t="shared" si="5"/>
        <v>0.24840603773299313</v>
      </c>
      <c r="D16" s="174">
        <f t="shared" si="3"/>
        <v>1.5536573668843054E-2</v>
      </c>
      <c r="E16" s="174">
        <f t="shared" si="6"/>
        <v>0.36752912576063446</v>
      </c>
      <c r="F16" s="166">
        <f t="shared" si="7"/>
        <v>2.6511169324819995E-2</v>
      </c>
      <c r="G16" s="166"/>
      <c r="H16" s="166"/>
      <c r="I16" s="156">
        <f t="shared" si="1"/>
        <v>1.0164941821468796</v>
      </c>
      <c r="S16" s="157"/>
    </row>
    <row r="17" spans="1:19" x14ac:dyDescent="0.25">
      <c r="A17" s="155">
        <v>2022</v>
      </c>
      <c r="B17" s="174">
        <f t="shared" si="4"/>
        <v>0.36765331318890848</v>
      </c>
      <c r="C17" s="174">
        <f t="shared" si="5"/>
        <v>0.24249397403494788</v>
      </c>
      <c r="D17" s="174">
        <f t="shared" si="3"/>
        <v>1.5979366018405081E-2</v>
      </c>
      <c r="E17" s="174">
        <f t="shared" si="6"/>
        <v>0.36315552916408289</v>
      </c>
      <c r="F17" s="166">
        <f t="shared" si="7"/>
        <v>2.8446484685531855E-2</v>
      </c>
      <c r="G17" s="166"/>
      <c r="H17" s="166"/>
      <c r="I17" s="156">
        <f t="shared" si="1"/>
        <v>1.0177286670918761</v>
      </c>
      <c r="S17" s="157"/>
    </row>
    <row r="18" spans="1:19" x14ac:dyDescent="0.25">
      <c r="A18" s="155">
        <v>2023</v>
      </c>
      <c r="B18" s="174">
        <f t="shared" si="4"/>
        <v>0.37702847267522566</v>
      </c>
      <c r="C18" s="174">
        <f t="shared" si="5"/>
        <v>0.23672261745291612</v>
      </c>
      <c r="D18" s="174">
        <f t="shared" si="3"/>
        <v>1.6434777949929626E-2</v>
      </c>
      <c r="E18" s="174">
        <f t="shared" si="6"/>
        <v>0.35883397836703029</v>
      </c>
      <c r="F18" s="166">
        <f t="shared" si="7"/>
        <v>3.052307806757568E-2</v>
      </c>
      <c r="G18" s="166"/>
      <c r="H18" s="166"/>
      <c r="I18" s="156">
        <f t="shared" si="1"/>
        <v>1.0195429245126773</v>
      </c>
      <c r="S18" s="157"/>
    </row>
    <row r="19" spans="1:19" x14ac:dyDescent="0.25">
      <c r="A19" s="155">
        <v>2024</v>
      </c>
      <c r="B19" s="174">
        <f t="shared" si="4"/>
        <v>0.38664269872844392</v>
      </c>
      <c r="C19" s="174">
        <f t="shared" si="5"/>
        <v>0.2310886191575367</v>
      </c>
      <c r="D19" s="174">
        <f t="shared" si="3"/>
        <v>1.690316912150262E-2</v>
      </c>
      <c r="E19" s="174">
        <f t="shared" si="6"/>
        <v>0.35456385402446261</v>
      </c>
      <c r="F19" s="166">
        <f t="shared" si="7"/>
        <v>3.27512627665087E-2</v>
      </c>
      <c r="G19" s="166"/>
      <c r="H19" s="166"/>
      <c r="I19" s="156">
        <f t="shared" si="1"/>
        <v>1.0219496037984546</v>
      </c>
      <c r="S19" s="157"/>
    </row>
    <row r="20" spans="1:19" x14ac:dyDescent="0.25">
      <c r="A20" s="155">
        <v>2025</v>
      </c>
      <c r="B20" s="174">
        <f t="shared" si="4"/>
        <v>0.39650208754601929</v>
      </c>
      <c r="C20" s="174">
        <f t="shared" si="5"/>
        <v>0.22558871002158731</v>
      </c>
      <c r="D20" s="174">
        <f t="shared" si="3"/>
        <v>1.7384909441465445E-2</v>
      </c>
      <c r="E20" s="174">
        <f t="shared" si="6"/>
        <v>0.35034454416157151</v>
      </c>
      <c r="F20" s="166">
        <f t="shared" si="7"/>
        <v>3.5142104948463836E-2</v>
      </c>
      <c r="G20" s="166"/>
      <c r="H20" s="166"/>
      <c r="I20" s="156">
        <f t="shared" si="1"/>
        <v>1.0249623561191075</v>
      </c>
      <c r="S20" s="157"/>
    </row>
    <row r="21" spans="1:19" x14ac:dyDescent="0.25">
      <c r="A21" s="155">
        <v>2026</v>
      </c>
      <c r="B21" s="174">
        <f t="shared" si="4"/>
        <v>0.40661289077844281</v>
      </c>
      <c r="C21" s="174">
        <f t="shared" si="5"/>
        <v>0.22021969872307354</v>
      </c>
      <c r="D21" s="174">
        <f t="shared" si="3"/>
        <v>1.7880379360547208E-2</v>
      </c>
      <c r="E21" s="174">
        <f t="shared" si="6"/>
        <v>0.34617544408604878</v>
      </c>
      <c r="F21" s="166">
        <f t="shared" si="7"/>
        <v>3.7707478609701695E-2</v>
      </c>
      <c r="G21" s="166"/>
      <c r="H21" s="166"/>
      <c r="I21" s="156">
        <f t="shared" si="1"/>
        <v>1.0285958915578139</v>
      </c>
      <c r="S21" s="157"/>
    </row>
    <row r="22" spans="1:19" x14ac:dyDescent="0.25">
      <c r="A22" s="155">
        <v>2027</v>
      </c>
      <c r="B22" s="174">
        <f t="shared" si="4"/>
        <v>0.41698151949329315</v>
      </c>
      <c r="C22" s="174">
        <f t="shared" si="5"/>
        <v>0.21497846989346436</v>
      </c>
      <c r="D22" s="174">
        <f t="shared" si="3"/>
        <v>1.8389970172322804E-2</v>
      </c>
      <c r="E22" s="174">
        <f t="shared" si="6"/>
        <v>0.34205595630142477</v>
      </c>
      <c r="F22" s="166">
        <f t="shared" si="7"/>
        <v>4.0460124548209915E-2</v>
      </c>
      <c r="G22" s="166"/>
      <c r="H22" s="166"/>
      <c r="I22" s="156">
        <f t="shared" si="1"/>
        <v>1.0328660404087151</v>
      </c>
      <c r="S22" s="157"/>
    </row>
    <row r="23" spans="1:19" x14ac:dyDescent="0.25">
      <c r="A23" s="155">
        <v>2028</v>
      </c>
      <c r="B23" s="174">
        <f t="shared" si="4"/>
        <v>0.42761454824037215</v>
      </c>
      <c r="C23" s="174">
        <f t="shared" si="5"/>
        <v>0.20986198230999989</v>
      </c>
      <c r="D23" s="174">
        <f t="shared" si="3"/>
        <v>1.8914084322234005E-2</v>
      </c>
      <c r="E23" s="174">
        <f t="shared" si="6"/>
        <v>0.33798549042143783</v>
      </c>
      <c r="F23" s="166">
        <f t="shared" si="7"/>
        <v>4.3413713640229237E-2</v>
      </c>
      <c r="G23" s="166"/>
      <c r="H23" s="166"/>
      <c r="I23" s="156">
        <f t="shared" si="1"/>
        <v>1.0377898189342731</v>
      </c>
      <c r="S23" s="157"/>
    </row>
    <row r="24" spans="1:19" x14ac:dyDescent="0.25">
      <c r="A24" s="155">
        <v>2029</v>
      </c>
      <c r="B24" s="174">
        <f t="shared" si="4"/>
        <v>0.43851871922050167</v>
      </c>
      <c r="C24" s="174">
        <f t="shared" si="5"/>
        <v>0.20486726713102188</v>
      </c>
      <c r="D24" s="174">
        <f t="shared" si="3"/>
        <v>1.9453135725417674E-2</v>
      </c>
      <c r="E24" s="174">
        <f t="shared" si="6"/>
        <v>0.33396346308542268</v>
      </c>
      <c r="F24" s="166">
        <f t="shared" si="7"/>
        <v>4.6582914735965972E-2</v>
      </c>
      <c r="G24" s="166"/>
      <c r="H24" s="166"/>
      <c r="I24" s="156">
        <f t="shared" si="1"/>
        <v>1.0433854998983298</v>
      </c>
      <c r="S24" s="157"/>
    </row>
    <row r="25" spans="1:19" x14ac:dyDescent="0.25">
      <c r="A25" s="155">
        <v>2030</v>
      </c>
      <c r="B25" s="174">
        <v>0.45</v>
      </c>
      <c r="C25" s="174">
        <v>0.2</v>
      </c>
      <c r="D25" s="174">
        <v>0.02</v>
      </c>
      <c r="E25" s="174">
        <v>0.33</v>
      </c>
      <c r="F25" s="166">
        <v>0.05</v>
      </c>
      <c r="G25" s="166"/>
      <c r="H25" s="166"/>
      <c r="I25" s="156">
        <f t="shared" si="1"/>
        <v>1.05</v>
      </c>
      <c r="S25" s="157"/>
    </row>
    <row r="26" spans="1:19" ht="14.25" customHeight="1" x14ac:dyDescent="0.25">
      <c r="B26" s="167">
        <f>((B25/B11)^(1/14)-1)</f>
        <v>2.5548696592848197E-2</v>
      </c>
      <c r="C26" s="167">
        <f t="shared" ref="C26:H26" si="8">((C25/C11)^(1/14)-1)</f>
        <v>-2.379701072791307E-2</v>
      </c>
      <c r="D26" s="167">
        <f t="shared" si="8"/>
        <v>2.8472272495493778E-2</v>
      </c>
      <c r="E26" s="167">
        <f>((E25/E11)^(1/14)-1)</f>
        <v>-1.1897711048976523E-2</v>
      </c>
      <c r="F26" s="167" t="e">
        <f t="shared" si="8"/>
        <v>#DIV/0!</v>
      </c>
      <c r="G26" s="167" t="e">
        <f t="shared" si="8"/>
        <v>#DIV/0!</v>
      </c>
      <c r="H26" s="167" t="e">
        <f t="shared" si="8"/>
        <v>#DIV/0!</v>
      </c>
    </row>
    <row r="27" spans="1:19" x14ac:dyDescent="0.25">
      <c r="A27" s="185" t="s">
        <v>10</v>
      </c>
      <c r="B27" s="186" t="s">
        <v>149</v>
      </c>
      <c r="C27" s="187"/>
      <c r="D27" s="187"/>
      <c r="E27" s="187"/>
      <c r="F27" s="187"/>
      <c r="G27" s="187"/>
      <c r="H27" s="188"/>
      <c r="I27" s="189" t="s">
        <v>39</v>
      </c>
    </row>
    <row r="28" spans="1:19" ht="25.5" x14ac:dyDescent="0.25">
      <c r="A28" s="185"/>
      <c r="B28" s="150" t="s">
        <v>1</v>
      </c>
      <c r="C28" s="150" t="s">
        <v>2</v>
      </c>
      <c r="D28" s="150" t="s">
        <v>148</v>
      </c>
      <c r="E28" s="144" t="s">
        <v>4</v>
      </c>
      <c r="F28" s="175" t="s">
        <v>155</v>
      </c>
      <c r="G28" s="150" t="s">
        <v>127</v>
      </c>
      <c r="H28" s="144" t="s">
        <v>7</v>
      </c>
      <c r="I28" s="190"/>
    </row>
    <row r="29" spans="1:19" x14ac:dyDescent="0.25">
      <c r="A29" s="155">
        <v>2011</v>
      </c>
      <c r="B29" s="160">
        <f t="shared" ref="B29:H29" si="9">$I$29*B6</f>
        <v>52.622222774000001</v>
      </c>
      <c r="C29" s="160">
        <f t="shared" si="9"/>
        <v>46.645829868</v>
      </c>
      <c r="D29" s="160">
        <f t="shared" si="9"/>
        <v>2.2473900900000001</v>
      </c>
      <c r="E29" s="161">
        <f t="shared" si="9"/>
        <v>64.957897267999996</v>
      </c>
      <c r="F29" s="176">
        <f t="shared" si="9"/>
        <v>0</v>
      </c>
      <c r="G29" s="160">
        <f t="shared" si="9"/>
        <v>0</v>
      </c>
      <c r="H29" s="162">
        <f t="shared" si="9"/>
        <v>0</v>
      </c>
      <c r="I29" s="163">
        <f>'timbulan sampah'!E5</f>
        <v>166.47334000000001</v>
      </c>
      <c r="J29" s="164">
        <f>SUM(B29:H29)</f>
        <v>166.47334000000001</v>
      </c>
    </row>
    <row r="30" spans="1:19" x14ac:dyDescent="0.25">
      <c r="A30" s="155">
        <v>2012</v>
      </c>
      <c r="B30" s="160">
        <f t="shared" ref="B30:H30" si="10">$I$30*B7</f>
        <v>53.193232135999999</v>
      </c>
      <c r="C30" s="160">
        <f t="shared" si="10"/>
        <v>47.151988752000001</v>
      </c>
      <c r="D30" s="160">
        <f t="shared" si="10"/>
        <v>2.2717767600000003</v>
      </c>
      <c r="E30" s="161">
        <f t="shared" si="10"/>
        <v>65.662762352000001</v>
      </c>
      <c r="F30" s="176">
        <f t="shared" si="10"/>
        <v>0</v>
      </c>
      <c r="G30" s="160">
        <f t="shared" si="10"/>
        <v>0</v>
      </c>
      <c r="H30" s="162">
        <f t="shared" si="10"/>
        <v>0</v>
      </c>
      <c r="I30" s="163">
        <f>'timbulan sampah'!E6</f>
        <v>168.27976000000001</v>
      </c>
      <c r="J30" s="164">
        <f t="shared" ref="J30:J48" si="11">SUM(B30:H30)</f>
        <v>168.27976000000001</v>
      </c>
    </row>
    <row r="31" spans="1:19" x14ac:dyDescent="0.25">
      <c r="A31" s="155">
        <v>2013</v>
      </c>
      <c r="B31" s="160">
        <f t="shared" ref="B31:H31" si="12">$I$31*B8</f>
        <v>54.313345129999995</v>
      </c>
      <c r="C31" s="160">
        <f t="shared" si="12"/>
        <v>48.144888659999999</v>
      </c>
      <c r="D31" s="160">
        <f t="shared" si="12"/>
        <v>2.3196145499999998</v>
      </c>
      <c r="E31" s="161">
        <f t="shared" si="12"/>
        <v>67.045451659999998</v>
      </c>
      <c r="F31" s="176">
        <f t="shared" si="12"/>
        <v>0</v>
      </c>
      <c r="G31" s="160">
        <f t="shared" si="12"/>
        <v>0</v>
      </c>
      <c r="H31" s="162">
        <f t="shared" si="12"/>
        <v>0</v>
      </c>
      <c r="I31" s="163">
        <f>'timbulan sampah'!E7</f>
        <v>171.82329999999999</v>
      </c>
      <c r="J31" s="164">
        <f t="shared" si="11"/>
        <v>171.82329999999999</v>
      </c>
    </row>
    <row r="32" spans="1:19" x14ac:dyDescent="0.25">
      <c r="A32" s="155">
        <v>2014</v>
      </c>
      <c r="B32" s="160">
        <f t="shared" ref="B32:H32" si="13">$I$32*B9</f>
        <v>55.425391251999997</v>
      </c>
      <c r="C32" s="160">
        <f t="shared" si="13"/>
        <v>49.130637864000001</v>
      </c>
      <c r="D32" s="160">
        <f t="shared" si="13"/>
        <v>2.3671078199999998</v>
      </c>
      <c r="E32" s="161">
        <f t="shared" si="13"/>
        <v>68.41818306399999</v>
      </c>
      <c r="F32" s="176">
        <f t="shared" si="13"/>
        <v>0</v>
      </c>
      <c r="G32" s="160">
        <f t="shared" si="13"/>
        <v>0</v>
      </c>
      <c r="H32" s="162">
        <f t="shared" si="13"/>
        <v>0</v>
      </c>
      <c r="I32" s="163">
        <f>'timbulan sampah'!E8</f>
        <v>175.34132</v>
      </c>
      <c r="J32" s="164">
        <f t="shared" si="11"/>
        <v>175.34132</v>
      </c>
      <c r="P32" s="154"/>
    </row>
    <row r="33" spans="1:16" x14ac:dyDescent="0.25">
      <c r="A33" s="155">
        <v>2015</v>
      </c>
      <c r="B33" s="160">
        <f t="shared" ref="B33:H33" si="14">$I$33*B10</f>
        <v>56.509620574000003</v>
      </c>
      <c r="C33" s="160">
        <f t="shared" si="14"/>
        <v>50.091729468000004</v>
      </c>
      <c r="D33" s="160">
        <f t="shared" si="14"/>
        <v>2.4134130900000001</v>
      </c>
      <c r="E33" s="161">
        <f t="shared" si="14"/>
        <v>69.756576867999996</v>
      </c>
      <c r="F33" s="176">
        <f t="shared" si="14"/>
        <v>0</v>
      </c>
      <c r="G33" s="160">
        <f t="shared" si="14"/>
        <v>0</v>
      </c>
      <c r="H33" s="162">
        <f t="shared" si="14"/>
        <v>0</v>
      </c>
      <c r="I33" s="163">
        <f>'timbulan sampah'!E9</f>
        <v>178.77134000000001</v>
      </c>
      <c r="J33" s="164">
        <f t="shared" si="11"/>
        <v>178.77134000000001</v>
      </c>
      <c r="P33" s="154"/>
    </row>
    <row r="34" spans="1:16" x14ac:dyDescent="0.25">
      <c r="A34" s="155">
        <v>2016</v>
      </c>
      <c r="B34" s="160">
        <f t="shared" ref="B34:H34" si="15">$I$34*B11</f>
        <v>57.601847226000004</v>
      </c>
      <c r="C34" s="160">
        <f t="shared" si="15"/>
        <v>51.059910132000006</v>
      </c>
      <c r="D34" s="160">
        <f t="shared" si="15"/>
        <v>2.46005991</v>
      </c>
      <c r="E34" s="161">
        <f t="shared" si="15"/>
        <v>71.104842732000009</v>
      </c>
      <c r="F34" s="176">
        <f t="shared" si="15"/>
        <v>0</v>
      </c>
      <c r="G34" s="160">
        <f t="shared" si="15"/>
        <v>0</v>
      </c>
      <c r="H34" s="162">
        <f t="shared" si="15"/>
        <v>0</v>
      </c>
      <c r="I34" s="163">
        <f>'timbulan sampah'!E10</f>
        <v>182.22666000000001</v>
      </c>
      <c r="J34" s="164">
        <f t="shared" si="11"/>
        <v>182.22666000000004</v>
      </c>
    </row>
    <row r="35" spans="1:16" x14ac:dyDescent="0.25">
      <c r="A35" s="155">
        <v>2017</v>
      </c>
      <c r="B35" s="176">
        <f>(I35*B12)-F35</f>
        <v>56.737902167826</v>
      </c>
      <c r="C35" s="160">
        <f t="shared" ref="C35:H35" si="16">$I$35*C12</f>
        <v>51.024331508356802</v>
      </c>
      <c r="D35" s="160">
        <f t="shared" si="16"/>
        <v>2.5900518233700001</v>
      </c>
      <c r="E35" s="161">
        <f t="shared" si="16"/>
        <v>71.92146971629839</v>
      </c>
      <c r="F35" s="176">
        <f t="shared" si="16"/>
        <v>3.7307863999999999</v>
      </c>
      <c r="G35" s="160">
        <f t="shared" si="16"/>
        <v>0</v>
      </c>
      <c r="H35" s="162">
        <f t="shared" si="16"/>
        <v>0</v>
      </c>
      <c r="I35" s="163">
        <f>'timbulan sampah'!E11</f>
        <v>186.53932</v>
      </c>
      <c r="J35" s="164">
        <f t="shared" si="11"/>
        <v>186.0045416158512</v>
      </c>
    </row>
    <row r="36" spans="1:16" x14ac:dyDescent="0.25">
      <c r="A36" s="155">
        <v>2018</v>
      </c>
      <c r="B36" s="176">
        <f t="shared" ref="B36:B48" si="17">(I36*B13)-F36</f>
        <v>59.454160463107144</v>
      </c>
      <c r="C36" s="160">
        <f t="shared" ref="C36:H36" si="18">$I$36*C13</f>
        <v>51.052167067063664</v>
      </c>
      <c r="D36" s="160">
        <f t="shared" si="18"/>
        <v>2.7303027389163899</v>
      </c>
      <c r="E36" s="161">
        <f t="shared" si="18"/>
        <v>72.837915387318731</v>
      </c>
      <c r="F36" s="176">
        <f t="shared" si="18"/>
        <v>4.1029683023999999</v>
      </c>
      <c r="G36" s="160">
        <f t="shared" si="18"/>
        <v>0</v>
      </c>
      <c r="H36" s="162">
        <f t="shared" si="18"/>
        <v>0</v>
      </c>
      <c r="I36" s="163">
        <f>'timbulan sampah'!E12</f>
        <v>191.19144</v>
      </c>
      <c r="J36" s="164">
        <f t="shared" si="11"/>
        <v>190.17751395880592</v>
      </c>
    </row>
    <row r="37" spans="1:16" x14ac:dyDescent="0.25">
      <c r="A37" s="155">
        <v>2019</v>
      </c>
      <c r="B37" s="176">
        <f t="shared" si="17"/>
        <v>62.254152246704002</v>
      </c>
      <c r="C37" s="160">
        <f t="shared" ref="C37:H37" si="19">$I$37*C14</f>
        <v>51.049775430836483</v>
      </c>
      <c r="D37" s="160">
        <f t="shared" si="19"/>
        <v>2.8764441870553914</v>
      </c>
      <c r="E37" s="161">
        <f t="shared" si="19"/>
        <v>73.722364852042261</v>
      </c>
      <c r="F37" s="176">
        <f t="shared" si="19"/>
        <v>4.5096074018247991</v>
      </c>
      <c r="G37" s="160">
        <f t="shared" si="19"/>
        <v>0</v>
      </c>
      <c r="H37" s="162">
        <f t="shared" si="19"/>
        <v>0</v>
      </c>
      <c r="I37" s="163">
        <f>'timbulan sampah'!E13</f>
        <v>195.84356</v>
      </c>
      <c r="J37" s="164">
        <f t="shared" si="11"/>
        <v>194.41234411846295</v>
      </c>
    </row>
    <row r="38" spans="1:16" x14ac:dyDescent="0.25">
      <c r="A38" s="155">
        <v>2020</v>
      </c>
      <c r="B38" s="176">
        <f t="shared" si="17"/>
        <v>65.138849591922664</v>
      </c>
      <c r="C38" s="160">
        <f t="shared" ref="C38:H38" si="20">$I$38*C15</f>
        <v>51.01857964698025</v>
      </c>
      <c r="D38" s="160">
        <f t="shared" si="20"/>
        <v>3.0286980093386315</v>
      </c>
      <c r="E38" s="161">
        <f t="shared" si="20"/>
        <v>74.575449842307378</v>
      </c>
      <c r="F38" s="176">
        <f t="shared" si="20"/>
        <v>4.9537510916821308</v>
      </c>
      <c r="G38" s="160">
        <f t="shared" si="20"/>
        <v>0</v>
      </c>
      <c r="H38" s="162">
        <f t="shared" si="20"/>
        <v>0</v>
      </c>
      <c r="I38" s="163">
        <f>'timbulan sampah'!E14</f>
        <v>200.49567999999999</v>
      </c>
      <c r="J38" s="164">
        <f t="shared" si="11"/>
        <v>198.71532818223108</v>
      </c>
    </row>
    <row r="39" spans="1:16" x14ac:dyDescent="0.25">
      <c r="A39" s="155">
        <v>2021</v>
      </c>
      <c r="B39" s="176">
        <f t="shared" si="17"/>
        <v>68.109091414343908</v>
      </c>
      <c r="C39" s="160">
        <f t="shared" ref="C39:H39" si="21">$I$39*C16</f>
        <v>50.959952147640529</v>
      </c>
      <c r="D39" s="160">
        <f t="shared" si="21"/>
        <v>3.1872939077010809</v>
      </c>
      <c r="E39" s="161">
        <f t="shared" si="21"/>
        <v>75.397791585717485</v>
      </c>
      <c r="F39" s="176">
        <f t="shared" si="21"/>
        <v>5.4387080624143067</v>
      </c>
      <c r="G39" s="160">
        <f t="shared" si="21"/>
        <v>0</v>
      </c>
      <c r="H39" s="162">
        <f t="shared" si="21"/>
        <v>0</v>
      </c>
      <c r="I39" s="163">
        <f>'timbulan sampah'!E15</f>
        <v>205.14779999999999</v>
      </c>
      <c r="J39" s="164">
        <f t="shared" si="11"/>
        <v>203.09283711781734</v>
      </c>
    </row>
    <row r="40" spans="1:16" x14ac:dyDescent="0.25">
      <c r="A40" s="155">
        <v>2022</v>
      </c>
      <c r="B40" s="176">
        <f t="shared" si="17"/>
        <v>71.165565483462132</v>
      </c>
      <c r="C40" s="160">
        <f t="shared" ref="C40:H40" si="22">$I$40*C17</f>
        <v>50.875216353014146</v>
      </c>
      <c r="D40" s="160">
        <f t="shared" si="22"/>
        <v>3.352469712312105</v>
      </c>
      <c r="E40" s="161">
        <f t="shared" si="22"/>
        <v>76.190000966182268</v>
      </c>
      <c r="F40" s="176">
        <f t="shared" si="22"/>
        <v>5.9680702113058084</v>
      </c>
      <c r="G40" s="160">
        <f t="shared" si="22"/>
        <v>0</v>
      </c>
      <c r="H40" s="162">
        <f t="shared" si="22"/>
        <v>0</v>
      </c>
      <c r="I40" s="163">
        <f>'timbulan sampah'!E16</f>
        <v>209.79992000000001</v>
      </c>
      <c r="J40" s="164">
        <f t="shared" si="11"/>
        <v>207.55132272627645</v>
      </c>
    </row>
    <row r="41" spans="1:16" x14ac:dyDescent="0.25">
      <c r="A41" s="155">
        <v>2023</v>
      </c>
      <c r="B41" s="176">
        <f t="shared" si="17"/>
        <v>74.308788744615541</v>
      </c>
      <c r="C41" s="160">
        <f t="shared" ref="C41:H41" si="23">$I$41*C18</f>
        <v>50.76564822691747</v>
      </c>
      <c r="D41" s="160">
        <f t="shared" si="23"/>
        <v>3.5244716583094262</v>
      </c>
      <c r="E41" s="161">
        <f t="shared" si="23"/>
        <v>76.952678682125523</v>
      </c>
      <c r="F41" s="176">
        <f t="shared" si="23"/>
        <v>6.5457363586708626</v>
      </c>
      <c r="G41" s="160">
        <f t="shared" si="23"/>
        <v>0</v>
      </c>
      <c r="H41" s="162">
        <f t="shared" si="23"/>
        <v>0</v>
      </c>
      <c r="I41" s="163">
        <f>'timbulan sampah'!E17</f>
        <v>214.45204000000001</v>
      </c>
      <c r="J41" s="164">
        <f t="shared" si="11"/>
        <v>212.09732367063884</v>
      </c>
    </row>
    <row r="42" spans="1:16" x14ac:dyDescent="0.25">
      <c r="A42" s="155">
        <v>2024</v>
      </c>
      <c r="B42" s="176">
        <f t="shared" si="17"/>
        <v>77.539085807633612</v>
      </c>
      <c r="C42" s="160">
        <f t="shared" ref="C42:H42" si="24">$I$42*C19</f>
        <v>50.632477786071988</v>
      </c>
      <c r="D42" s="160">
        <f t="shared" si="24"/>
        <v>3.7035546717047696</v>
      </c>
      <c r="E42" s="161">
        <f t="shared" si="24"/>
        <v>77.686415402392498</v>
      </c>
      <c r="F42" s="176">
        <f t="shared" si="24"/>
        <v>7.1759379173951654</v>
      </c>
      <c r="G42" s="160">
        <f t="shared" si="24"/>
        <v>0</v>
      </c>
      <c r="H42" s="162">
        <f t="shared" si="24"/>
        <v>0</v>
      </c>
      <c r="I42" s="163">
        <f>'timbulan sampah'!E18</f>
        <v>219.10416000000001</v>
      </c>
      <c r="J42" s="164">
        <f t="shared" si="11"/>
        <v>216.73747158519805</v>
      </c>
    </row>
    <row r="43" spans="1:16" x14ac:dyDescent="0.25">
      <c r="A43" s="155">
        <v>2025</v>
      </c>
      <c r="B43" s="176">
        <f t="shared" si="17"/>
        <v>80.856565446893754</v>
      </c>
      <c r="C43" s="160">
        <f t="shared" ref="C43:H43" si="25">$I$43*C20</f>
        <v>50.476890564429098</v>
      </c>
      <c r="D43" s="160">
        <f t="shared" si="25"/>
        <v>3.8899826647591857</v>
      </c>
      <c r="E43" s="161">
        <f t="shared" si="25"/>
        <v>78.391791919888959</v>
      </c>
      <c r="F43" s="176">
        <f t="shared" si="25"/>
        <v>7.8632666746378597</v>
      </c>
      <c r="G43" s="160">
        <f t="shared" si="25"/>
        <v>0</v>
      </c>
      <c r="H43" s="162">
        <f t="shared" si="25"/>
        <v>0</v>
      </c>
      <c r="I43" s="163">
        <f>'timbulan sampah'!E19</f>
        <v>223.75628</v>
      </c>
      <c r="J43" s="164">
        <f t="shared" si="11"/>
        <v>221.47849727060884</v>
      </c>
    </row>
    <row r="44" spans="1:16" x14ac:dyDescent="0.25">
      <c r="A44" s="155">
        <v>2026</v>
      </c>
      <c r="B44" s="176">
        <f t="shared" si="17"/>
        <v>84.261094944802693</v>
      </c>
      <c r="C44" s="160">
        <f t="shared" ref="C44:H44" si="26">$I$44*C21</f>
        <v>50.300029033819271</v>
      </c>
      <c r="D44" s="160">
        <f t="shared" si="26"/>
        <v>4.0840288411356109</v>
      </c>
      <c r="E44" s="161">
        <f t="shared" si="26"/>
        <v>79.069379302983862</v>
      </c>
      <c r="F44" s="176">
        <f t="shared" si="26"/>
        <v>8.6127048572761886</v>
      </c>
      <c r="G44" s="160">
        <f t="shared" si="26"/>
        <v>0</v>
      </c>
      <c r="H44" s="162">
        <f t="shared" si="26"/>
        <v>0</v>
      </c>
      <c r="I44" s="163">
        <f>'timbulan sampah'!E20</f>
        <v>228.4084</v>
      </c>
      <c r="J44" s="164">
        <f t="shared" si="11"/>
        <v>226.32723698001763</v>
      </c>
    </row>
    <row r="45" spans="1:16" x14ac:dyDescent="0.25">
      <c r="A45" s="155">
        <v>2027</v>
      </c>
      <c r="B45" s="176">
        <f t="shared" si="17"/>
        <v>87.752272097026463</v>
      </c>
      <c r="C45" s="160">
        <f t="shared" ref="C45:H45" si="27">$I$45*C22</f>
        <v>50.10299398217515</v>
      </c>
      <c r="D45" s="160">
        <f t="shared" si="27"/>
        <v>4.2859760111460421</v>
      </c>
      <c r="E45" s="161">
        <f t="shared" si="27"/>
        <v>79.719739044707339</v>
      </c>
      <c r="F45" s="176">
        <f t="shared" si="27"/>
        <v>9.4296576664705682</v>
      </c>
      <c r="G45" s="160">
        <f t="shared" si="27"/>
        <v>0</v>
      </c>
      <c r="H45" s="162">
        <f t="shared" si="27"/>
        <v>0</v>
      </c>
      <c r="I45" s="163">
        <f>'timbulan sampah'!E21</f>
        <v>233.06052</v>
      </c>
      <c r="J45" s="164">
        <f t="shared" si="11"/>
        <v>231.29063880152557</v>
      </c>
    </row>
    <row r="46" spans="1:16" x14ac:dyDescent="0.25">
      <c r="A46" s="155">
        <v>2028</v>
      </c>
      <c r="B46" s="176">
        <f t="shared" si="17"/>
        <v>91.329394683003329</v>
      </c>
      <c r="C46" s="160">
        <f t="shared" ref="C46:H46" si="28">$I$46*C23</f>
        <v>49.886845850543374</v>
      </c>
      <c r="D46" s="160">
        <f t="shared" si="28"/>
        <v>4.4961169174208564</v>
      </c>
      <c r="E46" s="161">
        <f t="shared" si="28"/>
        <v>80.343423209774713</v>
      </c>
      <c r="F46" s="176">
        <f t="shared" si="28"/>
        <v>10.319988481622904</v>
      </c>
      <c r="G46" s="160">
        <f t="shared" si="28"/>
        <v>0</v>
      </c>
      <c r="H46" s="161">
        <f t="shared" si="28"/>
        <v>0</v>
      </c>
      <c r="I46" s="163">
        <f>'timbulan sampah'!E22</f>
        <v>237.71264000000002</v>
      </c>
      <c r="J46" s="164">
        <f t="shared" si="11"/>
        <v>236.37576914236521</v>
      </c>
    </row>
    <row r="47" spans="1:16" x14ac:dyDescent="0.25">
      <c r="A47" s="155">
        <v>2029</v>
      </c>
      <c r="B47" s="176">
        <f t="shared" si="17"/>
        <v>94.991427189301433</v>
      </c>
      <c r="C47" s="160">
        <f t="shared" ref="C47:H47" si="29">$I$47*C24</f>
        <v>49.652606030066011</v>
      </c>
      <c r="D47" s="160">
        <f t="shared" si="29"/>
        <v>4.7147545713382808</v>
      </c>
      <c r="E47" s="161">
        <f t="shared" si="29"/>
        <v>80.940974579467337</v>
      </c>
      <c r="F47" s="176">
        <f t="shared" si="29"/>
        <v>11.290056950082857</v>
      </c>
      <c r="G47" s="160">
        <f t="shared" si="29"/>
        <v>0</v>
      </c>
      <c r="H47" s="161">
        <f t="shared" si="29"/>
        <v>0</v>
      </c>
      <c r="I47" s="163">
        <f>'timbulan sampah'!E23</f>
        <v>242.36476000000002</v>
      </c>
      <c r="J47" s="164">
        <f t="shared" si="11"/>
        <v>241.58981932025591</v>
      </c>
    </row>
    <row r="48" spans="1:16" x14ac:dyDescent="0.25">
      <c r="A48" s="155">
        <v>2030</v>
      </c>
      <c r="B48" s="176">
        <f t="shared" si="17"/>
        <v>98.806752000000017</v>
      </c>
      <c r="C48" s="160">
        <f t="shared" ref="C48:H48" si="30">$I$48*C25</f>
        <v>49.403376000000009</v>
      </c>
      <c r="D48" s="160">
        <f t="shared" si="30"/>
        <v>4.9403376000000003</v>
      </c>
      <c r="E48" s="161">
        <f t="shared" si="30"/>
        <v>81.515570400000016</v>
      </c>
      <c r="F48" s="176">
        <f t="shared" si="30"/>
        <v>12.350844000000002</v>
      </c>
      <c r="G48" s="160">
        <f t="shared" si="30"/>
        <v>0</v>
      </c>
      <c r="H48" s="161">
        <f t="shared" si="30"/>
        <v>0</v>
      </c>
      <c r="I48" s="163">
        <f>'timbulan sampah'!E24</f>
        <v>247.01688000000001</v>
      </c>
      <c r="J48" s="164">
        <f t="shared" si="11"/>
        <v>247.01688000000001</v>
      </c>
    </row>
    <row r="50" spans="2:6" x14ac:dyDescent="0.25">
      <c r="B50" s="180">
        <f>B29*1000</f>
        <v>52622.222774000002</v>
      </c>
      <c r="E50" s="155">
        <v>2017</v>
      </c>
      <c r="F50" s="177">
        <f>F35*1000</f>
        <v>3730.7864</v>
      </c>
    </row>
    <row r="51" spans="2:6" x14ac:dyDescent="0.25">
      <c r="B51" s="180">
        <f t="shared" ref="B51:B69" si="31">B30*1000</f>
        <v>53193.232135999999</v>
      </c>
      <c r="E51" s="155">
        <v>2018</v>
      </c>
      <c r="F51" s="177">
        <f t="shared" ref="F51:F63" si="32">F36*1000</f>
        <v>4102.9683023999996</v>
      </c>
    </row>
    <row r="52" spans="2:6" x14ac:dyDescent="0.25">
      <c r="B52" s="180">
        <f t="shared" si="31"/>
        <v>54313.345129999994</v>
      </c>
      <c r="E52" s="155">
        <v>2019</v>
      </c>
      <c r="F52" s="177">
        <f t="shared" si="32"/>
        <v>4509.6074018247991</v>
      </c>
    </row>
    <row r="53" spans="2:6" x14ac:dyDescent="0.25">
      <c r="B53" s="180">
        <f t="shared" si="31"/>
        <v>55425.391251999994</v>
      </c>
      <c r="E53" s="155">
        <v>2020</v>
      </c>
      <c r="F53" s="177">
        <f t="shared" si="32"/>
        <v>4953.7510916821311</v>
      </c>
    </row>
    <row r="54" spans="2:6" x14ac:dyDescent="0.25">
      <c r="B54" s="180">
        <f t="shared" si="31"/>
        <v>56509.620574</v>
      </c>
      <c r="E54" s="155">
        <v>2021</v>
      </c>
      <c r="F54" s="177">
        <f t="shared" si="32"/>
        <v>5438.7080624143064</v>
      </c>
    </row>
    <row r="55" spans="2:6" x14ac:dyDescent="0.25">
      <c r="B55" s="180">
        <f t="shared" si="31"/>
        <v>57601.847226000005</v>
      </c>
      <c r="E55" s="155">
        <v>2022</v>
      </c>
      <c r="F55" s="177">
        <f t="shared" si="32"/>
        <v>5968.0702113058087</v>
      </c>
    </row>
    <row r="56" spans="2:6" x14ac:dyDescent="0.25">
      <c r="B56" s="180">
        <f t="shared" si="31"/>
        <v>56737.902167826003</v>
      </c>
      <c r="E56" s="155">
        <v>2023</v>
      </c>
      <c r="F56" s="177">
        <f t="shared" si="32"/>
        <v>6545.7363586708625</v>
      </c>
    </row>
    <row r="57" spans="2:6" x14ac:dyDescent="0.25">
      <c r="B57" s="180">
        <f t="shared" si="31"/>
        <v>59454.160463107146</v>
      </c>
      <c r="E57" s="155">
        <v>2024</v>
      </c>
      <c r="F57" s="177">
        <f t="shared" si="32"/>
        <v>7175.9379173951656</v>
      </c>
    </row>
    <row r="58" spans="2:6" x14ac:dyDescent="0.25">
      <c r="B58" s="180">
        <f t="shared" si="31"/>
        <v>62254.152246704005</v>
      </c>
      <c r="E58" s="155">
        <v>2025</v>
      </c>
      <c r="F58" s="177">
        <f t="shared" si="32"/>
        <v>7863.26667463786</v>
      </c>
    </row>
    <row r="59" spans="2:6" x14ac:dyDescent="0.25">
      <c r="B59" s="180">
        <f t="shared" si="31"/>
        <v>65138.849591922663</v>
      </c>
      <c r="E59" s="155">
        <v>2026</v>
      </c>
      <c r="F59" s="177">
        <f t="shared" si="32"/>
        <v>8612.7048572761887</v>
      </c>
    </row>
    <row r="60" spans="2:6" x14ac:dyDescent="0.25">
      <c r="B60" s="180">
        <f t="shared" si="31"/>
        <v>68109.091414343915</v>
      </c>
      <c r="E60" s="155">
        <v>2027</v>
      </c>
      <c r="F60" s="177">
        <f t="shared" si="32"/>
        <v>9429.6576664705681</v>
      </c>
    </row>
    <row r="61" spans="2:6" x14ac:dyDescent="0.25">
      <c r="B61" s="180">
        <f t="shared" si="31"/>
        <v>71165.565483462138</v>
      </c>
      <c r="E61" s="155">
        <v>2028</v>
      </c>
      <c r="F61" s="177">
        <f t="shared" si="32"/>
        <v>10319.988481622904</v>
      </c>
    </row>
    <row r="62" spans="2:6" x14ac:dyDescent="0.25">
      <c r="B62" s="180">
        <f t="shared" si="31"/>
        <v>74308.788744615536</v>
      </c>
      <c r="E62" s="155">
        <v>2029</v>
      </c>
      <c r="F62" s="177">
        <f t="shared" si="32"/>
        <v>11290.056950082857</v>
      </c>
    </row>
    <row r="63" spans="2:6" x14ac:dyDescent="0.25">
      <c r="B63" s="180">
        <f t="shared" si="31"/>
        <v>77539.085807633615</v>
      </c>
      <c r="E63" s="155">
        <v>2030</v>
      </c>
      <c r="F63" s="177">
        <f t="shared" si="32"/>
        <v>12350.844000000003</v>
      </c>
    </row>
    <row r="64" spans="2:6" x14ac:dyDescent="0.25">
      <c r="B64" s="180">
        <f t="shared" si="31"/>
        <v>80856.565446893757</v>
      </c>
      <c r="F64" s="178">
        <f>SUM(F50:F63)</f>
        <v>102292.08437578344</v>
      </c>
    </row>
    <row r="65" spans="2:6" x14ac:dyDescent="0.25">
      <c r="B65" s="180">
        <f t="shared" si="31"/>
        <v>84261.094944802695</v>
      </c>
      <c r="F65" s="179">
        <f>F64/14</f>
        <v>7306.5774554131031</v>
      </c>
    </row>
    <row r="66" spans="2:6" x14ac:dyDescent="0.25">
      <c r="B66" s="180">
        <f t="shared" si="31"/>
        <v>87752.272097026464</v>
      </c>
    </row>
    <row r="67" spans="2:6" x14ac:dyDescent="0.25">
      <c r="B67" s="180">
        <f t="shared" si="31"/>
        <v>91329.394683003324</v>
      </c>
    </row>
    <row r="68" spans="2:6" x14ac:dyDescent="0.25">
      <c r="B68" s="180">
        <f t="shared" si="31"/>
        <v>94991.427189301437</v>
      </c>
    </row>
    <row r="69" spans="2:6" x14ac:dyDescent="0.25">
      <c r="B69" s="180">
        <f t="shared" si="31"/>
        <v>98806.752000000022</v>
      </c>
    </row>
    <row r="70" spans="2:6" x14ac:dyDescent="0.25">
      <c r="B70" s="180">
        <f>SUM(B50:B69)</f>
        <v>1402370.7613726431</v>
      </c>
    </row>
    <row r="71" spans="2:6" x14ac:dyDescent="0.25">
      <c r="B71" s="180">
        <f>B70/20</f>
        <v>70118.538068632159</v>
      </c>
    </row>
    <row r="72" spans="2:6" x14ac:dyDescent="0.25">
      <c r="B72" s="164"/>
    </row>
    <row r="73" spans="2:6" x14ac:dyDescent="0.25">
      <c r="B73" s="164"/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A19" sqref="A19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116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125</v>
      </c>
    </row>
    <row r="6" spans="1:24" ht="35.25" customHeight="1" x14ac:dyDescent="0.25">
      <c r="A6" s="202" t="s">
        <v>10</v>
      </c>
      <c r="B6" s="208" t="s">
        <v>117</v>
      </c>
      <c r="C6" s="208"/>
      <c r="D6" s="208"/>
      <c r="E6" s="106" t="s">
        <v>113</v>
      </c>
      <c r="F6" s="202" t="s">
        <v>10</v>
      </c>
      <c r="G6" s="208" t="s">
        <v>110</v>
      </c>
      <c r="H6" s="208"/>
      <c r="I6" s="208"/>
      <c r="J6" s="96" t="s">
        <v>114</v>
      </c>
      <c r="K6" s="202" t="s">
        <v>10</v>
      </c>
      <c r="L6" s="208" t="s">
        <v>111</v>
      </c>
      <c r="M6" s="208"/>
      <c r="N6" s="208"/>
      <c r="O6" s="96" t="s">
        <v>114</v>
      </c>
      <c r="P6" s="202" t="s">
        <v>10</v>
      </c>
      <c r="Q6" s="208" t="s">
        <v>156</v>
      </c>
      <c r="R6" s="208"/>
      <c r="S6" s="208"/>
      <c r="X6" s="97"/>
    </row>
    <row r="7" spans="1:24" ht="18" x14ac:dyDescent="0.25">
      <c r="A7" s="202"/>
      <c r="B7" s="202" t="s">
        <v>128</v>
      </c>
      <c r="C7" s="202"/>
      <c r="D7" s="208" t="s">
        <v>129</v>
      </c>
      <c r="E7" s="107"/>
      <c r="F7" s="202"/>
      <c r="G7" s="202" t="s">
        <v>128</v>
      </c>
      <c r="H7" s="202"/>
      <c r="I7" s="208" t="s">
        <v>129</v>
      </c>
      <c r="K7" s="202"/>
      <c r="L7" s="202" t="s">
        <v>128</v>
      </c>
      <c r="M7" s="202"/>
      <c r="N7" s="208" t="s">
        <v>129</v>
      </c>
      <c r="P7" s="202"/>
      <c r="Q7" s="202" t="s">
        <v>128</v>
      </c>
      <c r="R7" s="202"/>
      <c r="S7" s="208" t="s">
        <v>129</v>
      </c>
      <c r="X7" s="97"/>
    </row>
    <row r="8" spans="1:24" ht="18" x14ac:dyDescent="0.25">
      <c r="A8" s="202"/>
      <c r="B8" s="108" t="s">
        <v>130</v>
      </c>
      <c r="C8" s="108" t="s">
        <v>131</v>
      </c>
      <c r="D8" s="208"/>
      <c r="E8" s="109"/>
      <c r="F8" s="202"/>
      <c r="G8" s="108" t="s">
        <v>130</v>
      </c>
      <c r="H8" s="108" t="s">
        <v>131</v>
      </c>
      <c r="I8" s="208"/>
      <c r="K8" s="202"/>
      <c r="L8" s="108" t="s">
        <v>130</v>
      </c>
      <c r="M8" s="108" t="s">
        <v>131</v>
      </c>
      <c r="N8" s="208"/>
      <c r="P8" s="202"/>
      <c r="Q8" s="108" t="s">
        <v>130</v>
      </c>
      <c r="R8" s="108" t="s">
        <v>131</v>
      </c>
      <c r="S8" s="208"/>
    </row>
    <row r="9" spans="1:24" x14ac:dyDescent="0.25">
      <c r="A9" s="89">
        <v>2011</v>
      </c>
      <c r="B9" s="169">
        <f>[2]Results!O28</f>
        <v>2.0656854306697823</v>
      </c>
      <c r="C9" s="135">
        <f>B9*21</f>
        <v>43.379394044065428</v>
      </c>
      <c r="D9" s="170">
        <f t="shared" ref="D9:D14" si="0">E9+C9</f>
        <v>43.379394044065428</v>
      </c>
      <c r="E9" s="112"/>
      <c r="F9" s="89">
        <v>2011</v>
      </c>
      <c r="G9" s="169">
        <f>[3]Results!O28</f>
        <v>0</v>
      </c>
      <c r="H9" s="135">
        <f>G9*21</f>
        <v>0</v>
      </c>
      <c r="I9" s="170">
        <f t="shared" ref="I9:I14" si="1">J9+H9</f>
        <v>0</v>
      </c>
      <c r="K9" s="89">
        <v>2011</v>
      </c>
      <c r="L9" s="171">
        <f>[4]Results!O28</f>
        <v>1.464865694840046</v>
      </c>
      <c r="M9" s="135">
        <f>L9*21</f>
        <v>30.762179591640965</v>
      </c>
      <c r="N9" s="170">
        <f>O9+M9</f>
        <v>30.762179591640965</v>
      </c>
      <c r="P9" s="89">
        <v>2011</v>
      </c>
      <c r="Q9" s="171">
        <f>[5]Results!O28</f>
        <v>0</v>
      </c>
      <c r="R9" s="135">
        <f>Q9*21</f>
        <v>0</v>
      </c>
      <c r="S9" s="170">
        <f>T9+R9</f>
        <v>0</v>
      </c>
    </row>
    <row r="10" spans="1:24" x14ac:dyDescent="0.25">
      <c r="A10" s="89">
        <v>2012</v>
      </c>
      <c r="B10" s="169">
        <f>[2]Results!O29</f>
        <v>2.2093859572478163</v>
      </c>
      <c r="C10" s="135">
        <f t="shared" ref="C10:C14" si="2">B10*21</f>
        <v>46.397105102204144</v>
      </c>
      <c r="D10" s="170">
        <f t="shared" si="0"/>
        <v>46.397105102204144</v>
      </c>
      <c r="E10" s="112"/>
      <c r="F10" s="89">
        <v>2012</v>
      </c>
      <c r="G10" s="169">
        <f>[3]Results!O29</f>
        <v>0</v>
      </c>
      <c r="H10" s="135">
        <f t="shared" ref="H10:H14" si="3">G10*21</f>
        <v>0</v>
      </c>
      <c r="I10" s="170">
        <f t="shared" si="1"/>
        <v>0</v>
      </c>
      <c r="K10" s="89">
        <v>2012</v>
      </c>
      <c r="L10" s="171">
        <f>[4]Results!O29</f>
        <v>1.5667698708531181</v>
      </c>
      <c r="M10" s="135">
        <f t="shared" ref="M10:M14" si="4">L10*21</f>
        <v>32.902167287915482</v>
      </c>
      <c r="N10" s="170">
        <f t="shared" ref="N10:N14" si="5">O10+M10</f>
        <v>32.902167287915482</v>
      </c>
      <c r="P10" s="89">
        <v>2012</v>
      </c>
      <c r="Q10" s="171">
        <f>[5]Results!O29</f>
        <v>0</v>
      </c>
      <c r="R10" s="135">
        <f t="shared" ref="R10:R14" si="6">Q10*21</f>
        <v>0</v>
      </c>
      <c r="S10" s="170">
        <f t="shared" ref="S10:S14" si="7">T10+R10</f>
        <v>0</v>
      </c>
    </row>
    <row r="11" spans="1:24" x14ac:dyDescent="0.25">
      <c r="A11" s="89">
        <v>2013</v>
      </c>
      <c r="B11" s="169">
        <f>[2]Results!O30</f>
        <v>2.3239208190117249</v>
      </c>
      <c r="C11" s="135">
        <f t="shared" si="2"/>
        <v>48.802337199246224</v>
      </c>
      <c r="D11" s="170">
        <f t="shared" si="0"/>
        <v>48.802337199246224</v>
      </c>
      <c r="E11" s="112"/>
      <c r="F11" s="89">
        <v>2013</v>
      </c>
      <c r="G11" s="169">
        <f>[3]Results!O30</f>
        <v>0</v>
      </c>
      <c r="H11" s="135">
        <f t="shared" si="3"/>
        <v>0</v>
      </c>
      <c r="I11" s="170">
        <f t="shared" si="1"/>
        <v>0</v>
      </c>
      <c r="K11" s="89">
        <v>2013</v>
      </c>
      <c r="L11" s="171">
        <f>[4]Results!O30</f>
        <v>1.6479914292618421</v>
      </c>
      <c r="M11" s="135">
        <f t="shared" si="4"/>
        <v>34.607820014498685</v>
      </c>
      <c r="N11" s="170">
        <f t="shared" si="5"/>
        <v>34.607820014498685</v>
      </c>
      <c r="P11" s="89">
        <v>2013</v>
      </c>
      <c r="Q11" s="171">
        <f>[5]Results!O30</f>
        <v>0</v>
      </c>
      <c r="R11" s="135">
        <f t="shared" si="6"/>
        <v>0</v>
      </c>
      <c r="S11" s="170">
        <f t="shared" si="7"/>
        <v>0</v>
      </c>
    </row>
    <row r="12" spans="1:24" x14ac:dyDescent="0.25">
      <c r="A12" s="89">
        <v>2014</v>
      </c>
      <c r="B12" s="169">
        <f>[2]Results!O31</f>
        <v>2.4252491004993293</v>
      </c>
      <c r="C12" s="135">
        <f t="shared" si="2"/>
        <v>50.930231110485913</v>
      </c>
      <c r="D12" s="170">
        <f t="shared" si="0"/>
        <v>50.930231110485913</v>
      </c>
      <c r="E12" s="112"/>
      <c r="F12" s="89">
        <v>2014</v>
      </c>
      <c r="G12" s="169">
        <f>[3]Results!O31</f>
        <v>0</v>
      </c>
      <c r="H12" s="135">
        <f t="shared" si="3"/>
        <v>0</v>
      </c>
      <c r="I12" s="170">
        <f t="shared" si="1"/>
        <v>0</v>
      </c>
      <c r="K12" s="89">
        <v>2014</v>
      </c>
      <c r="L12" s="171">
        <f>[4]Results!O31</f>
        <v>1.7198476379877561</v>
      </c>
      <c r="M12" s="135">
        <f t="shared" si="4"/>
        <v>36.116800397742878</v>
      </c>
      <c r="N12" s="170">
        <f t="shared" si="5"/>
        <v>36.116800397742878</v>
      </c>
      <c r="P12" s="89">
        <v>2014</v>
      </c>
      <c r="Q12" s="171">
        <f>[5]Results!O31</f>
        <v>0</v>
      </c>
      <c r="R12" s="135">
        <f t="shared" si="6"/>
        <v>0</v>
      </c>
      <c r="S12" s="170">
        <f t="shared" si="7"/>
        <v>0</v>
      </c>
    </row>
    <row r="13" spans="1:24" x14ac:dyDescent="0.25">
      <c r="A13" s="89">
        <v>2015</v>
      </c>
      <c r="B13" s="169">
        <f>[2]Results!O32</f>
        <v>2.5171058290026287</v>
      </c>
      <c r="C13" s="135">
        <f t="shared" si="2"/>
        <v>52.859222409055199</v>
      </c>
      <c r="D13" s="170">
        <f t="shared" si="0"/>
        <v>52.859222409055199</v>
      </c>
      <c r="E13" s="112"/>
      <c r="F13" s="89">
        <v>2015</v>
      </c>
      <c r="G13" s="169">
        <f>[3]Results!O32</f>
        <v>0</v>
      </c>
      <c r="H13" s="135">
        <f t="shared" si="3"/>
        <v>0</v>
      </c>
      <c r="I13" s="170">
        <f t="shared" si="1"/>
        <v>0</v>
      </c>
      <c r="K13" s="89">
        <v>2015</v>
      </c>
      <c r="L13" s="171">
        <f>[4]Results!O32</f>
        <v>1.7849871642810167</v>
      </c>
      <c r="M13" s="135">
        <f t="shared" si="4"/>
        <v>37.484730449901349</v>
      </c>
      <c r="N13" s="170">
        <f t="shared" si="5"/>
        <v>37.484730449901349</v>
      </c>
      <c r="P13" s="89">
        <v>2015</v>
      </c>
      <c r="Q13" s="171">
        <f>[5]Results!O32</f>
        <v>0</v>
      </c>
      <c r="R13" s="135">
        <f t="shared" si="6"/>
        <v>0</v>
      </c>
      <c r="S13" s="170">
        <f t="shared" si="7"/>
        <v>0</v>
      </c>
    </row>
    <row r="14" spans="1:24" x14ac:dyDescent="0.25">
      <c r="A14" s="89">
        <v>2016</v>
      </c>
      <c r="B14" s="169">
        <f>[2]Results!O33</f>
        <v>2.6017968870316301</v>
      </c>
      <c r="C14" s="135">
        <f t="shared" si="2"/>
        <v>54.63773462766423</v>
      </c>
      <c r="D14" s="170">
        <f t="shared" si="0"/>
        <v>54.63773462766423</v>
      </c>
      <c r="E14" s="112"/>
      <c r="F14" s="89">
        <v>2016</v>
      </c>
      <c r="G14" s="169">
        <f>[3]Results!O33</f>
        <v>0</v>
      </c>
      <c r="H14" s="135">
        <f t="shared" si="3"/>
        <v>0</v>
      </c>
      <c r="I14" s="170">
        <f t="shared" si="1"/>
        <v>0</v>
      </c>
      <c r="K14" s="89">
        <v>2016</v>
      </c>
      <c r="L14" s="171">
        <f>[4]Results!O33</f>
        <v>1.8450452078361603</v>
      </c>
      <c r="M14" s="135">
        <f t="shared" si="4"/>
        <v>38.745949364559365</v>
      </c>
      <c r="N14" s="170">
        <f t="shared" si="5"/>
        <v>38.745949364559365</v>
      </c>
      <c r="P14" s="89">
        <v>2016</v>
      </c>
      <c r="Q14" s="171">
        <f>[5]Results!O33</f>
        <v>0</v>
      </c>
      <c r="R14" s="135">
        <f t="shared" si="6"/>
        <v>0</v>
      </c>
      <c r="S14" s="170">
        <f t="shared" si="7"/>
        <v>0</v>
      </c>
    </row>
    <row r="15" spans="1:24" x14ac:dyDescent="0.25">
      <c r="A15" s="89">
        <v>2017</v>
      </c>
      <c r="B15" s="169">
        <f>[2]Results!O34</f>
        <v>2.6813842727714694</v>
      </c>
      <c r="C15" s="135">
        <f t="shared" ref="C15:C29" si="8">B15*21</f>
        <v>56.309069728200861</v>
      </c>
      <c r="D15" s="170">
        <f t="shared" ref="D15:D29" si="9">E15+C15</f>
        <v>56.309069728200861</v>
      </c>
      <c r="E15" s="112"/>
      <c r="F15" s="89">
        <v>2017</v>
      </c>
      <c r="G15" s="169">
        <f>[3]Results!O34</f>
        <v>0</v>
      </c>
      <c r="H15" s="135">
        <f t="shared" ref="H15:H29" si="10">G15*21</f>
        <v>0</v>
      </c>
      <c r="I15" s="170">
        <f t="shared" ref="I15:I29" si="11">J15+H15</f>
        <v>0</v>
      </c>
      <c r="K15" s="89">
        <v>2017</v>
      </c>
      <c r="L15" s="171">
        <f>[4]Results!O34</f>
        <v>1.9014840195648612</v>
      </c>
      <c r="M15" s="135">
        <f t="shared" ref="M15:M29" si="12">L15*21</f>
        <v>39.931164410862088</v>
      </c>
      <c r="N15" s="170">
        <f t="shared" ref="N15:N29" si="13">O15+M15</f>
        <v>39.931164410862088</v>
      </c>
      <c r="P15" s="89">
        <v>2017</v>
      </c>
      <c r="Q15" s="171">
        <f>[5]Results!O34</f>
        <v>0</v>
      </c>
      <c r="R15" s="135">
        <f t="shared" ref="R15:R29" si="14">Q15*21</f>
        <v>0</v>
      </c>
      <c r="S15" s="170">
        <f t="shared" ref="S15:S29" si="15">T15+R15</f>
        <v>0</v>
      </c>
    </row>
    <row r="16" spans="1:24" x14ac:dyDescent="0.25">
      <c r="A16" s="89">
        <v>2018</v>
      </c>
      <c r="B16" s="169">
        <f>[2]Results!O35</f>
        <v>2.7314011235844093</v>
      </c>
      <c r="C16" s="135">
        <f t="shared" si="8"/>
        <v>57.359423595272595</v>
      </c>
      <c r="D16" s="170">
        <f t="shared" si="9"/>
        <v>57.359423595272595</v>
      </c>
      <c r="E16" s="112"/>
      <c r="F16" s="89">
        <v>2018</v>
      </c>
      <c r="G16" s="169">
        <f>[3]Results!O35</f>
        <v>0</v>
      </c>
      <c r="H16" s="135">
        <f t="shared" si="10"/>
        <v>0</v>
      </c>
      <c r="I16" s="170">
        <f t="shared" si="11"/>
        <v>0</v>
      </c>
      <c r="K16" s="89">
        <v>2018</v>
      </c>
      <c r="L16" s="171">
        <f>[4]Results!O35</f>
        <v>1.9446576984725481</v>
      </c>
      <c r="M16" s="135">
        <f t="shared" si="12"/>
        <v>40.837811667923511</v>
      </c>
      <c r="N16" s="170">
        <f t="shared" si="13"/>
        <v>40.837811667923511</v>
      </c>
      <c r="P16" s="89">
        <v>2018</v>
      </c>
      <c r="Q16" s="171">
        <f>[5]Results!O35</f>
        <v>2.9521732931918405E-2</v>
      </c>
      <c r="R16" s="135">
        <f t="shared" si="14"/>
        <v>0.61995639157028648</v>
      </c>
      <c r="S16" s="170">
        <f>T16+R16</f>
        <v>0.61995639157028648</v>
      </c>
    </row>
    <row r="17" spans="1:19" x14ac:dyDescent="0.25">
      <c r="A17" s="89">
        <v>2019</v>
      </c>
      <c r="B17" s="169">
        <f>[2]Results!O36</f>
        <v>2.8075472893152846</v>
      </c>
      <c r="C17" s="135">
        <f t="shared" si="8"/>
        <v>58.958493075620979</v>
      </c>
      <c r="D17" s="170">
        <f t="shared" si="9"/>
        <v>58.958493075620979</v>
      </c>
      <c r="E17" s="112"/>
      <c r="F17" s="89">
        <v>2019</v>
      </c>
      <c r="G17" s="169">
        <f>[3]Results!O36</f>
        <v>0</v>
      </c>
      <c r="H17" s="135">
        <f t="shared" si="10"/>
        <v>0</v>
      </c>
      <c r="I17" s="170">
        <f t="shared" si="11"/>
        <v>0</v>
      </c>
      <c r="K17" s="89">
        <v>2019</v>
      </c>
      <c r="L17" s="171">
        <f>[4]Results!O36</f>
        <v>1.9789971343220072</v>
      </c>
      <c r="M17" s="135">
        <f t="shared" si="12"/>
        <v>41.558939820762149</v>
      </c>
      <c r="N17" s="170">
        <f t="shared" si="13"/>
        <v>41.558939820762149</v>
      </c>
      <c r="P17" s="89">
        <v>2019</v>
      </c>
      <c r="Q17" s="171">
        <f>[5]Results!O36</f>
        <v>5.3352798298367296E-2</v>
      </c>
      <c r="R17" s="135">
        <f t="shared" si="14"/>
        <v>1.1204087642657132</v>
      </c>
      <c r="S17" s="170">
        <f t="shared" si="15"/>
        <v>1.1204087642657132</v>
      </c>
    </row>
    <row r="18" spans="1:19" x14ac:dyDescent="0.25">
      <c r="A18" s="89">
        <v>2020</v>
      </c>
      <c r="B18" s="169">
        <f>[2]Results!O37</f>
        <v>2.7726793339054439</v>
      </c>
      <c r="C18" s="135">
        <f t="shared" si="8"/>
        <v>58.226266012014321</v>
      </c>
      <c r="D18" s="170">
        <f t="shared" si="9"/>
        <v>58.226266012014321</v>
      </c>
      <c r="E18" s="112"/>
      <c r="F18" s="89">
        <v>2020</v>
      </c>
      <c r="G18" s="169">
        <f>[3]Results!O37</f>
        <v>0</v>
      </c>
      <c r="H18" s="135">
        <f t="shared" si="10"/>
        <v>0</v>
      </c>
      <c r="I18" s="170">
        <f t="shared" si="11"/>
        <v>0</v>
      </c>
      <c r="K18" s="89">
        <v>2020</v>
      </c>
      <c r="L18" s="171">
        <f>[4]Results!O37</f>
        <v>2.0065844175498144</v>
      </c>
      <c r="M18" s="135">
        <f t="shared" si="12"/>
        <v>42.138272768546102</v>
      </c>
      <c r="N18" s="170">
        <f t="shared" si="13"/>
        <v>42.138272768546102</v>
      </c>
      <c r="P18" s="89">
        <v>2020</v>
      </c>
      <c r="Q18" s="171">
        <f>[5]Results!O37</f>
        <v>7.3616124527219731E-2</v>
      </c>
      <c r="R18" s="135">
        <f t="shared" si="14"/>
        <v>1.5459386150716143</v>
      </c>
      <c r="S18" s="170">
        <f t="shared" si="15"/>
        <v>1.5459386150716143</v>
      </c>
    </row>
    <row r="19" spans="1:19" x14ac:dyDescent="0.25">
      <c r="A19" s="89">
        <v>2021</v>
      </c>
      <c r="B19" s="169">
        <f>[2]Results!O38</f>
        <v>2.876781636186557</v>
      </c>
      <c r="C19" s="135">
        <f t="shared" si="8"/>
        <v>60.412414359917697</v>
      </c>
      <c r="D19" s="170">
        <f t="shared" si="9"/>
        <v>60.412414359917697</v>
      </c>
      <c r="E19" s="112"/>
      <c r="F19" s="89">
        <v>2021</v>
      </c>
      <c r="G19" s="169">
        <f>[3]Results!O38</f>
        <v>0</v>
      </c>
      <c r="H19" s="135">
        <f t="shared" si="10"/>
        <v>0</v>
      </c>
      <c r="I19" s="170">
        <f t="shared" si="11"/>
        <v>0</v>
      </c>
      <c r="K19" s="89">
        <v>2021</v>
      </c>
      <c r="L19" s="171">
        <f>[4]Results!O38</f>
        <v>2.0288800532802025</v>
      </c>
      <c r="M19" s="135">
        <f t="shared" si="12"/>
        <v>42.606481118884254</v>
      </c>
      <c r="N19" s="170">
        <f t="shared" si="13"/>
        <v>42.606481118884254</v>
      </c>
      <c r="P19" s="89">
        <v>2021</v>
      </c>
      <c r="Q19" s="171">
        <f>[5]Results!O38</f>
        <v>9.1774201931907079E-2</v>
      </c>
      <c r="R19" s="135">
        <f t="shared" si="14"/>
        <v>1.9272582405700487</v>
      </c>
      <c r="S19" s="170">
        <f t="shared" si="15"/>
        <v>1.9272582405700487</v>
      </c>
    </row>
    <row r="20" spans="1:19" x14ac:dyDescent="0.25">
      <c r="A20" s="89">
        <v>2022</v>
      </c>
      <c r="B20" s="169">
        <f>[2]Results!O39</f>
        <v>2.9922175278655057</v>
      </c>
      <c r="C20" s="135">
        <f t="shared" si="8"/>
        <v>62.836568085175621</v>
      </c>
      <c r="D20" s="170">
        <f t="shared" si="9"/>
        <v>62.836568085175621</v>
      </c>
      <c r="E20" s="112"/>
      <c r="F20" s="89">
        <v>2022</v>
      </c>
      <c r="G20" s="169">
        <f>[3]Results!O39</f>
        <v>0</v>
      </c>
      <c r="H20" s="135">
        <f t="shared" si="10"/>
        <v>0</v>
      </c>
      <c r="I20" s="170">
        <f t="shared" si="11"/>
        <v>0</v>
      </c>
      <c r="K20" s="89">
        <v>2022</v>
      </c>
      <c r="L20" s="171">
        <f>[4]Results!O39</f>
        <v>2.0469209649745044</v>
      </c>
      <c r="M20" s="135">
        <f t="shared" si="12"/>
        <v>42.98534026446459</v>
      </c>
      <c r="N20" s="170">
        <f t="shared" si="13"/>
        <v>42.98534026446459</v>
      </c>
      <c r="P20" s="89">
        <v>2022</v>
      </c>
      <c r="Q20" s="171">
        <f>[5]Results!O39</f>
        <v>0.10884763810602284</v>
      </c>
      <c r="R20" s="135">
        <f t="shared" si="14"/>
        <v>2.2858004002264796</v>
      </c>
      <c r="S20" s="170">
        <f t="shared" si="15"/>
        <v>2.2858004002264796</v>
      </c>
    </row>
    <row r="21" spans="1:19" x14ac:dyDescent="0.25">
      <c r="A21" s="89">
        <v>2023</v>
      </c>
      <c r="B21" s="169">
        <f>[2]Results!O40</f>
        <v>3.11687070408649</v>
      </c>
      <c r="C21" s="135">
        <f t="shared" si="8"/>
        <v>65.454284785816284</v>
      </c>
      <c r="D21" s="170">
        <f t="shared" si="9"/>
        <v>65.454284785816284</v>
      </c>
      <c r="E21" s="112"/>
      <c r="F21" s="89">
        <v>2023</v>
      </c>
      <c r="G21" s="169">
        <f>[3]Results!O40</f>
        <v>0</v>
      </c>
      <c r="H21" s="135">
        <f t="shared" si="10"/>
        <v>0</v>
      </c>
      <c r="I21" s="170">
        <f t="shared" si="11"/>
        <v>0</v>
      </c>
      <c r="K21" s="89">
        <v>2023</v>
      </c>
      <c r="L21" s="171">
        <f>[4]Results!O40</f>
        <v>2.0614541770717354</v>
      </c>
      <c r="M21" s="135">
        <f t="shared" si="12"/>
        <v>43.290537718506442</v>
      </c>
      <c r="N21" s="170">
        <f t="shared" si="13"/>
        <v>43.290537718506442</v>
      </c>
      <c r="P21" s="89">
        <v>2023</v>
      </c>
      <c r="Q21" s="171">
        <f>[5]Results!O40</f>
        <v>0.12556211719323468</v>
      </c>
      <c r="R21" s="135">
        <f t="shared" si="14"/>
        <v>2.6368044610579284</v>
      </c>
      <c r="S21" s="170">
        <f t="shared" si="15"/>
        <v>2.6368044610579284</v>
      </c>
    </row>
    <row r="22" spans="1:19" x14ac:dyDescent="0.25">
      <c r="A22" s="89">
        <v>2024</v>
      </c>
      <c r="B22" s="169">
        <f>[2]Results!O41</f>
        <v>3.2493060359102044</v>
      </c>
      <c r="C22" s="135">
        <f t="shared" si="8"/>
        <v>68.235426754114286</v>
      </c>
      <c r="D22" s="170">
        <f t="shared" si="9"/>
        <v>68.235426754114286</v>
      </c>
      <c r="E22" s="112"/>
      <c r="F22" s="89">
        <v>2024</v>
      </c>
      <c r="G22" s="169">
        <f>[3]Results!O41</f>
        <v>0</v>
      </c>
      <c r="H22" s="135">
        <f t="shared" si="10"/>
        <v>0</v>
      </c>
      <c r="I22" s="170">
        <f t="shared" si="11"/>
        <v>0</v>
      </c>
      <c r="K22" s="89">
        <v>2024</v>
      </c>
      <c r="L22" s="171">
        <f>[4]Results!O41</f>
        <v>2.0730272371125191</v>
      </c>
      <c r="M22" s="135">
        <f t="shared" si="12"/>
        <v>43.533571979362904</v>
      </c>
      <c r="N22" s="170">
        <f t="shared" si="13"/>
        <v>43.533571979362904</v>
      </c>
      <c r="P22" s="89">
        <v>2024</v>
      </c>
      <c r="Q22" s="171">
        <f>[5]Results!O41</f>
        <v>0.14244734490856478</v>
      </c>
      <c r="R22" s="135">
        <f t="shared" si="14"/>
        <v>2.9913942430798603</v>
      </c>
      <c r="S22" s="170">
        <f t="shared" si="15"/>
        <v>2.9913942430798603</v>
      </c>
    </row>
    <row r="23" spans="1:19" x14ac:dyDescent="0.25">
      <c r="A23" s="89">
        <v>2025</v>
      </c>
      <c r="B23" s="169">
        <f>[2]Results!O42</f>
        <v>3.3885466655876884</v>
      </c>
      <c r="C23" s="135">
        <f t="shared" si="8"/>
        <v>71.159479977341462</v>
      </c>
      <c r="D23" s="170">
        <f t="shared" si="9"/>
        <v>71.159479977341462</v>
      </c>
      <c r="E23" s="112"/>
      <c r="F23" s="89">
        <v>2025</v>
      </c>
      <c r="G23" s="169">
        <f>[3]Results!O42</f>
        <v>0</v>
      </c>
      <c r="H23" s="135">
        <f t="shared" si="10"/>
        <v>0</v>
      </c>
      <c r="I23" s="170">
        <f t="shared" si="11"/>
        <v>0</v>
      </c>
      <c r="K23" s="89">
        <v>2025</v>
      </c>
      <c r="L23" s="171">
        <f>[4]Results!O42</f>
        <v>2.0820495170677447</v>
      </c>
      <c r="M23" s="135">
        <f t="shared" si="12"/>
        <v>43.723039858422638</v>
      </c>
      <c r="N23" s="170">
        <f t="shared" si="13"/>
        <v>43.723039858422638</v>
      </c>
      <c r="P23" s="89">
        <v>2025</v>
      </c>
      <c r="Q23" s="171">
        <f>[5]Results!O42</f>
        <v>0.15990379417008033</v>
      </c>
      <c r="R23" s="135">
        <f t="shared" si="14"/>
        <v>3.357979677571687</v>
      </c>
      <c r="S23" s="170">
        <f t="shared" si="15"/>
        <v>3.357979677571687</v>
      </c>
    </row>
    <row r="24" spans="1:19" x14ac:dyDescent="0.25">
      <c r="A24" s="89">
        <v>2026</v>
      </c>
      <c r="B24" s="169">
        <f>[2]Results!O43</f>
        <v>3.5339235753221363</v>
      </c>
      <c r="C24" s="135">
        <f t="shared" si="8"/>
        <v>74.212395081764868</v>
      </c>
      <c r="D24" s="170">
        <f t="shared" si="9"/>
        <v>74.212395081764868</v>
      </c>
      <c r="E24" s="112"/>
      <c r="F24" s="89">
        <v>2026</v>
      </c>
      <c r="G24" s="169">
        <f>[3]Results!O43</f>
        <v>0</v>
      </c>
      <c r="H24" s="135">
        <f t="shared" si="10"/>
        <v>0</v>
      </c>
      <c r="I24" s="170">
        <f t="shared" si="11"/>
        <v>0</v>
      </c>
      <c r="K24" s="89">
        <v>2026</v>
      </c>
      <c r="L24" s="171">
        <f>[4]Results!O43</f>
        <v>2.0888338909612783</v>
      </c>
      <c r="M24" s="135">
        <f t="shared" si="12"/>
        <v>43.865511710186844</v>
      </c>
      <c r="N24" s="170">
        <f t="shared" si="13"/>
        <v>43.865511710186844</v>
      </c>
      <c r="P24" s="89">
        <v>2026</v>
      </c>
      <c r="Q24" s="171">
        <f>[5]Results!O43</f>
        <v>0.1782478589770051</v>
      </c>
      <c r="R24" s="135">
        <f t="shared" si="14"/>
        <v>3.743205038517107</v>
      </c>
      <c r="S24" s="170">
        <f t="shared" si="15"/>
        <v>3.743205038517107</v>
      </c>
    </row>
    <row r="25" spans="1:19" x14ac:dyDescent="0.25">
      <c r="A25" s="89">
        <v>2027</v>
      </c>
      <c r="B25" s="169">
        <f>[2]Results!O44</f>
        <v>3.6849738082779901</v>
      </c>
      <c r="C25" s="135">
        <f t="shared" si="8"/>
        <v>77.384449973837789</v>
      </c>
      <c r="D25" s="170">
        <f t="shared" si="9"/>
        <v>77.384449973837789</v>
      </c>
      <c r="E25" s="112"/>
      <c r="F25" s="89">
        <v>2027</v>
      </c>
      <c r="G25" s="169">
        <f>[3]Results!O44</f>
        <v>0</v>
      </c>
      <c r="H25" s="135">
        <f t="shared" si="10"/>
        <v>0</v>
      </c>
      <c r="I25" s="170">
        <f t="shared" si="11"/>
        <v>0</v>
      </c>
      <c r="K25" s="89">
        <v>2027</v>
      </c>
      <c r="L25" s="171">
        <f>[4]Results!O44</f>
        <v>2.0936251708729059</v>
      </c>
      <c r="M25" s="135">
        <f t="shared" si="12"/>
        <v>43.966128588331024</v>
      </c>
      <c r="N25" s="170">
        <f t="shared" si="13"/>
        <v>43.966128588331024</v>
      </c>
      <c r="P25" s="89">
        <v>2027</v>
      </c>
      <c r="Q25" s="171">
        <f>[5]Results!O44</f>
        <v>0.19774253298539002</v>
      </c>
      <c r="R25" s="135">
        <f t="shared" si="14"/>
        <v>4.1525931926931907</v>
      </c>
      <c r="S25" s="170">
        <f t="shared" si="15"/>
        <v>4.1525931926931907</v>
      </c>
    </row>
    <row r="26" spans="1:19" x14ac:dyDescent="0.25">
      <c r="A26" s="89">
        <v>2028</v>
      </c>
      <c r="B26" s="169">
        <f>[2]Results!O45</f>
        <v>3.8413713551158648</v>
      </c>
      <c r="C26" s="135">
        <f t="shared" si="8"/>
        <v>80.668798457433155</v>
      </c>
      <c r="D26" s="170">
        <f t="shared" si="9"/>
        <v>80.668798457433155</v>
      </c>
      <c r="E26" s="112"/>
      <c r="F26" s="89">
        <v>2028</v>
      </c>
      <c r="G26" s="169">
        <f>[3]Results!O45</f>
        <v>0</v>
      </c>
      <c r="H26" s="135">
        <f t="shared" si="10"/>
        <v>0</v>
      </c>
      <c r="I26" s="170">
        <f t="shared" si="11"/>
        <v>0</v>
      </c>
      <c r="K26" s="89">
        <v>2028</v>
      </c>
      <c r="L26" s="171">
        <f>[4]Results!O45</f>
        <v>2.0966195928660394</v>
      </c>
      <c r="M26" s="135">
        <f t="shared" si="12"/>
        <v>44.029011450186829</v>
      </c>
      <c r="N26" s="170">
        <f t="shared" si="13"/>
        <v>44.029011450186829</v>
      </c>
      <c r="P26" s="89">
        <v>2028</v>
      </c>
      <c r="Q26" s="171">
        <f>[5]Results!O45</f>
        <v>0.21861838847691167</v>
      </c>
      <c r="R26" s="135">
        <f t="shared" si="14"/>
        <v>4.590986158015145</v>
      </c>
      <c r="S26" s="170">
        <f t="shared" si="15"/>
        <v>4.590986158015145</v>
      </c>
    </row>
    <row r="27" spans="1:19" x14ac:dyDescent="0.25">
      <c r="A27" s="89">
        <v>2029</v>
      </c>
      <c r="B27" s="169">
        <f>[2]Results!O46</f>
        <v>4.0028799732698959</v>
      </c>
      <c r="C27" s="135">
        <f t="shared" si="8"/>
        <v>84.060479438667812</v>
      </c>
      <c r="D27" s="170">
        <f t="shared" si="9"/>
        <v>84.060479438667812</v>
      </c>
      <c r="E27" s="112"/>
      <c r="F27" s="89">
        <v>2029</v>
      </c>
      <c r="G27" s="169">
        <f>[3]Results!O46</f>
        <v>0</v>
      </c>
      <c r="H27" s="135">
        <f t="shared" si="10"/>
        <v>0</v>
      </c>
      <c r="I27" s="170">
        <f t="shared" si="11"/>
        <v>0</v>
      </c>
      <c r="K27" s="89">
        <v>2029</v>
      </c>
      <c r="L27" s="171">
        <f>[4]Results!O46</f>
        <v>2.0979782409494527</v>
      </c>
      <c r="M27" s="135">
        <f t="shared" si="12"/>
        <v>44.05754305993851</v>
      </c>
      <c r="N27" s="170">
        <f t="shared" si="13"/>
        <v>44.05754305993851</v>
      </c>
      <c r="P27" s="89">
        <v>2029</v>
      </c>
      <c r="Q27" s="171">
        <f>[5]Results!O46</f>
        <v>0.24108806193236756</v>
      </c>
      <c r="R27" s="135">
        <f t="shared" si="14"/>
        <v>5.0628493005797193</v>
      </c>
      <c r="S27" s="170">
        <f t="shared" si="15"/>
        <v>5.0628493005797193</v>
      </c>
    </row>
    <row r="28" spans="1:19" x14ac:dyDescent="0.25">
      <c r="A28" s="89">
        <v>2030</v>
      </c>
      <c r="B28" s="169">
        <f>[2]Results!O47</f>
        <v>4.1691811550072515</v>
      </c>
      <c r="C28" s="135">
        <f t="shared" si="8"/>
        <v>87.552804255152282</v>
      </c>
      <c r="D28" s="170">
        <f t="shared" si="9"/>
        <v>87.552804255152282</v>
      </c>
      <c r="E28" s="112"/>
      <c r="F28" s="89">
        <v>2030</v>
      </c>
      <c r="G28" s="169">
        <f>[3]Results!O47</f>
        <v>0</v>
      </c>
      <c r="H28" s="135">
        <f t="shared" si="10"/>
        <v>0</v>
      </c>
      <c r="I28" s="170">
        <f t="shared" si="11"/>
        <v>0</v>
      </c>
      <c r="K28" s="89">
        <v>2030</v>
      </c>
      <c r="L28" s="171">
        <f>[4]Results!O47</f>
        <v>2.0978363546565424</v>
      </c>
      <c r="M28" s="135">
        <f t="shared" si="12"/>
        <v>44.054563447787388</v>
      </c>
      <c r="N28" s="170">
        <f t="shared" si="13"/>
        <v>44.054563447787388</v>
      </c>
      <c r="P28" s="89">
        <v>2030</v>
      </c>
      <c r="Q28" s="171">
        <f>[5]Results!O47</f>
        <v>0.26535640003635125</v>
      </c>
      <c r="R28" s="135">
        <f t="shared" si="14"/>
        <v>5.5724844007633765</v>
      </c>
      <c r="S28" s="170">
        <f t="shared" si="15"/>
        <v>5.5724844007633765</v>
      </c>
    </row>
    <row r="29" spans="1:19" x14ac:dyDescent="0.25">
      <c r="A29" s="89">
        <v>2031</v>
      </c>
      <c r="B29" s="149"/>
      <c r="C29" s="110">
        <f t="shared" si="8"/>
        <v>0</v>
      </c>
      <c r="D29" s="111">
        <f t="shared" si="9"/>
        <v>0</v>
      </c>
      <c r="E29" s="112"/>
      <c r="F29" s="89">
        <v>2031</v>
      </c>
      <c r="G29" s="169"/>
      <c r="H29" s="135">
        <f t="shared" si="10"/>
        <v>0</v>
      </c>
      <c r="I29" s="170">
        <f t="shared" si="11"/>
        <v>0</v>
      </c>
      <c r="K29" s="89">
        <v>2031</v>
      </c>
      <c r="L29" s="148"/>
      <c r="M29" s="110">
        <f t="shared" si="12"/>
        <v>0</v>
      </c>
      <c r="N29" s="111">
        <f t="shared" si="13"/>
        <v>0</v>
      </c>
      <c r="P29" s="89">
        <v>2031</v>
      </c>
      <c r="Q29" s="148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126</v>
      </c>
    </row>
    <row r="32" spans="1:19" ht="15.75" thickBot="1" x14ac:dyDescent="0.3">
      <c r="A32" s="209" t="s">
        <v>10</v>
      </c>
      <c r="B32" s="211" t="s">
        <v>80</v>
      </c>
      <c r="C32" s="212"/>
      <c r="D32" s="212"/>
      <c r="E32" s="212"/>
      <c r="F32" s="213"/>
    </row>
    <row r="33" spans="1:6" ht="18.75" thickBot="1" x14ac:dyDescent="0.3">
      <c r="A33" s="210"/>
      <c r="B33" s="211" t="s">
        <v>128</v>
      </c>
      <c r="C33" s="213"/>
      <c r="D33" s="211" t="s">
        <v>132</v>
      </c>
      <c r="E33" s="213"/>
      <c r="F33" s="214" t="s">
        <v>129</v>
      </c>
    </row>
    <row r="34" spans="1:6" ht="18" x14ac:dyDescent="0.25">
      <c r="A34" s="210"/>
      <c r="B34" s="116" t="s">
        <v>130</v>
      </c>
      <c r="C34" s="116" t="s">
        <v>131</v>
      </c>
      <c r="D34" s="116" t="s">
        <v>133</v>
      </c>
      <c r="E34" s="116" t="s">
        <v>131</v>
      </c>
      <c r="F34" s="215"/>
    </row>
    <row r="35" spans="1:6" x14ac:dyDescent="0.25">
      <c r="A35" s="89">
        <v>2011</v>
      </c>
      <c r="B35" s="110">
        <f>[6]REKAPITULASI!B6</f>
        <v>8.9895603600000009E-3</v>
      </c>
      <c r="C35" s="110">
        <f>B35*21</f>
        <v>0.18878076756000001</v>
      </c>
      <c r="D35" s="110">
        <f>[6]REKAPITULASI!D6</f>
        <v>6.7421702699999996E-4</v>
      </c>
      <c r="E35" s="110">
        <f>D35*310</f>
        <v>0.20900727836999999</v>
      </c>
      <c r="F35" s="170">
        <f>E35+C35</f>
        <v>0.39778804593</v>
      </c>
    </row>
    <row r="36" spans="1:6" x14ac:dyDescent="0.25">
      <c r="A36" s="89">
        <v>2012</v>
      </c>
      <c r="B36" s="110">
        <f>[6]REKAPITULASI!B7</f>
        <v>9.0871070400000004E-3</v>
      </c>
      <c r="C36" s="110">
        <f t="shared" ref="C36:C45" si="16">B36*21</f>
        <v>0.19082924783999999</v>
      </c>
      <c r="D36" s="110">
        <f>[6]REKAPITULASI!D7</f>
        <v>6.8153302800000001E-4</v>
      </c>
      <c r="E36" s="110">
        <f t="shared" ref="E36:E45" si="17">D36*310</f>
        <v>0.21127523868</v>
      </c>
      <c r="F36" s="170">
        <f t="shared" ref="F36:F45" si="18">E36+C36</f>
        <v>0.40210448651999997</v>
      </c>
    </row>
    <row r="37" spans="1:6" x14ac:dyDescent="0.25">
      <c r="A37" s="89">
        <v>2013</v>
      </c>
      <c r="B37" s="110">
        <f>[6]REKAPITULASI!B8</f>
        <v>9.278458199999999E-3</v>
      </c>
      <c r="C37" s="110">
        <f t="shared" si="16"/>
        <v>0.19484762219999999</v>
      </c>
      <c r="D37" s="110">
        <f>[6]REKAPITULASI!D8</f>
        <v>6.9588436499999997E-4</v>
      </c>
      <c r="E37" s="110">
        <f t="shared" si="17"/>
        <v>0.21572415314999999</v>
      </c>
      <c r="F37" s="170">
        <f t="shared" si="18"/>
        <v>0.41057177535</v>
      </c>
    </row>
    <row r="38" spans="1:6" x14ac:dyDescent="0.25">
      <c r="A38" s="89">
        <v>2014</v>
      </c>
      <c r="B38" s="110">
        <f>[6]REKAPITULASI!B9</f>
        <v>9.4684312799999983E-3</v>
      </c>
      <c r="C38" s="110">
        <f t="shared" si="16"/>
        <v>0.19883705687999997</v>
      </c>
      <c r="D38" s="110">
        <f>[6]REKAPITULASI!D9</f>
        <v>7.1013234599999985E-4</v>
      </c>
      <c r="E38" s="110">
        <f t="shared" si="17"/>
        <v>0.22014102725999996</v>
      </c>
      <c r="F38" s="170">
        <f t="shared" si="18"/>
        <v>0.41897808413999993</v>
      </c>
    </row>
    <row r="39" spans="1:6" x14ac:dyDescent="0.25">
      <c r="A39" s="89">
        <v>2015</v>
      </c>
      <c r="B39" s="110">
        <f>[6]REKAPITULASI!B10</f>
        <v>9.6536523600000007E-3</v>
      </c>
      <c r="C39" s="110">
        <f t="shared" si="16"/>
        <v>0.20272669956</v>
      </c>
      <c r="D39" s="110">
        <f>[6]REKAPITULASI!D10</f>
        <v>7.2402392700000005E-4</v>
      </c>
      <c r="E39" s="110">
        <f t="shared" si="17"/>
        <v>0.22444741737000001</v>
      </c>
      <c r="F39" s="170">
        <f t="shared" si="18"/>
        <v>0.42717411693000001</v>
      </c>
    </row>
    <row r="40" spans="1:6" x14ac:dyDescent="0.25">
      <c r="A40" s="89">
        <v>2016</v>
      </c>
      <c r="B40" s="110">
        <f>[6]REKAPITULASI!B11</f>
        <v>9.8402396399999998E-3</v>
      </c>
      <c r="C40" s="110">
        <f t="shared" si="16"/>
        <v>0.20664503243999999</v>
      </c>
      <c r="D40" s="110">
        <f>[6]REKAPITULASI!D11</f>
        <v>7.380179729999999E-4</v>
      </c>
      <c r="E40" s="110">
        <f t="shared" si="17"/>
        <v>0.22878557162999996</v>
      </c>
      <c r="F40" s="170">
        <f t="shared" si="18"/>
        <v>0.43543060406999995</v>
      </c>
    </row>
    <row r="41" spans="1:6" x14ac:dyDescent="0.25">
      <c r="A41" s="89">
        <v>2017</v>
      </c>
      <c r="B41" s="110">
        <f>[6]REKAPITULASI!B12</f>
        <v>1.036020729348E-2</v>
      </c>
      <c r="C41" s="110">
        <f t="shared" si="16"/>
        <v>0.21756435316308001</v>
      </c>
      <c r="D41" s="110">
        <f>[6]REKAPITULASI!D12</f>
        <v>7.770155470109999E-4</v>
      </c>
      <c r="E41" s="110">
        <f t="shared" si="17"/>
        <v>0.24087481957340998</v>
      </c>
      <c r="F41" s="170">
        <f t="shared" si="18"/>
        <v>0.45843917273648999</v>
      </c>
    </row>
    <row r="42" spans="1:6" x14ac:dyDescent="0.25">
      <c r="A42" s="89">
        <v>2018</v>
      </c>
      <c r="B42" s="110">
        <f>[6]REKAPITULASI!B13</f>
        <v>1.0921210955665559E-2</v>
      </c>
      <c r="C42" s="110">
        <f t="shared" si="16"/>
        <v>0.22934543006897676</v>
      </c>
      <c r="D42" s="110">
        <f>[6]REKAPITULASI!D13</f>
        <v>8.1909082167491698E-4</v>
      </c>
      <c r="E42" s="110">
        <f t="shared" si="17"/>
        <v>0.25391815471922424</v>
      </c>
      <c r="F42" s="170">
        <f t="shared" si="18"/>
        <v>0.48326358478820097</v>
      </c>
    </row>
    <row r="43" spans="1:6" x14ac:dyDescent="0.25">
      <c r="A43" s="89">
        <v>2019</v>
      </c>
      <c r="B43" s="110">
        <f>[6]REKAPITULASI!B14</f>
        <v>1.1505776748221565E-2</v>
      </c>
      <c r="C43" s="110">
        <f t="shared" si="16"/>
        <v>0.24162131171265286</v>
      </c>
      <c r="D43" s="110">
        <f>[6]REKAPITULASI!D14</f>
        <v>8.6293325611661747E-4</v>
      </c>
      <c r="E43" s="110">
        <f t="shared" si="17"/>
        <v>0.26750930939615142</v>
      </c>
      <c r="F43" s="170">
        <f t="shared" si="18"/>
        <v>0.50913062110880425</v>
      </c>
    </row>
    <row r="44" spans="1:6" x14ac:dyDescent="0.25">
      <c r="A44" s="89">
        <v>2020</v>
      </c>
      <c r="B44" s="110">
        <f>[6]REKAPITULASI!B15</f>
        <v>1.2114792037354527E-2</v>
      </c>
      <c r="C44" s="110">
        <f t="shared" si="16"/>
        <v>0.25441063278444503</v>
      </c>
      <c r="D44" s="110">
        <f>[6]REKAPITULASI!D15</f>
        <v>9.0860940280158939E-4</v>
      </c>
      <c r="E44" s="110">
        <f t="shared" si="17"/>
        <v>0.28166891486849271</v>
      </c>
      <c r="F44" s="170">
        <f t="shared" si="18"/>
        <v>0.53607954765293775</v>
      </c>
    </row>
    <row r="45" spans="1:6" x14ac:dyDescent="0.25">
      <c r="A45" s="89">
        <v>2021</v>
      </c>
      <c r="B45" s="110">
        <f>[6]REKAPITULASI!B16</f>
        <v>1.2749175630804323E-2</v>
      </c>
      <c r="C45" s="110">
        <f t="shared" si="16"/>
        <v>0.26773268824689078</v>
      </c>
      <c r="D45" s="110">
        <f>[6]REKAPITULASI!D16</f>
        <v>9.5618817231032428E-4</v>
      </c>
      <c r="E45" s="110">
        <f t="shared" si="17"/>
        <v>0.29641833341620055</v>
      </c>
      <c r="F45" s="170">
        <f t="shared" si="18"/>
        <v>0.56415102166309139</v>
      </c>
    </row>
    <row r="46" spans="1:6" x14ac:dyDescent="0.25">
      <c r="A46" s="89">
        <v>2022</v>
      </c>
      <c r="B46" s="110">
        <f>[6]REKAPITULASI!B17</f>
        <v>1.340987884924842E-2</v>
      </c>
      <c r="C46" s="110">
        <f t="shared" ref="C46:C55" si="19">B46*21</f>
        <v>0.28160745583421681</v>
      </c>
      <c r="D46" s="110">
        <f>[6]REKAPITULASI!D17</f>
        <v>1.0057409136936316E-3</v>
      </c>
      <c r="E46" s="110">
        <f t="shared" ref="E46:E55" si="20">D46*310</f>
        <v>0.31177968324502581</v>
      </c>
      <c r="F46" s="170">
        <f t="shared" ref="F46:F55" si="21">E46+C46</f>
        <v>0.59338713907924268</v>
      </c>
    </row>
    <row r="47" spans="1:6" x14ac:dyDescent="0.25">
      <c r="A47" s="89">
        <v>2023</v>
      </c>
      <c r="B47" s="110">
        <f>[6]REKAPITULASI!B18</f>
        <v>1.4097886633237704E-2</v>
      </c>
      <c r="C47" s="110">
        <f t="shared" si="19"/>
        <v>0.29605561929799179</v>
      </c>
      <c r="D47" s="110">
        <f>[6]REKAPITULASI!D18</f>
        <v>1.0573414974928278E-3</v>
      </c>
      <c r="E47" s="110">
        <f t="shared" si="20"/>
        <v>0.3277758642227766</v>
      </c>
      <c r="F47" s="170">
        <f t="shared" si="21"/>
        <v>0.62383148352076834</v>
      </c>
    </row>
    <row r="48" spans="1:6" x14ac:dyDescent="0.25">
      <c r="A48" s="89">
        <v>2024</v>
      </c>
      <c r="B48" s="110">
        <f>[6]REKAPITULASI!B19</f>
        <v>1.4814218686819078E-2</v>
      </c>
      <c r="C48" s="110">
        <f t="shared" si="19"/>
        <v>0.31109859242320065</v>
      </c>
      <c r="D48" s="110">
        <f>[6]REKAPITULASI!D19</f>
        <v>1.1110664015114308E-3</v>
      </c>
      <c r="E48" s="110">
        <f t="shared" si="20"/>
        <v>0.34443058446854358</v>
      </c>
      <c r="F48" s="170">
        <f t="shared" si="21"/>
        <v>0.65552917689174417</v>
      </c>
    </row>
    <row r="49" spans="1:10" x14ac:dyDescent="0.25">
      <c r="A49" s="89">
        <v>2025</v>
      </c>
      <c r="B49" s="110">
        <f>[6]REKAPITULASI!B20</f>
        <v>1.5559930659036743E-2</v>
      </c>
      <c r="C49" s="110">
        <f t="shared" si="19"/>
        <v>0.3267585438397716</v>
      </c>
      <c r="D49" s="110">
        <f>[6]REKAPITULASI!D20</f>
        <v>1.1669947994277557E-3</v>
      </c>
      <c r="E49" s="110">
        <f t="shared" si="20"/>
        <v>0.36176838782260429</v>
      </c>
      <c r="F49" s="170">
        <f t="shared" si="21"/>
        <v>0.68852693166237589</v>
      </c>
    </row>
    <row r="50" spans="1:10" x14ac:dyDescent="0.25">
      <c r="A50" s="89">
        <v>2026</v>
      </c>
      <c r="B50" s="110">
        <f>[6]REKAPITULASI!B21</f>
        <v>1.6336115364542443E-2</v>
      </c>
      <c r="C50" s="110">
        <f t="shared" si="19"/>
        <v>0.34305842265539133</v>
      </c>
      <c r="D50" s="110">
        <f>[6]REKAPITULASI!D21</f>
        <v>1.2252086523406834E-3</v>
      </c>
      <c r="E50" s="110">
        <f t="shared" si="20"/>
        <v>0.37981468222561188</v>
      </c>
      <c r="F50" s="170">
        <f t="shared" si="21"/>
        <v>0.7228731048810032</v>
      </c>
    </row>
    <row r="51" spans="1:10" x14ac:dyDescent="0.25">
      <c r="A51" s="89">
        <v>2027</v>
      </c>
      <c r="B51" s="110">
        <f>[6]REKAPITULASI!B22</f>
        <v>1.7143904044584168E-2</v>
      </c>
      <c r="C51" s="110">
        <f t="shared" si="19"/>
        <v>0.36002198493626753</v>
      </c>
      <c r="D51" s="110">
        <f>[6]REKAPITULASI!D22</f>
        <v>1.2857928033438127E-3</v>
      </c>
      <c r="E51" s="110">
        <f t="shared" si="20"/>
        <v>0.39859576903658195</v>
      </c>
      <c r="F51" s="170">
        <f t="shared" si="21"/>
        <v>0.75861775397284947</v>
      </c>
    </row>
    <row r="52" spans="1:10" x14ac:dyDescent="0.25">
      <c r="A52" s="89">
        <v>2028</v>
      </c>
      <c r="B52" s="110">
        <f>[6]REKAPITULASI!B23</f>
        <v>1.7984467669683427E-2</v>
      </c>
      <c r="C52" s="110">
        <f t="shared" si="19"/>
        <v>0.37767382106335196</v>
      </c>
      <c r="D52" s="110">
        <f>[6]REKAPITULASI!D23</f>
        <v>1.3488350752262567E-3</v>
      </c>
      <c r="E52" s="110">
        <f t="shared" si="20"/>
        <v>0.4181388733201396</v>
      </c>
      <c r="F52" s="170">
        <f t="shared" si="21"/>
        <v>0.79581269438349156</v>
      </c>
    </row>
    <row r="53" spans="1:10" x14ac:dyDescent="0.25">
      <c r="A53" s="89">
        <v>2029</v>
      </c>
      <c r="B53" s="110">
        <f>[6]REKAPITULASI!B24</f>
        <v>1.8859018285353125E-2</v>
      </c>
      <c r="C53" s="110">
        <f t="shared" si="19"/>
        <v>0.39603938399241562</v>
      </c>
      <c r="D53" s="110">
        <f>[6]REKAPITULASI!D24</f>
        <v>1.4144263714014841E-3</v>
      </c>
      <c r="E53" s="110">
        <f t="shared" si="20"/>
        <v>0.43847217513446007</v>
      </c>
      <c r="F53" s="170">
        <f t="shared" si="21"/>
        <v>0.83451155912687569</v>
      </c>
    </row>
    <row r="54" spans="1:10" x14ac:dyDescent="0.25">
      <c r="A54" s="89">
        <v>2030</v>
      </c>
      <c r="B54" s="110">
        <f>[6]REKAPITULASI!B25</f>
        <v>1.9761350400000002E-2</v>
      </c>
      <c r="C54" s="110">
        <f t="shared" si="19"/>
        <v>0.41498835840000003</v>
      </c>
      <c r="D54" s="110">
        <f>[6]REKAPITULASI!D25</f>
        <v>1.48210128E-3</v>
      </c>
      <c r="E54" s="110">
        <f t="shared" si="20"/>
        <v>0.45945139679999997</v>
      </c>
      <c r="F54" s="170">
        <f t="shared" si="21"/>
        <v>0.87443975520000006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87</v>
      </c>
      <c r="J57" s="95">
        <v>1000</v>
      </c>
    </row>
    <row r="58" spans="1:10" ht="15.75" thickBot="1" x14ac:dyDescent="0.3">
      <c r="A58" s="203" t="s">
        <v>10</v>
      </c>
      <c r="B58" s="205" t="s">
        <v>88</v>
      </c>
      <c r="C58" s="206"/>
      <c r="D58" s="206"/>
      <c r="E58" s="206"/>
      <c r="F58" s="206"/>
    </row>
    <row r="59" spans="1:10" ht="18.75" thickBot="1" x14ac:dyDescent="0.3">
      <c r="A59" s="204"/>
      <c r="B59" s="205" t="s">
        <v>128</v>
      </c>
      <c r="C59" s="207"/>
      <c r="D59" s="205" t="s">
        <v>132</v>
      </c>
      <c r="E59" s="207"/>
      <c r="F59" s="117" t="s">
        <v>134</v>
      </c>
      <c r="H59" s="193" t="s">
        <v>10</v>
      </c>
      <c r="I59" s="193" t="s">
        <v>144</v>
      </c>
      <c r="J59" s="193"/>
    </row>
    <row r="60" spans="1:10" ht="18" x14ac:dyDescent="0.25">
      <c r="A60" s="204"/>
      <c r="B60" s="118" t="s">
        <v>130</v>
      </c>
      <c r="C60" s="118" t="s">
        <v>131</v>
      </c>
      <c r="D60" s="118" t="s">
        <v>133</v>
      </c>
      <c r="E60" s="118" t="s">
        <v>131</v>
      </c>
      <c r="F60" s="118" t="s">
        <v>135</v>
      </c>
      <c r="H60" s="193"/>
      <c r="I60" s="141" t="s">
        <v>145</v>
      </c>
      <c r="J60" s="141" t="s">
        <v>146</v>
      </c>
    </row>
    <row r="61" spans="1:10" x14ac:dyDescent="0.25">
      <c r="A61" s="89">
        <v>2011</v>
      </c>
      <c r="B61" s="136">
        <f>[6]REKAPITULASI!B32</f>
        <v>6.9117649851250004E-2</v>
      </c>
      <c r="C61" s="120">
        <f>B61*21</f>
        <v>1.4514706468762502</v>
      </c>
      <c r="D61" s="136">
        <f>[6]REKAPITULASI!D32</f>
        <v>1.5950226888750002E-3</v>
      </c>
      <c r="E61" s="120">
        <f>D61*310</f>
        <v>0.49445703355125004</v>
      </c>
      <c r="F61" s="170">
        <f>SUM(C61+E61)</f>
        <v>1.9459276804275003</v>
      </c>
      <c r="H61" s="89">
        <v>2011</v>
      </c>
      <c r="I61" s="142">
        <f>D9+I9+N9+F35+F61-S9</f>
        <v>76.485289362063895</v>
      </c>
      <c r="J61" s="172">
        <f>I61*$J$57</f>
        <v>76485.289362063893</v>
      </c>
    </row>
    <row r="62" spans="1:10" x14ac:dyDescent="0.25">
      <c r="A62" s="89">
        <v>2012</v>
      </c>
      <c r="B62" s="136">
        <f>[6]REKAPITULASI!B33</f>
        <v>6.986765285499999E-2</v>
      </c>
      <c r="C62" s="120">
        <f t="shared" ref="C62:C81" si="22">B62*21</f>
        <v>1.4672207099549999</v>
      </c>
      <c r="D62" s="136">
        <f>[6]REKAPITULASI!D33</f>
        <v>1.6123304504999999E-3</v>
      </c>
      <c r="E62" s="120">
        <f t="shared" ref="E62:E81" si="23">D62*310</f>
        <v>0.49982243965499995</v>
      </c>
      <c r="F62" s="170">
        <f t="shared" ref="F62:F81" si="24">SUM(C62+E62)</f>
        <v>1.9670431496099998</v>
      </c>
      <c r="H62" s="89">
        <v>2012</v>
      </c>
      <c r="I62" s="142">
        <f t="shared" ref="I62:I81" si="25">D10+I10+N10+F36+F62-S10</f>
        <v>81.668420026249635</v>
      </c>
      <c r="J62" s="172">
        <f t="shared" ref="J62:J70" si="26">I62*$J$57</f>
        <v>81668.420026249631</v>
      </c>
    </row>
    <row r="63" spans="1:10" x14ac:dyDescent="0.25">
      <c r="A63" s="89">
        <v>2013</v>
      </c>
      <c r="B63" s="136">
        <f>[6]REKAPITULASI!B34</f>
        <v>7.1338886368750007E-2</v>
      </c>
      <c r="C63" s="120">
        <f t="shared" si="22"/>
        <v>1.49811661374375</v>
      </c>
      <c r="D63" s="136">
        <f>[6]REKAPITULASI!D34</f>
        <v>1.6462819931250001E-3</v>
      </c>
      <c r="E63" s="120">
        <f t="shared" si="23"/>
        <v>0.51034741786875004</v>
      </c>
      <c r="F63" s="170">
        <f t="shared" si="24"/>
        <v>2.0084640316125002</v>
      </c>
      <c r="H63" s="89">
        <v>2013</v>
      </c>
      <c r="I63" s="142">
        <f t="shared" si="25"/>
        <v>85.829193020707407</v>
      </c>
      <c r="J63" s="172">
        <f t="shared" si="26"/>
        <v>85829.193020707404</v>
      </c>
    </row>
    <row r="64" spans="1:10" x14ac:dyDescent="0.25">
      <c r="A64" s="89">
        <v>2014</v>
      </c>
      <c r="B64" s="136">
        <f>[6]REKAPITULASI!B35</f>
        <v>7.2799524297500001E-2</v>
      </c>
      <c r="C64" s="120">
        <f t="shared" si="22"/>
        <v>1.5287900102475001</v>
      </c>
      <c r="D64" s="136">
        <f>[6]REKAPITULASI!D35</f>
        <v>1.6799890222499998E-3</v>
      </c>
      <c r="E64" s="120">
        <f t="shared" si="23"/>
        <v>0.52079659689749991</v>
      </c>
      <c r="F64" s="170">
        <f t="shared" si="24"/>
        <v>2.0495866071449997</v>
      </c>
      <c r="H64" s="89">
        <v>2014</v>
      </c>
      <c r="I64" s="142">
        <f t="shared" si="25"/>
        <v>89.515596199513794</v>
      </c>
      <c r="J64" s="172">
        <f t="shared" si="26"/>
        <v>89515.596199513791</v>
      </c>
    </row>
    <row r="65" spans="1:10" x14ac:dyDescent="0.25">
      <c r="A65" s="89">
        <v>2015</v>
      </c>
      <c r="B65" s="136">
        <f>[6]REKAPITULASI!B36</f>
        <v>7.4223625726249992E-2</v>
      </c>
      <c r="C65" s="120">
        <f t="shared" si="22"/>
        <v>1.5586961402512498</v>
      </c>
      <c r="D65" s="136">
        <f>[6]REKAPITULASI!D36</f>
        <v>1.712852901375E-3</v>
      </c>
      <c r="E65" s="120">
        <f t="shared" si="23"/>
        <v>0.53098439942624998</v>
      </c>
      <c r="F65" s="170">
        <f t="shared" si="24"/>
        <v>2.0896805396774996</v>
      </c>
      <c r="H65" s="89">
        <v>2015</v>
      </c>
      <c r="I65" s="142">
        <f t="shared" si="25"/>
        <v>92.860807515564062</v>
      </c>
      <c r="J65" s="172">
        <f t="shared" si="26"/>
        <v>92860.807515564069</v>
      </c>
    </row>
    <row r="66" spans="1:10" x14ac:dyDescent="0.25">
      <c r="A66" s="89">
        <v>2016</v>
      </c>
      <c r="B66" s="136">
        <f>[6]REKAPITULASI!B37</f>
        <v>7.5658231398749984E-2</v>
      </c>
      <c r="C66" s="120">
        <f t="shared" si="22"/>
        <v>1.5888228593737497</v>
      </c>
      <c r="D66" s="136">
        <f>[6]REKAPITULASI!D37</f>
        <v>1.7459591861249996E-3</v>
      </c>
      <c r="E66" s="120">
        <f t="shared" si="23"/>
        <v>0.54124734769874983</v>
      </c>
      <c r="F66" s="170">
        <f t="shared" si="24"/>
        <v>2.1300702070724995</v>
      </c>
      <c r="H66" s="89">
        <v>2016</v>
      </c>
      <c r="I66" s="142">
        <f t="shared" si="25"/>
        <v>95.949184803366109</v>
      </c>
      <c r="J66" s="172">
        <f t="shared" si="26"/>
        <v>95949.184803366108</v>
      </c>
    </row>
    <row r="67" spans="1:10" x14ac:dyDescent="0.25">
      <c r="A67" s="89">
        <v>2017</v>
      </c>
      <c r="B67" s="136">
        <f>[6]REKAPITULASI!B38</f>
        <v>7.7448793922499995E-2</v>
      </c>
      <c r="C67" s="120">
        <f t="shared" si="22"/>
        <v>1.6264246723725</v>
      </c>
      <c r="D67" s="136">
        <f>[6]REKAPITULASI!D38</f>
        <v>1.7872798597500001E-3</v>
      </c>
      <c r="E67" s="120">
        <f t="shared" si="23"/>
        <v>0.55405675652249997</v>
      </c>
      <c r="F67" s="170">
        <f t="shared" si="24"/>
        <v>2.1804814288949999</v>
      </c>
      <c r="H67" s="89">
        <v>2017</v>
      </c>
      <c r="I67" s="142">
        <f t="shared" si="25"/>
        <v>98.879154740694446</v>
      </c>
      <c r="J67" s="172">
        <f t="shared" si="26"/>
        <v>98879.154740694445</v>
      </c>
    </row>
    <row r="68" spans="1:10" x14ac:dyDescent="0.25">
      <c r="A68" s="89">
        <v>2018</v>
      </c>
      <c r="B68" s="136">
        <f>[6]REKAPITULASI!B39</f>
        <v>7.9380295994999975E-2</v>
      </c>
      <c r="C68" s="120">
        <f t="shared" si="22"/>
        <v>1.6669862158949995</v>
      </c>
      <c r="D68" s="136">
        <f>[6]REKAPITULASI!D39</f>
        <v>1.8318529844999995E-3</v>
      </c>
      <c r="E68" s="120">
        <f t="shared" si="23"/>
        <v>0.56787442519499987</v>
      </c>
      <c r="F68" s="170">
        <f t="shared" si="24"/>
        <v>2.2348606410899992</v>
      </c>
      <c r="H68" s="89">
        <v>2018</v>
      </c>
      <c r="I68" s="142">
        <f t="shared" si="25"/>
        <v>100.29540309750402</v>
      </c>
      <c r="J68" s="172">
        <f t="shared" si="26"/>
        <v>100295.40309750402</v>
      </c>
    </row>
    <row r="69" spans="1:10" x14ac:dyDescent="0.25">
      <c r="A69" s="89">
        <v>2019</v>
      </c>
      <c r="B69" s="136">
        <f>[6]REKAPITULASI!B40</f>
        <v>8.1311798067499996E-2</v>
      </c>
      <c r="C69" s="120">
        <f t="shared" si="22"/>
        <v>1.7075477594174999</v>
      </c>
      <c r="D69" s="136">
        <f>[6]REKAPITULASI!D40</f>
        <v>1.8764261092500002E-3</v>
      </c>
      <c r="E69" s="120">
        <f t="shared" si="23"/>
        <v>0.58169209386750009</v>
      </c>
      <c r="F69" s="170">
        <f t="shared" si="24"/>
        <v>2.2892398532850002</v>
      </c>
      <c r="H69" s="89">
        <v>2019</v>
      </c>
      <c r="I69" s="142">
        <f t="shared" si="25"/>
        <v>102.19539460651121</v>
      </c>
      <c r="J69" s="172">
        <f t="shared" si="26"/>
        <v>102195.39460651121</v>
      </c>
    </row>
    <row r="70" spans="1:10" x14ac:dyDescent="0.25">
      <c r="A70" s="89">
        <v>2020</v>
      </c>
      <c r="B70" s="136">
        <f>[6]REKAPITULASI!B41</f>
        <v>8.324330013999999E-2</v>
      </c>
      <c r="C70" s="120">
        <f t="shared" si="22"/>
        <v>1.7481093029399999</v>
      </c>
      <c r="D70" s="136">
        <f>[6]REKAPITULASI!D41</f>
        <v>1.9209992339999996E-3</v>
      </c>
      <c r="E70" s="120">
        <f t="shared" si="23"/>
        <v>0.59550976253999988</v>
      </c>
      <c r="F70" s="170">
        <f t="shared" si="24"/>
        <v>2.3436190654799995</v>
      </c>
      <c r="H70" s="89">
        <v>2020</v>
      </c>
      <c r="I70" s="142">
        <f t="shared" si="25"/>
        <v>101.69829877862173</v>
      </c>
      <c r="J70" s="172">
        <f t="shared" si="26"/>
        <v>101698.29877862173</v>
      </c>
    </row>
    <row r="71" spans="1:10" x14ac:dyDescent="0.25">
      <c r="A71" s="89">
        <v>2021</v>
      </c>
      <c r="B71" s="136">
        <f>[6]REKAPITULASI!B42</f>
        <v>8.5174802212499998E-2</v>
      </c>
      <c r="C71" s="120">
        <f t="shared" si="22"/>
        <v>1.7886708464624999</v>
      </c>
      <c r="D71" s="136">
        <f>[6]REKAPITULASI!D42</f>
        <v>1.9655723587500003E-3</v>
      </c>
      <c r="E71" s="120">
        <f t="shared" si="23"/>
        <v>0.6093274312125001</v>
      </c>
      <c r="F71" s="170">
        <f t="shared" si="24"/>
        <v>2.3979982776749997</v>
      </c>
      <c r="H71" s="89">
        <v>2021</v>
      </c>
      <c r="I71" s="142">
        <f t="shared" si="25"/>
        <v>104.05378653756999</v>
      </c>
      <c r="J71" s="172">
        <f>I71*$J$57</f>
        <v>104053.78653756999</v>
      </c>
    </row>
    <row r="72" spans="1:10" x14ac:dyDescent="0.25">
      <c r="A72" s="89">
        <v>2022</v>
      </c>
      <c r="B72" s="136">
        <f>[6]REKAPITULASI!B43</f>
        <v>8.7106304284999991E-2</v>
      </c>
      <c r="C72" s="120">
        <f t="shared" si="22"/>
        <v>1.8292323899849998</v>
      </c>
      <c r="D72" s="136">
        <f>[6]REKAPITULASI!D43</f>
        <v>2.0101454835000001E-3</v>
      </c>
      <c r="E72" s="120">
        <f t="shared" si="23"/>
        <v>0.623145099885</v>
      </c>
      <c r="F72" s="170">
        <f t="shared" si="24"/>
        <v>2.4523774898699999</v>
      </c>
      <c r="H72" s="89">
        <v>2022</v>
      </c>
      <c r="I72" s="142">
        <f t="shared" si="25"/>
        <v>106.58187257836298</v>
      </c>
      <c r="J72" s="172">
        <f t="shared" ref="J72:J81" si="27">I72*$J$57</f>
        <v>106581.87257836298</v>
      </c>
    </row>
    <row r="73" spans="1:10" x14ac:dyDescent="0.25">
      <c r="A73" s="89">
        <v>2023</v>
      </c>
      <c r="B73" s="136">
        <f>[6]REKAPITULASI!B44</f>
        <v>8.9037806357499985E-2</v>
      </c>
      <c r="C73" s="120">
        <f t="shared" si="22"/>
        <v>1.8697939335074998</v>
      </c>
      <c r="D73" s="136">
        <f>[6]REKAPITULASI!D44</f>
        <v>2.0547186082499999E-3</v>
      </c>
      <c r="E73" s="120">
        <f t="shared" si="23"/>
        <v>0.6369627685575</v>
      </c>
      <c r="F73" s="170">
        <f t="shared" si="24"/>
        <v>2.5067567020649997</v>
      </c>
      <c r="H73" s="89">
        <v>2023</v>
      </c>
      <c r="I73" s="142">
        <f t="shared" si="25"/>
        <v>109.23860622885057</v>
      </c>
      <c r="J73" s="172">
        <f t="shared" si="27"/>
        <v>109238.60622885058</v>
      </c>
    </row>
    <row r="74" spans="1:10" x14ac:dyDescent="0.25">
      <c r="A74" s="89">
        <v>2024</v>
      </c>
      <c r="B74" s="136">
        <f>[6]REKAPITULASI!B45</f>
        <v>9.0969308429999993E-2</v>
      </c>
      <c r="C74" s="120">
        <f t="shared" si="22"/>
        <v>1.9103554770299997</v>
      </c>
      <c r="D74" s="136">
        <f>[6]REKAPITULASI!D45</f>
        <v>2.0992917329999998E-3</v>
      </c>
      <c r="E74" s="120">
        <f t="shared" si="23"/>
        <v>0.6507804372299999</v>
      </c>
      <c r="F74" s="170">
        <f t="shared" si="24"/>
        <v>2.5611359142599994</v>
      </c>
      <c r="H74" s="89">
        <v>2024</v>
      </c>
      <c r="I74" s="142">
        <f t="shared" si="25"/>
        <v>111.99426958154908</v>
      </c>
      <c r="J74" s="172">
        <f t="shared" si="27"/>
        <v>111994.26958154907</v>
      </c>
    </row>
    <row r="75" spans="1:10" x14ac:dyDescent="0.25">
      <c r="A75" s="89">
        <v>2025</v>
      </c>
      <c r="B75" s="136">
        <f>[6]REKAPITULASI!B46</f>
        <v>9.2900810502499986E-2</v>
      </c>
      <c r="C75" s="120">
        <f t="shared" si="22"/>
        <v>1.9509170205524997</v>
      </c>
      <c r="D75" s="136">
        <f>[6]REKAPITULASI!D46</f>
        <v>2.14386485775E-3</v>
      </c>
      <c r="E75" s="120">
        <f t="shared" si="23"/>
        <v>0.66459810590250001</v>
      </c>
      <c r="F75" s="170">
        <f t="shared" si="24"/>
        <v>2.6155151264549996</v>
      </c>
      <c r="H75" s="89">
        <v>2025</v>
      </c>
      <c r="I75" s="142">
        <f t="shared" si="25"/>
        <v>114.82858221630978</v>
      </c>
      <c r="J75" s="172">
        <f t="shared" si="27"/>
        <v>114828.58221630978</v>
      </c>
    </row>
    <row r="76" spans="1:10" x14ac:dyDescent="0.25">
      <c r="A76" s="89">
        <v>2026</v>
      </c>
      <c r="B76" s="136">
        <f>[6]REKAPITULASI!B47</f>
        <v>9.4832312575000008E-2</v>
      </c>
      <c r="C76" s="120">
        <f t="shared" si="22"/>
        <v>1.9914785640750001</v>
      </c>
      <c r="D76" s="136">
        <f>[6]REKAPITULASI!D47</f>
        <v>2.1884379825000003E-3</v>
      </c>
      <c r="E76" s="120">
        <f t="shared" si="23"/>
        <v>0.67841577457500013</v>
      </c>
      <c r="F76" s="170">
        <f t="shared" si="24"/>
        <v>2.6698943386500003</v>
      </c>
      <c r="H76" s="89">
        <v>2026</v>
      </c>
      <c r="I76" s="142">
        <f t="shared" si="25"/>
        <v>117.7274691969656</v>
      </c>
      <c r="J76" s="172">
        <f t="shared" si="27"/>
        <v>117727.4691969656</v>
      </c>
    </row>
    <row r="77" spans="1:10" x14ac:dyDescent="0.25">
      <c r="A77" s="89">
        <v>2027</v>
      </c>
      <c r="B77" s="136">
        <f>[6]REKAPITULASI!B48</f>
        <v>9.6763814647500002E-2</v>
      </c>
      <c r="C77" s="120">
        <f t="shared" si="22"/>
        <v>2.0320401075975001</v>
      </c>
      <c r="D77" s="136">
        <f>[6]REKAPITULASI!D48</f>
        <v>2.2330111072499997E-3</v>
      </c>
      <c r="E77" s="120">
        <f t="shared" si="23"/>
        <v>0.69223344324749991</v>
      </c>
      <c r="F77" s="170">
        <f t="shared" si="24"/>
        <v>2.724273550845</v>
      </c>
      <c r="H77" s="89">
        <v>2027</v>
      </c>
      <c r="I77" s="142">
        <f t="shared" si="25"/>
        <v>120.68087667429346</v>
      </c>
      <c r="J77" s="172">
        <f t="shared" si="27"/>
        <v>120680.87667429345</v>
      </c>
    </row>
    <row r="78" spans="1:10" x14ac:dyDescent="0.25">
      <c r="A78" s="89">
        <v>2028</v>
      </c>
      <c r="B78" s="136">
        <f>[6]REKAPITULASI!B49</f>
        <v>9.8695316719999968E-2</v>
      </c>
      <c r="C78" s="120">
        <f t="shared" si="22"/>
        <v>2.0726016511199994</v>
      </c>
      <c r="D78" s="136">
        <f>[6]REKAPITULASI!D49</f>
        <v>2.2775842319999995E-3</v>
      </c>
      <c r="E78" s="120">
        <f t="shared" si="23"/>
        <v>0.70605111191999981</v>
      </c>
      <c r="F78" s="170">
        <f t="shared" si="24"/>
        <v>2.7786527630399993</v>
      </c>
      <c r="H78" s="89">
        <v>2028</v>
      </c>
      <c r="I78" s="142">
        <f t="shared" si="25"/>
        <v>123.68128920702833</v>
      </c>
      <c r="J78" s="172">
        <f t="shared" si="27"/>
        <v>123681.28920702833</v>
      </c>
    </row>
    <row r="79" spans="1:10" x14ac:dyDescent="0.25">
      <c r="A79" s="89">
        <v>2029</v>
      </c>
      <c r="B79" s="136">
        <f>[6]REKAPITULASI!B50</f>
        <v>0.1006268187925</v>
      </c>
      <c r="C79" s="120">
        <f t="shared" si="22"/>
        <v>2.1131631946425</v>
      </c>
      <c r="D79" s="136">
        <f>[6]REKAPITULASI!D50</f>
        <v>2.3221573567499998E-3</v>
      </c>
      <c r="E79" s="120">
        <f t="shared" si="23"/>
        <v>0.71986878059249992</v>
      </c>
      <c r="F79" s="170">
        <f t="shared" si="24"/>
        <v>2.8330319752349999</v>
      </c>
      <c r="H79" s="89">
        <v>2029</v>
      </c>
      <c r="I79" s="142">
        <f t="shared" si="25"/>
        <v>126.72271673238846</v>
      </c>
      <c r="J79" s="172">
        <f t="shared" si="27"/>
        <v>126722.71673238846</v>
      </c>
    </row>
    <row r="80" spans="1:10" x14ac:dyDescent="0.25">
      <c r="A80" s="89">
        <v>2030</v>
      </c>
      <c r="B80" s="136">
        <f>[6]REKAPITULASI!B51</f>
        <v>0.10255832086499998</v>
      </c>
      <c r="C80" s="120">
        <f t="shared" si="22"/>
        <v>2.1537247381649998</v>
      </c>
      <c r="D80" s="136">
        <f>[6]REKAPITULASI!D51</f>
        <v>2.3667304814999996E-3</v>
      </c>
      <c r="E80" s="120">
        <f t="shared" si="23"/>
        <v>0.73368644926499993</v>
      </c>
      <c r="F80" s="170">
        <f t="shared" si="24"/>
        <v>2.8874111874299997</v>
      </c>
      <c r="H80" s="89">
        <v>2030</v>
      </c>
      <c r="I80" s="142">
        <f t="shared" si="25"/>
        <v>129.79673424480626</v>
      </c>
      <c r="J80" s="172">
        <f t="shared" si="27"/>
        <v>129796.73424480626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5"/>
        <v>0</v>
      </c>
      <c r="J81" s="143">
        <f t="shared" si="27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143</v>
      </c>
      <c r="B85" s="101"/>
      <c r="C85" s="100"/>
      <c r="D85" s="101"/>
      <c r="G85" s="95">
        <v>1000</v>
      </c>
    </row>
    <row r="86" spans="1:10" ht="18.75" thickBot="1" x14ac:dyDescent="0.3">
      <c r="A86" s="196" t="s">
        <v>10</v>
      </c>
      <c r="B86" s="198" t="s">
        <v>136</v>
      </c>
      <c r="C86" s="199"/>
      <c r="D86" s="191" t="s">
        <v>137</v>
      </c>
      <c r="E86" s="192"/>
      <c r="F86" s="194" t="s">
        <v>94</v>
      </c>
      <c r="G86" s="195"/>
    </row>
    <row r="87" spans="1:10" ht="81.75" thickBot="1" x14ac:dyDescent="0.3">
      <c r="A87" s="197"/>
      <c r="B87" s="124" t="s">
        <v>138</v>
      </c>
      <c r="C87" s="124" t="s">
        <v>139</v>
      </c>
      <c r="D87" s="125" t="s">
        <v>140</v>
      </c>
      <c r="E87" s="125" t="s">
        <v>141</v>
      </c>
      <c r="F87" s="126" t="s">
        <v>142</v>
      </c>
      <c r="G87" s="126" t="s">
        <v>147</v>
      </c>
    </row>
    <row r="88" spans="1:10" ht="15.75" thickBot="1" x14ac:dyDescent="0.3">
      <c r="A88" s="197"/>
      <c r="B88" s="200" t="s">
        <v>100</v>
      </c>
      <c r="C88" s="127" t="s">
        <v>101</v>
      </c>
      <c r="D88" s="128" t="s">
        <v>102</v>
      </c>
      <c r="E88" s="129" t="s">
        <v>103</v>
      </c>
      <c r="F88" s="130" t="s">
        <v>104</v>
      </c>
      <c r="G88" s="130" t="s">
        <v>104</v>
      </c>
    </row>
    <row r="89" spans="1:10" x14ac:dyDescent="0.25">
      <c r="A89" s="197"/>
      <c r="B89" s="201"/>
      <c r="C89" s="131" t="s">
        <v>105</v>
      </c>
      <c r="D89" s="132"/>
      <c r="E89" s="133" t="s">
        <v>106</v>
      </c>
      <c r="F89" s="134" t="s">
        <v>107</v>
      </c>
      <c r="G89" s="134" t="s">
        <v>107</v>
      </c>
    </row>
    <row r="90" spans="1:10" x14ac:dyDescent="0.25">
      <c r="A90" s="89">
        <v>2011</v>
      </c>
      <c r="B90" s="137">
        <f>[6]REKAPITULASI!B59</f>
        <v>0.78928101264719996</v>
      </c>
      <c r="C90" s="140">
        <f>B90*21</f>
        <v>16.574901265591198</v>
      </c>
      <c r="D90" s="139">
        <f>[6]REKAPITULASI!D59</f>
        <v>2.6823813056857142E-2</v>
      </c>
      <c r="E90" s="135">
        <f>D90*310</f>
        <v>8.3153820476257145</v>
      </c>
      <c r="F90" s="138">
        <f>C90+E90</f>
        <v>24.890283313216912</v>
      </c>
      <c r="G90" s="173">
        <f>F90*$G$85</f>
        <v>24890.283313216911</v>
      </c>
    </row>
    <row r="91" spans="1:10" x14ac:dyDescent="0.25">
      <c r="A91" s="89">
        <v>2012</v>
      </c>
      <c r="B91" s="137">
        <f>[6]REKAPITULASI!B60</f>
        <v>0.79785918886079998</v>
      </c>
      <c r="C91" s="140">
        <f t="shared" ref="C91:C110" si="28">B91*21</f>
        <v>16.7550429660768</v>
      </c>
      <c r="D91" s="139">
        <f>[6]REKAPITULASI!D60</f>
        <v>2.6138451805714287E-2</v>
      </c>
      <c r="E91" s="135">
        <f t="shared" ref="E91:E110" si="29">D91*310</f>
        <v>8.1029200597714297</v>
      </c>
      <c r="F91" s="138">
        <f t="shared" ref="F91:F110" si="30">C91+E91</f>
        <v>24.857963025848228</v>
      </c>
      <c r="G91" s="173">
        <f t="shared" ref="G91:G109" si="31">F91*$G$85</f>
        <v>24857.963025848228</v>
      </c>
    </row>
    <row r="92" spans="1:10" x14ac:dyDescent="0.25">
      <c r="A92" s="89">
        <v>2013</v>
      </c>
      <c r="B92" s="137">
        <f>[6]REKAPITULASI!B61</f>
        <v>0.81468645524400007</v>
      </c>
      <c r="C92" s="140">
        <f t="shared" si="28"/>
        <v>17.108415560124001</v>
      </c>
      <c r="D92" s="139">
        <f>[6]REKAPITULASI!D61</f>
        <v>2.631229492571429E-2</v>
      </c>
      <c r="E92" s="135">
        <f t="shared" si="29"/>
        <v>8.15681142697143</v>
      </c>
      <c r="F92" s="138">
        <f t="shared" si="30"/>
        <v>25.265226987095431</v>
      </c>
      <c r="G92" s="173">
        <f t="shared" si="31"/>
        <v>25265.22698709543</v>
      </c>
    </row>
    <row r="93" spans="1:10" x14ac:dyDescent="0.25">
      <c r="A93" s="89">
        <v>2014</v>
      </c>
      <c r="B93" s="137">
        <f>[6]REKAPITULASI!B62</f>
        <v>0.83139253438560012</v>
      </c>
      <c r="C93" s="140">
        <f t="shared" si="28"/>
        <v>17.459243222097601</v>
      </c>
      <c r="D93" s="139">
        <f>[6]REKAPITULASI!D62</f>
        <v>2.7447955268380956E-2</v>
      </c>
      <c r="E93" s="135">
        <f t="shared" si="29"/>
        <v>8.5088661331980955</v>
      </c>
      <c r="F93" s="138">
        <f t="shared" si="30"/>
        <v>25.968109355295695</v>
      </c>
      <c r="G93" s="173">
        <f t="shared" si="31"/>
        <v>25968.109355295695</v>
      </c>
    </row>
    <row r="94" spans="1:10" x14ac:dyDescent="0.25">
      <c r="A94" s="89">
        <v>2015</v>
      </c>
      <c r="B94" s="137">
        <f>[6]REKAPITULASI!B63</f>
        <v>0.84768072648719994</v>
      </c>
      <c r="C94" s="140">
        <f t="shared" si="28"/>
        <v>17.801295256231199</v>
      </c>
      <c r="D94" s="139">
        <f>[6]REKAPITULASI!D63</f>
        <v>2.7985700737238099E-2</v>
      </c>
      <c r="E94" s="135">
        <f t="shared" si="29"/>
        <v>8.6755672285438106</v>
      </c>
      <c r="F94" s="138">
        <f t="shared" si="30"/>
        <v>26.476862484775012</v>
      </c>
      <c r="G94" s="173">
        <f t="shared" si="31"/>
        <v>26476.862484775011</v>
      </c>
    </row>
    <row r="95" spans="1:10" x14ac:dyDescent="0.25">
      <c r="A95" s="89">
        <v>2016</v>
      </c>
      <c r="B95" s="137">
        <f>[6]REKAPITULASI!B64</f>
        <v>0.86408906111280004</v>
      </c>
      <c r="C95" s="140">
        <f t="shared" si="28"/>
        <v>18.145870283368801</v>
      </c>
      <c r="D95" s="139">
        <f>[6]REKAPITULASI!D64</f>
        <v>2.8527412643714285E-2</v>
      </c>
      <c r="E95" s="135">
        <f t="shared" si="29"/>
        <v>8.8434979195514281</v>
      </c>
      <c r="F95" s="138">
        <f t="shared" si="30"/>
        <v>26.989368202920229</v>
      </c>
      <c r="G95" s="173">
        <f t="shared" si="31"/>
        <v>26989.368202920228</v>
      </c>
    </row>
    <row r="96" spans="1:10" x14ac:dyDescent="0.25">
      <c r="A96" s="89">
        <v>2017</v>
      </c>
      <c r="B96" s="137">
        <f>[6]REKAPITULASI!B65</f>
        <v>0.88456866022559988</v>
      </c>
      <c r="C96" s="140">
        <f t="shared" si="28"/>
        <v>18.575941864737597</v>
      </c>
      <c r="D96" s="139">
        <f>[6]REKAPITULASI!D65</f>
        <v>2.9203535049333335E-2</v>
      </c>
      <c r="E96" s="135">
        <f t="shared" si="29"/>
        <v>9.0530958652933347</v>
      </c>
      <c r="F96" s="138">
        <f t="shared" si="30"/>
        <v>27.62903773003093</v>
      </c>
      <c r="G96" s="173">
        <f t="shared" si="31"/>
        <v>27629.03773003093</v>
      </c>
    </row>
    <row r="97" spans="1:7" x14ac:dyDescent="0.25">
      <c r="A97" s="89">
        <v>2018</v>
      </c>
      <c r="B97" s="137">
        <f>[6]REKAPITULASI!B66</f>
        <v>0.90666025859519994</v>
      </c>
      <c r="C97" s="140">
        <f t="shared" si="28"/>
        <v>19.039865430499198</v>
      </c>
      <c r="D97" s="139">
        <f>[6]REKAPITULASI!D66</f>
        <v>2.9932876700571428E-2</v>
      </c>
      <c r="E97" s="135">
        <f t="shared" si="29"/>
        <v>9.2791917771771431</v>
      </c>
      <c r="F97" s="138">
        <f t="shared" si="30"/>
        <v>28.319057207676341</v>
      </c>
      <c r="G97" s="173">
        <f t="shared" si="31"/>
        <v>28319.057207676342</v>
      </c>
    </row>
    <row r="98" spans="1:7" x14ac:dyDescent="0.25">
      <c r="A98" s="89">
        <v>2019</v>
      </c>
      <c r="B98" s="137">
        <f>[6]REKAPITULASI!B67</f>
        <v>0.9287518569648</v>
      </c>
      <c r="C98" s="140">
        <f t="shared" si="28"/>
        <v>19.503788996260798</v>
      </c>
      <c r="D98" s="139">
        <f>[6]REKAPITULASI!D67</f>
        <v>3.0662218351809527E-2</v>
      </c>
      <c r="E98" s="135">
        <f t="shared" si="29"/>
        <v>9.5052876890609532</v>
      </c>
      <c r="F98" s="138">
        <f t="shared" si="30"/>
        <v>29.009076685321752</v>
      </c>
      <c r="G98" s="173">
        <f t="shared" si="31"/>
        <v>29009.07668532175</v>
      </c>
    </row>
    <row r="99" spans="1:7" x14ac:dyDescent="0.25">
      <c r="A99" s="89">
        <v>2020</v>
      </c>
      <c r="B99" s="137">
        <f>[6]REKAPITULASI!B68</f>
        <v>0.95084345533440007</v>
      </c>
      <c r="C99" s="140">
        <f t="shared" si="28"/>
        <v>19.967712562022403</v>
      </c>
      <c r="D99" s="139">
        <f>[6]REKAPITULASI!D68</f>
        <v>3.1391560003047631E-2</v>
      </c>
      <c r="E99" s="135">
        <f t="shared" si="29"/>
        <v>9.7313836009447652</v>
      </c>
      <c r="F99" s="138">
        <f t="shared" si="30"/>
        <v>29.699096162967166</v>
      </c>
      <c r="G99" s="173">
        <f t="shared" si="31"/>
        <v>29699.096162967166</v>
      </c>
    </row>
    <row r="100" spans="1:7" x14ac:dyDescent="0.25">
      <c r="A100" s="89">
        <v>2021</v>
      </c>
      <c r="B100" s="137">
        <f>[6]REKAPITULASI!B69</f>
        <v>0.97293505370400002</v>
      </c>
      <c r="C100" s="140">
        <f t="shared" si="28"/>
        <v>20.431636127784</v>
      </c>
      <c r="D100" s="139">
        <f>[6]REKAPITULASI!D69</f>
        <v>3.2120901654285716E-2</v>
      </c>
      <c r="E100" s="135">
        <f t="shared" si="29"/>
        <v>9.9574795128285718</v>
      </c>
      <c r="F100" s="138">
        <f t="shared" si="30"/>
        <v>30.389115640612573</v>
      </c>
      <c r="G100" s="173">
        <f t="shared" si="31"/>
        <v>30389.115640612574</v>
      </c>
    </row>
    <row r="101" spans="1:7" x14ac:dyDescent="0.25">
      <c r="A101" s="89">
        <v>2022</v>
      </c>
      <c r="B101" s="137">
        <f>[6]REKAPITULASI!B70</f>
        <v>0.99502665207359986</v>
      </c>
      <c r="C101" s="140">
        <f t="shared" si="28"/>
        <v>20.895559693545597</v>
      </c>
      <c r="D101" s="139">
        <f>[6]REKAPITULASI!D70</f>
        <v>3.2850243305523816E-2</v>
      </c>
      <c r="E101" s="135">
        <f t="shared" si="29"/>
        <v>10.183575424712384</v>
      </c>
      <c r="F101" s="138">
        <f t="shared" si="30"/>
        <v>31.07913511825798</v>
      </c>
      <c r="G101" s="173">
        <f t="shared" si="31"/>
        <v>31079.135118257982</v>
      </c>
    </row>
    <row r="102" spans="1:7" x14ac:dyDescent="0.25">
      <c r="A102" s="89">
        <v>2023</v>
      </c>
      <c r="B102" s="137">
        <f>[6]REKAPITULASI!B71</f>
        <v>1.0171182504431999</v>
      </c>
      <c r="C102" s="140">
        <f t="shared" si="28"/>
        <v>21.359483259307197</v>
      </c>
      <c r="D102" s="139">
        <f>[6]REKAPITULASI!D71</f>
        <v>3.3579584956761908E-2</v>
      </c>
      <c r="E102" s="135">
        <f t="shared" si="29"/>
        <v>10.409671336596192</v>
      </c>
      <c r="F102" s="138">
        <f t="shared" si="30"/>
        <v>31.769154595903387</v>
      </c>
      <c r="G102" s="173">
        <f t="shared" si="31"/>
        <v>31769.154595903387</v>
      </c>
    </row>
    <row r="103" spans="1:7" x14ac:dyDescent="0.25">
      <c r="A103" s="89">
        <v>2024</v>
      </c>
      <c r="B103" s="137">
        <f>[6]REKAPITULASI!B72</f>
        <v>1.0392098488128001</v>
      </c>
      <c r="C103" s="140">
        <f t="shared" si="28"/>
        <v>21.823406825068801</v>
      </c>
      <c r="D103" s="139">
        <f>[6]REKAPITULASI!D72</f>
        <v>3.4308926608000001E-2</v>
      </c>
      <c r="E103" s="135">
        <f t="shared" si="29"/>
        <v>10.635767248480001</v>
      </c>
      <c r="F103" s="138">
        <f t="shared" si="30"/>
        <v>32.459174073548802</v>
      </c>
      <c r="G103" s="173">
        <f t="shared" si="31"/>
        <v>32459.174073548802</v>
      </c>
    </row>
    <row r="104" spans="1:7" x14ac:dyDescent="0.25">
      <c r="A104" s="89">
        <v>2025</v>
      </c>
      <c r="B104" s="137">
        <f>[6]REKAPITULASI!B73</f>
        <v>1.0613014471824</v>
      </c>
      <c r="C104" s="140">
        <f t="shared" si="28"/>
        <v>22.287330390830402</v>
      </c>
      <c r="D104" s="139">
        <f>[6]REKAPITULASI!D73</f>
        <v>3.5038268259238101E-2</v>
      </c>
      <c r="E104" s="135">
        <f t="shared" si="29"/>
        <v>10.861863160363811</v>
      </c>
      <c r="F104" s="138">
        <f t="shared" si="30"/>
        <v>33.149193551194216</v>
      </c>
      <c r="G104" s="173">
        <f t="shared" si="31"/>
        <v>33149.193551194214</v>
      </c>
    </row>
    <row r="105" spans="1:7" x14ac:dyDescent="0.25">
      <c r="A105" s="89">
        <v>2026</v>
      </c>
      <c r="B105" s="137">
        <f>[6]REKAPITULASI!B74</f>
        <v>1.083393045552</v>
      </c>
      <c r="C105" s="140">
        <f t="shared" si="28"/>
        <v>22.751253956591999</v>
      </c>
      <c r="D105" s="139">
        <f>[6]REKAPITULASI!D74</f>
        <v>3.5767609910476193E-2</v>
      </c>
      <c r="E105" s="135">
        <f t="shared" si="29"/>
        <v>11.087959072247619</v>
      </c>
      <c r="F105" s="138">
        <f t="shared" si="30"/>
        <v>33.839213028839616</v>
      </c>
      <c r="G105" s="173">
        <f t="shared" si="31"/>
        <v>33839.213028839615</v>
      </c>
    </row>
    <row r="106" spans="1:7" x14ac:dyDescent="0.25">
      <c r="A106" s="89">
        <v>2027</v>
      </c>
      <c r="B106" s="137">
        <f>[6]REKAPITULASI!B75</f>
        <v>1.1054846439216002</v>
      </c>
      <c r="C106" s="140">
        <f t="shared" si="28"/>
        <v>23.215177522353603</v>
      </c>
      <c r="D106" s="139">
        <f>[6]REKAPITULASI!D75</f>
        <v>3.6496951561714286E-2</v>
      </c>
      <c r="E106" s="135">
        <f t="shared" si="29"/>
        <v>11.314054984131429</v>
      </c>
      <c r="F106" s="138">
        <f t="shared" si="30"/>
        <v>34.52923250648503</v>
      </c>
      <c r="G106" s="173">
        <f t="shared" si="31"/>
        <v>34529.23250648503</v>
      </c>
    </row>
    <row r="107" spans="1:7" x14ac:dyDescent="0.25">
      <c r="A107" s="89">
        <v>2028</v>
      </c>
      <c r="B107" s="137">
        <f>[6]REKAPITULASI!B76</f>
        <v>1.1275762422911999</v>
      </c>
      <c r="C107" s="140">
        <f t="shared" si="28"/>
        <v>23.679101088115196</v>
      </c>
      <c r="D107" s="139">
        <f>[6]REKAPITULASI!D76</f>
        <v>3.7226293212952385E-2</v>
      </c>
      <c r="E107" s="135">
        <f t="shared" si="29"/>
        <v>11.540150896015239</v>
      </c>
      <c r="F107" s="138">
        <f t="shared" si="30"/>
        <v>35.219251984130437</v>
      </c>
      <c r="G107" s="173">
        <f t="shared" si="31"/>
        <v>35219.251984130438</v>
      </c>
    </row>
    <row r="108" spans="1:7" x14ac:dyDescent="0.25">
      <c r="A108" s="89">
        <v>2029</v>
      </c>
      <c r="B108" s="137">
        <f>[6]REKAPITULASI!B77</f>
        <v>1.1496678406608001</v>
      </c>
      <c r="C108" s="140">
        <f t="shared" si="28"/>
        <v>24.1430246538768</v>
      </c>
      <c r="D108" s="139">
        <f>[6]REKAPITULASI!D77</f>
        <v>3.7955634864190471E-2</v>
      </c>
      <c r="E108" s="135">
        <f t="shared" si="29"/>
        <v>11.766246807899046</v>
      </c>
      <c r="F108" s="138">
        <f t="shared" si="30"/>
        <v>35.909271461775845</v>
      </c>
      <c r="G108" s="173">
        <f t="shared" si="31"/>
        <v>35909.271461775847</v>
      </c>
    </row>
    <row r="109" spans="1:7" x14ac:dyDescent="0.25">
      <c r="A109" s="89">
        <v>2030</v>
      </c>
      <c r="B109" s="137">
        <f>[6]REKAPITULASI!B78</f>
        <v>1.1717594390304003</v>
      </c>
      <c r="C109" s="140">
        <f t="shared" si="28"/>
        <v>24.606948219638404</v>
      </c>
      <c r="D109" s="139">
        <f>[6]REKAPITULASI!D78</f>
        <v>3.8684976515428578E-2</v>
      </c>
      <c r="E109" s="135">
        <f t="shared" si="29"/>
        <v>11.99234271978286</v>
      </c>
      <c r="F109" s="138">
        <f t="shared" si="30"/>
        <v>36.599290939421266</v>
      </c>
      <c r="G109" s="173">
        <f t="shared" si="31"/>
        <v>36599.290939421269</v>
      </c>
    </row>
    <row r="110" spans="1:7" x14ac:dyDescent="0.25">
      <c r="A110" s="89">
        <v>2031</v>
      </c>
      <c r="B110" s="137"/>
      <c r="C110" s="140">
        <f t="shared" si="28"/>
        <v>0</v>
      </c>
      <c r="D110" s="139"/>
      <c r="E110" s="135">
        <f t="shared" si="29"/>
        <v>0</v>
      </c>
      <c r="F110" s="138">
        <f t="shared" si="30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C15" sqref="C15:C25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6" t="s">
        <v>10</v>
      </c>
      <c r="C3" s="216" t="s">
        <v>151</v>
      </c>
      <c r="D3" s="216"/>
    </row>
    <row r="4" spans="2:4" x14ac:dyDescent="0.25">
      <c r="B4" s="216"/>
      <c r="C4" s="146" t="s">
        <v>150</v>
      </c>
      <c r="D4" s="146" t="s">
        <v>146</v>
      </c>
    </row>
    <row r="5" spans="2:4" ht="15" x14ac:dyDescent="0.25">
      <c r="B5" s="89">
        <v>2011</v>
      </c>
      <c r="C5" s="165">
        <f>'[7]4D2_CH4_Industrial_Wastewater'!$G12</f>
        <v>6384</v>
      </c>
      <c r="D5" s="165">
        <f>(C5*21)/1000</f>
        <v>134.06399999999999</v>
      </c>
    </row>
    <row r="6" spans="2:4" ht="15" x14ac:dyDescent="0.25">
      <c r="B6" s="89">
        <v>2012</v>
      </c>
      <c r="C6" s="165">
        <f>'[7]4D2_CH4_Industrial_Wastewater'!$G13</f>
        <v>31464</v>
      </c>
      <c r="D6" s="165">
        <f t="shared" ref="D6:D15" si="0">(C6*21)/1000</f>
        <v>660.74400000000003</v>
      </c>
    </row>
    <row r="7" spans="2:4" ht="15" x14ac:dyDescent="0.25">
      <c r="B7" s="89">
        <v>2013</v>
      </c>
      <c r="C7" s="165">
        <f>'[7]4D2_CH4_Industrial_Wastewater'!$G14</f>
        <v>35466</v>
      </c>
      <c r="D7" s="165">
        <f t="shared" si="0"/>
        <v>744.78599999999994</v>
      </c>
    </row>
    <row r="8" spans="2:4" ht="15" x14ac:dyDescent="0.25">
      <c r="B8" s="89">
        <v>2014</v>
      </c>
      <c r="C8" s="165">
        <f>'[7]4D2_CH4_Industrial_Wastewater'!$G15</f>
        <v>33984</v>
      </c>
      <c r="D8" s="165">
        <f t="shared" si="0"/>
        <v>713.66399999999999</v>
      </c>
    </row>
    <row r="9" spans="2:4" ht="15" x14ac:dyDescent="0.25">
      <c r="B9" s="89">
        <v>2015</v>
      </c>
      <c r="C9" s="165">
        <f>'[7]4D2_CH4_Industrial_Wastewater'!$G16</f>
        <v>42564</v>
      </c>
      <c r="D9" s="165">
        <f t="shared" si="0"/>
        <v>893.84400000000005</v>
      </c>
    </row>
    <row r="10" spans="2:4" ht="15" x14ac:dyDescent="0.25">
      <c r="B10" s="89">
        <v>2016</v>
      </c>
      <c r="C10" s="165">
        <f>'[7]4D2_CH4_Industrial_Wastewater'!$G17</f>
        <v>35700</v>
      </c>
      <c r="D10" s="165">
        <f t="shared" si="0"/>
        <v>749.7</v>
      </c>
    </row>
    <row r="11" spans="2:4" ht="15" x14ac:dyDescent="0.25">
      <c r="B11" s="89">
        <v>2017</v>
      </c>
      <c r="C11" s="165">
        <f>'[7]4D2_CH4_Industrial_Wastewater'!$G18</f>
        <v>193995.43596</v>
      </c>
      <c r="D11" s="165">
        <f t="shared" si="0"/>
        <v>4073.9041551600003</v>
      </c>
    </row>
    <row r="12" spans="2:4" ht="15" x14ac:dyDescent="0.25">
      <c r="B12" s="89">
        <v>2018</v>
      </c>
      <c r="C12" s="165">
        <f>'[7]4D2_CH4_Industrial_Wastewater'!$G19</f>
        <v>250077.57924095995</v>
      </c>
      <c r="D12" s="165">
        <f t="shared" si="0"/>
        <v>5251.6291640601585</v>
      </c>
    </row>
    <row r="13" spans="2:4" ht="15" x14ac:dyDescent="0.25">
      <c r="B13" s="89">
        <v>2019</v>
      </c>
      <c r="C13" s="165">
        <f>'[7]4D2_CH4_Industrial_Wastewater'!$G20</f>
        <v>322240.45957778767</v>
      </c>
      <c r="D13" s="165">
        <f t="shared" si="0"/>
        <v>6767.0496511335414</v>
      </c>
    </row>
    <row r="14" spans="2:4" ht="15" x14ac:dyDescent="0.25">
      <c r="B14" s="89">
        <v>2020</v>
      </c>
      <c r="C14" s="165">
        <f>'[7]4D2_CH4_Industrial_Wastewater'!$G21</f>
        <v>415063.39889326872</v>
      </c>
      <c r="D14" s="165">
        <f t="shared" si="0"/>
        <v>8716.3313767586424</v>
      </c>
    </row>
    <row r="15" spans="2:4" ht="15" x14ac:dyDescent="0.25">
      <c r="B15" s="89">
        <v>2021</v>
      </c>
      <c r="C15" s="165">
        <f>'[7]4D2_CH4_Industrial_Wastewater'!$G22</f>
        <v>534422.15394015692</v>
      </c>
      <c r="D15" s="165">
        <f t="shared" si="0"/>
        <v>11222.865232743296</v>
      </c>
    </row>
    <row r="16" spans="2:4" ht="15" x14ac:dyDescent="0.25">
      <c r="B16" s="89">
        <v>2022</v>
      </c>
      <c r="C16" s="165">
        <f>'[7]4D2_CH4_Industrial_Wastewater'!$G23</f>
        <v>687854.09390365973</v>
      </c>
      <c r="D16" s="147">
        <f t="shared" ref="D16:D25" si="1">(C16*21)/1000</f>
        <v>14444.935971976854</v>
      </c>
    </row>
    <row r="17" spans="2:4" ht="15" x14ac:dyDescent="0.25">
      <c r="B17" s="89">
        <v>2023</v>
      </c>
      <c r="C17" s="165">
        <f>'[7]4D2_CH4_Industrial_Wastewater'!$G24</f>
        <v>885025.78832207806</v>
      </c>
      <c r="D17" s="147">
        <f t="shared" si="1"/>
        <v>18585.541554763637</v>
      </c>
    </row>
    <row r="18" spans="2:4" ht="15" x14ac:dyDescent="0.25">
      <c r="B18" s="89">
        <v>2024</v>
      </c>
      <c r="C18" s="165">
        <f>'[7]4D2_CH4_Industrial_Wastewater'!$G25</f>
        <v>1138331.6141833623</v>
      </c>
      <c r="D18" s="147">
        <f t="shared" si="1"/>
        <v>23904.963897850612</v>
      </c>
    </row>
    <row r="19" spans="2:4" ht="15" x14ac:dyDescent="0.25">
      <c r="B19" s="89">
        <v>2025</v>
      </c>
      <c r="C19" s="165">
        <f>'[7]4D2_CH4_Industrial_Wastewater'!$G26</f>
        <v>1463659.9556952326</v>
      </c>
      <c r="D19" s="147">
        <f t="shared" si="1"/>
        <v>30736.859069599886</v>
      </c>
    </row>
    <row r="20" spans="2:4" ht="15" x14ac:dyDescent="0.25">
      <c r="B20" s="89">
        <v>2026</v>
      </c>
      <c r="C20" s="165">
        <f>'[7]4D2_CH4_Industrial_Wastewater'!$G27</f>
        <v>1881373.7454208974</v>
      </c>
      <c r="D20" s="147">
        <f t="shared" si="1"/>
        <v>39508.848653838846</v>
      </c>
    </row>
    <row r="21" spans="2:4" ht="15" x14ac:dyDescent="0.25">
      <c r="B21" s="89">
        <v>2027</v>
      </c>
      <c r="C21" s="165">
        <f>'[7]4D2_CH4_Industrial_Wastewater'!$G28</f>
        <v>2417565.0930667785</v>
      </c>
      <c r="D21" s="147">
        <f t="shared" si="1"/>
        <v>50768.866954402351</v>
      </c>
    </row>
    <row r="22" spans="2:4" ht="15" x14ac:dyDescent="0.25">
      <c r="B22" s="89">
        <v>2028</v>
      </c>
      <c r="C22" s="165">
        <f>'[7]4D2_CH4_Industrial_Wastewater'!$G29</f>
        <v>3105660.3489773753</v>
      </c>
      <c r="D22" s="147">
        <f t="shared" si="1"/>
        <v>65218.867328524881</v>
      </c>
    </row>
    <row r="23" spans="2:4" ht="15" x14ac:dyDescent="0.25">
      <c r="B23" s="89">
        <v>2029</v>
      </c>
      <c r="C23" s="165">
        <f>'[7]4D2_CH4_Industrial_Wastewater'!$G30</f>
        <v>3988473.1495746095</v>
      </c>
      <c r="D23" s="147">
        <f t="shared" si="1"/>
        <v>83757.936141066806</v>
      </c>
    </row>
    <row r="24" spans="2:4" ht="15" x14ac:dyDescent="0.25">
      <c r="B24" s="89">
        <v>2030</v>
      </c>
      <c r="C24" s="165">
        <f>'[7]4D2_CH4_Industrial_Wastewater'!$G31</f>
        <v>5126037.407999998</v>
      </c>
      <c r="D24" s="147">
        <f t="shared" si="1"/>
        <v>107646.78556799996</v>
      </c>
    </row>
    <row r="25" spans="2:4" ht="15" x14ac:dyDescent="0.25">
      <c r="B25" s="89">
        <v>2031</v>
      </c>
      <c r="C25" s="165">
        <f>'[7]4D2_CH4_Industrial_Wastewater'!$G32</f>
        <v>0</v>
      </c>
      <c r="D25" s="147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47" t="s">
        <v>53</v>
      </c>
      <c r="E5" s="247"/>
      <c r="F5" s="248" t="s">
        <v>63</v>
      </c>
      <c r="G5" s="248"/>
      <c r="H5" s="248"/>
      <c r="I5" s="248"/>
    </row>
    <row r="6" spans="1:9" s="20" customFormat="1" ht="16.5" customHeight="1" x14ac:dyDescent="0.25">
      <c r="A6" s="244" t="s">
        <v>47</v>
      </c>
      <c r="B6" s="244" t="s">
        <v>49</v>
      </c>
      <c r="C6" s="245"/>
      <c r="D6" s="233" t="s">
        <v>69</v>
      </c>
      <c r="E6" s="233"/>
      <c r="F6" s="234" t="s">
        <v>55</v>
      </c>
      <c r="G6" s="234"/>
      <c r="H6" s="234"/>
      <c r="I6" s="234"/>
    </row>
    <row r="7" spans="1:9" s="20" customFormat="1" ht="29.25" customHeight="1" x14ac:dyDescent="0.25">
      <c r="A7" s="244"/>
      <c r="B7" s="244"/>
      <c r="C7" s="245"/>
      <c r="D7" s="233"/>
      <c r="E7" s="233"/>
      <c r="F7" s="234" t="s">
        <v>56</v>
      </c>
      <c r="G7" s="234"/>
      <c r="H7" s="234"/>
      <c r="I7" s="234"/>
    </row>
    <row r="8" spans="1:9" s="20" customFormat="1" ht="51" customHeight="1" x14ac:dyDescent="0.25">
      <c r="A8" s="244"/>
      <c r="B8" s="29" t="s">
        <v>58</v>
      </c>
      <c r="C8" s="22"/>
      <c r="D8" s="233" t="s">
        <v>57</v>
      </c>
      <c r="E8" s="233"/>
      <c r="F8" s="234" t="s">
        <v>60</v>
      </c>
      <c r="G8" s="234"/>
      <c r="H8" s="234"/>
      <c r="I8" s="234"/>
    </row>
    <row r="9" spans="1:9" s="20" customFormat="1" ht="31.5" customHeight="1" x14ac:dyDescent="0.25">
      <c r="A9" s="244"/>
      <c r="B9" s="232" t="s">
        <v>50</v>
      </c>
      <c r="C9" s="22"/>
      <c r="D9" s="233" t="s">
        <v>59</v>
      </c>
      <c r="E9" s="233"/>
      <c r="F9" s="241" t="s">
        <v>65</v>
      </c>
      <c r="G9" s="242"/>
      <c r="H9" s="242"/>
      <c r="I9" s="243"/>
    </row>
    <row r="10" spans="1:9" s="20" customFormat="1" ht="20.25" customHeight="1" x14ac:dyDescent="0.25">
      <c r="A10" s="244"/>
      <c r="B10" s="232"/>
      <c r="C10" s="22"/>
      <c r="D10" s="233"/>
      <c r="E10" s="233"/>
      <c r="F10" s="234" t="s">
        <v>61</v>
      </c>
      <c r="G10" s="234"/>
      <c r="H10" s="234"/>
      <c r="I10" s="234"/>
    </row>
    <row r="11" spans="1:9" s="20" customFormat="1" ht="17.25" customHeight="1" x14ac:dyDescent="0.25">
      <c r="A11" s="244"/>
      <c r="B11" s="232"/>
      <c r="C11" s="22"/>
      <c r="D11" s="233"/>
      <c r="E11" s="233"/>
      <c r="F11" s="234" t="s">
        <v>62</v>
      </c>
      <c r="G11" s="234"/>
      <c r="H11" s="234"/>
      <c r="I11" s="234"/>
    </row>
    <row r="12" spans="1:9" s="20" customFormat="1" ht="60" customHeight="1" x14ac:dyDescent="0.25">
      <c r="A12" s="244" t="s">
        <v>48</v>
      </c>
      <c r="B12" s="27" t="s">
        <v>51</v>
      </c>
      <c r="C12" s="23"/>
      <c r="D12" s="24"/>
      <c r="E12" s="22"/>
      <c r="F12" s="235" t="s">
        <v>66</v>
      </c>
      <c r="G12" s="236"/>
      <c r="H12" s="236"/>
      <c r="I12" s="237"/>
    </row>
    <row r="13" spans="1:9" s="20" customFormat="1" ht="30" x14ac:dyDescent="0.25">
      <c r="A13" s="244"/>
      <c r="B13" s="28" t="s">
        <v>52</v>
      </c>
      <c r="C13" s="23"/>
      <c r="D13" s="24"/>
      <c r="E13" s="22"/>
      <c r="F13" s="238"/>
      <c r="G13" s="239"/>
      <c r="H13" s="239"/>
      <c r="I13" s="240"/>
    </row>
    <row r="18" spans="1:22" ht="21" x14ac:dyDescent="0.35">
      <c r="A18" s="246" t="s">
        <v>73</v>
      </c>
      <c r="B18" s="246"/>
      <c r="C18" s="246"/>
      <c r="D18" s="246"/>
      <c r="E18" s="246"/>
      <c r="F18" s="246"/>
      <c r="G18" s="246"/>
      <c r="H18" s="246"/>
      <c r="I18" s="246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7" t="s">
        <v>8</v>
      </c>
      <c r="B21" s="230" t="s">
        <v>39</v>
      </c>
      <c r="C21" s="230"/>
      <c r="D21" s="230"/>
      <c r="E21" s="230"/>
      <c r="F21" s="230"/>
      <c r="G21" s="230"/>
      <c r="H21" s="230"/>
      <c r="I21" s="231"/>
      <c r="K21" t="s">
        <v>21</v>
      </c>
      <c r="L21" t="s">
        <v>24</v>
      </c>
    </row>
    <row r="22" spans="1:22" ht="38.25" x14ac:dyDescent="0.25">
      <c r="A22" s="217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1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23" t="s">
        <v>70</v>
      </c>
      <c r="C24" s="35">
        <v>0</v>
      </c>
      <c r="D24" s="223" t="s">
        <v>72</v>
      </c>
      <c r="E24" s="223" t="s">
        <v>78</v>
      </c>
      <c r="F24" s="223"/>
      <c r="G24" s="223"/>
      <c r="H24" s="223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23"/>
      <c r="C25" s="35">
        <v>0</v>
      </c>
      <c r="D25" s="223"/>
      <c r="E25" s="223"/>
      <c r="F25" s="223"/>
      <c r="G25" s="223"/>
      <c r="H25" s="223"/>
      <c r="I25" s="34"/>
      <c r="K25" t="s">
        <v>26</v>
      </c>
      <c r="L25" s="221">
        <v>1000</v>
      </c>
      <c r="M25" s="221"/>
      <c r="N25" s="221"/>
      <c r="O25" s="8" t="s">
        <v>27</v>
      </c>
      <c r="R25" s="222">
        <f>L25*1000/365</f>
        <v>2739.7260273972602</v>
      </c>
      <c r="S25" s="222"/>
      <c r="T25" s="222"/>
      <c r="U25" s="11" t="s">
        <v>44</v>
      </c>
    </row>
    <row r="26" spans="1:22" x14ac:dyDescent="0.25">
      <c r="A26" s="2">
        <v>2013</v>
      </c>
      <c r="B26" s="223"/>
      <c r="C26" s="35">
        <v>0</v>
      </c>
      <c r="D26" s="223"/>
      <c r="E26" s="223"/>
      <c r="F26" s="223"/>
      <c r="G26" s="223"/>
      <c r="H26" s="223"/>
      <c r="I26" s="34"/>
      <c r="K26" t="s">
        <v>28</v>
      </c>
      <c r="L26" s="221">
        <v>3000</v>
      </c>
      <c r="M26" s="221"/>
      <c r="N26" s="221"/>
      <c r="O26" s="8" t="s">
        <v>27</v>
      </c>
    </row>
    <row r="27" spans="1:22" x14ac:dyDescent="0.25">
      <c r="A27" s="2">
        <v>2014</v>
      </c>
      <c r="B27" s="223"/>
      <c r="C27" s="35">
        <v>0</v>
      </c>
      <c r="D27" s="223"/>
      <c r="E27" s="223"/>
      <c r="F27" s="223"/>
      <c r="G27" s="223"/>
      <c r="H27" s="223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23"/>
      <c r="C28" s="35">
        <v>0</v>
      </c>
      <c r="D28" s="223"/>
      <c r="E28" s="223"/>
      <c r="F28" s="223"/>
      <c r="G28" s="223"/>
      <c r="H28" s="223"/>
      <c r="I28" s="34"/>
    </row>
    <row r="29" spans="1:22" x14ac:dyDescent="0.25">
      <c r="A29" s="2">
        <v>2016</v>
      </c>
      <c r="B29" s="223"/>
      <c r="C29" s="35">
        <v>0</v>
      </c>
      <c r="D29" s="223"/>
      <c r="E29" s="223"/>
      <c r="F29" s="223"/>
      <c r="G29" s="223"/>
      <c r="H29" s="223"/>
      <c r="I29" s="34"/>
    </row>
    <row r="30" spans="1:22" x14ac:dyDescent="0.25">
      <c r="A30" s="2">
        <v>2017</v>
      </c>
      <c r="B30" s="223"/>
      <c r="C30" s="35">
        <v>0</v>
      </c>
      <c r="D30" s="223"/>
      <c r="E30" s="223"/>
      <c r="F30" s="223"/>
      <c r="G30" s="223"/>
      <c r="H30" s="223"/>
      <c r="I30" s="34"/>
    </row>
    <row r="31" spans="1:22" ht="25.5" x14ac:dyDescent="0.25">
      <c r="A31" s="2">
        <v>2018</v>
      </c>
      <c r="B31" s="223"/>
      <c r="C31" s="35">
        <v>0</v>
      </c>
      <c r="D31" s="223"/>
      <c r="E31" s="223"/>
      <c r="F31" s="223"/>
      <c r="G31" s="223"/>
      <c r="H31" s="223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23"/>
      <c r="C32" s="35">
        <v>0</v>
      </c>
      <c r="D32" s="223"/>
      <c r="E32" s="223"/>
      <c r="F32" s="223"/>
      <c r="G32" s="223"/>
      <c r="H32" s="223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23"/>
      <c r="C33" s="35">
        <v>0</v>
      </c>
      <c r="D33" s="223"/>
      <c r="E33" s="223"/>
      <c r="F33" s="223"/>
      <c r="G33" s="223"/>
      <c r="H33" s="223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7" t="s">
        <v>8</v>
      </c>
      <c r="B37" s="224" t="s">
        <v>77</v>
      </c>
      <c r="C37" s="225"/>
      <c r="D37" s="225"/>
      <c r="E37" s="225"/>
      <c r="F37" s="225"/>
      <c r="G37" s="225"/>
      <c r="H37" s="226"/>
      <c r="I37" s="219" t="s">
        <v>39</v>
      </c>
    </row>
    <row r="38" spans="1:20" ht="38.25" x14ac:dyDescent="0.25">
      <c r="A38" s="217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20"/>
    </row>
    <row r="39" spans="1:20" x14ac:dyDescent="0.25">
      <c r="A39" s="2">
        <v>2010</v>
      </c>
      <c r="B39" s="227" t="s">
        <v>74</v>
      </c>
      <c r="C39" s="227" t="s">
        <v>75</v>
      </c>
      <c r="D39" s="227" t="s">
        <v>74</v>
      </c>
      <c r="E39" s="227" t="s">
        <v>75</v>
      </c>
      <c r="F39" s="227" t="s">
        <v>75</v>
      </c>
      <c r="G39" s="227" t="s">
        <v>75</v>
      </c>
      <c r="H39" s="227" t="s">
        <v>75</v>
      </c>
      <c r="I39" s="14">
        <f>'timbulan sampah'!E5</f>
        <v>166.47334000000001</v>
      </c>
    </row>
    <row r="40" spans="1:20" x14ac:dyDescent="0.25">
      <c r="A40" s="2">
        <v>2011</v>
      </c>
      <c r="B40" s="228"/>
      <c r="C40" s="228"/>
      <c r="D40" s="228"/>
      <c r="E40" s="228"/>
      <c r="F40" s="228"/>
      <c r="G40" s="228"/>
      <c r="H40" s="228"/>
      <c r="I40" s="14">
        <f>'timbulan sampah'!E6</f>
        <v>168.27976000000001</v>
      </c>
      <c r="K40" t="s">
        <v>19</v>
      </c>
      <c r="O40" s="8" t="s">
        <v>20</v>
      </c>
    </row>
    <row r="41" spans="1:20" x14ac:dyDescent="0.25">
      <c r="A41" s="2">
        <v>2012</v>
      </c>
      <c r="B41" s="228"/>
      <c r="C41" s="228"/>
      <c r="D41" s="228"/>
      <c r="E41" s="228"/>
      <c r="F41" s="228"/>
      <c r="G41" s="228"/>
      <c r="H41" s="228"/>
      <c r="I41" s="14">
        <f>'timbulan sampah'!E7</f>
        <v>171.82329999999999</v>
      </c>
      <c r="K41" t="s">
        <v>22</v>
      </c>
      <c r="O41" s="8" t="s">
        <v>23</v>
      </c>
    </row>
    <row r="42" spans="1:20" x14ac:dyDescent="0.25">
      <c r="A42" s="2">
        <v>2013</v>
      </c>
      <c r="B42" s="228"/>
      <c r="C42" s="228"/>
      <c r="D42" s="228"/>
      <c r="E42" s="228"/>
      <c r="F42" s="228"/>
      <c r="G42" s="228"/>
      <c r="H42" s="228"/>
      <c r="I42" s="14">
        <f>'timbulan sampah'!E8</f>
        <v>175.34132</v>
      </c>
    </row>
    <row r="43" spans="1:20" x14ac:dyDescent="0.25">
      <c r="A43" s="2">
        <v>2014</v>
      </c>
      <c r="B43" s="228"/>
      <c r="C43" s="228"/>
      <c r="D43" s="228"/>
      <c r="E43" s="228"/>
      <c r="F43" s="228"/>
      <c r="G43" s="228"/>
      <c r="H43" s="228"/>
      <c r="I43" s="14">
        <f>'timbulan sampah'!E9</f>
        <v>178.77134000000001</v>
      </c>
    </row>
    <row r="44" spans="1:20" x14ac:dyDescent="0.25">
      <c r="A44" s="2">
        <v>2015</v>
      </c>
      <c r="B44" s="228"/>
      <c r="C44" s="228"/>
      <c r="D44" s="228"/>
      <c r="E44" s="228"/>
      <c r="F44" s="228"/>
      <c r="G44" s="228"/>
      <c r="H44" s="228"/>
      <c r="I44" s="14">
        <f>'timbulan sampah'!E10</f>
        <v>182.22666000000001</v>
      </c>
    </row>
    <row r="45" spans="1:20" x14ac:dyDescent="0.25">
      <c r="A45" s="2">
        <v>2016</v>
      </c>
      <c r="B45" s="228"/>
      <c r="C45" s="228"/>
      <c r="D45" s="228"/>
      <c r="E45" s="228"/>
      <c r="F45" s="228"/>
      <c r="G45" s="228"/>
      <c r="H45" s="228"/>
      <c r="I45" s="14">
        <f>'timbulan sampah'!E11</f>
        <v>186.53932</v>
      </c>
    </row>
    <row r="46" spans="1:20" x14ac:dyDescent="0.25">
      <c r="A46" s="2">
        <v>2017</v>
      </c>
      <c r="B46" s="228"/>
      <c r="C46" s="228"/>
      <c r="D46" s="228"/>
      <c r="E46" s="228"/>
      <c r="F46" s="228"/>
      <c r="G46" s="228"/>
      <c r="H46" s="228"/>
      <c r="I46" s="14">
        <f>'timbulan sampah'!E12</f>
        <v>191.19144</v>
      </c>
    </row>
    <row r="47" spans="1:20" x14ac:dyDescent="0.25">
      <c r="A47" s="2">
        <v>2018</v>
      </c>
      <c r="B47" s="228"/>
      <c r="C47" s="228"/>
      <c r="D47" s="228"/>
      <c r="E47" s="228"/>
      <c r="F47" s="228"/>
      <c r="G47" s="228"/>
      <c r="H47" s="228"/>
      <c r="I47" s="14">
        <f>'timbulan sampah'!E13</f>
        <v>195.84356</v>
      </c>
    </row>
    <row r="48" spans="1:20" x14ac:dyDescent="0.25">
      <c r="A48" s="2">
        <v>2019</v>
      </c>
      <c r="B48" s="228"/>
      <c r="C48" s="228"/>
      <c r="D48" s="228"/>
      <c r="E48" s="228"/>
      <c r="F48" s="228"/>
      <c r="G48" s="228"/>
      <c r="H48" s="228"/>
      <c r="I48" s="14">
        <f>'timbulan sampah'!E14</f>
        <v>200.49567999999999</v>
      </c>
    </row>
    <row r="49" spans="1:21" x14ac:dyDescent="0.25">
      <c r="A49" s="2">
        <v>2020</v>
      </c>
      <c r="B49" s="229"/>
      <c r="C49" s="229"/>
      <c r="D49" s="229"/>
      <c r="E49" s="229"/>
      <c r="F49" s="229"/>
      <c r="G49" s="229"/>
      <c r="H49" s="229"/>
      <c r="I49" s="14">
        <f>'timbulan sampah'!E15</f>
        <v>205.14779999999999</v>
      </c>
    </row>
    <row r="52" spans="1:21" x14ac:dyDescent="0.25">
      <c r="A52" s="217" t="s">
        <v>8</v>
      </c>
      <c r="B52" s="218" t="s">
        <v>0</v>
      </c>
      <c r="C52" s="218"/>
      <c r="D52" s="218"/>
      <c r="E52" s="218"/>
      <c r="F52" s="218"/>
      <c r="G52" s="218"/>
      <c r="H52" s="218"/>
      <c r="I52" s="219" t="s">
        <v>9</v>
      </c>
    </row>
    <row r="53" spans="1:21" ht="42.75" customHeight="1" x14ac:dyDescent="0.25">
      <c r="A53" s="217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20"/>
    </row>
    <row r="54" spans="1:21" ht="17.25" customHeight="1" x14ac:dyDescent="0.25">
      <c r="A54" s="2">
        <v>2010</v>
      </c>
      <c r="B54" s="249" t="s">
        <v>76</v>
      </c>
      <c r="C54" s="249" t="s">
        <v>76</v>
      </c>
      <c r="D54" s="249" t="s">
        <v>76</v>
      </c>
      <c r="E54" s="249" t="s">
        <v>76</v>
      </c>
      <c r="F54" s="249" t="s">
        <v>76</v>
      </c>
      <c r="G54" s="249" t="s">
        <v>76</v>
      </c>
      <c r="H54" s="249" t="s">
        <v>76</v>
      </c>
      <c r="I54" s="3">
        <v>1</v>
      </c>
    </row>
    <row r="55" spans="1:21" x14ac:dyDescent="0.25">
      <c r="A55" s="2">
        <v>2011</v>
      </c>
      <c r="B55" s="250"/>
      <c r="C55" s="250"/>
      <c r="D55" s="250"/>
      <c r="E55" s="250"/>
      <c r="F55" s="250"/>
      <c r="G55" s="250"/>
      <c r="H55" s="250"/>
      <c r="I55" s="3">
        <v>1</v>
      </c>
    </row>
    <row r="56" spans="1:21" x14ac:dyDescent="0.25">
      <c r="A56" s="2">
        <v>2012</v>
      </c>
      <c r="B56" s="250"/>
      <c r="C56" s="250"/>
      <c r="D56" s="250"/>
      <c r="E56" s="250"/>
      <c r="F56" s="250"/>
      <c r="G56" s="250"/>
      <c r="H56" s="250"/>
      <c r="I56" s="3">
        <v>1</v>
      </c>
    </row>
    <row r="57" spans="1:21" x14ac:dyDescent="0.25">
      <c r="A57" s="2">
        <v>2013</v>
      </c>
      <c r="B57" s="250"/>
      <c r="C57" s="250"/>
      <c r="D57" s="250"/>
      <c r="E57" s="250"/>
      <c r="F57" s="250"/>
      <c r="G57" s="250"/>
      <c r="H57" s="250"/>
      <c r="I57" s="3">
        <v>1</v>
      </c>
    </row>
    <row r="58" spans="1:21" x14ac:dyDescent="0.25">
      <c r="A58" s="2">
        <v>2014</v>
      </c>
      <c r="B58" s="250"/>
      <c r="C58" s="250"/>
      <c r="D58" s="250"/>
      <c r="E58" s="250"/>
      <c r="F58" s="250"/>
      <c r="G58" s="250"/>
      <c r="H58" s="250"/>
      <c r="I58" s="3">
        <v>1</v>
      </c>
    </row>
    <row r="59" spans="1:21" x14ac:dyDescent="0.25">
      <c r="A59" s="2">
        <v>2015</v>
      </c>
      <c r="B59" s="250"/>
      <c r="C59" s="250"/>
      <c r="D59" s="250"/>
      <c r="E59" s="250"/>
      <c r="F59" s="250"/>
      <c r="G59" s="250"/>
      <c r="H59" s="250"/>
      <c r="I59" s="3">
        <v>1</v>
      </c>
    </row>
    <row r="60" spans="1:21" x14ac:dyDescent="0.25">
      <c r="A60" s="2">
        <v>2016</v>
      </c>
      <c r="B60" s="250"/>
      <c r="C60" s="250"/>
      <c r="D60" s="250"/>
      <c r="E60" s="250"/>
      <c r="F60" s="250"/>
      <c r="G60" s="250"/>
      <c r="H60" s="250"/>
      <c r="I60" s="3">
        <v>1</v>
      </c>
    </row>
    <row r="61" spans="1:21" x14ac:dyDescent="0.25">
      <c r="A61" s="2">
        <v>2017</v>
      </c>
      <c r="B61" s="250"/>
      <c r="C61" s="250"/>
      <c r="D61" s="250"/>
      <c r="E61" s="250"/>
      <c r="F61" s="250"/>
      <c r="G61" s="250"/>
      <c r="H61" s="250"/>
      <c r="I61" s="3">
        <v>1</v>
      </c>
    </row>
    <row r="62" spans="1:21" x14ac:dyDescent="0.25">
      <c r="A62" s="2">
        <v>2018</v>
      </c>
      <c r="B62" s="250"/>
      <c r="C62" s="250"/>
      <c r="D62" s="250"/>
      <c r="E62" s="250"/>
      <c r="F62" s="250"/>
      <c r="G62" s="250"/>
      <c r="H62" s="250"/>
      <c r="I62" s="3">
        <v>1</v>
      </c>
    </row>
    <row r="63" spans="1:21" x14ac:dyDescent="0.25">
      <c r="A63" s="2">
        <v>2019</v>
      </c>
      <c r="B63" s="250"/>
      <c r="C63" s="250"/>
      <c r="D63" s="250"/>
      <c r="E63" s="250"/>
      <c r="F63" s="250"/>
      <c r="G63" s="250"/>
      <c r="H63" s="250"/>
      <c r="I63" s="3">
        <v>1</v>
      </c>
      <c r="U63" s="4"/>
    </row>
    <row r="64" spans="1:21" x14ac:dyDescent="0.25">
      <c r="A64" s="2">
        <v>2020</v>
      </c>
      <c r="B64" s="251"/>
      <c r="C64" s="251"/>
      <c r="D64" s="251"/>
      <c r="E64" s="251"/>
      <c r="F64" s="251"/>
      <c r="G64" s="251"/>
      <c r="H64" s="251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52" t="s">
        <v>10</v>
      </c>
      <c r="B6" s="253" t="s">
        <v>109</v>
      </c>
      <c r="C6" s="253"/>
      <c r="D6" s="253"/>
      <c r="E6" s="71" t="s">
        <v>113</v>
      </c>
      <c r="F6" s="252" t="s">
        <v>10</v>
      </c>
      <c r="G6" s="253" t="s">
        <v>110</v>
      </c>
      <c r="H6" s="253"/>
      <c r="I6" s="253"/>
      <c r="J6" s="72" t="s">
        <v>114</v>
      </c>
      <c r="K6" s="252" t="s">
        <v>10</v>
      </c>
      <c r="L6" s="253" t="s">
        <v>111</v>
      </c>
      <c r="M6" s="253"/>
      <c r="N6" s="253"/>
      <c r="O6" s="72" t="s">
        <v>114</v>
      </c>
      <c r="P6" s="252" t="s">
        <v>10</v>
      </c>
      <c r="Q6" s="253" t="s">
        <v>112</v>
      </c>
      <c r="R6" s="253"/>
      <c r="S6" s="253"/>
    </row>
    <row r="7" spans="1:19" x14ac:dyDescent="0.25">
      <c r="A7" s="252"/>
      <c r="B7" s="252" t="s">
        <v>81</v>
      </c>
      <c r="C7" s="252"/>
      <c r="D7" s="253" t="s">
        <v>83</v>
      </c>
      <c r="E7" s="69"/>
      <c r="F7" s="252"/>
      <c r="G7" s="252" t="s">
        <v>81</v>
      </c>
      <c r="H7" s="252"/>
      <c r="I7" s="253" t="s">
        <v>83</v>
      </c>
      <c r="K7" s="252"/>
      <c r="L7" s="252" t="s">
        <v>81</v>
      </c>
      <c r="M7" s="252"/>
      <c r="N7" s="253" t="s">
        <v>83</v>
      </c>
      <c r="P7" s="252"/>
      <c r="Q7" s="252" t="s">
        <v>81</v>
      </c>
      <c r="R7" s="252"/>
      <c r="S7" s="253" t="s">
        <v>83</v>
      </c>
    </row>
    <row r="8" spans="1:19" x14ac:dyDescent="0.25">
      <c r="A8" s="252"/>
      <c r="B8" s="74" t="s">
        <v>84</v>
      </c>
      <c r="C8" s="74" t="s">
        <v>85</v>
      </c>
      <c r="D8" s="253"/>
      <c r="E8" s="6"/>
      <c r="F8" s="252"/>
      <c r="G8" s="74" t="s">
        <v>84</v>
      </c>
      <c r="H8" s="74" t="s">
        <v>85</v>
      </c>
      <c r="I8" s="253"/>
      <c r="K8" s="252"/>
      <c r="L8" s="74" t="s">
        <v>84</v>
      </c>
      <c r="M8" s="74" t="s">
        <v>85</v>
      </c>
      <c r="N8" s="253"/>
      <c r="P8" s="252"/>
      <c r="Q8" s="74" t="s">
        <v>84</v>
      </c>
      <c r="R8" s="74" t="s">
        <v>85</v>
      </c>
      <c r="S8" s="253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60" t="s">
        <v>10</v>
      </c>
      <c r="B23" s="262" t="s">
        <v>80</v>
      </c>
      <c r="C23" s="263"/>
      <c r="D23" s="263"/>
      <c r="E23" s="263"/>
      <c r="F23" s="264"/>
      <c r="K23" t="s">
        <v>120</v>
      </c>
      <c r="L23">
        <v>280</v>
      </c>
      <c r="M23" t="s">
        <v>122</v>
      </c>
    </row>
    <row r="24" spans="1:19" ht="15.75" thickBot="1" x14ac:dyDescent="0.3">
      <c r="A24" s="261"/>
      <c r="B24" s="262" t="s">
        <v>81</v>
      </c>
      <c r="C24" s="264"/>
      <c r="D24" s="262" t="s">
        <v>82</v>
      </c>
      <c r="E24" s="264"/>
      <c r="F24" s="265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61"/>
      <c r="B25" s="36" t="s">
        <v>84</v>
      </c>
      <c r="C25" s="36" t="s">
        <v>85</v>
      </c>
      <c r="D25" s="36" t="s">
        <v>86</v>
      </c>
      <c r="E25" s="36" t="s">
        <v>85</v>
      </c>
      <c r="F25" s="266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67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68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68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1.8631439884914958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1.9023770207288793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1.941327503035206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1.9793036752344386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2.0175599615894608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2.065308464162841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2.1168153679743331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2.1683222717858266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2.2198291755973187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2.2713360794088113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2.3228429832203035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54" t="s">
        <v>10</v>
      </c>
      <c r="B58" s="256" t="s">
        <v>92</v>
      </c>
      <c r="C58" s="257"/>
      <c r="D58" s="53" t="s">
        <v>93</v>
      </c>
      <c r="E58" s="54"/>
      <c r="F58" s="55" t="s">
        <v>94</v>
      </c>
    </row>
    <row r="59" spans="1:6" ht="63.75" thickBot="1" x14ac:dyDescent="0.3">
      <c r="A59" s="255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55"/>
      <c r="B60" s="258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55"/>
      <c r="B61" s="259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2017-09-27T07:23:52Z</dcterms:modified>
</cp:coreProperties>
</file>