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2"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<sst xmlns="http://schemas.openxmlformats.org/spreadsheetml/2006/main" count="2461" uniqueCount="519">
  <si>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</si>
  <si>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</si>
  <si>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</si>
  <si>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</si>
  <si>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</si>
  <si>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</si>
  <si>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</si>
  <si>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</si>
  <si>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</si>
  <si>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</si>
  <si>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</si>
  <si>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</si>
  <si>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</si>
  <si>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</si>
  <si>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</si>
  <si>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</si>
  <si>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</si>
  <si>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</si>
  <si>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</si>
  <si>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</si>
  <si>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</si>
  <si>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</si>
  <si>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</si>
  <si>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</si>
  <si>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</si>
  <si>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</si>
  <si>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</si>
  <si>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</si>
  <si>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</si>
  <si>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</si>
  <si>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</si>
  <si>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</si>
  <si>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</si>
  <si>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</si>
  <si>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</si>
  <si>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</si>
  <si>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</si>
  <si>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</si>
  <si>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</si>
  <si>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</si>
  <si>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</si>
  <si>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</si>
  <si>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</si>
  <si>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</si>
  <si>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</si>
  <si>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</si>
  <si>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</si>
  <si>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</si>
  <si>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</si>
  <si>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</si>
  <si>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</si>
  <si>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</si>
  <si>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</si>
  <si>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</si>
  <si>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</si>
  <si>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</si>
  <si>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</si>
  <si>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</si>
  <si>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</si>
  <si>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</si>
  <si>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</si>
  <si>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</si>
  <si>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</si>
  <si>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</si>
  <si>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</si>
  <si>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</si>
  <si>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</si>
  <si>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</si>
  <si>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</si>
  <si>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</si>
  <si>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</si>
  <si>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</si>
  <si>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</si>
  <si>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</si>
  <si>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</si>
  <si>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</si>
  <si>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</si>
  <si>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</si>
  <si>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</si>
  <si>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</si>
  <si>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</si>
  <si>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</si>
  <si>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</si>
  <si>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</si>
  <si>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</si>
  <si>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</si>
  <si>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</si>
  <si>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</si>
  <si>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</si>
  <si>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</si>
  <si>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</si>
  <si>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</si>
  <si>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</si>
  <si>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</si>
  <si>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</si>
  <si>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</si>
  <si>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</si>
  <si>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</si>
  <si>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</si>
  <si>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</si>
  <si>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</si>
  <si>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</si>
  <si>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</si>
  <si>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</si>
  <si>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</si>
  <si>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</si>
  <si>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</si>
  <si>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</si>
  <si>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</si>
  <si>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</si>
  <si>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</si>
  <si>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</si>
  <si>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</si>
  <si>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</si>
  <si>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</si>
  <si>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</si>
  <si>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</si>
  <si>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</si>
  <si>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</si>
  <si>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</si>
  <si>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</si>
  <si>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</si>
  <si>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</si>
  <si>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</si>
  <si>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</si>
  <si>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</si>
  <si>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</si>
  <si>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</si>
  <si>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</si>
  <si>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</si>
  <si>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</si>
  <si>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</si>
  <si>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</si>
  <si>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</si>
  <si>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</si>
  <si>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</si>
  <si>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</si>
  <si>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</si>
  <si>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</si>
  <si>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</si>
  <si>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</si>
  <si>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</si>
  <si>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</si>
  <si>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</si>
  <si>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</si>
  <si>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</si>
  <si>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</si>
  <si>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</si>
  <si>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</si>
  <si>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</si>
  <si>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</si>
  <si>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</si>
  <si>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</si>
  <si>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</si>
  <si>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</si>
  <si>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</si>
  <si>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</si>
  <si>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</si>
  <si>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</si>
  <si>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</si>
  <si>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</si>
  <si>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</si>
  <si>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</si>
  <si>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</si>
  <si>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</si>
  <si>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</si>
  <si>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</si>
  <si>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</si>
  <si>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</si>
  <si>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</si>
  <si>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</si>
  <si>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</si>
  <si>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</si>
  <si>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</si>
  <si>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</si>
  <si>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</si>
  <si>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</si>
  <si>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</si>
  <si>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</si>
  <si>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</si>
  <si>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</si>
  <si>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</si>
  <si>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</si>
  <si>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</si>
  <si>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</si>
  <si>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</si>
  <si>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</si>
  <si>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</si>
  <si>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</si>
  <si>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</si>
  <si>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</si>
  <si>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</si>
  <si>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</si>
  <si>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</si>
  <si>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</si>
  <si>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</si>
  <si>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</si>
  <si>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</si>
  <si>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</si>
  <si>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</si>
  <si>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</si>
  <si>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</si>
  <si>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</si>
  <si>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</si>
  <si>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</si>
  <si>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</si>
  <si>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</si>
  <si>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</si>
  <si>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</si>
  <si>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</si>
  <si>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</si>
  <si>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</si>
  <si>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</si>
  <si>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</si>
  <si>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</si>
  <si>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</si>
  <si>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</si>
  <si>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</si>
  <si>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</si>
  <si>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</si>
  <si>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</si>
  <si>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</si>
  <si>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</si>
  <si>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</si>
  <si>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</si>
  <si>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</si>
  <si>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</si>
  <si>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</si>
  <si>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</si>
  <si>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</si>
  <si>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</si>
  <si>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</si>
  <si>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</si>
  <si>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</si>
  <si>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</si>
  <si>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</si>
  <si>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</si>
  <si>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</si>
  <si>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</si>
  <si>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</si>
  <si>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</si>
  <si>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</si>
  <si>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</si>
  <si>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</si>
  <si>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</si>
  <si>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</si>
  <si>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</si>
  <si>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</si>
  <si>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</si>
  <si>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</si>
  <si>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</si>
  <si>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</si>
  <si>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</si>
  <si>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</si>
  <si>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</si>
  <si>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</si>
  <si>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</si>
  <si>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</si>
  <si>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</si>
  <si>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</si>
  <si>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</si>
  <si>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</si>
  <si>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</si>
  <si>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</si>
  <si>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</si>
  <si>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</si>
  <si>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</si>
  <si>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</si>
  <si>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</si>
  <si>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</si>
  <si>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</si>
  <si>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</si>
  <si>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</si>
  <si>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</si>
  <si>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</si>
  <si>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</si>
  <si>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</si>
  <si>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</si>
  <si>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</si>
  <si>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</si>
  <si>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</si>
  <si>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</si>
  <si>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</si>
  <si>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</si>
  <si>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</si>
  <si>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</si>
  <si>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</si>
  <si>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</si>
  <si>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</si>
  <si>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</si>
  <si>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</si>
  <si>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</si>
  <si>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</si>
  <si>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</si>
  <si>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</si>
  <si>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</si>
  <si>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</si>
  <si>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</si>
  <si>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</si>
  <si>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</si>
  <si>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</si>
  <si>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</si>
  <si>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</si>
  <si>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</si>
  <si>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</si>
  <si>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</si>
  <si>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</si>
  <si>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</si>
  <si>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</si>
  <si>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</si>
  <si>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</si>
  <si>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</si>
  <si>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</si>
  <si>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</si>
  <si>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</si>
  <si>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</si>
  <si>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</si>
  <si>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</si>
  <si>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</si>
  <si>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</si>
  <si>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</si>
  <si>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</si>
  <si>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</si>
  <si>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</si>
  <si>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</si>
  <si>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</si>
  <si>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</si>
  <si>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</si>
  <si>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</si>
  <si>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</si>
  <si>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</si>
  <si>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</si>
  <si>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</si>
  <si>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</si>
  <si>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</si>
  <si>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</si>
  <si>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</si>
  <si>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</si>
  <si>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</si>
  <si>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</si>
  <si>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</si>
  <si>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</si>
  <si>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</si>
  <si>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</si>
  <si>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</si>
  <si>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</si>
  <si>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</si>
  <si>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</si>
  <si>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</si>
  <si>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</si>
  <si>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</si>
  <si>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</si>
  <si>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</si>
  <si>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</si>
  <si>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</si>
  <si>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</si>
  <si>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</si>
  <si>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</si>
  <si>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</si>
  <si>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</si>
  <si>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</si>
  <si>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</si>
  <si>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</si>
  <si>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</si>
  <si>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</si>
  <si>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</si>
  <si>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</si>
  <si>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</si>
  <si>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</si>
  <si>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</si>
  <si>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</si>
  <si>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</si>
  <si>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</si>
  <si>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</si>
  <si>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</si>
  <si>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</si>
  <si>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</si>
  <si>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</si>
  <si>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</si>
  <si>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</si>
  <si>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</si>
  <si>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</si>
  <si>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</si>
  <si>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</si>
  <si>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</si>
  <si>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</si>
  <si>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</si>
  <si>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</si>
  <si>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</si>
  <si>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</si>
  <si>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</si>
  <si>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</si>
  <si>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</si>
  <si>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</si>
  <si>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</si>
  <si>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</si>
  <si>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</si>
  <si>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</si>
  <si>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</si>
  <si>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</si>
  <si>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</si>
  <si>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</si>
  <si>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</si>
  <si>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</si>
  <si>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</si>
  <si>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</si>
  <si>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</si>
  <si>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</si>
  <si>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</si>
  <si>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</si>
  <si>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</si>
  <si>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</si>
  <si>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</si>
  <si>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</si>
  <si>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</si>
  <si>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</si>
  <si>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</si>
  <si>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</si>
  <si>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</si>
  <si>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</si>
  <si>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</si>
  <si>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</si>
  <si>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</si>
  <si>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</si>
  <si>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</si>
  <si>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</si>
  <si>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</si>
  <si>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</si>
  <si>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</si>
  <si>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</si>
  <si>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</si>
  <si>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</si>
  <si>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</si>
  <si>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</si>
  <si>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</si>
  <si>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</si>
  <si>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</si>
  <si>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</si>
  <si>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</si>
  <si>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</si>
  <si>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</si>
  <si>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</si>
  <si>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</si>
  <si>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</si>
  <si>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</si>
  <si>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</si>
  <si>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</si>
  <si>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</si>
  <si>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</si>
  <si>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</si>
  <si>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</si>
  <si>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</si>
  <si>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</si>
  <si>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</si>
  <si>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</si>
  <si>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</si>
  <si>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</si>
  <si>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</si>
  <si>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</si>
  <si>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</si>
  <si>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</si>
  <si>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</si>
  <si>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</si>
  <si>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</si>
  <si>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</si>
  <si>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</si>
  <si>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</si>
  <si>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</si>
  <si>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</si>
  <si>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</si>
  <si>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</si>
  <si>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</si>
  <si>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</si>
  <si>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</si>
  <si>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</si>
  <si>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</si>
  <si>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</si>
  <si>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</si>
  <si>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</si>
  <si>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</si>
  <si>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</si>
  <si>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</si>
  <si>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</si>
  <si>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</si>
  <si>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</si>
  <si>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</si>
  <si>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</si>
  <si>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</si>
  <si>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</si>
  <si>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</si>
  <si>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</si>
  <si>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</si>
  <si>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</si>
  <si>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</si>
  <si>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</si>
  <si>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</si>
  <si>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</si>
  <si>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</si>
  <si>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</si>
  <si>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</si>
  <si>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</si>
  <si>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</si>
  <si>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</si>
  <si>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</si>
  <si>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</si>
  <si>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</si>
  <si>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</si>
  <si>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</si>
  <si>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</si>
  <si>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</si>
  <si>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</si>
  <si>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</si>
  <si>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</si>
  <si>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</si>
  <si>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</si>
  <si>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</si>
  <si>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</si>
  <si>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KUTAI TIMUR</t>
  </si>
  <si>
    <t>Data populasi ternak KUTAI TIMUR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</si>
</sst>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6" fontId="38" fillId="6" borderId="17" xfId="1" applyNumberFormat="1" applyFont="1" applyFill="1" applyBorder="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0" fontId="42" fillId="6" borderId="17" xfId="0" applyFont="1" applyFill="1" applyBorder="1" applyAlignment="1">
      <alignment horizontal="right" vertical="center" wrapText="1"/>
    </xf>
    <xf numFmtId="0" fontId="26" fillId="6" borderId="17" xfId="0" applyFont="1" applyFill="1" applyBorder="1" applyAlignment="1">
      <alignment horizontal="righ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66" fontId="31" fillId="6" borderId="17" xfId="2" applyNumberFormat="1" applyFont="1" applyFill="1" applyBorder="1" applyAlignment="1">
      <alignment vertical="center"/>
    </xf>
    <xf numFmtId="166" fontId="31" fillId="6" borderId="17" xfId="1" applyNumberFormat="1" applyFont="1" applyFill="1" applyBorder="1" applyAlignment="1">
      <alignment vertical="center"/>
    </xf>
    <xf numFmtId="171" fontId="34" fillId="6" borderId="17" xfId="1" applyNumberFormat="1" applyFont="1" applyFill="1" applyBorder="1" applyAlignment="1">
      <alignment horizontal="right" vertical="center"/>
    </xf>
    <xf numFmtId="171" fontId="46" fillId="6" borderId="17" xfId="1" applyNumberFormat="1" applyFont="1" applyFill="1" applyBorder="1"/>
    <xf numFmtId="165" fontId="14" fillId="6" borderId="17" xfId="1" applyFont="1" applyFill="1" applyBorder="1"/>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4800</c:v>
                </c:pt>
                <c:pt idx="1">
                  <c:v>4896</c:v>
                </c:pt>
                <c:pt idx="2">
                  <c:v>4993.8</c:v>
                </c:pt>
                <c:pt idx="3">
                  <c:v>5094</c:v>
                </c:pt>
                <c:pt idx="4">
                  <c:v>5195.3999999999996</c:v>
                </c:pt>
                <c:pt idx="5">
                  <c:v>5299.8</c:v>
                </c:pt>
                <c:pt idx="6">
                  <c:v>5405.4</c:v>
                </c:pt>
                <c:pt idx="7">
                  <c:v>5513.4</c:v>
                </c:pt>
                <c:pt idx="8">
                  <c:v>5623.8</c:v>
                </c:pt>
                <c:pt idx="9">
                  <c:v>5736.5999999999995</c:v>
                </c:pt>
              </c:numCache>
            </c:numRef>
          </c:yVal>
          <c:smooth val="0"/>
        </c:ser>
        <c:dLbls>
          <c:showLegendKey val="0"/>
          <c:showVal val="0"/>
          <c:showCatName val="0"/>
          <c:showSerName val="0"/>
          <c:showPercent val="0"/>
          <c:showBubbleSize val="0"/>
        </c:dLbls>
        <c:axId val="227195464"/>
        <c:axId val="227195856"/>
      </c:scatterChart>
      <c:valAx>
        <c:axId val="227195464"/>
        <c:scaling>
          <c:orientation val="minMax"/>
        </c:scaling>
        <c:delete val="0"/>
        <c:axPos val="b"/>
        <c:numFmt formatCode="General" sourceLinked="1"/>
        <c:majorTickMark val="out"/>
        <c:minorTickMark val="none"/>
        <c:tickLblPos val="nextTo"/>
        <c:txPr>
          <a:bodyPr/>
          <a:lstStyle/>
          <a:p>
            <a:pPr>
              <a:defRPr lang="en-US"/>
            </a:pPr>
            <a:endParaRPr lang="en-US"/>
          </a:p>
        </c:txPr>
        <c:crossAx val="227195856"/>
        <c:crosses val="autoZero"/>
        <c:crossBetween val="midCat"/>
      </c:valAx>
      <c:valAx>
        <c:axId val="22719585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27195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473495</c:v>
                </c:pt>
                <c:pt idx="1">
                  <c:v>482965</c:v>
                </c:pt>
                <c:pt idx="2">
                  <c:v>492624</c:v>
                </c:pt>
                <c:pt idx="3">
                  <c:v>502477</c:v>
                </c:pt>
                <c:pt idx="4">
                  <c:v>512526</c:v>
                </c:pt>
                <c:pt idx="5">
                  <c:v>522777</c:v>
                </c:pt>
                <c:pt idx="6">
                  <c:v>533232</c:v>
                </c:pt>
                <c:pt idx="7">
                  <c:v>543897</c:v>
                </c:pt>
                <c:pt idx="8">
                  <c:v>554775</c:v>
                </c:pt>
                <c:pt idx="9">
                  <c:v>565870</c:v>
                </c:pt>
              </c:numCache>
            </c:numRef>
          </c:val>
        </c:ser>
        <c:dLbls>
          <c:showLegendKey val="0"/>
          <c:showVal val="0"/>
          <c:showCatName val="0"/>
          <c:showSerName val="0"/>
          <c:showPercent val="0"/>
          <c:showBubbleSize val="0"/>
        </c:dLbls>
        <c:gapWidth val="150"/>
        <c:axId val="259612184"/>
        <c:axId val="259611792"/>
      </c:barChart>
      <c:catAx>
        <c:axId val="259612184"/>
        <c:scaling>
          <c:orientation val="minMax"/>
        </c:scaling>
        <c:delete val="0"/>
        <c:axPos val="b"/>
        <c:majorTickMark val="out"/>
        <c:minorTickMark val="none"/>
        <c:tickLblPos val="nextTo"/>
        <c:txPr>
          <a:bodyPr/>
          <a:lstStyle/>
          <a:p>
            <a:pPr>
              <a:defRPr lang="en-US"/>
            </a:pPr>
            <a:endParaRPr lang="en-US"/>
          </a:p>
        </c:txPr>
        <c:crossAx val="259611792"/>
        <c:crosses val="autoZero"/>
        <c:auto val="1"/>
        <c:lblAlgn val="ctr"/>
        <c:lblOffset val="100"/>
        <c:noMultiLvlLbl val="0"/>
      </c:catAx>
      <c:valAx>
        <c:axId val="2596117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6121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2073606</c:v>
                </c:pt>
                <c:pt idx="1">
                  <c:v>2115078</c:v>
                </c:pt>
                <c:pt idx="2">
                  <c:v>2157380</c:v>
                </c:pt>
                <c:pt idx="3">
                  <c:v>2200527</c:v>
                </c:pt>
                <c:pt idx="4">
                  <c:v>2244538</c:v>
                </c:pt>
                <c:pt idx="5">
                  <c:v>2289429</c:v>
                </c:pt>
                <c:pt idx="6">
                  <c:v>2335217</c:v>
                </c:pt>
                <c:pt idx="7">
                  <c:v>2381921</c:v>
                </c:pt>
                <c:pt idx="8">
                  <c:v>2429560</c:v>
                </c:pt>
                <c:pt idx="9">
                  <c:v>2478151</c:v>
                </c:pt>
              </c:numCache>
            </c:numRef>
          </c:val>
        </c:ser>
        <c:dLbls>
          <c:showLegendKey val="0"/>
          <c:showVal val="0"/>
          <c:showCatName val="0"/>
          <c:showSerName val="0"/>
          <c:showPercent val="0"/>
          <c:showBubbleSize val="0"/>
        </c:dLbls>
        <c:gapWidth val="150"/>
        <c:axId val="260791528"/>
        <c:axId val="260791920"/>
      </c:barChart>
      <c:catAx>
        <c:axId val="260791528"/>
        <c:scaling>
          <c:orientation val="minMax"/>
        </c:scaling>
        <c:delete val="0"/>
        <c:axPos val="b"/>
        <c:majorTickMark val="out"/>
        <c:minorTickMark val="none"/>
        <c:tickLblPos val="nextTo"/>
        <c:txPr>
          <a:bodyPr/>
          <a:lstStyle/>
          <a:p>
            <a:pPr>
              <a:defRPr lang="en-US"/>
            </a:pPr>
            <a:endParaRPr lang="en-US"/>
          </a:p>
        </c:txPr>
        <c:crossAx val="260791920"/>
        <c:crosses val="autoZero"/>
        <c:auto val="1"/>
        <c:lblAlgn val="ctr"/>
        <c:lblOffset val="100"/>
        <c:noMultiLvlLbl val="0"/>
      </c:catAx>
      <c:valAx>
        <c:axId val="2607919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7915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60792704"/>
        <c:axId val="260793096"/>
      </c:barChart>
      <c:catAx>
        <c:axId val="260792704"/>
        <c:scaling>
          <c:orientation val="minMax"/>
        </c:scaling>
        <c:delete val="0"/>
        <c:axPos val="b"/>
        <c:majorTickMark val="out"/>
        <c:minorTickMark val="none"/>
        <c:tickLblPos val="nextTo"/>
        <c:txPr>
          <a:bodyPr/>
          <a:lstStyle/>
          <a:p>
            <a:pPr>
              <a:defRPr lang="en-US"/>
            </a:pPr>
            <a:endParaRPr lang="en-US"/>
          </a:p>
        </c:txPr>
        <c:crossAx val="260793096"/>
        <c:crosses val="autoZero"/>
        <c:auto val="1"/>
        <c:lblAlgn val="ctr"/>
        <c:lblOffset val="100"/>
        <c:noMultiLvlLbl val="0"/>
      </c:catAx>
      <c:valAx>
        <c:axId val="2607930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7927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5899</c:v>
                </c:pt>
                <c:pt idx="1">
                  <c:v>6017</c:v>
                </c:pt>
                <c:pt idx="2">
                  <c:v>6137</c:v>
                </c:pt>
                <c:pt idx="3">
                  <c:v>6260</c:v>
                </c:pt>
                <c:pt idx="4">
                  <c:v>6385</c:v>
                </c:pt>
                <c:pt idx="5">
                  <c:v>6513</c:v>
                </c:pt>
                <c:pt idx="6">
                  <c:v>6643</c:v>
                </c:pt>
                <c:pt idx="7">
                  <c:v>6776</c:v>
                </c:pt>
                <c:pt idx="8">
                  <c:v>6912</c:v>
                </c:pt>
                <c:pt idx="9">
                  <c:v>7050</c:v>
                </c:pt>
              </c:numCache>
            </c:numRef>
          </c:val>
        </c:ser>
        <c:dLbls>
          <c:showLegendKey val="0"/>
          <c:showVal val="0"/>
          <c:showCatName val="0"/>
          <c:showSerName val="0"/>
          <c:showPercent val="0"/>
          <c:showBubbleSize val="0"/>
        </c:dLbls>
        <c:gapWidth val="150"/>
        <c:axId val="260793880"/>
        <c:axId val="260794272"/>
      </c:barChart>
      <c:catAx>
        <c:axId val="260793880"/>
        <c:scaling>
          <c:orientation val="minMax"/>
        </c:scaling>
        <c:delete val="0"/>
        <c:axPos val="b"/>
        <c:majorTickMark val="out"/>
        <c:minorTickMark val="none"/>
        <c:tickLblPos val="nextTo"/>
        <c:txPr>
          <a:bodyPr/>
          <a:lstStyle/>
          <a:p>
            <a:pPr>
              <a:defRPr lang="en-US"/>
            </a:pPr>
            <a:endParaRPr lang="en-US"/>
          </a:p>
        </c:txPr>
        <c:crossAx val="260794272"/>
        <c:crosses val="autoZero"/>
        <c:auto val="1"/>
        <c:lblAlgn val="ctr"/>
        <c:lblOffset val="100"/>
        <c:noMultiLvlLbl val="0"/>
      </c:catAx>
      <c:valAx>
        <c:axId val="260794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7938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4800</c:v>
                </c:pt>
                <c:pt idx="1">
                  <c:v>4896</c:v>
                </c:pt>
                <c:pt idx="2">
                  <c:v>4993.8</c:v>
                </c:pt>
                <c:pt idx="3">
                  <c:v>5094</c:v>
                </c:pt>
                <c:pt idx="4">
                  <c:v>5195.3999999999996</c:v>
                </c:pt>
                <c:pt idx="5">
                  <c:v>5299.8</c:v>
                </c:pt>
                <c:pt idx="6">
                  <c:v>5405.4</c:v>
                </c:pt>
                <c:pt idx="7">
                  <c:v>5513.4</c:v>
                </c:pt>
                <c:pt idx="8">
                  <c:v>5623.8</c:v>
                </c:pt>
                <c:pt idx="9">
                  <c:v>5736.5999999999995</c:v>
                </c:pt>
              </c:numCache>
            </c:numRef>
          </c:yVal>
          <c:smooth val="0"/>
        </c:ser>
        <c:dLbls>
          <c:showLegendKey val="0"/>
          <c:showVal val="0"/>
          <c:showCatName val="0"/>
          <c:showSerName val="0"/>
          <c:showPercent val="0"/>
          <c:showBubbleSize val="0"/>
        </c:dLbls>
        <c:axId val="260795056"/>
        <c:axId val="260795448"/>
      </c:scatterChart>
      <c:valAx>
        <c:axId val="260795056"/>
        <c:scaling>
          <c:orientation val="minMax"/>
        </c:scaling>
        <c:delete val="0"/>
        <c:axPos val="b"/>
        <c:numFmt formatCode="General" sourceLinked="1"/>
        <c:majorTickMark val="out"/>
        <c:minorTickMark val="none"/>
        <c:tickLblPos val="nextTo"/>
        <c:txPr>
          <a:bodyPr/>
          <a:lstStyle/>
          <a:p>
            <a:pPr>
              <a:defRPr lang="en-US"/>
            </a:pPr>
            <a:endParaRPr lang="en-US"/>
          </a:p>
        </c:txPr>
        <c:crossAx val="260795448"/>
        <c:crosses val="autoZero"/>
        <c:crossBetween val="midCat"/>
      </c:valAx>
      <c:valAx>
        <c:axId val="26079544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7950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6772</c:v>
                </c:pt>
                <c:pt idx="1">
                  <c:v>6907</c:v>
                </c:pt>
                <c:pt idx="2">
                  <c:v>7046</c:v>
                </c:pt>
                <c:pt idx="3">
                  <c:v>7187</c:v>
                </c:pt>
                <c:pt idx="4">
                  <c:v>7330</c:v>
                </c:pt>
                <c:pt idx="5">
                  <c:v>7477</c:v>
                </c:pt>
                <c:pt idx="6">
                  <c:v>7626</c:v>
                </c:pt>
                <c:pt idx="7">
                  <c:v>7779</c:v>
                </c:pt>
                <c:pt idx="8">
                  <c:v>7934</c:v>
                </c:pt>
                <c:pt idx="9">
                  <c:v>8093</c:v>
                </c:pt>
              </c:numCache>
            </c:numRef>
          </c:yVal>
          <c:smooth val="0"/>
        </c:ser>
        <c:dLbls>
          <c:showLegendKey val="0"/>
          <c:showVal val="0"/>
          <c:showCatName val="0"/>
          <c:showSerName val="0"/>
          <c:showPercent val="0"/>
          <c:showBubbleSize val="0"/>
        </c:dLbls>
        <c:axId val="260796232"/>
        <c:axId val="260796624"/>
      </c:scatterChart>
      <c:valAx>
        <c:axId val="260796232"/>
        <c:scaling>
          <c:orientation val="minMax"/>
        </c:scaling>
        <c:delete val="0"/>
        <c:axPos val="b"/>
        <c:numFmt formatCode="General" sourceLinked="1"/>
        <c:majorTickMark val="out"/>
        <c:minorTickMark val="none"/>
        <c:tickLblPos val="nextTo"/>
        <c:txPr>
          <a:bodyPr/>
          <a:lstStyle/>
          <a:p>
            <a:pPr>
              <a:defRPr lang="en-US"/>
            </a:pPr>
            <a:endParaRPr lang="en-US"/>
          </a:p>
        </c:txPr>
        <c:crossAx val="260796624"/>
        <c:crosses val="autoZero"/>
        <c:crossBetween val="midCat"/>
      </c:valAx>
      <c:valAx>
        <c:axId val="26079662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7962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895</c:v>
                </c:pt>
                <c:pt idx="1">
                  <c:v>913</c:v>
                </c:pt>
                <c:pt idx="2">
                  <c:v>931</c:v>
                </c:pt>
                <c:pt idx="3">
                  <c:v>950</c:v>
                </c:pt>
                <c:pt idx="4">
                  <c:v>968</c:v>
                </c:pt>
                <c:pt idx="5">
                  <c:v>988</c:v>
                </c:pt>
                <c:pt idx="6">
                  <c:v>1007</c:v>
                </c:pt>
                <c:pt idx="7">
                  <c:v>1028</c:v>
                </c:pt>
                <c:pt idx="8">
                  <c:v>1048</c:v>
                </c:pt>
                <c:pt idx="9">
                  <c:v>1069</c:v>
                </c:pt>
                <c:pt idx="10">
                  <c:v>0</c:v>
                </c:pt>
              </c:numCache>
            </c:numRef>
          </c:yVal>
          <c:smooth val="0"/>
        </c:ser>
        <c:dLbls>
          <c:showLegendKey val="0"/>
          <c:showVal val="0"/>
          <c:showCatName val="0"/>
          <c:showSerName val="0"/>
          <c:showPercent val="0"/>
          <c:showBubbleSize val="0"/>
        </c:dLbls>
        <c:axId val="261138792"/>
        <c:axId val="261139184"/>
      </c:scatterChart>
      <c:valAx>
        <c:axId val="261138792"/>
        <c:scaling>
          <c:orientation val="minMax"/>
        </c:scaling>
        <c:delete val="0"/>
        <c:axPos val="b"/>
        <c:numFmt formatCode="General" sourceLinked="1"/>
        <c:majorTickMark val="out"/>
        <c:minorTickMark val="none"/>
        <c:tickLblPos val="nextTo"/>
        <c:txPr>
          <a:bodyPr/>
          <a:lstStyle/>
          <a:p>
            <a:pPr>
              <a:defRPr lang="en-US"/>
            </a:pPr>
            <a:endParaRPr lang="en-US"/>
          </a:p>
        </c:txPr>
        <c:crossAx val="261139184"/>
        <c:crosses val="autoZero"/>
        <c:crossBetween val="midCat"/>
      </c:valAx>
      <c:valAx>
        <c:axId val="26113918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11387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61139968"/>
        <c:axId val="261140360"/>
      </c:scatterChart>
      <c:valAx>
        <c:axId val="261139968"/>
        <c:scaling>
          <c:orientation val="minMax"/>
        </c:scaling>
        <c:delete val="0"/>
        <c:axPos val="b"/>
        <c:numFmt formatCode="General" sourceLinked="1"/>
        <c:majorTickMark val="out"/>
        <c:minorTickMark val="none"/>
        <c:tickLblPos val="nextTo"/>
        <c:txPr>
          <a:bodyPr/>
          <a:lstStyle/>
          <a:p>
            <a:pPr>
              <a:defRPr lang="en-US"/>
            </a:pPr>
            <a:endParaRPr lang="en-US"/>
          </a:p>
        </c:txPr>
        <c:crossAx val="261140360"/>
        <c:crosses val="autoZero"/>
        <c:crossBetween val="midCat"/>
      </c:valAx>
      <c:valAx>
        <c:axId val="26114036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11399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9683.2175074683637</c:v>
                </c:pt>
                <c:pt idx="1">
                  <c:v>9876.8818576177309</c:v>
                </c:pt>
                <c:pt idx="2">
                  <c:v>10074.177414332398</c:v>
                </c:pt>
                <c:pt idx="3">
                  <c:v>10276.314579800799</c:v>
                </c:pt>
                <c:pt idx="4">
                  <c:v>10480.872549646067</c:v>
                </c:pt>
                <c:pt idx="5">
                  <c:v>10691.482530433506</c:v>
                </c:pt>
                <c:pt idx="6">
                  <c:v>10904.513315597809</c:v>
                </c:pt>
                <c:pt idx="7">
                  <c:v>11122.385709515847</c:v>
                </c:pt>
                <c:pt idx="8">
                  <c:v>11345.099712187621</c:v>
                </c:pt>
                <c:pt idx="9">
                  <c:v>11572.655323613124</c:v>
                </c:pt>
              </c:numCache>
            </c:numRef>
          </c:yVal>
          <c:smooth val="0"/>
        </c:ser>
        <c:dLbls>
          <c:showLegendKey val="0"/>
          <c:showVal val="0"/>
          <c:showCatName val="0"/>
          <c:showSerName val="0"/>
          <c:showPercent val="0"/>
          <c:showBubbleSize val="0"/>
        </c:dLbls>
        <c:axId val="261141144"/>
        <c:axId val="261141536"/>
      </c:scatterChart>
      <c:valAx>
        <c:axId val="261141144"/>
        <c:scaling>
          <c:orientation val="minMax"/>
        </c:scaling>
        <c:delete val="0"/>
        <c:axPos val="b"/>
        <c:numFmt formatCode="General" sourceLinked="1"/>
        <c:majorTickMark val="out"/>
        <c:minorTickMark val="none"/>
        <c:tickLblPos val="nextTo"/>
        <c:txPr>
          <a:bodyPr/>
          <a:lstStyle/>
          <a:p>
            <a:pPr>
              <a:defRPr lang="en-US"/>
            </a:pPr>
            <a:endParaRPr lang="en-US"/>
          </a:p>
        </c:txPr>
        <c:crossAx val="261141536"/>
        <c:crosses val="autoZero"/>
        <c:crossBetween val="midCat"/>
      </c:valAx>
      <c:valAx>
        <c:axId val="2611415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1411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433.54890569238188</c:v>
                </c:pt>
                <c:pt idx="1">
                  <c:v>445.41079400267637</c:v>
                </c:pt>
                <c:pt idx="2">
                  <c:v>457.37199889473021</c:v>
                </c:pt>
                <c:pt idx="3">
                  <c:v>469.45359396557905</c:v>
                </c:pt>
                <c:pt idx="4">
                  <c:v>481.63685343417637</c:v>
                </c:pt>
                <c:pt idx="5">
                  <c:v>493.95356579917882</c:v>
                </c:pt>
                <c:pt idx="6">
                  <c:v>506.38886133142756</c:v>
                </c:pt>
                <c:pt idx="7">
                  <c:v>518.94737891603643</c:v>
                </c:pt>
                <c:pt idx="8">
                  <c:v>531.61825870758742</c:v>
                </c:pt>
                <c:pt idx="9">
                  <c:v>544.42537199182459</c:v>
                </c:pt>
              </c:numCache>
            </c:numRef>
          </c:yVal>
          <c:smooth val="0"/>
        </c:ser>
        <c:dLbls>
          <c:showLegendKey val="0"/>
          <c:showVal val="0"/>
          <c:showCatName val="0"/>
          <c:showSerName val="0"/>
          <c:showPercent val="0"/>
          <c:showBubbleSize val="0"/>
        </c:dLbls>
        <c:axId val="261142320"/>
        <c:axId val="261142712"/>
      </c:scatterChart>
      <c:valAx>
        <c:axId val="261142320"/>
        <c:scaling>
          <c:orientation val="minMax"/>
        </c:scaling>
        <c:delete val="0"/>
        <c:axPos val="b"/>
        <c:numFmt formatCode="General" sourceLinked="1"/>
        <c:majorTickMark val="out"/>
        <c:minorTickMark val="none"/>
        <c:tickLblPos val="nextTo"/>
        <c:txPr>
          <a:bodyPr/>
          <a:lstStyle/>
          <a:p>
            <a:pPr>
              <a:defRPr lang="en-US"/>
            </a:pPr>
            <a:endParaRPr lang="en-US"/>
          </a:p>
        </c:txPr>
        <c:crossAx val="261142712"/>
        <c:crosses val="autoZero"/>
        <c:crossBetween val="midCat"/>
      </c:valAx>
      <c:valAx>
        <c:axId val="2611427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1423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49037.495509281936</c:v>
                </c:pt>
                <c:pt idx="1">
                  <c:v>50268.45545550526</c:v>
                </c:pt>
                <c:pt idx="2">
                  <c:v>51975.873704339814</c:v>
                </c:pt>
                <c:pt idx="3">
                  <c:v>53461.935458059408</c:v>
                </c:pt>
                <c:pt idx="4">
                  <c:v>54953.6697735298</c:v>
                </c:pt>
                <c:pt idx="5">
                  <c:v>56462.493405279136</c:v>
                </c:pt>
                <c:pt idx="6">
                  <c:v>57978.145977548877</c:v>
                </c:pt>
                <c:pt idx="7">
                  <c:v>59506.479806577096</c:v>
                </c:pt>
                <c:pt idx="8">
                  <c:v>61044.473892518261</c:v>
                </c:pt>
                <c:pt idx="9">
                  <c:v>62597.053506658347</c:v>
                </c:pt>
              </c:numCache>
            </c:numRef>
          </c:val>
          <c:smooth val="0"/>
        </c:ser>
        <c:dLbls>
          <c:showLegendKey val="0"/>
          <c:showVal val="0"/>
          <c:showCatName val="0"/>
          <c:showSerName val="0"/>
          <c:showPercent val="0"/>
          <c:showBubbleSize val="0"/>
        </c:dLbls>
        <c:smooth val="0"/>
        <c:axId val="227196640"/>
        <c:axId val="259609832"/>
      </c:lineChart>
      <c:catAx>
        <c:axId val="227196640"/>
        <c:scaling>
          <c:orientation val="minMax"/>
        </c:scaling>
        <c:delete val="0"/>
        <c:axPos val="b"/>
        <c:numFmt formatCode="General" sourceLinked="1"/>
        <c:majorTickMark val="out"/>
        <c:minorTickMark val="none"/>
        <c:tickLblPos val="nextTo"/>
        <c:txPr>
          <a:bodyPr/>
          <a:lstStyle/>
          <a:p>
            <a:pPr>
              <a:defRPr lang="en-US"/>
            </a:pPr>
            <a:endParaRPr lang="en-US"/>
          </a:p>
        </c:txPr>
        <c:crossAx val="259609832"/>
        <c:crosses val="autoZero"/>
        <c:auto val="1"/>
        <c:lblAlgn val="ctr"/>
        <c:lblOffset val="100"/>
        <c:noMultiLvlLbl val="0"/>
      </c:catAx>
      <c:valAx>
        <c:axId val="2596098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719664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29606.43719135928</c:v>
                </c:pt>
                <c:pt idx="1">
                  <c:v>30445.585061027712</c:v>
                </c:pt>
                <c:pt idx="2">
                  <c:v>31753.967850696026</c:v>
                </c:pt>
                <c:pt idx="3">
                  <c:v>32831.37500036446</c:v>
                </c:pt>
                <c:pt idx="4">
                  <c:v>33909.603670032884</c:v>
                </c:pt>
                <c:pt idx="5">
                  <c:v>34992.914759701205</c:v>
                </c:pt>
                <c:pt idx="6">
                  <c:v>36078.186829369632</c:v>
                </c:pt>
                <c:pt idx="7">
                  <c:v>37166.518179038074</c:v>
                </c:pt>
                <c:pt idx="8">
                  <c:v>38254.898668706388</c:v>
                </c:pt>
                <c:pt idx="9">
                  <c:v>39348.229698374824</c:v>
                </c:pt>
              </c:numCache>
            </c:numRef>
          </c:yVal>
          <c:smooth val="0"/>
        </c:ser>
        <c:dLbls>
          <c:showLegendKey val="0"/>
          <c:showVal val="0"/>
          <c:showCatName val="0"/>
          <c:showSerName val="0"/>
          <c:showPercent val="0"/>
          <c:showBubbleSize val="0"/>
        </c:dLbls>
        <c:axId val="261143496"/>
        <c:axId val="261143888"/>
      </c:scatterChart>
      <c:valAx>
        <c:axId val="261143496"/>
        <c:scaling>
          <c:orientation val="minMax"/>
        </c:scaling>
        <c:delete val="0"/>
        <c:axPos val="b"/>
        <c:numFmt formatCode="General" sourceLinked="1"/>
        <c:majorTickMark val="out"/>
        <c:minorTickMark val="none"/>
        <c:tickLblPos val="nextTo"/>
        <c:txPr>
          <a:bodyPr/>
          <a:lstStyle/>
          <a:p>
            <a:pPr>
              <a:defRPr lang="en-US"/>
            </a:pPr>
            <a:endParaRPr lang="en-US"/>
          </a:p>
        </c:txPr>
        <c:crossAx val="261143888"/>
        <c:crosses val="autoZero"/>
        <c:crossBetween val="midCat"/>
      </c:valAx>
      <c:valAx>
        <c:axId val="26114388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1434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6160.7668571428576</c:v>
                </c:pt>
                <c:pt idx="1">
                  <c:v>6283.9821942857134</c:v>
                </c:pt>
                <c:pt idx="2">
                  <c:v>6409.5078190000004</c:v>
                </c:pt>
                <c:pt idx="3">
                  <c:v>6538.1138271428572</c:v>
                </c:pt>
                <c:pt idx="4">
                  <c:v>6668.2600270000012</c:v>
                </c:pt>
                <c:pt idx="5">
                  <c:v>6802.2567061428581</c:v>
                </c:pt>
                <c:pt idx="6">
                  <c:v>6937.7935770000013</c:v>
                </c:pt>
                <c:pt idx="7">
                  <c:v>7076.4108312857143</c:v>
                </c:pt>
                <c:pt idx="8">
                  <c:v>7218.1084689999998</c:v>
                </c:pt>
                <c:pt idx="9">
                  <c:v>7362.8864901428578</c:v>
                </c:pt>
              </c:numCache>
            </c:numRef>
          </c:yVal>
          <c:smooth val="0"/>
        </c:ser>
        <c:dLbls>
          <c:showLegendKey val="0"/>
          <c:showVal val="0"/>
          <c:showCatName val="0"/>
          <c:showSerName val="0"/>
          <c:showPercent val="0"/>
          <c:showBubbleSize val="0"/>
        </c:dLbls>
        <c:axId val="261144672"/>
        <c:axId val="261145064"/>
      </c:scatterChart>
      <c:valAx>
        <c:axId val="261144672"/>
        <c:scaling>
          <c:orientation val="minMax"/>
        </c:scaling>
        <c:delete val="0"/>
        <c:axPos val="b"/>
        <c:numFmt formatCode="General" sourceLinked="1"/>
        <c:majorTickMark val="out"/>
        <c:minorTickMark val="none"/>
        <c:tickLblPos val="nextTo"/>
        <c:txPr>
          <a:bodyPr/>
          <a:lstStyle/>
          <a:p>
            <a:pPr>
              <a:defRPr lang="en-US"/>
            </a:pPr>
            <a:endParaRPr lang="en-US"/>
          </a:p>
        </c:txPr>
        <c:crossAx val="261145064"/>
        <c:crosses val="autoZero"/>
        <c:crossBetween val="midCat"/>
      </c:valAx>
      <c:valAx>
        <c:axId val="2611450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1446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49037.495509281936</c:v>
                </c:pt>
                <c:pt idx="1">
                  <c:v>50268.45545550526</c:v>
                </c:pt>
                <c:pt idx="2">
                  <c:v>51975.873704339814</c:v>
                </c:pt>
                <c:pt idx="3">
                  <c:v>53461.935458059408</c:v>
                </c:pt>
                <c:pt idx="4">
                  <c:v>54953.6697735298</c:v>
                </c:pt>
                <c:pt idx="5">
                  <c:v>56462.493405279136</c:v>
                </c:pt>
                <c:pt idx="6">
                  <c:v>57978.145977548877</c:v>
                </c:pt>
                <c:pt idx="7">
                  <c:v>59506.479806577096</c:v>
                </c:pt>
                <c:pt idx="8">
                  <c:v>61044.473892518261</c:v>
                </c:pt>
                <c:pt idx="9">
                  <c:v>62597.053506658347</c:v>
                </c:pt>
              </c:numCache>
            </c:numRef>
          </c:yVal>
          <c:smooth val="0"/>
        </c:ser>
        <c:dLbls>
          <c:showLegendKey val="0"/>
          <c:showVal val="0"/>
          <c:showCatName val="0"/>
          <c:showSerName val="0"/>
          <c:showPercent val="0"/>
          <c:showBubbleSize val="0"/>
        </c:dLbls>
        <c:axId val="261145848"/>
        <c:axId val="261429248"/>
      </c:scatterChart>
      <c:valAx>
        <c:axId val="261145848"/>
        <c:scaling>
          <c:orientation val="minMax"/>
        </c:scaling>
        <c:delete val="0"/>
        <c:axPos val="b"/>
        <c:numFmt formatCode="General" sourceLinked="1"/>
        <c:majorTickMark val="out"/>
        <c:minorTickMark val="none"/>
        <c:tickLblPos val="nextTo"/>
        <c:txPr>
          <a:bodyPr/>
          <a:lstStyle/>
          <a:p>
            <a:pPr>
              <a:defRPr lang="en-US"/>
            </a:pPr>
            <a:endParaRPr lang="en-US"/>
          </a:p>
        </c:txPr>
        <c:crossAx val="261429248"/>
        <c:crosses val="autoZero"/>
        <c:crossBetween val="midCat"/>
      </c:valAx>
      <c:valAx>
        <c:axId val="2614292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1458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61430424"/>
        <c:axId val="261430816"/>
      </c:scatterChart>
      <c:valAx>
        <c:axId val="261430424"/>
        <c:scaling>
          <c:orientation val="minMax"/>
        </c:scaling>
        <c:delete val="0"/>
        <c:axPos val="b"/>
        <c:numFmt formatCode="General" sourceLinked="1"/>
        <c:majorTickMark val="out"/>
        <c:minorTickMark val="none"/>
        <c:tickLblPos val="nextTo"/>
        <c:txPr>
          <a:bodyPr/>
          <a:lstStyle/>
          <a:p>
            <a:pPr>
              <a:defRPr lang="en-US"/>
            </a:pPr>
            <a:endParaRPr lang="en-US"/>
          </a:p>
        </c:txPr>
        <c:crossAx val="261430816"/>
        <c:crosses val="autoZero"/>
        <c:crossBetween val="midCat"/>
      </c:valAx>
      <c:valAx>
        <c:axId val="2614308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4304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9610616"/>
        <c:axId val="25961100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49037.495509281936</c:v>
                </c:pt>
                <c:pt idx="1">
                  <c:v>50268.45545550526</c:v>
                </c:pt>
                <c:pt idx="2">
                  <c:v>51975.873704339814</c:v>
                </c:pt>
                <c:pt idx="3">
                  <c:v>53461.935458059408</c:v>
                </c:pt>
                <c:pt idx="4">
                  <c:v>54953.6697735298</c:v>
                </c:pt>
                <c:pt idx="5">
                  <c:v>56462.493405279136</c:v>
                </c:pt>
                <c:pt idx="6">
                  <c:v>57978.145977548877</c:v>
                </c:pt>
                <c:pt idx="7">
                  <c:v>59506.479806577096</c:v>
                </c:pt>
                <c:pt idx="8">
                  <c:v>61044.473892518261</c:v>
                </c:pt>
                <c:pt idx="9">
                  <c:v>62597.053506658347</c:v>
                </c:pt>
                <c:pt idx="10">
                  <c:v>0</c:v>
                </c:pt>
              </c:numCache>
            </c:numRef>
          </c:yVal>
          <c:smooth val="0"/>
        </c:ser>
        <c:dLbls>
          <c:showLegendKey val="0"/>
          <c:showVal val="0"/>
          <c:showCatName val="0"/>
          <c:showSerName val="0"/>
          <c:showPercent val="0"/>
          <c:showBubbleSize val="0"/>
        </c:dLbls>
        <c:axId val="259610616"/>
        <c:axId val="259611008"/>
      </c:scatterChart>
      <c:catAx>
        <c:axId val="259610616"/>
        <c:scaling>
          <c:orientation val="minMax"/>
        </c:scaling>
        <c:delete val="0"/>
        <c:axPos val="b"/>
        <c:majorTickMark val="out"/>
        <c:minorTickMark val="none"/>
        <c:tickLblPos val="nextTo"/>
        <c:txPr>
          <a:bodyPr/>
          <a:lstStyle/>
          <a:p>
            <a:pPr>
              <a:defRPr lang="en-US"/>
            </a:pPr>
            <a:endParaRPr lang="en-US"/>
          </a:p>
        </c:txPr>
        <c:crossAx val="259611008"/>
        <c:crosses val="autoZero"/>
        <c:auto val="1"/>
        <c:lblAlgn val="ctr"/>
        <c:lblOffset val="100"/>
        <c:noMultiLvlLbl val="0"/>
      </c:catAx>
      <c:valAx>
        <c:axId val="25961100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96106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125</c:v>
                </c:pt>
                <c:pt idx="1">
                  <c:v>128</c:v>
                </c:pt>
                <c:pt idx="2">
                  <c:v>130</c:v>
                </c:pt>
                <c:pt idx="3">
                  <c:v>133</c:v>
                </c:pt>
                <c:pt idx="4">
                  <c:v>135</c:v>
                </c:pt>
                <c:pt idx="5">
                  <c:v>138</c:v>
                </c:pt>
                <c:pt idx="6">
                  <c:v>141</c:v>
                </c:pt>
                <c:pt idx="7">
                  <c:v>144</c:v>
                </c:pt>
                <c:pt idx="8">
                  <c:v>146</c:v>
                </c:pt>
                <c:pt idx="9">
                  <c:v>149</c:v>
                </c:pt>
              </c:numCache>
            </c:numRef>
          </c:val>
        </c:ser>
        <c:dLbls>
          <c:showLegendKey val="0"/>
          <c:showVal val="0"/>
          <c:showCatName val="0"/>
          <c:showSerName val="0"/>
          <c:showPercent val="0"/>
          <c:showBubbleSize val="0"/>
        </c:dLbls>
        <c:gapWidth val="150"/>
        <c:axId val="259613752"/>
        <c:axId val="259614144"/>
      </c:barChart>
      <c:catAx>
        <c:axId val="259613752"/>
        <c:scaling>
          <c:orientation val="minMax"/>
        </c:scaling>
        <c:delete val="0"/>
        <c:axPos val="b"/>
        <c:majorTickMark val="out"/>
        <c:minorTickMark val="none"/>
        <c:tickLblPos val="nextTo"/>
        <c:txPr>
          <a:bodyPr/>
          <a:lstStyle/>
          <a:p>
            <a:pPr>
              <a:defRPr lang="en-US"/>
            </a:pPr>
            <a:endParaRPr lang="en-US"/>
          </a:p>
        </c:txPr>
        <c:crossAx val="259614144"/>
        <c:crosses val="autoZero"/>
        <c:auto val="1"/>
        <c:lblAlgn val="ctr"/>
        <c:lblOffset val="100"/>
        <c:noMultiLvlLbl val="0"/>
      </c:catAx>
      <c:valAx>
        <c:axId val="2596141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6137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23402.213384285002</c:v>
                </c:pt>
                <c:pt idx="1">
                  <c:v>24346.678850225901</c:v>
                </c:pt>
                <c:pt idx="2">
                  <c:v>25291.144316166701</c:v>
                </c:pt>
                <c:pt idx="3">
                  <c:v>26235.6097821076</c:v>
                </c:pt>
                <c:pt idx="4">
                  <c:v>27180.075248048499</c:v>
                </c:pt>
                <c:pt idx="5">
                  <c:v>28124.5407139893</c:v>
                </c:pt>
                <c:pt idx="6">
                  <c:v>29069.006179930198</c:v>
                </c:pt>
                <c:pt idx="7">
                  <c:v>30013.471645871101</c:v>
                </c:pt>
                <c:pt idx="8">
                  <c:v>30957.937111811902</c:v>
                </c:pt>
                <c:pt idx="9">
                  <c:v>31902.4025777528</c:v>
                </c:pt>
              </c:numCache>
            </c:numRef>
          </c:val>
        </c:ser>
        <c:dLbls>
          <c:showLegendKey val="0"/>
          <c:showVal val="0"/>
          <c:showCatName val="0"/>
          <c:showSerName val="0"/>
          <c:showPercent val="0"/>
          <c:showBubbleSize val="0"/>
        </c:dLbls>
        <c:gapWidth val="150"/>
        <c:axId val="259614928"/>
        <c:axId val="259615320"/>
      </c:barChart>
      <c:catAx>
        <c:axId val="259614928"/>
        <c:scaling>
          <c:orientation val="minMax"/>
        </c:scaling>
        <c:delete val="0"/>
        <c:axPos val="b"/>
        <c:majorTickMark val="out"/>
        <c:minorTickMark val="none"/>
        <c:tickLblPos val="nextTo"/>
        <c:txPr>
          <a:bodyPr/>
          <a:lstStyle/>
          <a:p>
            <a:pPr>
              <a:defRPr lang="en-US"/>
            </a:pPr>
            <a:endParaRPr lang="en-US"/>
          </a:p>
        </c:txPr>
        <c:crossAx val="259615320"/>
        <c:crosses val="autoZero"/>
        <c:auto val="1"/>
        <c:lblAlgn val="ctr"/>
        <c:lblOffset val="100"/>
        <c:noMultiLvlLbl val="0"/>
      </c:catAx>
      <c:valAx>
        <c:axId val="2596153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6149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1228</c:v>
                </c:pt>
                <c:pt idx="1">
                  <c:v>1253</c:v>
                </c:pt>
                <c:pt idx="2">
                  <c:v>1278</c:v>
                </c:pt>
                <c:pt idx="3">
                  <c:v>1303</c:v>
                </c:pt>
                <c:pt idx="4">
                  <c:v>1329</c:v>
                </c:pt>
                <c:pt idx="5">
                  <c:v>1356</c:v>
                </c:pt>
                <c:pt idx="6">
                  <c:v>1383</c:v>
                </c:pt>
                <c:pt idx="7">
                  <c:v>1411</c:v>
                </c:pt>
                <c:pt idx="8">
                  <c:v>1439</c:v>
                </c:pt>
                <c:pt idx="9">
                  <c:v>1468</c:v>
                </c:pt>
              </c:numCache>
            </c:numRef>
          </c:val>
        </c:ser>
        <c:dLbls>
          <c:showLegendKey val="0"/>
          <c:showVal val="0"/>
          <c:showCatName val="0"/>
          <c:showSerName val="0"/>
          <c:showPercent val="0"/>
          <c:showBubbleSize val="0"/>
        </c:dLbls>
        <c:gapWidth val="150"/>
        <c:overlap val="100"/>
        <c:axId val="259616104"/>
        <c:axId val="259616496"/>
      </c:barChart>
      <c:catAx>
        <c:axId val="259616104"/>
        <c:scaling>
          <c:orientation val="minMax"/>
        </c:scaling>
        <c:delete val="0"/>
        <c:axPos val="b"/>
        <c:majorTickMark val="out"/>
        <c:minorTickMark val="none"/>
        <c:tickLblPos val="nextTo"/>
        <c:txPr>
          <a:bodyPr/>
          <a:lstStyle/>
          <a:p>
            <a:pPr>
              <a:defRPr lang="en-US"/>
            </a:pPr>
            <a:endParaRPr lang="en-US"/>
          </a:p>
        </c:txPr>
        <c:crossAx val="259616496"/>
        <c:crosses val="autoZero"/>
        <c:auto val="1"/>
        <c:lblAlgn val="ctr"/>
        <c:lblOffset val="100"/>
        <c:noMultiLvlLbl val="0"/>
      </c:catAx>
      <c:valAx>
        <c:axId val="2596164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6161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9617280"/>
        <c:axId val="260789176"/>
      </c:barChart>
      <c:catAx>
        <c:axId val="259617280"/>
        <c:scaling>
          <c:orientation val="minMax"/>
        </c:scaling>
        <c:delete val="0"/>
        <c:axPos val="b"/>
        <c:majorTickMark val="out"/>
        <c:minorTickMark val="none"/>
        <c:tickLblPos val="nextTo"/>
        <c:txPr>
          <a:bodyPr/>
          <a:lstStyle/>
          <a:p>
            <a:pPr>
              <a:defRPr lang="en-US"/>
            </a:pPr>
            <a:endParaRPr lang="en-US"/>
          </a:p>
        </c:txPr>
        <c:crossAx val="260789176"/>
        <c:crosses val="autoZero"/>
        <c:auto val="1"/>
        <c:lblAlgn val="ctr"/>
        <c:lblOffset val="100"/>
        <c:noMultiLvlLbl val="0"/>
      </c:catAx>
      <c:valAx>
        <c:axId val="2607891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6172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12705</c:v>
                </c:pt>
                <c:pt idx="1">
                  <c:v>12959</c:v>
                </c:pt>
                <c:pt idx="2">
                  <c:v>13218</c:v>
                </c:pt>
                <c:pt idx="3">
                  <c:v>13483</c:v>
                </c:pt>
                <c:pt idx="4">
                  <c:v>13752</c:v>
                </c:pt>
                <c:pt idx="5">
                  <c:v>14027</c:v>
                </c:pt>
                <c:pt idx="6">
                  <c:v>14308</c:v>
                </c:pt>
                <c:pt idx="7">
                  <c:v>14594</c:v>
                </c:pt>
                <c:pt idx="8">
                  <c:v>14886</c:v>
                </c:pt>
                <c:pt idx="9">
                  <c:v>15184</c:v>
                </c:pt>
              </c:numCache>
            </c:numRef>
          </c:val>
        </c:ser>
        <c:dLbls>
          <c:showLegendKey val="0"/>
          <c:showVal val="0"/>
          <c:showCatName val="0"/>
          <c:showSerName val="0"/>
          <c:showPercent val="0"/>
          <c:showBubbleSize val="0"/>
        </c:dLbls>
        <c:gapWidth val="150"/>
        <c:axId val="260789960"/>
        <c:axId val="260790352"/>
      </c:barChart>
      <c:catAx>
        <c:axId val="260789960"/>
        <c:scaling>
          <c:orientation val="minMax"/>
        </c:scaling>
        <c:delete val="0"/>
        <c:axPos val="b"/>
        <c:majorTickMark val="out"/>
        <c:minorTickMark val="none"/>
        <c:tickLblPos val="nextTo"/>
        <c:txPr>
          <a:bodyPr/>
          <a:lstStyle/>
          <a:p>
            <a:pPr>
              <a:defRPr lang="en-US"/>
            </a:pPr>
            <a:endParaRPr lang="en-US"/>
          </a:p>
        </c:txPr>
        <c:crossAx val="260790352"/>
        <c:crosses val="autoZero"/>
        <c:auto val="1"/>
        <c:lblAlgn val="ctr"/>
        <c:lblOffset val="100"/>
        <c:noMultiLvlLbl val="0"/>
      </c:catAx>
      <c:valAx>
        <c:axId val="2607903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7899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9613360"/>
        <c:axId val="259612968"/>
      </c:barChart>
      <c:catAx>
        <c:axId val="259613360"/>
        <c:scaling>
          <c:orientation val="minMax"/>
        </c:scaling>
        <c:delete val="0"/>
        <c:axPos val="b"/>
        <c:majorTickMark val="out"/>
        <c:minorTickMark val="none"/>
        <c:tickLblPos val="nextTo"/>
        <c:txPr>
          <a:bodyPr/>
          <a:lstStyle/>
          <a:p>
            <a:pPr>
              <a:defRPr lang="en-US"/>
            </a:pPr>
            <a:endParaRPr lang="en-US"/>
          </a:p>
        </c:txPr>
        <c:crossAx val="259612968"/>
        <c:crosses val="autoZero"/>
        <c:auto val="1"/>
        <c:lblAlgn val="ctr"/>
        <c:lblOffset val="100"/>
        <c:noMultiLvlLbl val="0"/>
      </c:catAx>
      <c:valAx>
        <c:axId val="2596129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6133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row r="26">
          <cell r="B26">
            <v>8000</v>
          </cell>
          <cell r="G26">
            <v>6772</v>
          </cell>
          <cell r="N26">
            <v>23402.213384285002</v>
          </cell>
          <cell r="O26">
            <v>125</v>
          </cell>
          <cell r="P26">
            <v>1228</v>
          </cell>
          <cell r="Q26">
            <v>12705</v>
          </cell>
          <cell r="S26">
            <v>10956</v>
          </cell>
          <cell r="U26">
            <v>473495</v>
          </cell>
          <cell r="V26">
            <v>2073606</v>
          </cell>
          <cell r="W26"/>
          <cell r="X26">
            <v>5899</v>
          </cell>
          <cell r="Z26">
            <v>200</v>
          </cell>
          <cell r="AA26">
            <v>310</v>
          </cell>
          <cell r="AB26">
            <v>125</v>
          </cell>
          <cell r="AC26">
            <v>160</v>
          </cell>
          <cell r="AD26">
            <v>50</v>
          </cell>
          <cell r="AE26">
            <v>50</v>
          </cell>
        </row>
        <row r="27">
          <cell r="B27">
            <v>8160</v>
          </cell>
          <cell r="G27">
            <v>6907</v>
          </cell>
          <cell r="N27">
            <v>24346.678850225901</v>
          </cell>
          <cell r="O27">
            <v>128</v>
          </cell>
          <cell r="P27">
            <v>1253</v>
          </cell>
          <cell r="Q27">
            <v>12959</v>
          </cell>
          <cell r="S27">
            <v>11175</v>
          </cell>
          <cell r="U27">
            <v>482965</v>
          </cell>
          <cell r="V27">
            <v>2115078</v>
          </cell>
          <cell r="W27"/>
          <cell r="X27">
            <v>6017</v>
          </cell>
          <cell r="Z27">
            <v>204</v>
          </cell>
          <cell r="AA27">
            <v>316</v>
          </cell>
          <cell r="AB27">
            <v>128</v>
          </cell>
          <cell r="AC27">
            <v>163</v>
          </cell>
          <cell r="AD27">
            <v>51</v>
          </cell>
          <cell r="AE27">
            <v>51</v>
          </cell>
        </row>
        <row r="28">
          <cell r="B28">
            <v>8323</v>
          </cell>
          <cell r="G28">
            <v>7046</v>
          </cell>
          <cell r="N28">
            <v>25291.144316166701</v>
          </cell>
          <cell r="O28">
            <v>130</v>
          </cell>
          <cell r="P28">
            <v>1278</v>
          </cell>
          <cell r="Q28">
            <v>13218</v>
          </cell>
          <cell r="S28">
            <v>11399</v>
          </cell>
          <cell r="U28">
            <v>492624</v>
          </cell>
          <cell r="V28">
            <v>2157380</v>
          </cell>
          <cell r="W28"/>
          <cell r="X28">
            <v>6137</v>
          </cell>
          <cell r="Z28">
            <v>208</v>
          </cell>
          <cell r="AA28">
            <v>323</v>
          </cell>
          <cell r="AB28">
            <v>130</v>
          </cell>
          <cell r="AC28">
            <v>166</v>
          </cell>
          <cell r="AD28">
            <v>52</v>
          </cell>
          <cell r="AE28">
            <v>52</v>
          </cell>
        </row>
        <row r="29">
          <cell r="B29">
            <v>8490</v>
          </cell>
          <cell r="G29">
            <v>7187</v>
          </cell>
          <cell r="N29">
            <v>26235.6097821076</v>
          </cell>
          <cell r="O29">
            <v>133</v>
          </cell>
          <cell r="P29">
            <v>1303</v>
          </cell>
          <cell r="Q29">
            <v>13483</v>
          </cell>
          <cell r="S29">
            <v>11627</v>
          </cell>
          <cell r="U29">
            <v>502477</v>
          </cell>
          <cell r="V29">
            <v>2200527</v>
          </cell>
          <cell r="W29"/>
          <cell r="X29">
            <v>6260</v>
          </cell>
          <cell r="Z29">
            <v>212</v>
          </cell>
          <cell r="AA29">
            <v>329</v>
          </cell>
          <cell r="AB29">
            <v>133</v>
          </cell>
          <cell r="AC29">
            <v>170</v>
          </cell>
          <cell r="AD29">
            <v>53</v>
          </cell>
          <cell r="AE29">
            <v>53</v>
          </cell>
        </row>
        <row r="30">
          <cell r="B30">
            <v>8659</v>
          </cell>
          <cell r="G30">
            <v>7330</v>
          </cell>
          <cell r="N30">
            <v>27180.075248048499</v>
          </cell>
          <cell r="O30">
            <v>135</v>
          </cell>
          <cell r="P30">
            <v>1329</v>
          </cell>
          <cell r="Q30">
            <v>13752</v>
          </cell>
          <cell r="S30">
            <v>11859</v>
          </cell>
          <cell r="U30">
            <v>512526</v>
          </cell>
          <cell r="V30">
            <v>2244538</v>
          </cell>
          <cell r="W30"/>
          <cell r="X30">
            <v>6385</v>
          </cell>
          <cell r="Z30">
            <v>216</v>
          </cell>
          <cell r="AA30">
            <v>336</v>
          </cell>
          <cell r="AB30">
            <v>135</v>
          </cell>
          <cell r="AC30">
            <v>173</v>
          </cell>
          <cell r="AD30">
            <v>54</v>
          </cell>
          <cell r="AE30">
            <v>54</v>
          </cell>
        </row>
        <row r="31">
          <cell r="B31">
            <v>8833</v>
          </cell>
          <cell r="G31">
            <v>7477</v>
          </cell>
          <cell r="N31">
            <v>28124.5407139893</v>
          </cell>
          <cell r="O31">
            <v>138</v>
          </cell>
          <cell r="P31">
            <v>1356</v>
          </cell>
          <cell r="Q31">
            <v>14027</v>
          </cell>
          <cell r="S31">
            <v>12096</v>
          </cell>
          <cell r="U31">
            <v>522777</v>
          </cell>
          <cell r="V31">
            <v>2289429</v>
          </cell>
          <cell r="W31"/>
          <cell r="X31">
            <v>6513</v>
          </cell>
          <cell r="Z31">
            <v>221</v>
          </cell>
          <cell r="AA31">
            <v>342</v>
          </cell>
          <cell r="AB31">
            <v>138</v>
          </cell>
          <cell r="AC31">
            <v>177</v>
          </cell>
          <cell r="AD31">
            <v>55</v>
          </cell>
          <cell r="AE31">
            <v>55</v>
          </cell>
        </row>
        <row r="32">
          <cell r="B32">
            <v>9009</v>
          </cell>
          <cell r="G32">
            <v>7626</v>
          </cell>
          <cell r="N32">
            <v>29069.006179930198</v>
          </cell>
          <cell r="O32">
            <v>141</v>
          </cell>
          <cell r="P32">
            <v>1383</v>
          </cell>
          <cell r="Q32">
            <v>14308</v>
          </cell>
          <cell r="S32">
            <v>12338</v>
          </cell>
          <cell r="U32">
            <v>533232</v>
          </cell>
          <cell r="V32">
            <v>2335217</v>
          </cell>
          <cell r="W32"/>
          <cell r="X32">
            <v>6643</v>
          </cell>
          <cell r="Z32">
            <v>225</v>
          </cell>
          <cell r="AA32">
            <v>349</v>
          </cell>
          <cell r="AB32">
            <v>141</v>
          </cell>
          <cell r="AC32">
            <v>180</v>
          </cell>
          <cell r="AD32">
            <v>56</v>
          </cell>
          <cell r="AE32">
            <v>56</v>
          </cell>
        </row>
        <row r="33">
          <cell r="B33">
            <v>9189</v>
          </cell>
          <cell r="G33">
            <v>7779</v>
          </cell>
          <cell r="N33">
            <v>30013.471645871101</v>
          </cell>
          <cell r="O33">
            <v>144</v>
          </cell>
          <cell r="P33">
            <v>1411</v>
          </cell>
          <cell r="Q33">
            <v>14594</v>
          </cell>
          <cell r="S33">
            <v>12585</v>
          </cell>
          <cell r="U33">
            <v>543897</v>
          </cell>
          <cell r="V33">
            <v>2381921</v>
          </cell>
          <cell r="W33"/>
          <cell r="X33">
            <v>6776</v>
          </cell>
          <cell r="Z33">
            <v>230</v>
          </cell>
          <cell r="AA33">
            <v>356</v>
          </cell>
          <cell r="AB33">
            <v>144</v>
          </cell>
          <cell r="AC33">
            <v>184</v>
          </cell>
          <cell r="AD33">
            <v>57</v>
          </cell>
          <cell r="AE33">
            <v>57</v>
          </cell>
        </row>
        <row r="34">
          <cell r="B34">
            <v>9373</v>
          </cell>
          <cell r="G34">
            <v>7934</v>
          </cell>
          <cell r="N34">
            <v>30957.937111811902</v>
          </cell>
          <cell r="O34">
            <v>146</v>
          </cell>
          <cell r="P34">
            <v>1439</v>
          </cell>
          <cell r="Q34">
            <v>14886</v>
          </cell>
          <cell r="S34">
            <v>12837</v>
          </cell>
          <cell r="U34">
            <v>554775</v>
          </cell>
          <cell r="V34">
            <v>2429560</v>
          </cell>
          <cell r="W34"/>
          <cell r="X34">
            <v>6912</v>
          </cell>
          <cell r="Z34">
            <v>234</v>
          </cell>
          <cell r="AA34">
            <v>363</v>
          </cell>
          <cell r="AB34">
            <v>146</v>
          </cell>
          <cell r="AC34">
            <v>187</v>
          </cell>
          <cell r="AD34">
            <v>59</v>
          </cell>
          <cell r="AE34">
            <v>59</v>
          </cell>
        </row>
        <row r="35">
          <cell r="B35">
            <v>9561</v>
          </cell>
          <cell r="G35">
            <v>8093</v>
          </cell>
          <cell r="N35">
            <v>31902.4025777528</v>
          </cell>
          <cell r="O35">
            <v>149</v>
          </cell>
          <cell r="P35">
            <v>1468</v>
          </cell>
          <cell r="Q35">
            <v>15184</v>
          </cell>
          <cell r="S35">
            <v>13093</v>
          </cell>
          <cell r="U35">
            <v>565870</v>
          </cell>
          <cell r="V35">
            <v>2478151</v>
          </cell>
          <cell r="W35"/>
          <cell r="X35">
            <v>7050</v>
          </cell>
          <cell r="Z35">
            <v>239</v>
          </cell>
          <cell r="AA35">
            <v>370</v>
          </cell>
          <cell r="AB35">
            <v>149</v>
          </cell>
          <cell r="AC35">
            <v>191</v>
          </cell>
          <cell r="AD35">
            <v>60</v>
          </cell>
          <cell r="AE35">
            <v>60</v>
          </cell>
        </row>
      </sheetData>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row r="27">
          <cell r="F27">
            <v>526676.55555555562</v>
          </cell>
        </row>
        <row r="28">
          <cell r="F28">
            <v>541884.66666666674</v>
          </cell>
        </row>
        <row r="29">
          <cell r="F29">
            <v>557092.77777777787</v>
          </cell>
        </row>
        <row r="30">
          <cell r="F30">
            <v>572300.88888888899</v>
          </cell>
        </row>
        <row r="31">
          <cell r="F31">
            <v>587509.00000000012</v>
          </cell>
        </row>
        <row r="32">
          <cell r="F32">
            <v>587509.00000000012</v>
          </cell>
        </row>
        <row r="33">
          <cell r="F33">
            <v>587509.00000000012</v>
          </cell>
        </row>
        <row r="34">
          <cell r="F34">
            <v>587509.00000000012</v>
          </cell>
        </row>
        <row r="35">
          <cell r="F35">
            <v>587509.00000000012</v>
          </cell>
        </row>
        <row r="36">
          <cell r="F36">
            <v>587509.00000000012</v>
          </cell>
        </row>
      </sheetData>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467</v>
      </c>
      <c r="G3" s="410"/>
      <c r="H3" s="410"/>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7"/>
      <c r="D3" s="491" t="s">
        <v>510</v>
      </c>
      <c r="E3" s="492" t="s">
        <v>511</v>
      </c>
      <c r="F3" s="492"/>
      <c r="G3" s="492"/>
      <c r="H3" s="492"/>
    </row>
    <row r="4" spans="3:8" x14ac:dyDescent="0.25">
      <c r="C4" s="397"/>
      <c r="D4" s="491"/>
      <c r="E4" s="398" t="s">
        <v>307</v>
      </c>
      <c r="F4" s="398" t="s">
        <v>512</v>
      </c>
      <c r="G4" s="398" t="s">
        <v>513</v>
      </c>
      <c r="H4" s="398" t="s">
        <v>514</v>
      </c>
    </row>
    <row r="5" spans="3:8" x14ac:dyDescent="0.25">
      <c r="C5" s="397"/>
      <c r="D5" s="397"/>
      <c r="E5" s="390"/>
      <c r="F5" s="390"/>
      <c r="G5" s="390"/>
      <c r="H5" s="390"/>
    </row>
    <row r="6" spans="3:8" x14ac:dyDescent="0.25">
      <c r="C6" s="399">
        <f>'Direct N2O'!A36</f>
        <v>2021</v>
      </c>
      <c r="D6" s="400">
        <f>'Direct N2O'!AA36*10^-3</f>
        <v>1012</v>
      </c>
      <c r="E6" s="401">
        <f>(0.0075*0.3)+(0.1*0.01)</f>
        <v>3.2499999999999999E-3</v>
      </c>
      <c r="F6" s="391">
        <f>D6*E6</f>
        <v>3.2889999999999997</v>
      </c>
      <c r="G6" s="391">
        <f>F6*44/28</f>
        <v>5.1684285714285707</v>
      </c>
      <c r="H6" s="391">
        <f>G6*298</f>
        <v>1540.1917142857142</v>
      </c>
    </row>
    <row r="7" spans="3:8" x14ac:dyDescent="0.25">
      <c r="C7" s="399">
        <f>'Direct N2O'!A37</f>
        <v>2022</v>
      </c>
      <c r="D7" s="400">
        <f>'Direct N2O'!AA37*10^-3</f>
        <v>1032.24</v>
      </c>
      <c r="E7" s="401">
        <f t="shared" ref="E7:E16" si="0">(0.0075*0.3)+(0.1*0.01)</f>
        <v>3.2499999999999999E-3</v>
      </c>
      <c r="F7" s="391">
        <f t="shared" ref="F7:F16" si="1">D7*E7</f>
        <v>3.3547799999999999</v>
      </c>
      <c r="G7" s="391">
        <f t="shared" ref="G7:G16" si="2">F7*44/28</f>
        <v>5.2717971428571433</v>
      </c>
      <c r="H7" s="391">
        <f t="shared" ref="H7:H16" si="3">G7*298</f>
        <v>1570.9955485714288</v>
      </c>
    </row>
    <row r="8" spans="3:8" x14ac:dyDescent="0.25">
      <c r="C8" s="399">
        <f>'Direct N2O'!A38</f>
        <v>2023</v>
      </c>
      <c r="D8" s="400">
        <f>'Direct N2O'!AA38*10^-3</f>
        <v>1052.8595</v>
      </c>
      <c r="E8" s="401">
        <f t="shared" si="0"/>
        <v>3.2499999999999999E-3</v>
      </c>
      <c r="F8" s="391">
        <f t="shared" si="1"/>
        <v>3.421793375</v>
      </c>
      <c r="G8" s="391">
        <f t="shared" si="2"/>
        <v>5.3771038750000004</v>
      </c>
      <c r="H8" s="391">
        <f t="shared" si="3"/>
        <v>1602.3769547500001</v>
      </c>
    </row>
    <row r="9" spans="3:8" x14ac:dyDescent="0.25">
      <c r="C9" s="399">
        <f>'Direct N2O'!A39</f>
        <v>2024</v>
      </c>
      <c r="D9" s="400">
        <f>'Direct N2O'!AA39*10^-3</f>
        <v>1073.9850000000001</v>
      </c>
      <c r="E9" s="401">
        <f t="shared" si="0"/>
        <v>3.2499999999999999E-3</v>
      </c>
      <c r="F9" s="391">
        <f t="shared" si="1"/>
        <v>3.4904512500000004</v>
      </c>
      <c r="G9" s="391">
        <f t="shared" si="2"/>
        <v>5.4849948214285718</v>
      </c>
      <c r="H9" s="391">
        <f t="shared" si="3"/>
        <v>1634.5284567857143</v>
      </c>
    </row>
    <row r="10" spans="3:8" x14ac:dyDescent="0.25">
      <c r="C10" s="399">
        <f>'Direct N2O'!A40</f>
        <v>2025</v>
      </c>
      <c r="D10" s="400">
        <f>'Direct N2O'!AA40*10^-3</f>
        <v>1095.3634999999999</v>
      </c>
      <c r="E10" s="401">
        <f t="shared" si="0"/>
        <v>3.2499999999999999E-3</v>
      </c>
      <c r="F10" s="391">
        <f t="shared" si="1"/>
        <v>3.5599313749999997</v>
      </c>
      <c r="G10" s="391">
        <f t="shared" si="2"/>
        <v>5.5941778749999997</v>
      </c>
      <c r="H10" s="391">
        <f t="shared" si="3"/>
        <v>1667.0650067499998</v>
      </c>
    </row>
    <row r="11" spans="3:8" x14ac:dyDescent="0.25">
      <c r="C11" s="399">
        <f>'Direct N2O'!A41</f>
        <v>2026</v>
      </c>
      <c r="D11" s="400">
        <f>'Direct N2O'!AA41*10^-3</f>
        <v>1117.3745000000001</v>
      </c>
      <c r="E11" s="401">
        <f t="shared" si="0"/>
        <v>3.2499999999999999E-3</v>
      </c>
      <c r="F11" s="391">
        <f t="shared" si="1"/>
        <v>3.6314671250000004</v>
      </c>
      <c r="G11" s="391">
        <f t="shared" si="2"/>
        <v>5.7065911964285716</v>
      </c>
      <c r="H11" s="391">
        <f t="shared" si="3"/>
        <v>1700.5641765357143</v>
      </c>
    </row>
    <row r="12" spans="3:8" x14ac:dyDescent="0.25">
      <c r="C12" s="399">
        <f>'Direct N2O'!A42</f>
        <v>2027</v>
      </c>
      <c r="D12" s="400">
        <f>'Direct N2O'!AA42*10^-3</f>
        <v>1139.6385</v>
      </c>
      <c r="E12" s="401">
        <f t="shared" si="0"/>
        <v>3.2499999999999999E-3</v>
      </c>
      <c r="F12" s="391">
        <f t="shared" si="1"/>
        <v>3.7038251249999998</v>
      </c>
      <c r="G12" s="391">
        <f t="shared" si="2"/>
        <v>5.8202966249999992</v>
      </c>
      <c r="H12" s="391">
        <f t="shared" si="3"/>
        <v>1734.4483942499999</v>
      </c>
    </row>
    <row r="13" spans="3:8" x14ac:dyDescent="0.25">
      <c r="C13" s="399">
        <f>'Direct N2O'!A43</f>
        <v>2028</v>
      </c>
      <c r="D13" s="400">
        <f>'Direct N2O'!AA43*10^-3</f>
        <v>1162.4085</v>
      </c>
      <c r="E13" s="401">
        <f t="shared" si="0"/>
        <v>3.2499999999999999E-3</v>
      </c>
      <c r="F13" s="391">
        <f t="shared" si="1"/>
        <v>3.777827625</v>
      </c>
      <c r="G13" s="391">
        <f t="shared" si="2"/>
        <v>5.9365862678571428</v>
      </c>
      <c r="H13" s="391">
        <f t="shared" si="3"/>
        <v>1769.1027078214286</v>
      </c>
    </row>
    <row r="14" spans="3:8" x14ac:dyDescent="0.25">
      <c r="C14" s="399">
        <f>'Direct N2O'!A44</f>
        <v>2029</v>
      </c>
      <c r="D14" s="400">
        <f>'Direct N2O'!AA44*10^-3</f>
        <v>1185.6845000000001</v>
      </c>
      <c r="E14" s="401">
        <f t="shared" si="0"/>
        <v>3.2499999999999999E-3</v>
      </c>
      <c r="F14" s="391">
        <f t="shared" si="1"/>
        <v>3.853474625</v>
      </c>
      <c r="G14" s="391">
        <f t="shared" si="2"/>
        <v>6.0554601250000006</v>
      </c>
      <c r="H14" s="391">
        <f t="shared" si="3"/>
        <v>1804.5271172500002</v>
      </c>
    </row>
    <row r="15" spans="3:8" x14ac:dyDescent="0.25">
      <c r="C15" s="399">
        <f>'Direct N2O'!A45</f>
        <v>2030</v>
      </c>
      <c r="D15" s="400">
        <f>'Direct N2O'!AA45*10^-3</f>
        <v>1209.4665</v>
      </c>
      <c r="E15" s="401">
        <f t="shared" si="0"/>
        <v>3.2499999999999999E-3</v>
      </c>
      <c r="F15" s="391">
        <f t="shared" si="1"/>
        <v>3.9307661249999999</v>
      </c>
      <c r="G15" s="391">
        <f t="shared" si="2"/>
        <v>6.1769181964285718</v>
      </c>
      <c r="H15" s="391">
        <f t="shared" si="3"/>
        <v>1840.7216225357145</v>
      </c>
    </row>
    <row r="16" spans="3:8" x14ac:dyDescent="0.25">
      <c r="C16" s="399">
        <f>'Direct N2O'!A46</f>
        <v>2031</v>
      </c>
      <c r="D16" s="400">
        <f>'Direct N2O'!AA46*10^-3</f>
        <v>0</v>
      </c>
      <c r="E16" s="401">
        <f t="shared" si="0"/>
        <v>3.2499999999999999E-3</v>
      </c>
      <c r="F16" s="391">
        <f t="shared" si="1"/>
        <v>0</v>
      </c>
      <c r="G16" s="391">
        <f t="shared" si="2"/>
        <v>0</v>
      </c>
      <c r="H16" s="391">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0.46110559559373154</v>
      </c>
      <c r="C5" s="68"/>
      <c r="D5" s="68"/>
      <c r="E5" s="233">
        <f>B5*21*10^3</f>
        <v>9683.2175074683637</v>
      </c>
    </row>
    <row r="6" spans="1:5" x14ac:dyDescent="0.25">
      <c r="A6" s="68" t="s">
        <v>395</v>
      </c>
      <c r="B6" s="232">
        <f>'Peternakan-CH4'!H23</f>
        <v>1.40983034244568</v>
      </c>
      <c r="C6" s="68"/>
      <c r="D6" s="68"/>
      <c r="E6" s="233">
        <f>B6*21*10^3</f>
        <v>29606.43719135928</v>
      </c>
    </row>
    <row r="7" spans="1:5" x14ac:dyDescent="0.25">
      <c r="A7" s="68" t="s">
        <v>359</v>
      </c>
      <c r="B7" s="68"/>
      <c r="C7" s="232">
        <f>'Peternakan-N2O'!K23+'Peternakan-N2O'!Y23</f>
        <v>1454.8620996388652</v>
      </c>
      <c r="D7" s="68"/>
      <c r="E7" s="233">
        <f>C7*298*10^-3</f>
        <v>433.54890569238188</v>
      </c>
    </row>
    <row r="8" spans="1:5" x14ac:dyDescent="0.25">
      <c r="A8" s="68" t="s">
        <v>360</v>
      </c>
      <c r="B8" s="68"/>
      <c r="C8" s="68"/>
      <c r="D8" s="68">
        <f>'Kapur pertanian-CO2'!G15</f>
        <v>0</v>
      </c>
      <c r="E8" s="233">
        <f>D8*44/12</f>
        <v>0</v>
      </c>
    </row>
    <row r="9" spans="1:5" x14ac:dyDescent="0.25">
      <c r="A9" s="68" t="s">
        <v>361</v>
      </c>
      <c r="B9" s="68"/>
      <c r="C9" s="68"/>
      <c r="D9" s="234">
        <f>'Pupuk Urea-CO2'!E11</f>
        <v>440</v>
      </c>
      <c r="E9" s="233">
        <f>D9*44/12</f>
        <v>1613.3333333333333</v>
      </c>
    </row>
    <row r="10" spans="1:5" x14ac:dyDescent="0.25">
      <c r="A10" s="68" t="s">
        <v>394</v>
      </c>
      <c r="B10" s="68"/>
      <c r="C10" s="234">
        <f>'Direct N2O'!G19</f>
        <v>20673.714285714286</v>
      </c>
      <c r="D10" s="68"/>
      <c r="E10" s="235">
        <f>C10*298*10^-3</f>
        <v>6160.7668571428576</v>
      </c>
    </row>
    <row r="11" spans="1:5" x14ac:dyDescent="0.25">
      <c r="A11" s="68"/>
      <c r="B11" s="68"/>
      <c r="C11" s="68"/>
      <c r="D11" s="68" t="s">
        <v>445</v>
      </c>
      <c r="E11" s="233">
        <f>SUM(E5:E10)</f>
        <v>47497.303794996224</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0.47032770750560621</v>
      </c>
      <c r="C16" s="68"/>
      <c r="D16" s="68"/>
      <c r="E16" s="233">
        <f>B16*21*10^3</f>
        <v>9876.8818576177309</v>
      </c>
    </row>
    <row r="17" spans="1:5" x14ac:dyDescent="0.25">
      <c r="A17" s="68" t="s">
        <v>395</v>
      </c>
      <c r="B17" s="232">
        <f>'Peternakan-CH4'!P23</f>
        <v>1.4497897648108433</v>
      </c>
      <c r="C17" s="68"/>
      <c r="D17" s="68"/>
      <c r="E17" s="233">
        <f>B17*21*10^3</f>
        <v>30445.585061027712</v>
      </c>
    </row>
    <row r="18" spans="1:5" x14ac:dyDescent="0.25">
      <c r="A18" s="68" t="s">
        <v>359</v>
      </c>
      <c r="B18" s="68"/>
      <c r="C18" s="232">
        <f>'Peternakan-N2O'!AK23+'Peternakan-N2O'!AY23</f>
        <v>1494.6670939687126</v>
      </c>
      <c r="D18" s="68"/>
      <c r="E18" s="233">
        <f>C18*298*10^-3</f>
        <v>445.41079400267637</v>
      </c>
    </row>
    <row r="19" spans="1:5" x14ac:dyDescent="0.25">
      <c r="A19" s="68" t="s">
        <v>360</v>
      </c>
      <c r="B19" s="68"/>
      <c r="C19" s="68"/>
      <c r="D19" s="68">
        <f>'Kapur pertanian-CO2'!G26</f>
        <v>0</v>
      </c>
      <c r="E19" s="233">
        <f>D19*44/12</f>
        <v>0</v>
      </c>
    </row>
    <row r="20" spans="1:5" x14ac:dyDescent="0.25">
      <c r="A20" s="68" t="s">
        <v>361</v>
      </c>
      <c r="B20" s="68"/>
      <c r="C20" s="68"/>
      <c r="D20" s="234">
        <f>'Pupuk Urea-CO2'!E12</f>
        <v>448.8</v>
      </c>
      <c r="E20" s="233">
        <f>D20*44/12</f>
        <v>1645.6000000000001</v>
      </c>
    </row>
    <row r="21" spans="1:5" x14ac:dyDescent="0.25">
      <c r="A21" s="68" t="s">
        <v>394</v>
      </c>
      <c r="B21" s="68"/>
      <c r="C21" s="234">
        <f>'Direct N2O'!J19</f>
        <v>21087.188571428567</v>
      </c>
      <c r="D21" s="68"/>
      <c r="E21" s="235">
        <f>C21*298*10^-3</f>
        <v>6283.9821942857134</v>
      </c>
    </row>
    <row r="22" spans="1:5" x14ac:dyDescent="0.25">
      <c r="A22" s="68"/>
      <c r="B22" s="68"/>
      <c r="C22" s="68"/>
      <c r="D22" s="68" t="s">
        <v>446</v>
      </c>
      <c r="E22" s="233">
        <f>SUM(E16:E21)</f>
        <v>48697.459906933829</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0.47972273401582849</v>
      </c>
      <c r="C27" s="68"/>
      <c r="D27" s="68"/>
      <c r="E27" s="233">
        <f>B27*21*10^3</f>
        <v>10074.177414332398</v>
      </c>
    </row>
    <row r="28" spans="1:5" x14ac:dyDescent="0.25">
      <c r="A28" s="68" t="s">
        <v>395</v>
      </c>
      <c r="B28" s="232">
        <f>'Peternakan-CH4'!X23</f>
        <v>1.5120937071760012</v>
      </c>
      <c r="C28" s="68"/>
      <c r="D28" s="68"/>
      <c r="E28" s="233">
        <f>B28*21*10^3</f>
        <v>31753.967850696026</v>
      </c>
    </row>
    <row r="29" spans="1:5" x14ac:dyDescent="0.25">
      <c r="A29" s="68" t="s">
        <v>359</v>
      </c>
      <c r="B29" s="68"/>
      <c r="C29" s="232">
        <f>'Peternakan-N2O'!BK23+'Peternakan-N2O'!BY23</f>
        <v>1534.8053654185576</v>
      </c>
      <c r="D29" s="68"/>
      <c r="E29" s="233">
        <f>C29*298*10^-3</f>
        <v>457.37199889473021</v>
      </c>
    </row>
    <row r="30" spans="1:5" x14ac:dyDescent="0.25">
      <c r="A30" s="68" t="s">
        <v>360</v>
      </c>
      <c r="B30" s="68"/>
      <c r="C30" s="68"/>
      <c r="D30" s="68">
        <f>'Kapur pertanian-CO2'!G37</f>
        <v>0</v>
      </c>
      <c r="E30" s="233">
        <f>D30*44/12</f>
        <v>0</v>
      </c>
    </row>
    <row r="31" spans="1:5" x14ac:dyDescent="0.25">
      <c r="A31" s="68" t="s">
        <v>361</v>
      </c>
      <c r="B31" s="68"/>
      <c r="C31" s="68"/>
      <c r="D31" s="234">
        <f>'Pupuk Urea-CO2'!E13</f>
        <v>457.7650000000001</v>
      </c>
      <c r="E31" s="233">
        <f>D31*44/12</f>
        <v>1678.471666666667</v>
      </c>
    </row>
    <row r="32" spans="1:5" x14ac:dyDescent="0.25">
      <c r="A32" s="68" t="s">
        <v>394</v>
      </c>
      <c r="B32" s="68"/>
      <c r="C32" s="234">
        <f>'Direct N2O'!M19</f>
        <v>21508.415499999999</v>
      </c>
      <c r="D32" s="68"/>
      <c r="E32" s="235">
        <f>C32*298*10^-3</f>
        <v>6409.5078190000004</v>
      </c>
    </row>
    <row r="33" spans="1:5" x14ac:dyDescent="0.25">
      <c r="A33" s="68"/>
      <c r="B33" s="68"/>
      <c r="C33" s="68"/>
      <c r="D33" s="68" t="s">
        <v>447</v>
      </c>
      <c r="E33" s="233">
        <f>SUM(E27:E32)</f>
        <v>50373.496749589816</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0.48934831332384759</v>
      </c>
      <c r="C38" s="68"/>
      <c r="D38" s="68"/>
      <c r="E38" s="233">
        <f>B38*21*10^3</f>
        <v>10276.314579800799</v>
      </c>
    </row>
    <row r="39" spans="1:5" x14ac:dyDescent="0.25">
      <c r="A39" s="68" t="s">
        <v>395</v>
      </c>
      <c r="B39" s="232">
        <f>'Peternakan-CH4'!AF23</f>
        <v>1.5633988095411648</v>
      </c>
      <c r="C39" s="68"/>
      <c r="D39" s="68"/>
      <c r="E39" s="233">
        <f>B39*21*10^3</f>
        <v>32831.37500036446</v>
      </c>
    </row>
    <row r="40" spans="1:5" x14ac:dyDescent="0.25">
      <c r="A40" s="68" t="s">
        <v>359</v>
      </c>
      <c r="B40" s="68"/>
      <c r="C40" s="232">
        <f>'Peternakan-N2O'!CK23+'Peternakan-N2O'!CY23</f>
        <v>1575.3476307569767</v>
      </c>
      <c r="D40" s="68"/>
      <c r="E40" s="233">
        <f>C40*298*10^-3</f>
        <v>469.45359396557905</v>
      </c>
    </row>
    <row r="41" spans="1:5" x14ac:dyDescent="0.25">
      <c r="A41" s="68" t="s">
        <v>360</v>
      </c>
      <c r="B41" s="68"/>
      <c r="C41" s="68"/>
      <c r="D41" s="68">
        <f>'Kapur pertanian-CO2'!G48</f>
        <v>0</v>
      </c>
      <c r="E41" s="233">
        <f>D41*44/12</f>
        <v>0</v>
      </c>
    </row>
    <row r="42" spans="1:5" x14ac:dyDescent="0.25">
      <c r="A42" s="68" t="s">
        <v>361</v>
      </c>
      <c r="B42" s="68"/>
      <c r="C42" s="68"/>
      <c r="D42" s="234">
        <f>'Pupuk Urea-CO2'!E14</f>
        <v>466.95000000000005</v>
      </c>
      <c r="E42" s="233">
        <f>D42*44/12</f>
        <v>1712.1500000000003</v>
      </c>
    </row>
    <row r="43" spans="1:5" x14ac:dyDescent="0.25">
      <c r="A43" s="68" t="s">
        <v>394</v>
      </c>
      <c r="B43" s="68"/>
      <c r="C43" s="234">
        <f>'Direct N2O'!P19</f>
        <v>21939.979285714286</v>
      </c>
      <c r="D43" s="68"/>
      <c r="E43" s="235">
        <f>C43*298*10^-3</f>
        <v>6538.1138271428572</v>
      </c>
    </row>
    <row r="44" spans="1:5" x14ac:dyDescent="0.25">
      <c r="A44" s="68"/>
      <c r="B44" s="68"/>
      <c r="C44" s="68"/>
      <c r="D44" s="68" t="s">
        <v>448</v>
      </c>
      <c r="E44" s="233">
        <f>SUM(E38:E43)</f>
        <v>51827.407001273692</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0.49908916903076511</v>
      </c>
      <c r="C49" s="68"/>
      <c r="D49" s="68"/>
      <c r="E49" s="233">
        <f>B49*21*10^3</f>
        <v>10480.872549646067</v>
      </c>
    </row>
    <row r="50" spans="1:5" x14ac:dyDescent="0.25">
      <c r="A50" s="68" t="s">
        <v>395</v>
      </c>
      <c r="B50" s="232">
        <f>'Peternakan-CH4'!AN23</f>
        <v>1.6147430319063278</v>
      </c>
      <c r="C50" s="68"/>
      <c r="D50" s="68"/>
      <c r="E50" s="233">
        <f>B50*21*10^3</f>
        <v>33909.603670032884</v>
      </c>
    </row>
    <row r="51" spans="1:5" x14ac:dyDescent="0.25">
      <c r="A51" s="68" t="s">
        <v>359</v>
      </c>
      <c r="B51" s="68"/>
      <c r="C51" s="232">
        <f>'Peternakan-N2O'!DK23+'Peternakan-N2O'!DY23</f>
        <v>1616.2310517925382</v>
      </c>
      <c r="D51" s="68"/>
      <c r="E51" s="233">
        <f>C51*298*10^-3</f>
        <v>481.63685343417637</v>
      </c>
    </row>
    <row r="52" spans="1:5" x14ac:dyDescent="0.25">
      <c r="A52" s="68" t="s">
        <v>360</v>
      </c>
      <c r="B52" s="68"/>
      <c r="C52" s="68"/>
      <c r="D52" s="68">
        <f>'Kapur pertanian-CO2'!G59</f>
        <v>0</v>
      </c>
      <c r="E52" s="233">
        <f>D52*44/12</f>
        <v>0</v>
      </c>
    </row>
    <row r="53" spans="1:5" x14ac:dyDescent="0.25">
      <c r="A53" s="68" t="s">
        <v>361</v>
      </c>
      <c r="B53" s="68"/>
      <c r="C53" s="68"/>
      <c r="D53" s="234">
        <f>'Pupuk Urea-CO2'!E15</f>
        <v>476.245</v>
      </c>
      <c r="E53" s="233">
        <f>D53*44/12</f>
        <v>1746.2316666666666</v>
      </c>
    </row>
    <row r="54" spans="1:5" x14ac:dyDescent="0.25">
      <c r="A54" s="68" t="s">
        <v>394</v>
      </c>
      <c r="B54" s="68"/>
      <c r="C54" s="234">
        <f>'Direct N2O'!S19</f>
        <v>22376.711500000001</v>
      </c>
      <c r="D54" s="68"/>
      <c r="E54" s="235">
        <f>C54*298*10^-3</f>
        <v>6668.2600270000012</v>
      </c>
    </row>
    <row r="55" spans="1:5" x14ac:dyDescent="0.25">
      <c r="A55" s="68"/>
      <c r="B55" s="68"/>
      <c r="C55" s="68"/>
      <c r="D55" s="68" t="s">
        <v>449</v>
      </c>
      <c r="E55" s="233">
        <f>SUM(E49:E54)</f>
        <v>53286.604766779798</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0.50911821573492888</v>
      </c>
      <c r="C60" s="68"/>
      <c r="D60" s="68"/>
      <c r="E60" s="233">
        <f>B60*21*10^3</f>
        <v>10691.482530433506</v>
      </c>
    </row>
    <row r="61" spans="1:5" x14ac:dyDescent="0.25">
      <c r="A61" s="68" t="s">
        <v>395</v>
      </c>
      <c r="B61" s="232">
        <f>'Peternakan-CH4'!AV23</f>
        <v>1.6663292742714861</v>
      </c>
      <c r="C61" s="68"/>
      <c r="D61" s="68"/>
      <c r="E61" s="233">
        <f>B61*21*10^3</f>
        <v>34992.914759701205</v>
      </c>
    </row>
    <row r="62" spans="1:5" x14ac:dyDescent="0.25">
      <c r="A62" s="68" t="s">
        <v>359</v>
      </c>
      <c r="B62" s="68"/>
      <c r="C62" s="304">
        <f>'Peternakan-N2O'!EK23+'Peternakan-N2O'!EY23</f>
        <v>1657.5623013395261</v>
      </c>
      <c r="D62" s="68"/>
      <c r="E62" s="233">
        <f>C62*298*10^-3</f>
        <v>493.95356579917882</v>
      </c>
    </row>
    <row r="63" spans="1:5" x14ac:dyDescent="0.25">
      <c r="A63" s="68" t="s">
        <v>360</v>
      </c>
      <c r="B63" s="68"/>
      <c r="C63" s="68"/>
      <c r="D63" s="68">
        <f>'Kapur pertanian-CO2'!G70</f>
        <v>0</v>
      </c>
      <c r="E63" s="233">
        <f>D63*44/12</f>
        <v>0</v>
      </c>
    </row>
    <row r="64" spans="1:5" x14ac:dyDescent="0.25">
      <c r="A64" s="68" t="s">
        <v>361</v>
      </c>
      <c r="B64" s="68"/>
      <c r="C64" s="68"/>
      <c r="D64" s="234">
        <f>'Pupuk Urea-CO2'!E16</f>
        <v>485.81500000000005</v>
      </c>
      <c r="E64" s="233">
        <f>D64*44/12</f>
        <v>1781.3216666666667</v>
      </c>
    </row>
    <row r="65" spans="1:5" x14ac:dyDescent="0.25">
      <c r="A65" s="68" t="s">
        <v>394</v>
      </c>
      <c r="B65" s="68"/>
      <c r="C65" s="234">
        <f>'Direct N2O'!V19</f>
        <v>22826.364785714286</v>
      </c>
      <c r="D65" s="68"/>
      <c r="E65" s="235">
        <f>C65*298*10^-3</f>
        <v>6802.2567061428581</v>
      </c>
    </row>
    <row r="66" spans="1:5" x14ac:dyDescent="0.25">
      <c r="A66" s="68"/>
      <c r="B66" s="68"/>
      <c r="C66" s="68"/>
      <c r="D66" s="68" t="s">
        <v>450</v>
      </c>
      <c r="E66" s="233">
        <f>SUM(E60:E65)</f>
        <v>54761.929228743422</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0.51926253883799089</v>
      </c>
      <c r="C71" s="68"/>
      <c r="D71" s="68"/>
      <c r="E71" s="233">
        <f>B71*21*10^3</f>
        <v>10904.513315597809</v>
      </c>
    </row>
    <row r="72" spans="1:5" x14ac:dyDescent="0.25">
      <c r="A72" s="68" t="s">
        <v>395</v>
      </c>
      <c r="B72" s="232">
        <f>'Peternakan-CH4'!BD23</f>
        <v>1.7180088966366491</v>
      </c>
      <c r="C72" s="68"/>
      <c r="D72" s="68"/>
      <c r="E72" s="233">
        <f>B72*21*10^3</f>
        <v>36078.186829369632</v>
      </c>
    </row>
    <row r="73" spans="1:5" x14ac:dyDescent="0.25">
      <c r="A73" s="68" t="s">
        <v>359</v>
      </c>
      <c r="B73" s="68"/>
      <c r="C73" s="304">
        <f>'Peternakan-N2O'!FK23+'Peternakan-N2O'!FY23</f>
        <v>1699.2914809779447</v>
      </c>
      <c r="D73" s="68"/>
      <c r="E73" s="233">
        <f>C73*298*10^-3</f>
        <v>506.38886133142756</v>
      </c>
    </row>
    <row r="74" spans="1:5" x14ac:dyDescent="0.25">
      <c r="A74" s="68" t="s">
        <v>360</v>
      </c>
      <c r="B74" s="68"/>
      <c r="C74" s="68"/>
      <c r="D74" s="68">
        <f>'Kapur pertanian-CO2'!G81</f>
        <v>0</v>
      </c>
      <c r="E74" s="233">
        <f>D74*44/12</f>
        <v>0</v>
      </c>
    </row>
    <row r="75" spans="1:5" x14ac:dyDescent="0.25">
      <c r="A75" s="68" t="s">
        <v>361</v>
      </c>
      <c r="B75" s="68"/>
      <c r="C75" s="68"/>
      <c r="D75" s="234">
        <f>'Pupuk Urea-CO2'!E17</f>
        <v>495.495</v>
      </c>
      <c r="E75" s="233">
        <f>D75*44/12</f>
        <v>1816.8149999999998</v>
      </c>
    </row>
    <row r="76" spans="1:5" x14ac:dyDescent="0.25">
      <c r="A76" s="68" t="s">
        <v>394</v>
      </c>
      <c r="B76" s="68"/>
      <c r="C76" s="234">
        <f>'Direct N2O'!Y19</f>
        <v>23281.186500000003</v>
      </c>
      <c r="D76" s="68"/>
      <c r="E76" s="235">
        <f>C76*298*10^-3</f>
        <v>6937.7935770000013</v>
      </c>
    </row>
    <row r="77" spans="1:5" x14ac:dyDescent="0.25">
      <c r="A77" s="68"/>
      <c r="B77" s="68"/>
      <c r="C77" s="68"/>
      <c r="D77" s="68" t="s">
        <v>451</v>
      </c>
      <c r="E77" s="233">
        <f>SUM(E71:E76)</f>
        <v>56243.697583298876</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0.52963741473884984</v>
      </c>
      <c r="C82" s="68"/>
      <c r="D82" s="68"/>
      <c r="E82" s="233">
        <f>B82*21*10^3</f>
        <v>11122.385709515847</v>
      </c>
    </row>
    <row r="83" spans="1:5" x14ac:dyDescent="0.25">
      <c r="A83" s="68" t="s">
        <v>395</v>
      </c>
      <c r="B83" s="232">
        <f>'Peternakan-CH4'!BL23</f>
        <v>1.7698341990018129</v>
      </c>
      <c r="C83" s="68"/>
      <c r="D83" s="68"/>
      <c r="E83" s="233">
        <f>B83*21*10^3</f>
        <v>37166.518179038074</v>
      </c>
    </row>
    <row r="84" spans="1:5" x14ac:dyDescent="0.25">
      <c r="A84" s="68" t="s">
        <v>359</v>
      </c>
      <c r="B84" s="68"/>
      <c r="C84" s="232">
        <f>'Peternakan-N2O'!GK23+'Peternakan-N2O'!GY23</f>
        <v>1741.4341574363636</v>
      </c>
      <c r="D84" s="68"/>
      <c r="E84" s="233">
        <f>C84*298*10^-3</f>
        <v>518.94737891603643</v>
      </c>
    </row>
    <row r="85" spans="1:5" x14ac:dyDescent="0.25">
      <c r="A85" s="68" t="s">
        <v>360</v>
      </c>
      <c r="B85" s="68"/>
      <c r="C85" s="68"/>
      <c r="D85" s="68">
        <f>'Kapur pertanian-CO2'!G92</f>
        <v>0</v>
      </c>
      <c r="E85" s="233">
        <f>D85*44/12</f>
        <v>0</v>
      </c>
    </row>
    <row r="86" spans="1:5" x14ac:dyDescent="0.25">
      <c r="A86" s="68" t="s">
        <v>361</v>
      </c>
      <c r="B86" s="68"/>
      <c r="C86" s="68"/>
      <c r="D86" s="234">
        <f>'Pupuk Urea-CO2'!E18</f>
        <v>505.39499999999998</v>
      </c>
      <c r="E86" s="233">
        <f>D86*44/12</f>
        <v>1853.1149999999998</v>
      </c>
    </row>
    <row r="87" spans="1:5" x14ac:dyDescent="0.25">
      <c r="A87" s="68" t="s">
        <v>394</v>
      </c>
      <c r="B87" s="68"/>
      <c r="C87" s="234">
        <f>'Direct N2O'!AB19</f>
        <v>23746.345071428572</v>
      </c>
      <c r="D87" s="68"/>
      <c r="E87" s="235">
        <f>C87*298*10^-3</f>
        <v>7076.4108312857143</v>
      </c>
    </row>
    <row r="88" spans="1:5" x14ac:dyDescent="0.25">
      <c r="A88" s="68"/>
      <c r="B88" s="68"/>
      <c r="C88" s="68"/>
      <c r="D88" s="68" t="s">
        <v>452</v>
      </c>
      <c r="E88" s="233">
        <f>SUM(E82:E87)</f>
        <v>57737.377098755664</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0.54024284343750573</v>
      </c>
      <c r="C93" s="68"/>
      <c r="D93" s="68"/>
      <c r="E93" s="233">
        <f>B93*21*10^3</f>
        <v>11345.099712187621</v>
      </c>
    </row>
    <row r="94" spans="1:5" x14ac:dyDescent="0.25">
      <c r="A94" s="68" t="s">
        <v>395</v>
      </c>
      <c r="B94" s="232">
        <f>'Peternakan-CH4'!BT23</f>
        <v>1.821661841366971</v>
      </c>
      <c r="C94" s="68"/>
      <c r="D94" s="68"/>
      <c r="E94" s="233">
        <f>B94*21*10^3</f>
        <v>38254.898668706388</v>
      </c>
    </row>
    <row r="95" spans="1:5" x14ac:dyDescent="0.25">
      <c r="A95" s="68" t="s">
        <v>359</v>
      </c>
      <c r="B95" s="68"/>
      <c r="C95" s="232">
        <f>'Peternakan-N2O'!HK23+'Peternakan-N2O'!HY23</f>
        <v>1783.9538882804945</v>
      </c>
      <c r="D95" s="68"/>
      <c r="E95" s="233">
        <f>C95*298*10^-3</f>
        <v>531.61825870758742</v>
      </c>
    </row>
    <row r="96" spans="1:5" x14ac:dyDescent="0.25">
      <c r="A96" s="68" t="s">
        <v>360</v>
      </c>
      <c r="B96" s="68"/>
      <c r="C96" s="68"/>
      <c r="D96" s="68">
        <f>'Kapur pertanian-CO2'!G103</f>
        <v>0</v>
      </c>
      <c r="E96" s="233">
        <f>D96*44/12</f>
        <v>0</v>
      </c>
    </row>
    <row r="97" spans="1:5" x14ac:dyDescent="0.25">
      <c r="A97" s="68" t="s">
        <v>361</v>
      </c>
      <c r="B97" s="68"/>
      <c r="C97" s="68"/>
      <c r="D97" s="234">
        <f>'Pupuk Urea-CO2'!E19</f>
        <v>515.5150000000001</v>
      </c>
      <c r="E97" s="233">
        <f>D97*44/12</f>
        <v>1890.221666666667</v>
      </c>
    </row>
    <row r="98" spans="1:5" x14ac:dyDescent="0.25">
      <c r="A98" s="68" t="s">
        <v>394</v>
      </c>
      <c r="B98" s="68"/>
      <c r="C98" s="234">
        <f>'Direct N2O'!AE19</f>
        <v>24221.840499999998</v>
      </c>
      <c r="D98" s="68"/>
      <c r="E98" s="235">
        <f>C98*298*10^-3</f>
        <v>7218.1084689999998</v>
      </c>
    </row>
    <row r="99" spans="1:5" x14ac:dyDescent="0.25">
      <c r="A99" s="68"/>
      <c r="B99" s="68"/>
      <c r="C99" s="68"/>
      <c r="D99" s="68" t="s">
        <v>453</v>
      </c>
      <c r="E99" s="233">
        <f>SUM(E93:E98)</f>
        <v>59239.946775268261</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0.55107882493395832</v>
      </c>
      <c r="C104" s="68"/>
      <c r="D104" s="68"/>
      <c r="E104" s="233">
        <f>B104*21*10^3</f>
        <v>11572.655323613124</v>
      </c>
    </row>
    <row r="105" spans="1:5" x14ac:dyDescent="0.25">
      <c r="A105" s="68" t="s">
        <v>395</v>
      </c>
      <c r="B105" s="232">
        <f>'Peternakan-CH4'!CB23</f>
        <v>1.8737252237321345</v>
      </c>
      <c r="C105" s="68"/>
      <c r="D105" s="68"/>
      <c r="E105" s="233">
        <f>B105*21*10^3</f>
        <v>39348.229698374824</v>
      </c>
    </row>
    <row r="106" spans="1:5" x14ac:dyDescent="0.25">
      <c r="A106" s="68" t="s">
        <v>359</v>
      </c>
      <c r="B106" s="68"/>
      <c r="C106" s="232">
        <f>'Peternakan-N2O'!IK23+'Peternakan-N2O'!IY23</f>
        <v>1826.9307784960558</v>
      </c>
      <c r="D106" s="68"/>
      <c r="E106" s="233">
        <f>C106*298*10^-3</f>
        <v>544.42537199182459</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525.85500000000002</v>
      </c>
      <c r="E108" s="233">
        <f>D108*44/12</f>
        <v>1928.1350000000002</v>
      </c>
    </row>
    <row r="109" spans="1:5" x14ac:dyDescent="0.25">
      <c r="A109" s="68" t="s">
        <v>394</v>
      </c>
      <c r="B109" s="68"/>
      <c r="C109" s="234">
        <f>'Direct N2O'!AH19</f>
        <v>24707.672785714287</v>
      </c>
      <c r="D109" s="68"/>
      <c r="E109" s="235">
        <f>C109*298*10^-3</f>
        <v>7362.8864901428578</v>
      </c>
    </row>
    <row r="110" spans="1:5" x14ac:dyDescent="0.25">
      <c r="A110" s="68"/>
      <c r="B110" s="68"/>
      <c r="C110" s="68"/>
      <c r="D110" s="68" t="s">
        <v>454</v>
      </c>
      <c r="E110" s="233">
        <f>SUM(E104:E109)</f>
        <v>60756.331884122636</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4" t="s">
        <v>517</v>
      </c>
      <c r="B124" s="494"/>
      <c r="C124" s="494"/>
      <c r="D124" s="494"/>
      <c r="E124" s="494"/>
      <c r="F124" s="494"/>
      <c r="G124" s="494"/>
      <c r="H124" s="494"/>
      <c r="I124" s="494"/>
      <c r="J124" s="494"/>
      <c r="K124" s="494"/>
      <c r="L124" s="494"/>
    </row>
    <row r="125" spans="1:22" x14ac:dyDescent="0.25">
      <c r="A125" s="178"/>
    </row>
    <row r="126" spans="1:22" x14ac:dyDescent="0.25">
      <c r="A126" s="243"/>
      <c r="B126" s="493" t="s">
        <v>434</v>
      </c>
      <c r="C126" s="493"/>
      <c r="D126" s="493"/>
      <c r="E126" s="493"/>
      <c r="F126" s="493"/>
      <c r="G126" s="493"/>
      <c r="H126" s="493"/>
      <c r="I126" s="493"/>
      <c r="J126" s="493"/>
      <c r="K126" s="493"/>
      <c r="L126" s="493"/>
    </row>
    <row r="127" spans="1:22" x14ac:dyDescent="0.25">
      <c r="A127" s="243" t="s">
        <v>424</v>
      </c>
      <c r="B127" s="244">
        <f>'Direct N2O'!D52</f>
        <v>2021</v>
      </c>
      <c r="C127" s="402">
        <f>'Direct N2O'!E52</f>
        <v>2022</v>
      </c>
      <c r="D127" s="402">
        <f>'Direct N2O'!F52</f>
        <v>2023</v>
      </c>
      <c r="E127" s="402">
        <f>'Direct N2O'!G52</f>
        <v>2024</v>
      </c>
      <c r="F127" s="402">
        <f>'Direct N2O'!H52</f>
        <v>2025</v>
      </c>
      <c r="G127" s="402">
        <f>'Direct N2O'!I52</f>
        <v>2026</v>
      </c>
      <c r="H127" s="402">
        <f>'Direct N2O'!J52</f>
        <v>2027</v>
      </c>
      <c r="I127" s="402">
        <f>'Direct N2O'!K52</f>
        <v>2028</v>
      </c>
      <c r="J127" s="402">
        <f>'Direct N2O'!L52</f>
        <v>2029</v>
      </c>
      <c r="K127" s="402">
        <f>'Direct N2O'!M52</f>
        <v>2030</v>
      </c>
      <c r="L127" s="402"/>
      <c r="M127" s="250"/>
      <c r="N127" s="250"/>
      <c r="O127" s="250"/>
      <c r="P127" s="250"/>
      <c r="Q127" s="250"/>
      <c r="R127" s="250"/>
      <c r="S127" s="250"/>
      <c r="T127" s="250"/>
      <c r="U127" s="250"/>
      <c r="V127" s="250"/>
    </row>
    <row r="128" spans="1:22" x14ac:dyDescent="0.25">
      <c r="A128" s="68" t="s">
        <v>358</v>
      </c>
      <c r="B128" s="395">
        <f>E5</f>
        <v>9683.2175074683637</v>
      </c>
      <c r="C128" s="395">
        <f t="shared" ref="C128:C133" si="0">E16</f>
        <v>9876.8818576177309</v>
      </c>
      <c r="D128" s="395">
        <f t="shared" ref="D128:D132" si="1">E27</f>
        <v>10074.177414332398</v>
      </c>
      <c r="E128" s="395">
        <f>E38</f>
        <v>10276.314579800799</v>
      </c>
      <c r="F128" s="395">
        <f>E49</f>
        <v>10480.872549646067</v>
      </c>
      <c r="G128" s="395">
        <f>E60</f>
        <v>10691.482530433506</v>
      </c>
      <c r="H128" s="395">
        <f>E71</f>
        <v>10904.513315597809</v>
      </c>
      <c r="I128" s="395">
        <f>E82</f>
        <v>11122.385709515847</v>
      </c>
      <c r="J128" s="395">
        <f>E93</f>
        <v>11345.099712187621</v>
      </c>
      <c r="K128" s="395">
        <f>E104</f>
        <v>11572.655323613124</v>
      </c>
      <c r="L128" s="395">
        <f t="shared" ref="L128:L133" si="2">E115</f>
        <v>0</v>
      </c>
    </row>
    <row r="129" spans="1:12" x14ac:dyDescent="0.25">
      <c r="A129" s="68" t="s">
        <v>395</v>
      </c>
      <c r="B129" s="395">
        <f t="shared" ref="B129:B133" si="3">E6</f>
        <v>29606.43719135928</v>
      </c>
      <c r="C129" s="395">
        <f t="shared" si="0"/>
        <v>30445.585061027712</v>
      </c>
      <c r="D129" s="395">
        <f t="shared" si="1"/>
        <v>31753.967850696026</v>
      </c>
      <c r="E129" s="395">
        <f t="shared" ref="E129:E133" si="4">E39</f>
        <v>32831.37500036446</v>
      </c>
      <c r="F129" s="395">
        <f t="shared" ref="F129:F133" si="5">E50</f>
        <v>33909.603670032884</v>
      </c>
      <c r="G129" s="395">
        <f t="shared" ref="G129:G133" si="6">E61</f>
        <v>34992.914759701205</v>
      </c>
      <c r="H129" s="395">
        <f t="shared" ref="H129:H133" si="7">E72</f>
        <v>36078.186829369632</v>
      </c>
      <c r="I129" s="395">
        <f t="shared" ref="I129:I133" si="8">E83</f>
        <v>37166.518179038074</v>
      </c>
      <c r="J129" s="395">
        <f t="shared" ref="J129:J133" si="9">E94</f>
        <v>38254.898668706388</v>
      </c>
      <c r="K129" s="395">
        <f t="shared" ref="K129:K133" si="10">E105</f>
        <v>39348.229698374824</v>
      </c>
      <c r="L129" s="395">
        <f t="shared" si="2"/>
        <v>0</v>
      </c>
    </row>
    <row r="130" spans="1:12" x14ac:dyDescent="0.25">
      <c r="A130" s="68" t="s">
        <v>359</v>
      </c>
      <c r="B130" s="395">
        <f t="shared" si="3"/>
        <v>433.54890569238188</v>
      </c>
      <c r="C130" s="395">
        <f t="shared" si="0"/>
        <v>445.41079400267637</v>
      </c>
      <c r="D130" s="395">
        <f t="shared" si="1"/>
        <v>457.37199889473021</v>
      </c>
      <c r="E130" s="395">
        <f t="shared" si="4"/>
        <v>469.45359396557905</v>
      </c>
      <c r="F130" s="395">
        <f t="shared" si="5"/>
        <v>481.63685343417637</v>
      </c>
      <c r="G130" s="395">
        <f t="shared" si="6"/>
        <v>493.95356579917882</v>
      </c>
      <c r="H130" s="395">
        <f t="shared" si="7"/>
        <v>506.38886133142756</v>
      </c>
      <c r="I130" s="395">
        <f t="shared" si="8"/>
        <v>518.94737891603643</v>
      </c>
      <c r="J130" s="395">
        <f t="shared" si="9"/>
        <v>531.61825870758742</v>
      </c>
      <c r="K130" s="395">
        <f t="shared" si="10"/>
        <v>544.42537199182459</v>
      </c>
      <c r="L130" s="395">
        <f t="shared" si="2"/>
        <v>0</v>
      </c>
    </row>
    <row r="131" spans="1:12" x14ac:dyDescent="0.25">
      <c r="A131" s="68" t="s">
        <v>360</v>
      </c>
      <c r="B131" s="395">
        <f t="shared" si="3"/>
        <v>0</v>
      </c>
      <c r="C131" s="395">
        <f t="shared" si="0"/>
        <v>0</v>
      </c>
      <c r="D131" s="395">
        <f t="shared" si="1"/>
        <v>0</v>
      </c>
      <c r="E131" s="395">
        <f t="shared" si="4"/>
        <v>0</v>
      </c>
      <c r="F131" s="395">
        <f t="shared" si="5"/>
        <v>0</v>
      </c>
      <c r="G131" s="395">
        <f t="shared" si="6"/>
        <v>0</v>
      </c>
      <c r="H131" s="395">
        <f t="shared" si="7"/>
        <v>0</v>
      </c>
      <c r="I131" s="395">
        <f t="shared" si="8"/>
        <v>0</v>
      </c>
      <c r="J131" s="395">
        <f t="shared" si="9"/>
        <v>0</v>
      </c>
      <c r="K131" s="395">
        <f t="shared" si="10"/>
        <v>0</v>
      </c>
      <c r="L131" s="395">
        <f t="shared" si="2"/>
        <v>0</v>
      </c>
    </row>
    <row r="132" spans="1:12" x14ac:dyDescent="0.25">
      <c r="A132" s="68" t="s">
        <v>361</v>
      </c>
      <c r="B132" s="395">
        <f t="shared" si="3"/>
        <v>1613.3333333333333</v>
      </c>
      <c r="C132" s="395">
        <f t="shared" si="0"/>
        <v>1645.6000000000001</v>
      </c>
      <c r="D132" s="395">
        <f t="shared" si="1"/>
        <v>1678.471666666667</v>
      </c>
      <c r="E132" s="395">
        <f t="shared" si="4"/>
        <v>1712.1500000000003</v>
      </c>
      <c r="F132" s="395">
        <f t="shared" si="5"/>
        <v>1746.2316666666666</v>
      </c>
      <c r="G132" s="395">
        <f t="shared" si="6"/>
        <v>1781.3216666666667</v>
      </c>
      <c r="H132" s="395">
        <f t="shared" si="7"/>
        <v>1816.8149999999998</v>
      </c>
      <c r="I132" s="395">
        <f t="shared" si="8"/>
        <v>1853.1149999999998</v>
      </c>
      <c r="J132" s="395">
        <f t="shared" si="9"/>
        <v>1890.221666666667</v>
      </c>
      <c r="K132" s="395">
        <f t="shared" si="10"/>
        <v>1928.1350000000002</v>
      </c>
      <c r="L132" s="395">
        <f t="shared" si="2"/>
        <v>0</v>
      </c>
    </row>
    <row r="133" spans="1:12" x14ac:dyDescent="0.25">
      <c r="A133" s="68" t="s">
        <v>394</v>
      </c>
      <c r="B133" s="395">
        <f t="shared" si="3"/>
        <v>6160.7668571428576</v>
      </c>
      <c r="C133" s="395">
        <f t="shared" si="0"/>
        <v>6283.9821942857134</v>
      </c>
      <c r="D133" s="395">
        <f>E32</f>
        <v>6409.5078190000004</v>
      </c>
      <c r="E133" s="395">
        <f t="shared" si="4"/>
        <v>6538.1138271428572</v>
      </c>
      <c r="F133" s="395">
        <f t="shared" si="5"/>
        <v>6668.2600270000012</v>
      </c>
      <c r="G133" s="395">
        <f t="shared" si="6"/>
        <v>6802.2567061428581</v>
      </c>
      <c r="H133" s="395">
        <f t="shared" si="7"/>
        <v>6937.7935770000013</v>
      </c>
      <c r="I133" s="395">
        <f t="shared" si="8"/>
        <v>7076.4108312857143</v>
      </c>
      <c r="J133" s="395">
        <f t="shared" si="9"/>
        <v>7218.1084689999998</v>
      </c>
      <c r="K133" s="395">
        <f t="shared" si="10"/>
        <v>7362.8864901428578</v>
      </c>
      <c r="L133" s="395">
        <f t="shared" si="2"/>
        <v>0</v>
      </c>
    </row>
    <row r="134" spans="1:12" x14ac:dyDescent="0.25">
      <c r="A134" s="68" t="s">
        <v>515</v>
      </c>
      <c r="B134" s="395">
        <f>'Un-Direct N2O'!H6</f>
        <v>1540.1917142857142</v>
      </c>
      <c r="C134" s="395">
        <f>'Un-Direct N2O'!H7</f>
        <v>1570.9955485714288</v>
      </c>
      <c r="D134" s="395">
        <f>'Un-Direct N2O'!H8</f>
        <v>1602.3769547500001</v>
      </c>
      <c r="E134" s="395">
        <f>'Un-Direct N2O'!H9</f>
        <v>1634.5284567857143</v>
      </c>
      <c r="F134" s="395">
        <f>'Un-Direct N2O'!H10</f>
        <v>1667.0650067499998</v>
      </c>
      <c r="G134" s="395">
        <f>'Un-Direct N2O'!H11</f>
        <v>1700.5641765357143</v>
      </c>
      <c r="H134" s="395">
        <f>'Un-Direct N2O'!H12</f>
        <v>1734.4483942499999</v>
      </c>
      <c r="I134" s="395">
        <f>'Un-Direct N2O'!H13</f>
        <v>1769.1027078214286</v>
      </c>
      <c r="J134" s="395">
        <f>'Un-Direct N2O'!H14</f>
        <v>1804.5271172500002</v>
      </c>
      <c r="K134" s="395">
        <f>'Un-Direct N2O'!H15</f>
        <v>1840.7216225357145</v>
      </c>
      <c r="L134" s="395">
        <f>'Un-Direct N2O'!H16</f>
        <v>0</v>
      </c>
    </row>
    <row r="135" spans="1:12" x14ac:dyDescent="0.25">
      <c r="A135" s="245" t="s">
        <v>435</v>
      </c>
      <c r="B135" s="396">
        <f>SUM(B128:B134)</f>
        <v>49037.495509281936</v>
      </c>
      <c r="C135" s="396">
        <f t="shared" ref="C135:L135" si="11">SUM(C128:C134)</f>
        <v>50268.45545550526</v>
      </c>
      <c r="D135" s="396">
        <f t="shared" si="11"/>
        <v>51975.873704339814</v>
      </c>
      <c r="E135" s="396">
        <f t="shared" si="11"/>
        <v>53461.935458059408</v>
      </c>
      <c r="F135" s="396">
        <f t="shared" si="11"/>
        <v>54953.6697735298</v>
      </c>
      <c r="G135" s="396">
        <f t="shared" si="11"/>
        <v>56462.493405279136</v>
      </c>
      <c r="H135" s="396">
        <f t="shared" si="11"/>
        <v>57978.145977548877</v>
      </c>
      <c r="I135" s="396">
        <f t="shared" si="11"/>
        <v>59506.479806577096</v>
      </c>
      <c r="J135" s="396">
        <f t="shared" si="11"/>
        <v>61044.473892518261</v>
      </c>
      <c r="K135" s="396">
        <f t="shared" si="11"/>
        <v>62597.053506658347</v>
      </c>
      <c r="L135" s="396">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5" t="s">
        <v>456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125</v>
      </c>
      <c r="C5" s="230">
        <f>'Peternakan-CH4'!D27</f>
        <v>128</v>
      </c>
      <c r="D5" s="230">
        <f>'Peternakan-CH4'!E27</f>
        <v>130</v>
      </c>
      <c r="E5" s="230">
        <f>'Peternakan-CH4'!F27</f>
        <v>133</v>
      </c>
      <c r="F5" s="230">
        <f>'Peternakan-CH4'!G27</f>
        <v>135</v>
      </c>
      <c r="G5" s="230">
        <f>'Peternakan-CH4'!H27</f>
        <v>138</v>
      </c>
      <c r="H5" s="230">
        <f>'Peternakan-CH4'!I27</f>
        <v>141</v>
      </c>
      <c r="I5" s="230">
        <f>'Peternakan-CH4'!J27</f>
        <v>144</v>
      </c>
      <c r="J5" s="230">
        <f>'Peternakan-CH4'!K27</f>
        <v>146</v>
      </c>
      <c r="K5" s="230">
        <f>'Peternakan-CH4'!L27</f>
        <v>149</v>
      </c>
      <c r="L5" s="226"/>
    </row>
    <row r="6" spans="1:12" x14ac:dyDescent="0.25">
      <c r="A6" s="56" t="s">
        <v>71</v>
      </c>
      <c r="B6" s="230">
        <f>'Peternakan-CH4'!C28</f>
        <v>23402.213384285002</v>
      </c>
      <c r="C6" s="230">
        <f>'Peternakan-CH4'!D28</f>
        <v>24346.678850225901</v>
      </c>
      <c r="D6" s="230">
        <f>'Peternakan-CH4'!E28</f>
        <v>25291.144316166701</v>
      </c>
      <c r="E6" s="230">
        <f>'Peternakan-CH4'!F28</f>
        <v>26235.6097821076</v>
      </c>
      <c r="F6" s="230">
        <f>'Peternakan-CH4'!G28</f>
        <v>27180.075248048499</v>
      </c>
      <c r="G6" s="230">
        <f>'Peternakan-CH4'!H28</f>
        <v>28124.5407139893</v>
      </c>
      <c r="H6" s="230">
        <f>'Peternakan-CH4'!I28</f>
        <v>29069.006179930198</v>
      </c>
      <c r="I6" s="230">
        <f>'Peternakan-CH4'!J28</f>
        <v>30013.471645871101</v>
      </c>
      <c r="J6" s="230">
        <f>'Peternakan-CH4'!K28</f>
        <v>30957.937111811902</v>
      </c>
      <c r="K6" s="230">
        <f>'Peternakan-CH4'!L28</f>
        <v>31902.4025777528</v>
      </c>
      <c r="L6" s="226"/>
    </row>
    <row r="7" spans="1:12" x14ac:dyDescent="0.25">
      <c r="A7" s="56" t="s">
        <v>22</v>
      </c>
      <c r="B7" s="230">
        <f>'Peternakan-CH4'!C29</f>
        <v>1228</v>
      </c>
      <c r="C7" s="230">
        <f>'Peternakan-CH4'!D29</f>
        <v>1253</v>
      </c>
      <c r="D7" s="230">
        <f>'Peternakan-CH4'!E29</f>
        <v>1278</v>
      </c>
      <c r="E7" s="230">
        <f>'Peternakan-CH4'!F29</f>
        <v>1303</v>
      </c>
      <c r="F7" s="230">
        <f>'Peternakan-CH4'!G29</f>
        <v>1329</v>
      </c>
      <c r="G7" s="230">
        <f>'Peternakan-CH4'!H29</f>
        <v>1356</v>
      </c>
      <c r="H7" s="230">
        <f>'Peternakan-CH4'!I29</f>
        <v>1383</v>
      </c>
      <c r="I7" s="230">
        <f>'Peternakan-CH4'!J29</f>
        <v>1411</v>
      </c>
      <c r="J7" s="230">
        <f>'Peternakan-CH4'!K29</f>
        <v>1439</v>
      </c>
      <c r="K7" s="230">
        <f>'Peternakan-CH4'!L29</f>
        <v>1468</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12705</v>
      </c>
      <c r="C9" s="230">
        <f>'Peternakan-CH4'!D31</f>
        <v>12959</v>
      </c>
      <c r="D9" s="230">
        <f>'Peternakan-CH4'!E31</f>
        <v>13218</v>
      </c>
      <c r="E9" s="230">
        <f>'Peternakan-CH4'!F31</f>
        <v>13483</v>
      </c>
      <c r="F9" s="230">
        <f>'Peternakan-CH4'!G31</f>
        <v>13752</v>
      </c>
      <c r="G9" s="230">
        <f>'Peternakan-CH4'!H31</f>
        <v>14027</v>
      </c>
      <c r="H9" s="230">
        <f>'Peternakan-CH4'!I31</f>
        <v>14308</v>
      </c>
      <c r="I9" s="230">
        <f>'Peternakan-CH4'!J31</f>
        <v>14594</v>
      </c>
      <c r="J9" s="230">
        <f>'Peternakan-CH4'!K31</f>
        <v>14886</v>
      </c>
      <c r="K9" s="230">
        <f>'Peternakan-CH4'!L31</f>
        <v>15184</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473495</v>
      </c>
      <c r="C11" s="230">
        <f>'Peternakan-CH4'!D33</f>
        <v>482965</v>
      </c>
      <c r="D11" s="230">
        <f>'Peternakan-CH4'!E33</f>
        <v>492624</v>
      </c>
      <c r="E11" s="230">
        <f>'Peternakan-CH4'!F33</f>
        <v>502477</v>
      </c>
      <c r="F11" s="230">
        <f>'Peternakan-CH4'!G33</f>
        <v>512526</v>
      </c>
      <c r="G11" s="230">
        <f>'Peternakan-CH4'!H33</f>
        <v>522777</v>
      </c>
      <c r="H11" s="230">
        <f>'Peternakan-CH4'!I33</f>
        <v>533232</v>
      </c>
      <c r="I11" s="230">
        <f>'Peternakan-CH4'!J33</f>
        <v>543897</v>
      </c>
      <c r="J11" s="230">
        <f>'Peternakan-CH4'!K33</f>
        <v>554775</v>
      </c>
      <c r="K11" s="230">
        <f>'Peternakan-CH4'!L33</f>
        <v>565870</v>
      </c>
      <c r="L11" s="226"/>
    </row>
    <row r="12" spans="1:12" x14ac:dyDescent="0.25">
      <c r="A12" s="56" t="s">
        <v>73</v>
      </c>
      <c r="B12" s="230">
        <f>'Peternakan-CH4'!C34</f>
        <v>2073606</v>
      </c>
      <c r="C12" s="230">
        <f>'Peternakan-CH4'!D34</f>
        <v>2115078</v>
      </c>
      <c r="D12" s="230">
        <f>'Peternakan-CH4'!E34</f>
        <v>2157380</v>
      </c>
      <c r="E12" s="230">
        <f>'Peternakan-CH4'!F34</f>
        <v>2200527</v>
      </c>
      <c r="F12" s="230">
        <f>'Peternakan-CH4'!G34</f>
        <v>2244538</v>
      </c>
      <c r="G12" s="230">
        <f>'Peternakan-CH4'!H34</f>
        <v>2289429</v>
      </c>
      <c r="H12" s="230">
        <f>'Peternakan-CH4'!I34</f>
        <v>2335217</v>
      </c>
      <c r="I12" s="230">
        <f>'Peternakan-CH4'!J34</f>
        <v>2381921</v>
      </c>
      <c r="J12" s="230">
        <f>'Peternakan-CH4'!K34</f>
        <v>2429560</v>
      </c>
      <c r="K12" s="230">
        <f>'Peternakan-CH4'!L34</f>
        <v>2478151</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5899</v>
      </c>
      <c r="C14" s="230">
        <f>'Peternakan-CH4'!D36</f>
        <v>6017</v>
      </c>
      <c r="D14" s="230">
        <f>'Peternakan-CH4'!E36</f>
        <v>6137</v>
      </c>
      <c r="E14" s="230">
        <f>'Peternakan-CH4'!F36</f>
        <v>6260</v>
      </c>
      <c r="F14" s="230">
        <f>'Peternakan-CH4'!G36</f>
        <v>6385</v>
      </c>
      <c r="G14" s="230">
        <f>'Peternakan-CH4'!H36</f>
        <v>6513</v>
      </c>
      <c r="H14" s="230">
        <f>'Peternakan-CH4'!I36</f>
        <v>6643</v>
      </c>
      <c r="I14" s="230">
        <f>'Peternakan-CH4'!J36</f>
        <v>6776</v>
      </c>
      <c r="J14" s="230">
        <f>'Peternakan-CH4'!K36</f>
        <v>6912</v>
      </c>
      <c r="K14" s="230">
        <f>'Peternakan-CH4'!L36</f>
        <v>7050</v>
      </c>
      <c r="L14" s="226"/>
    </row>
    <row r="17" spans="1:2" x14ac:dyDescent="0.25">
      <c r="A17" s="236" t="s">
        <v>426</v>
      </c>
    </row>
    <row r="18" spans="1:2" s="237" customFormat="1" x14ac:dyDescent="0.25">
      <c r="A18" s="238" t="s">
        <v>396</v>
      </c>
      <c r="B18" s="239" t="s">
        <v>427</v>
      </c>
    </row>
    <row r="19" spans="1:2" x14ac:dyDescent="0.25">
      <c r="A19" s="228">
        <v>2011</v>
      </c>
      <c r="B19" s="241">
        <f>'Lahan sawah'!D11</f>
        <v>4800</v>
      </c>
    </row>
    <row r="20" spans="1:2" x14ac:dyDescent="0.25">
      <c r="A20" s="229">
        <v>2012</v>
      </c>
      <c r="B20" s="241">
        <f>'Lahan sawah'!D12</f>
        <v>4896</v>
      </c>
    </row>
    <row r="21" spans="1:2" x14ac:dyDescent="0.25">
      <c r="A21" s="228">
        <v>2013</v>
      </c>
      <c r="B21" s="241">
        <f>'Lahan sawah'!D13</f>
        <v>4993.8</v>
      </c>
    </row>
    <row r="22" spans="1:2" x14ac:dyDescent="0.25">
      <c r="A22" s="229">
        <v>2014</v>
      </c>
      <c r="B22" s="241">
        <f>'Lahan sawah'!D14</f>
        <v>5094</v>
      </c>
    </row>
    <row r="23" spans="1:2" x14ac:dyDescent="0.25">
      <c r="A23" s="229">
        <v>2015</v>
      </c>
      <c r="B23" s="241">
        <f>'Lahan sawah'!D15</f>
        <v>5195.3999999999996</v>
      </c>
    </row>
    <row r="24" spans="1:2" x14ac:dyDescent="0.25">
      <c r="A24" s="228">
        <v>2016</v>
      </c>
      <c r="B24" s="241">
        <f>'Lahan sawah'!D16</f>
        <v>5299.8</v>
      </c>
    </row>
    <row r="25" spans="1:2" x14ac:dyDescent="0.25">
      <c r="A25" s="229">
        <v>2017</v>
      </c>
      <c r="B25" s="241">
        <f>'Lahan sawah'!D17</f>
        <v>5405.4</v>
      </c>
    </row>
    <row r="26" spans="1:2" x14ac:dyDescent="0.25">
      <c r="A26" s="229">
        <v>2018</v>
      </c>
      <c r="B26" s="241">
        <f>'Lahan sawah'!D18</f>
        <v>5513.4</v>
      </c>
    </row>
    <row r="27" spans="1:2" x14ac:dyDescent="0.25">
      <c r="A27" s="228">
        <v>2019</v>
      </c>
      <c r="B27" s="241">
        <f>'Lahan sawah'!D19</f>
        <v>5623.8</v>
      </c>
    </row>
    <row r="28" spans="1:2" x14ac:dyDescent="0.25">
      <c r="A28" s="229">
        <v>2020</v>
      </c>
      <c r="B28" s="241">
        <f>'Lahan sawah'!D20</f>
        <v>5736.5999999999995</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6772</v>
      </c>
    </row>
    <row r="35" spans="1:2" x14ac:dyDescent="0.25">
      <c r="A35" s="229">
        <v>2012</v>
      </c>
      <c r="B35" s="241">
        <f>'Direct N2O'!C37</f>
        <v>6907</v>
      </c>
    </row>
    <row r="36" spans="1:2" x14ac:dyDescent="0.25">
      <c r="A36" s="228">
        <v>2013</v>
      </c>
      <c r="B36" s="241">
        <f>'Direct N2O'!C38</f>
        <v>7046</v>
      </c>
    </row>
    <row r="37" spans="1:2" x14ac:dyDescent="0.25">
      <c r="A37" s="229">
        <v>2014</v>
      </c>
      <c r="B37" s="241">
        <f>'Direct N2O'!C39</f>
        <v>7187</v>
      </c>
    </row>
    <row r="38" spans="1:2" x14ac:dyDescent="0.25">
      <c r="A38" s="229">
        <v>2015</v>
      </c>
      <c r="B38" s="241">
        <f>'Direct N2O'!C40</f>
        <v>7330</v>
      </c>
    </row>
    <row r="39" spans="1:2" x14ac:dyDescent="0.25">
      <c r="A39" s="228">
        <v>2016</v>
      </c>
      <c r="B39" s="241">
        <f>'Direct N2O'!C41</f>
        <v>7477</v>
      </c>
    </row>
    <row r="40" spans="1:2" x14ac:dyDescent="0.25">
      <c r="A40" s="229">
        <v>2017</v>
      </c>
      <c r="B40" s="241">
        <f>'Direct N2O'!C42</f>
        <v>7626</v>
      </c>
    </row>
    <row r="41" spans="1:2" x14ac:dyDescent="0.25">
      <c r="A41" s="229">
        <v>2018</v>
      </c>
      <c r="B41" s="241">
        <f>'Direct N2O'!C43</f>
        <v>7779</v>
      </c>
    </row>
    <row r="42" spans="1:2" x14ac:dyDescent="0.25">
      <c r="A42" s="228">
        <v>2019</v>
      </c>
      <c r="B42" s="241">
        <f>'Direct N2O'!C44</f>
        <v>7934</v>
      </c>
    </row>
    <row r="43" spans="1:2" x14ac:dyDescent="0.25">
      <c r="A43" s="229">
        <v>2020</v>
      </c>
      <c r="B43" s="241">
        <f>'Direct N2O'!C45</f>
        <v>8093</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895</v>
      </c>
    </row>
    <row r="50" spans="1:2" x14ac:dyDescent="0.25">
      <c r="A50" s="229">
        <v>2012</v>
      </c>
      <c r="B50" s="241">
        <f>'Direct N2O'!E37</f>
        <v>913</v>
      </c>
    </row>
    <row r="51" spans="1:2" x14ac:dyDescent="0.25">
      <c r="A51" s="228">
        <v>2013</v>
      </c>
      <c r="B51" s="241">
        <f>'Direct N2O'!E38</f>
        <v>931</v>
      </c>
    </row>
    <row r="52" spans="1:2" x14ac:dyDescent="0.25">
      <c r="A52" s="229">
        <v>2014</v>
      </c>
      <c r="B52" s="241">
        <f>'Direct N2O'!E39</f>
        <v>950</v>
      </c>
    </row>
    <row r="53" spans="1:2" x14ac:dyDescent="0.25">
      <c r="A53" s="229">
        <v>2015</v>
      </c>
      <c r="B53" s="241">
        <f>'Direct N2O'!E40</f>
        <v>968</v>
      </c>
    </row>
    <row r="54" spans="1:2" x14ac:dyDescent="0.25">
      <c r="A54" s="228">
        <v>2016</v>
      </c>
      <c r="B54" s="241">
        <f>'Direct N2O'!E41</f>
        <v>988</v>
      </c>
    </row>
    <row r="55" spans="1:2" x14ac:dyDescent="0.25">
      <c r="A55" s="229">
        <v>2017</v>
      </c>
      <c r="B55" s="241">
        <f>'Direct N2O'!E42</f>
        <v>1007</v>
      </c>
    </row>
    <row r="56" spans="1:2" x14ac:dyDescent="0.25">
      <c r="A56" s="229">
        <v>2018</v>
      </c>
      <c r="B56" s="241">
        <f>'Direct N2O'!E43</f>
        <v>1028</v>
      </c>
    </row>
    <row r="57" spans="1:2" x14ac:dyDescent="0.25">
      <c r="A57" s="228">
        <v>2019</v>
      </c>
      <c r="B57" s="241">
        <f>'Direct N2O'!E44</f>
        <v>1048</v>
      </c>
    </row>
    <row r="58" spans="1:2" x14ac:dyDescent="0.25">
      <c r="A58" s="229">
        <v>2020</v>
      </c>
      <c r="B58" s="241">
        <f>'Direct N2O'!E45</f>
        <v>1069</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4" t="s">
        <v>443</v>
      </c>
      <c r="B78" s="494"/>
      <c r="C78" s="494"/>
      <c r="D78" s="494"/>
      <c r="E78" s="494"/>
      <c r="F78" s="494"/>
      <c r="G78" s="494"/>
      <c r="H78" s="494"/>
      <c r="I78" s="494"/>
      <c r="J78" s="494"/>
      <c r="K78" s="494"/>
      <c r="L78" s="494"/>
    </row>
    <row r="79" spans="1:12" x14ac:dyDescent="0.25">
      <c r="A79" s="178"/>
    </row>
    <row r="80" spans="1:12" x14ac:dyDescent="0.25">
      <c r="A80" s="247"/>
      <c r="B80" s="496" t="s">
        <v>434</v>
      </c>
      <c r="C80" s="496"/>
      <c r="D80" s="496"/>
      <c r="E80" s="496"/>
      <c r="F80" s="496"/>
      <c r="G80" s="496"/>
      <c r="H80" s="496"/>
      <c r="I80" s="496"/>
      <c r="J80" s="496"/>
      <c r="K80" s="496"/>
      <c r="L80" s="496"/>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9683.2175074683637</v>
      </c>
      <c r="C82" s="248">
        <f>'Perhitungan ke CO2-eq'!C128</f>
        <v>9876.8818576177309</v>
      </c>
      <c r="D82" s="248">
        <f>'Perhitungan ke CO2-eq'!D128</f>
        <v>10074.177414332398</v>
      </c>
      <c r="E82" s="248">
        <f>'Perhitungan ke CO2-eq'!E128</f>
        <v>10276.314579800799</v>
      </c>
      <c r="F82" s="248">
        <f>'Perhitungan ke CO2-eq'!F128</f>
        <v>10480.872549646067</v>
      </c>
      <c r="G82" s="248">
        <f>'Perhitungan ke CO2-eq'!G128</f>
        <v>10691.482530433506</v>
      </c>
      <c r="H82" s="248">
        <f>'Perhitungan ke CO2-eq'!H128</f>
        <v>10904.513315597809</v>
      </c>
      <c r="I82" s="248">
        <f>'Perhitungan ke CO2-eq'!I128</f>
        <v>11122.385709515847</v>
      </c>
      <c r="J82" s="248">
        <f>'Perhitungan ke CO2-eq'!J128</f>
        <v>11345.099712187621</v>
      </c>
      <c r="K82" s="248">
        <f>'Perhitungan ke CO2-eq'!K128</f>
        <v>11572.655323613124</v>
      </c>
      <c r="L82" s="248">
        <f>'Perhitungan ke CO2-eq'!L128</f>
        <v>0</v>
      </c>
    </row>
    <row r="83" spans="1:12" ht="60" x14ac:dyDescent="0.25">
      <c r="A83" s="242" t="s">
        <v>436</v>
      </c>
      <c r="B83" s="248">
        <f>'Perhitungan ke CO2-eq'!B129</f>
        <v>29606.43719135928</v>
      </c>
      <c r="C83" s="248">
        <f>'Perhitungan ke CO2-eq'!C129</f>
        <v>30445.585061027712</v>
      </c>
      <c r="D83" s="248">
        <f>'Perhitungan ke CO2-eq'!D129</f>
        <v>31753.967850696026</v>
      </c>
      <c r="E83" s="248">
        <f>'Perhitungan ke CO2-eq'!E129</f>
        <v>32831.37500036446</v>
      </c>
      <c r="F83" s="248">
        <f>'Perhitungan ke CO2-eq'!F129</f>
        <v>33909.603670032884</v>
      </c>
      <c r="G83" s="248">
        <f>'Perhitungan ke CO2-eq'!G129</f>
        <v>34992.914759701205</v>
      </c>
      <c r="H83" s="248">
        <f>'Perhitungan ke CO2-eq'!H129</f>
        <v>36078.186829369632</v>
      </c>
      <c r="I83" s="248">
        <f>'Perhitungan ke CO2-eq'!I129</f>
        <v>37166.518179038074</v>
      </c>
      <c r="J83" s="248">
        <f>'Perhitungan ke CO2-eq'!J129</f>
        <v>38254.898668706388</v>
      </c>
      <c r="K83" s="248">
        <f>'Perhitungan ke CO2-eq'!K129</f>
        <v>39348.229698374824</v>
      </c>
      <c r="L83" s="248">
        <f>'Perhitungan ke CO2-eq'!L129</f>
        <v>0</v>
      </c>
    </row>
    <row r="84" spans="1:12" ht="60" x14ac:dyDescent="0.25">
      <c r="A84" s="242" t="s">
        <v>437</v>
      </c>
      <c r="B84" s="248">
        <f>'Perhitungan ke CO2-eq'!B130</f>
        <v>433.54890569238188</v>
      </c>
      <c r="C84" s="248">
        <f>'Perhitungan ke CO2-eq'!C130</f>
        <v>445.41079400267637</v>
      </c>
      <c r="D84" s="248">
        <f>'Perhitungan ke CO2-eq'!D130</f>
        <v>457.37199889473021</v>
      </c>
      <c r="E84" s="248">
        <f>'Perhitungan ke CO2-eq'!E130</f>
        <v>469.45359396557905</v>
      </c>
      <c r="F84" s="248">
        <f>'Perhitungan ke CO2-eq'!F130</f>
        <v>481.63685343417637</v>
      </c>
      <c r="G84" s="248">
        <f>'Perhitungan ke CO2-eq'!G130</f>
        <v>493.95356579917882</v>
      </c>
      <c r="H84" s="248">
        <f>'Perhitungan ke CO2-eq'!H130</f>
        <v>506.38886133142756</v>
      </c>
      <c r="I84" s="248">
        <f>'Perhitungan ke CO2-eq'!I130</f>
        <v>518.94737891603643</v>
      </c>
      <c r="J84" s="248">
        <f>'Perhitungan ke CO2-eq'!J130</f>
        <v>531.61825870758742</v>
      </c>
      <c r="K84" s="248">
        <f>'Perhitungan ke CO2-eq'!K130</f>
        <v>544.42537199182459</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1613.3333333333333</v>
      </c>
      <c r="C86" s="248">
        <f>'Perhitungan ke CO2-eq'!C132</f>
        <v>1645.6000000000001</v>
      </c>
      <c r="D86" s="248">
        <f>'Perhitungan ke CO2-eq'!D132</f>
        <v>1678.471666666667</v>
      </c>
      <c r="E86" s="248">
        <f>'Perhitungan ke CO2-eq'!E132</f>
        <v>1712.1500000000003</v>
      </c>
      <c r="F86" s="248">
        <f>'Perhitungan ke CO2-eq'!F132</f>
        <v>1746.2316666666666</v>
      </c>
      <c r="G86" s="248">
        <f>'Perhitungan ke CO2-eq'!G132</f>
        <v>1781.3216666666667</v>
      </c>
      <c r="H86" s="248">
        <f>'Perhitungan ke CO2-eq'!H132</f>
        <v>1816.8149999999998</v>
      </c>
      <c r="I86" s="248">
        <f>'Perhitungan ke CO2-eq'!I132</f>
        <v>1853.1149999999998</v>
      </c>
      <c r="J86" s="248">
        <f>'Perhitungan ke CO2-eq'!J132</f>
        <v>1890.221666666667</v>
      </c>
      <c r="K86" s="248">
        <f>'Perhitungan ke CO2-eq'!K132</f>
        <v>1928.1350000000002</v>
      </c>
      <c r="L86" s="248">
        <f>'Perhitungan ke CO2-eq'!L132</f>
        <v>0</v>
      </c>
    </row>
    <row r="87" spans="1:12" ht="45" x14ac:dyDescent="0.25">
      <c r="A87" s="242" t="s">
        <v>440</v>
      </c>
      <c r="B87" s="248">
        <f>'Perhitungan ke CO2-eq'!B133</f>
        <v>6160.7668571428576</v>
      </c>
      <c r="C87" s="248">
        <f>'Perhitungan ke CO2-eq'!C133</f>
        <v>6283.9821942857134</v>
      </c>
      <c r="D87" s="248">
        <f>'Perhitungan ke CO2-eq'!D133</f>
        <v>6409.5078190000004</v>
      </c>
      <c r="E87" s="248">
        <f>'Perhitungan ke CO2-eq'!E133</f>
        <v>6538.1138271428572</v>
      </c>
      <c r="F87" s="248">
        <f>'Perhitungan ke CO2-eq'!F133</f>
        <v>6668.2600270000012</v>
      </c>
      <c r="G87" s="248">
        <f>'Perhitungan ke CO2-eq'!G133</f>
        <v>6802.2567061428581</v>
      </c>
      <c r="H87" s="248">
        <f>'Perhitungan ke CO2-eq'!H133</f>
        <v>6937.7935770000013</v>
      </c>
      <c r="I87" s="248">
        <f>'Perhitungan ke CO2-eq'!I133</f>
        <v>7076.4108312857143</v>
      </c>
      <c r="J87" s="248">
        <f>'Perhitungan ke CO2-eq'!J133</f>
        <v>7218.1084689999998</v>
      </c>
      <c r="K87" s="248">
        <f>'Perhitungan ke CO2-eq'!K133</f>
        <v>7362.8864901428578</v>
      </c>
      <c r="L87" s="248">
        <f>'Perhitungan ke CO2-eq'!L133</f>
        <v>0</v>
      </c>
    </row>
    <row r="88" spans="1:12" s="178" customFormat="1" ht="45" x14ac:dyDescent="0.25">
      <c r="A88" s="246" t="s">
        <v>441</v>
      </c>
      <c r="B88" s="249">
        <f>'Perhitungan ke CO2-eq'!B135</f>
        <v>49037.495509281936</v>
      </c>
      <c r="C88" s="249">
        <f>'Perhitungan ke CO2-eq'!C135</f>
        <v>50268.45545550526</v>
      </c>
      <c r="D88" s="249">
        <f>'Perhitungan ke CO2-eq'!D135</f>
        <v>51975.873704339814</v>
      </c>
      <c r="E88" s="249">
        <f>'Perhitungan ke CO2-eq'!E135</f>
        <v>53461.935458059408</v>
      </c>
      <c r="F88" s="249">
        <f>'Perhitungan ke CO2-eq'!F135</f>
        <v>54953.6697735298</v>
      </c>
      <c r="G88" s="249">
        <f>'Perhitungan ke CO2-eq'!G135</f>
        <v>56462.493405279136</v>
      </c>
      <c r="H88" s="249">
        <f>'Perhitungan ke CO2-eq'!H135</f>
        <v>57978.145977548877</v>
      </c>
      <c r="I88" s="249">
        <f>'Perhitungan ke CO2-eq'!I135</f>
        <v>59506.479806577096</v>
      </c>
      <c r="J88" s="249">
        <f>'Perhitungan ke CO2-eq'!J135</f>
        <v>61044.473892518261</v>
      </c>
      <c r="K88" s="249">
        <f>'Perhitungan ke CO2-eq'!K135</f>
        <v>62597.053506658347</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125</v>
      </c>
      <c r="D12" s="87">
        <f>'EF peternakan'!$C$6</f>
        <v>61</v>
      </c>
      <c r="E12" s="43">
        <f>C12*D12*10^-6</f>
        <v>7.6249999999999998E-3</v>
      </c>
      <c r="F12" s="88">
        <f>'EF peternakan'!$C$16</f>
        <v>31</v>
      </c>
      <c r="G12" s="204">
        <f>C12*F12*10^-6</f>
        <v>3.875E-3</v>
      </c>
      <c r="H12" s="175">
        <f>E12+G12</f>
        <v>1.15E-2</v>
      </c>
      <c r="J12" s="46" t="s">
        <v>64</v>
      </c>
      <c r="K12" s="86">
        <f>D27</f>
        <v>128</v>
      </c>
      <c r="L12" s="87">
        <f>'EF peternakan'!$C$6</f>
        <v>61</v>
      </c>
      <c r="M12" s="43">
        <f t="shared" ref="M12:M17" si="0">K12*L12*10^-6</f>
        <v>7.8079999999999998E-3</v>
      </c>
      <c r="N12" s="88">
        <f>'EF peternakan'!$C$16</f>
        <v>31</v>
      </c>
      <c r="O12" s="204">
        <f t="shared" ref="O12:O18" si="1">K12*N12*10^-6</f>
        <v>3.9680000000000002E-3</v>
      </c>
      <c r="P12" s="175">
        <f>M12+O12</f>
        <v>1.1776E-2</v>
      </c>
      <c r="R12" s="46" t="s">
        <v>64</v>
      </c>
      <c r="S12" s="86">
        <f>E27</f>
        <v>130</v>
      </c>
      <c r="T12" s="87">
        <f>'EF peternakan'!$C$6</f>
        <v>61</v>
      </c>
      <c r="U12" s="43">
        <f t="shared" ref="U12:U18" si="2">S12*T12*10^-6</f>
        <v>7.9299999999999995E-3</v>
      </c>
      <c r="V12" s="88">
        <f>'EF peternakan'!$C$16</f>
        <v>31</v>
      </c>
      <c r="W12" s="204">
        <f t="shared" ref="W12:W18" si="3">S12*V12*10^-6</f>
        <v>4.0299999999999997E-3</v>
      </c>
      <c r="X12" s="175">
        <f>U12+W12</f>
        <v>1.1959999999999998E-2</v>
      </c>
      <c r="Z12" s="46" t="s">
        <v>64</v>
      </c>
      <c r="AA12" s="86">
        <f>F27</f>
        <v>133</v>
      </c>
      <c r="AB12" s="87">
        <f>'EF peternakan'!$C$6</f>
        <v>61</v>
      </c>
      <c r="AC12" s="43">
        <f t="shared" ref="AC12:AC18" si="4">AA12*AB12*10^-6</f>
        <v>8.1130000000000004E-3</v>
      </c>
      <c r="AD12" s="88">
        <f>'EF peternakan'!$C$16</f>
        <v>31</v>
      </c>
      <c r="AE12" s="204">
        <f t="shared" ref="AE12:AE18" si="5">AA12*AD12*10^-6</f>
        <v>4.1229999999999999E-3</v>
      </c>
      <c r="AF12" s="175">
        <f>AC12+AE12</f>
        <v>1.2236E-2</v>
      </c>
      <c r="AH12" s="46" t="s">
        <v>64</v>
      </c>
      <c r="AI12" s="86">
        <f>G27</f>
        <v>135</v>
      </c>
      <c r="AJ12" s="87">
        <f>'EF peternakan'!$C$6</f>
        <v>61</v>
      </c>
      <c r="AK12" s="43">
        <f t="shared" ref="AK12:AK18" si="6">AI12*AJ12*10^-6</f>
        <v>8.2349999999999993E-3</v>
      </c>
      <c r="AL12" s="88">
        <f>'EF peternakan'!$C$16</f>
        <v>31</v>
      </c>
      <c r="AM12" s="204">
        <f t="shared" ref="AM12:AM17" si="7">AI12*AL12*10^-6</f>
        <v>4.1849999999999995E-3</v>
      </c>
      <c r="AN12" s="175">
        <f>AK12+AM12</f>
        <v>1.2419999999999999E-2</v>
      </c>
      <c r="AP12" s="46" t="s">
        <v>64</v>
      </c>
      <c r="AQ12" s="86">
        <f>H27</f>
        <v>138</v>
      </c>
      <c r="AR12" s="87">
        <f>'EF peternakan'!$C$6</f>
        <v>61</v>
      </c>
      <c r="AS12" s="43">
        <f t="shared" ref="AS12:AS18" si="8">AQ12*AR12*10^-6</f>
        <v>8.4180000000000001E-3</v>
      </c>
      <c r="AT12" s="88">
        <f>'EF peternakan'!$C$16</f>
        <v>31</v>
      </c>
      <c r="AU12" s="204">
        <f t="shared" ref="AU12:AU18" si="9">AQ12*AT12*10^-6</f>
        <v>4.2779999999999997E-3</v>
      </c>
      <c r="AV12" s="175">
        <f>AS12+AU12</f>
        <v>1.2695999999999999E-2</v>
      </c>
      <c r="AX12" s="46" t="s">
        <v>64</v>
      </c>
      <c r="AY12" s="86">
        <f>I27</f>
        <v>141</v>
      </c>
      <c r="AZ12" s="87">
        <f>'EF peternakan'!$C$6</f>
        <v>61</v>
      </c>
      <c r="BA12" s="43">
        <f t="shared" ref="BA12:BA18" si="10">AY12*AZ12*10^-6</f>
        <v>8.6009999999999993E-3</v>
      </c>
      <c r="BB12" s="88">
        <f>'EF peternakan'!$C$16</f>
        <v>31</v>
      </c>
      <c r="BC12" s="204">
        <f t="shared" ref="BC12:BC18" si="11">AY12*BB12*10^-6</f>
        <v>4.3709999999999999E-3</v>
      </c>
      <c r="BD12" s="175">
        <f>BA12+BC12</f>
        <v>1.2971999999999999E-2</v>
      </c>
      <c r="BF12" s="46" t="s">
        <v>64</v>
      </c>
      <c r="BG12" s="86">
        <f>J27</f>
        <v>144</v>
      </c>
      <c r="BH12" s="87">
        <f>'EF peternakan'!$C$6</f>
        <v>61</v>
      </c>
      <c r="BI12" s="43">
        <f t="shared" ref="BI12:BI18" si="12">BG12*BH12*10^-6</f>
        <v>8.7840000000000001E-3</v>
      </c>
      <c r="BJ12" s="88">
        <f>'EF peternakan'!$C$16</f>
        <v>31</v>
      </c>
      <c r="BK12" s="204">
        <f t="shared" ref="BK12:BK18" si="13">BG12*BJ12*10^-6</f>
        <v>4.4640000000000001E-3</v>
      </c>
      <c r="BL12" s="175">
        <f>BI12+BK12</f>
        <v>1.3247999999999999E-2</v>
      </c>
      <c r="BN12" s="46" t="s">
        <v>64</v>
      </c>
      <c r="BO12" s="86">
        <f>K27</f>
        <v>146</v>
      </c>
      <c r="BP12" s="87">
        <f>'EF peternakan'!$C$6</f>
        <v>61</v>
      </c>
      <c r="BQ12" s="43">
        <f t="shared" ref="BQ12:BQ18" si="14">BO12*BP12*10^-6</f>
        <v>8.905999999999999E-3</v>
      </c>
      <c r="BR12" s="88">
        <f>'EF peternakan'!$C$16</f>
        <v>31</v>
      </c>
      <c r="BS12" s="204">
        <f t="shared" ref="BS12:BS18" si="15">BO12*BR12*10^-6</f>
        <v>4.5259999999999996E-3</v>
      </c>
      <c r="BT12" s="175">
        <f>BQ12+BS12</f>
        <v>1.3431999999999999E-2</v>
      </c>
      <c r="BV12" s="46" t="s">
        <v>64</v>
      </c>
      <c r="BW12" s="86">
        <f>L27</f>
        <v>149</v>
      </c>
      <c r="BX12" s="87">
        <f>'EF peternakan'!$C$6</f>
        <v>61</v>
      </c>
      <c r="BY12" s="43">
        <f t="shared" ref="BY12:BY18" si="16">BW12*BX12*10^-6</f>
        <v>9.0889999999999999E-3</v>
      </c>
      <c r="BZ12" s="88">
        <f>'EF peternakan'!$C$16</f>
        <v>31</v>
      </c>
      <c r="CA12" s="204">
        <f t="shared" ref="CA12:CA18" si="17">BW12*BZ12*10^-6</f>
        <v>4.6189999999999998E-3</v>
      </c>
      <c r="CB12" s="175">
        <f>BY12+CA12</f>
        <v>1.3708E-2</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23402.213384285002</v>
      </c>
      <c r="D13" s="87">
        <f>'EF peternakan'!$C$5</f>
        <v>47</v>
      </c>
      <c r="E13" s="43">
        <f t="shared" ref="E13:E18" si="20">C13*D13*10^-6</f>
        <v>1.0999040290613948</v>
      </c>
      <c r="F13" s="88">
        <f>'EF peternakan'!$C$15</f>
        <v>1</v>
      </c>
      <c r="G13" s="204">
        <f t="shared" ref="G13:G18" si="21">C13*F13*10^-6</f>
        <v>2.3402213384285001E-2</v>
      </c>
      <c r="H13" s="175">
        <f t="shared" ref="H13:H18" si="22">E13+G13</f>
        <v>1.1233062424456799</v>
      </c>
      <c r="J13" s="46" t="s">
        <v>71</v>
      </c>
      <c r="K13" s="86">
        <f t="shared" ref="K13:K17" si="23">D28</f>
        <v>24346.678850225901</v>
      </c>
      <c r="L13" s="87">
        <f>'EF peternakan'!$C$5</f>
        <v>47</v>
      </c>
      <c r="M13" s="43">
        <f t="shared" si="0"/>
        <v>1.1442939059606172</v>
      </c>
      <c r="N13" s="88">
        <f>'EF peternakan'!$C$15</f>
        <v>1</v>
      </c>
      <c r="O13" s="204">
        <f t="shared" si="1"/>
        <v>2.43466788502259E-2</v>
      </c>
      <c r="P13" s="175">
        <f t="shared" ref="P13:P18" si="24">M13+O13</f>
        <v>1.1686405848108432</v>
      </c>
      <c r="R13" s="46" t="s">
        <v>71</v>
      </c>
      <c r="S13" s="86">
        <f t="shared" ref="S13:S17" si="25">E28</f>
        <v>25291.144316166701</v>
      </c>
      <c r="T13" s="87">
        <f>'EF peternakan'!$C$5</f>
        <v>47</v>
      </c>
      <c r="U13" s="43">
        <f t="shared" si="2"/>
        <v>1.1886837828598349</v>
      </c>
      <c r="V13" s="88">
        <f>'EF peternakan'!$C$15</f>
        <v>1</v>
      </c>
      <c r="W13" s="204">
        <f t="shared" si="3"/>
        <v>2.5291144316166699E-2</v>
      </c>
      <c r="X13" s="175">
        <f t="shared" ref="X13:X18" si="26">U13+W13</f>
        <v>1.2139749271760016</v>
      </c>
      <c r="Z13" s="46" t="s">
        <v>71</v>
      </c>
      <c r="AA13" s="86">
        <f t="shared" ref="AA13:AA17" si="27">F28</f>
        <v>26235.6097821076</v>
      </c>
      <c r="AB13" s="87">
        <f>'EF peternakan'!$C$5</f>
        <v>47</v>
      </c>
      <c r="AC13" s="43">
        <f t="shared" si="4"/>
        <v>1.2330736597590573</v>
      </c>
      <c r="AD13" s="88">
        <f>'EF peternakan'!$C$15</f>
        <v>1</v>
      </c>
      <c r="AE13" s="204">
        <f t="shared" si="5"/>
        <v>2.6235609782107597E-2</v>
      </c>
      <c r="AF13" s="175">
        <f t="shared" ref="AF13:AF18" si="28">AC13+AE13</f>
        <v>1.259309269541165</v>
      </c>
      <c r="AH13" s="46" t="s">
        <v>71</v>
      </c>
      <c r="AI13" s="86">
        <f t="shared" ref="AI13:AI17" si="29">G28</f>
        <v>27180.075248048499</v>
      </c>
      <c r="AJ13" s="87">
        <f>'EF peternakan'!$C$5</f>
        <v>47</v>
      </c>
      <c r="AK13" s="43">
        <f t="shared" si="6"/>
        <v>1.2774635366582794</v>
      </c>
      <c r="AL13" s="88">
        <f>'EF peternakan'!$C$15</f>
        <v>1</v>
      </c>
      <c r="AM13" s="204">
        <f t="shared" si="7"/>
        <v>2.7180075248048496E-2</v>
      </c>
      <c r="AN13" s="175">
        <f t="shared" ref="AN13:AN18" si="30">AK13+AM13</f>
        <v>1.3046436119063278</v>
      </c>
      <c r="AP13" s="46" t="s">
        <v>71</v>
      </c>
      <c r="AQ13" s="86">
        <f t="shared" ref="AQ13:AQ17" si="31">H28</f>
        <v>28124.5407139893</v>
      </c>
      <c r="AR13" s="87">
        <f>'EF peternakan'!$C$5</f>
        <v>47</v>
      </c>
      <c r="AS13" s="43">
        <f t="shared" si="8"/>
        <v>1.3218534135574971</v>
      </c>
      <c r="AT13" s="88">
        <f>'EF peternakan'!$C$15</f>
        <v>1</v>
      </c>
      <c r="AU13" s="204">
        <f t="shared" si="9"/>
        <v>2.8124540713989298E-2</v>
      </c>
      <c r="AV13" s="175">
        <f t="shared" ref="AV13:AV18" si="32">AS13+AU13</f>
        <v>1.3499779542714865</v>
      </c>
      <c r="AX13" s="46" t="s">
        <v>71</v>
      </c>
      <c r="AY13" s="86">
        <f t="shared" ref="AY13:AY17" si="33">I28</f>
        <v>29069.006179930198</v>
      </c>
      <c r="AZ13" s="87">
        <f>'EF peternakan'!$C$5</f>
        <v>47</v>
      </c>
      <c r="BA13" s="43">
        <f t="shared" si="10"/>
        <v>1.3662432904567192</v>
      </c>
      <c r="BB13" s="88">
        <f>'EF peternakan'!$C$15</f>
        <v>1</v>
      </c>
      <c r="BC13" s="204">
        <f t="shared" si="11"/>
        <v>2.9069006179930197E-2</v>
      </c>
      <c r="BD13" s="175">
        <f t="shared" ref="BD13:BD18" si="34">BA13+BC13</f>
        <v>1.3953122966366494</v>
      </c>
      <c r="BF13" s="46" t="s">
        <v>71</v>
      </c>
      <c r="BG13" s="86">
        <f t="shared" ref="BG13:BG17" si="35">J28</f>
        <v>30013.471645871101</v>
      </c>
      <c r="BH13" s="87">
        <f>'EF peternakan'!$C$5</f>
        <v>47</v>
      </c>
      <c r="BI13" s="43">
        <f t="shared" si="12"/>
        <v>1.4106331673559418</v>
      </c>
      <c r="BJ13" s="88">
        <f>'EF peternakan'!$C$15</f>
        <v>1</v>
      </c>
      <c r="BK13" s="204">
        <f t="shared" si="13"/>
        <v>3.00134716458711E-2</v>
      </c>
      <c r="BL13" s="175">
        <f t="shared" ref="BL13:BL18" si="36">BI13+BK13</f>
        <v>1.4406466390018129</v>
      </c>
      <c r="BN13" s="46" t="s">
        <v>71</v>
      </c>
      <c r="BO13" s="86">
        <f t="shared" ref="BO13:BO17" si="37">K28</f>
        <v>30957.937111811902</v>
      </c>
      <c r="BP13" s="87">
        <f>'EF peternakan'!$C$5</f>
        <v>47</v>
      </c>
      <c r="BQ13" s="43">
        <f t="shared" si="14"/>
        <v>1.4550230442551593</v>
      </c>
      <c r="BR13" s="88">
        <f>'EF peternakan'!$C$15</f>
        <v>1</v>
      </c>
      <c r="BS13" s="204">
        <f t="shared" si="15"/>
        <v>3.0957937111811901E-2</v>
      </c>
      <c r="BT13" s="175">
        <f t="shared" ref="BT13:BT18" si="38">BQ13+BS13</f>
        <v>1.4859809813669711</v>
      </c>
      <c r="BV13" s="46" t="s">
        <v>71</v>
      </c>
      <c r="BW13" s="86">
        <f t="shared" ref="BW13:BW17" si="39">L28</f>
        <v>31902.4025777528</v>
      </c>
      <c r="BX13" s="87">
        <f>'EF peternakan'!$C$5</f>
        <v>47</v>
      </c>
      <c r="BY13" s="43">
        <f t="shared" si="16"/>
        <v>1.4994129211543816</v>
      </c>
      <c r="BZ13" s="88">
        <f>'EF peternakan'!$C$15</f>
        <v>1</v>
      </c>
      <c r="CA13" s="204">
        <f t="shared" si="17"/>
        <v>3.19024025777528E-2</v>
      </c>
      <c r="CB13" s="175">
        <f t="shared" ref="CB13:CB18" si="40">BY13+CA13</f>
        <v>1.5313153237321344</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1228</v>
      </c>
      <c r="D14" s="87">
        <f>'EF peternakan'!$C$7</f>
        <v>55</v>
      </c>
      <c r="E14" s="43">
        <f t="shared" si="20"/>
        <v>6.7540000000000003E-2</v>
      </c>
      <c r="F14" s="88">
        <f>'EF peternakan'!$C$17</f>
        <v>2</v>
      </c>
      <c r="G14" s="204">
        <f t="shared" si="21"/>
        <v>2.4559999999999998E-3</v>
      </c>
      <c r="H14" s="175">
        <f t="shared" si="22"/>
        <v>6.9996000000000003E-2</v>
      </c>
      <c r="J14" s="46" t="s">
        <v>22</v>
      </c>
      <c r="K14" s="86">
        <f t="shared" si="23"/>
        <v>1253</v>
      </c>
      <c r="L14" s="87">
        <f>'EF peternakan'!$C$7</f>
        <v>55</v>
      </c>
      <c r="M14" s="43">
        <f t="shared" si="0"/>
        <v>6.891499999999999E-2</v>
      </c>
      <c r="N14" s="88">
        <f>'EF peternakan'!$C$17</f>
        <v>2</v>
      </c>
      <c r="O14" s="204">
        <f t="shared" si="1"/>
        <v>2.506E-3</v>
      </c>
      <c r="P14" s="175">
        <f t="shared" si="24"/>
        <v>7.1420999999999984E-2</v>
      </c>
      <c r="R14" s="46" t="s">
        <v>22</v>
      </c>
      <c r="S14" s="86">
        <f t="shared" si="25"/>
        <v>1278</v>
      </c>
      <c r="T14" s="87">
        <f>'EF peternakan'!$C$7</f>
        <v>55</v>
      </c>
      <c r="U14" s="43">
        <f t="shared" si="2"/>
        <v>7.0289999999999991E-2</v>
      </c>
      <c r="V14" s="88">
        <f>'EF peternakan'!$C$17</f>
        <v>2</v>
      </c>
      <c r="W14" s="204">
        <f t="shared" si="3"/>
        <v>2.5559999999999997E-3</v>
      </c>
      <c r="X14" s="175">
        <f t="shared" si="26"/>
        <v>7.2845999999999994E-2</v>
      </c>
      <c r="Z14" s="46" t="s">
        <v>22</v>
      </c>
      <c r="AA14" s="86">
        <f t="shared" si="27"/>
        <v>1303</v>
      </c>
      <c r="AB14" s="87">
        <f>'EF peternakan'!$C$7</f>
        <v>55</v>
      </c>
      <c r="AC14" s="43">
        <f t="shared" si="4"/>
        <v>7.1664999999999993E-2</v>
      </c>
      <c r="AD14" s="88">
        <f>'EF peternakan'!$C$17</f>
        <v>2</v>
      </c>
      <c r="AE14" s="204">
        <f t="shared" si="5"/>
        <v>2.6059999999999998E-3</v>
      </c>
      <c r="AF14" s="175">
        <f t="shared" si="28"/>
        <v>7.427099999999999E-2</v>
      </c>
      <c r="AH14" s="46" t="s">
        <v>22</v>
      </c>
      <c r="AI14" s="86">
        <f t="shared" si="29"/>
        <v>1329</v>
      </c>
      <c r="AJ14" s="87">
        <f>'EF peternakan'!$C$7</f>
        <v>55</v>
      </c>
      <c r="AK14" s="43">
        <f t="shared" si="6"/>
        <v>7.3094999999999993E-2</v>
      </c>
      <c r="AL14" s="88">
        <f>'EF peternakan'!$C$17</f>
        <v>2</v>
      </c>
      <c r="AM14" s="204">
        <f t="shared" si="7"/>
        <v>2.6579999999999998E-3</v>
      </c>
      <c r="AN14" s="175">
        <f t="shared" si="30"/>
        <v>7.5752999999999987E-2</v>
      </c>
      <c r="AP14" s="46" t="s">
        <v>22</v>
      </c>
      <c r="AQ14" s="86">
        <f t="shared" si="31"/>
        <v>1356</v>
      </c>
      <c r="AR14" s="87">
        <f>'EF peternakan'!$C$7</f>
        <v>55</v>
      </c>
      <c r="AS14" s="43">
        <f t="shared" si="8"/>
        <v>7.4579999999999994E-2</v>
      </c>
      <c r="AT14" s="88">
        <f>'EF peternakan'!$C$17</f>
        <v>2</v>
      </c>
      <c r="AU14" s="204">
        <f t="shared" si="9"/>
        <v>2.712E-3</v>
      </c>
      <c r="AV14" s="175">
        <f t="shared" si="32"/>
        <v>7.7292E-2</v>
      </c>
      <c r="AX14" s="46" t="s">
        <v>22</v>
      </c>
      <c r="AY14" s="86">
        <f t="shared" si="33"/>
        <v>1383</v>
      </c>
      <c r="AZ14" s="87">
        <f>'EF peternakan'!$C$7</f>
        <v>55</v>
      </c>
      <c r="BA14" s="43">
        <f t="shared" si="10"/>
        <v>7.6064999999999994E-2</v>
      </c>
      <c r="BB14" s="88">
        <f>'EF peternakan'!$C$17</f>
        <v>2</v>
      </c>
      <c r="BC14" s="204">
        <f t="shared" si="11"/>
        <v>2.7659999999999998E-3</v>
      </c>
      <c r="BD14" s="175">
        <f t="shared" si="34"/>
        <v>7.8830999999999998E-2</v>
      </c>
      <c r="BF14" s="46" t="s">
        <v>22</v>
      </c>
      <c r="BG14" s="86">
        <f t="shared" si="35"/>
        <v>1411</v>
      </c>
      <c r="BH14" s="87">
        <f>'EF peternakan'!$C$7</f>
        <v>55</v>
      </c>
      <c r="BI14" s="43">
        <f t="shared" si="12"/>
        <v>7.7604999999999993E-2</v>
      </c>
      <c r="BJ14" s="88">
        <f>'EF peternakan'!$C$17</f>
        <v>2</v>
      </c>
      <c r="BK14" s="204">
        <f t="shared" si="13"/>
        <v>2.8219999999999999E-3</v>
      </c>
      <c r="BL14" s="175">
        <f t="shared" si="36"/>
        <v>8.0426999999999998E-2</v>
      </c>
      <c r="BN14" s="46" t="s">
        <v>22</v>
      </c>
      <c r="BO14" s="86">
        <f t="shared" si="37"/>
        <v>1439</v>
      </c>
      <c r="BP14" s="87">
        <f>'EF peternakan'!$C$7</f>
        <v>55</v>
      </c>
      <c r="BQ14" s="43">
        <f t="shared" si="14"/>
        <v>7.9144999999999993E-2</v>
      </c>
      <c r="BR14" s="88">
        <f>'EF peternakan'!$C$17</f>
        <v>2</v>
      </c>
      <c r="BS14" s="204">
        <f t="shared" si="15"/>
        <v>2.8779999999999999E-3</v>
      </c>
      <c r="BT14" s="175">
        <f t="shared" si="38"/>
        <v>8.2022999999999999E-2</v>
      </c>
      <c r="BV14" s="46" t="s">
        <v>22</v>
      </c>
      <c r="BW14" s="86">
        <f t="shared" si="39"/>
        <v>1468</v>
      </c>
      <c r="BX14" s="87">
        <f>'EF peternakan'!$C$7</f>
        <v>55</v>
      </c>
      <c r="BY14" s="43">
        <f t="shared" si="16"/>
        <v>8.0739999999999992E-2</v>
      </c>
      <c r="BZ14" s="88">
        <f>'EF peternakan'!$C$17</f>
        <v>2</v>
      </c>
      <c r="CA14" s="204">
        <f t="shared" si="17"/>
        <v>2.9359999999999998E-3</v>
      </c>
      <c r="CB14" s="175">
        <f t="shared" si="40"/>
        <v>8.3675999999999987E-2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12705</v>
      </c>
      <c r="D16" s="87">
        <f>'EF peternakan'!$C$9</f>
        <v>5</v>
      </c>
      <c r="E16" s="43">
        <f t="shared" si="20"/>
        <v>6.3524999999999998E-2</v>
      </c>
      <c r="F16" s="88">
        <f>'EF peternakan'!$C$19</f>
        <v>0.22</v>
      </c>
      <c r="G16" s="204">
        <f t="shared" si="21"/>
        <v>2.7950999999999996E-3</v>
      </c>
      <c r="H16" s="175">
        <f t="shared" si="22"/>
        <v>6.6320099999999993E-2</v>
      </c>
      <c r="J16" s="46" t="s">
        <v>23</v>
      </c>
      <c r="K16" s="86">
        <f t="shared" si="23"/>
        <v>12959</v>
      </c>
      <c r="L16" s="87">
        <f>'EF peternakan'!$C$9</f>
        <v>5</v>
      </c>
      <c r="M16" s="43">
        <f t="shared" si="0"/>
        <v>6.4794999999999991E-2</v>
      </c>
      <c r="N16" s="88">
        <f>'EF peternakan'!$C$19</f>
        <v>0.22</v>
      </c>
      <c r="O16" s="204">
        <f t="shared" si="1"/>
        <v>2.8509799999999999E-3</v>
      </c>
      <c r="P16" s="175">
        <f t="shared" si="24"/>
        <v>6.7645979999999994E-2</v>
      </c>
      <c r="R16" s="46" t="s">
        <v>23</v>
      </c>
      <c r="S16" s="86">
        <f t="shared" si="25"/>
        <v>13218</v>
      </c>
      <c r="T16" s="87">
        <f>'EF peternakan'!$C$9</f>
        <v>5</v>
      </c>
      <c r="U16" s="43">
        <f t="shared" si="2"/>
        <v>6.6089999999999996E-2</v>
      </c>
      <c r="V16" s="88">
        <f>'EF peternakan'!$C$19</f>
        <v>0.22</v>
      </c>
      <c r="W16" s="204">
        <f t="shared" si="3"/>
        <v>2.9079599999999998E-3</v>
      </c>
      <c r="X16" s="175">
        <f t="shared" si="26"/>
        <v>6.8997959999999997E-2</v>
      </c>
      <c r="Z16" s="46" t="s">
        <v>23</v>
      </c>
      <c r="AA16" s="86">
        <f t="shared" si="27"/>
        <v>13483</v>
      </c>
      <c r="AB16" s="87">
        <f>'EF peternakan'!$C$9</f>
        <v>5</v>
      </c>
      <c r="AC16" s="43">
        <f t="shared" si="4"/>
        <v>6.7415000000000003E-2</v>
      </c>
      <c r="AD16" s="88">
        <f>'EF peternakan'!$C$19</f>
        <v>0.22</v>
      </c>
      <c r="AE16" s="204">
        <f t="shared" si="5"/>
        <v>2.9662600000000001E-3</v>
      </c>
      <c r="AF16" s="175">
        <f t="shared" si="28"/>
        <v>7.0381260000000001E-2</v>
      </c>
      <c r="AH16" s="46" t="s">
        <v>23</v>
      </c>
      <c r="AI16" s="86">
        <f t="shared" si="29"/>
        <v>13752</v>
      </c>
      <c r="AJ16" s="87">
        <f>'EF peternakan'!$C$9</f>
        <v>5</v>
      </c>
      <c r="AK16" s="43">
        <f t="shared" si="6"/>
        <v>6.8760000000000002E-2</v>
      </c>
      <c r="AL16" s="88">
        <f>'EF peternakan'!$C$19</f>
        <v>0.22</v>
      </c>
      <c r="AM16" s="204">
        <f t="shared" si="7"/>
        <v>3.0254399999999999E-3</v>
      </c>
      <c r="AN16" s="175">
        <f t="shared" si="30"/>
        <v>7.1785440000000006E-2</v>
      </c>
      <c r="AP16" s="46" t="s">
        <v>23</v>
      </c>
      <c r="AQ16" s="86">
        <f t="shared" si="31"/>
        <v>14027</v>
      </c>
      <c r="AR16" s="87">
        <f>'EF peternakan'!$C$9</f>
        <v>5</v>
      </c>
      <c r="AS16" s="43">
        <f t="shared" si="8"/>
        <v>7.0135000000000003E-2</v>
      </c>
      <c r="AT16" s="88">
        <f>'EF peternakan'!$C$19</f>
        <v>0.22</v>
      </c>
      <c r="AU16" s="204">
        <f t="shared" si="9"/>
        <v>3.0859400000000001E-3</v>
      </c>
      <c r="AV16" s="175">
        <f t="shared" si="32"/>
        <v>7.3220939999999998E-2</v>
      </c>
      <c r="AX16" s="46" t="s">
        <v>23</v>
      </c>
      <c r="AY16" s="86">
        <f t="shared" si="33"/>
        <v>14308</v>
      </c>
      <c r="AZ16" s="87">
        <f>'EF peternakan'!$C$9</f>
        <v>5</v>
      </c>
      <c r="BA16" s="43">
        <f t="shared" si="10"/>
        <v>7.1539999999999992E-2</v>
      </c>
      <c r="BB16" s="88">
        <f>'EF peternakan'!$C$19</f>
        <v>0.22</v>
      </c>
      <c r="BC16" s="204">
        <f t="shared" si="11"/>
        <v>3.1477599999999999E-3</v>
      </c>
      <c r="BD16" s="175">
        <f t="shared" si="34"/>
        <v>7.4687759999999992E-2</v>
      </c>
      <c r="BF16" s="46" t="s">
        <v>23</v>
      </c>
      <c r="BG16" s="86">
        <f t="shared" si="35"/>
        <v>14594</v>
      </c>
      <c r="BH16" s="87">
        <f>'EF peternakan'!$C$9</f>
        <v>5</v>
      </c>
      <c r="BI16" s="43">
        <f t="shared" si="12"/>
        <v>7.2969999999999993E-2</v>
      </c>
      <c r="BJ16" s="88">
        <f>'EF peternakan'!$C$19</f>
        <v>0.22</v>
      </c>
      <c r="BK16" s="204">
        <f t="shared" si="13"/>
        <v>3.2106799999999996E-3</v>
      </c>
      <c r="BL16" s="175">
        <f t="shared" si="36"/>
        <v>7.6180679999999987E-2</v>
      </c>
      <c r="BN16" s="46" t="s">
        <v>23</v>
      </c>
      <c r="BO16" s="86">
        <f t="shared" si="37"/>
        <v>14886</v>
      </c>
      <c r="BP16" s="87">
        <f>'EF peternakan'!$C$9</f>
        <v>5</v>
      </c>
      <c r="BQ16" s="43">
        <f t="shared" si="14"/>
        <v>7.4429999999999996E-2</v>
      </c>
      <c r="BR16" s="88">
        <f>'EF peternakan'!$C$19</f>
        <v>0.22</v>
      </c>
      <c r="BS16" s="204">
        <f t="shared" si="15"/>
        <v>3.2749199999999997E-3</v>
      </c>
      <c r="BT16" s="175">
        <f t="shared" si="38"/>
        <v>7.7704919999999997E-2</v>
      </c>
      <c r="BV16" s="46" t="s">
        <v>23</v>
      </c>
      <c r="BW16" s="86">
        <f t="shared" si="39"/>
        <v>15184</v>
      </c>
      <c r="BX16" s="87">
        <f>'EF peternakan'!$C$9</f>
        <v>5</v>
      </c>
      <c r="BY16" s="43">
        <f t="shared" si="16"/>
        <v>7.5920000000000001E-2</v>
      </c>
      <c r="BZ16" s="88">
        <f>'EF peternakan'!$C$19</f>
        <v>0.22</v>
      </c>
      <c r="CA16" s="204">
        <f t="shared" si="17"/>
        <v>3.3404799999999998E-3</v>
      </c>
      <c r="CB16" s="175">
        <f t="shared" si="40"/>
        <v>7.9260479999999994E-2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10956</v>
      </c>
      <c r="D18" s="87">
        <f>'EF peternakan'!$C$10</f>
        <v>1</v>
      </c>
      <c r="E18" s="43">
        <f t="shared" si="20"/>
        <v>1.0955999999999999E-2</v>
      </c>
      <c r="F18" s="88">
        <f>'EF peternakan'!$C$20</f>
        <v>7</v>
      </c>
      <c r="G18" s="204">
        <f t="shared" si="21"/>
        <v>7.6691999999999996E-2</v>
      </c>
      <c r="H18" s="175">
        <f t="shared" si="22"/>
        <v>8.764799999999999E-2</v>
      </c>
      <c r="J18" s="269" t="s">
        <v>66</v>
      </c>
      <c r="K18" s="86">
        <f>$D37</f>
        <v>11175</v>
      </c>
      <c r="L18" s="87">
        <f>'EF peternakan'!$C$10</f>
        <v>1</v>
      </c>
      <c r="M18" s="43"/>
      <c r="N18" s="88">
        <f>'EF peternakan'!$C$20</f>
        <v>7</v>
      </c>
      <c r="O18" s="204">
        <f t="shared" si="1"/>
        <v>7.8225000000000003E-2</v>
      </c>
      <c r="P18" s="175">
        <f t="shared" si="24"/>
        <v>7.8225000000000003E-2</v>
      </c>
      <c r="R18" s="269" t="s">
        <v>66</v>
      </c>
      <c r="S18" s="86">
        <f>E37</f>
        <v>11399</v>
      </c>
      <c r="T18" s="87">
        <f>'EF peternakan'!$C$10</f>
        <v>1</v>
      </c>
      <c r="U18" s="43">
        <f t="shared" si="2"/>
        <v>1.1398999999999999E-2</v>
      </c>
      <c r="V18" s="88">
        <f>'EF peternakan'!$C$20</f>
        <v>7</v>
      </c>
      <c r="W18" s="204">
        <f t="shared" si="3"/>
        <v>7.9793000000000003E-2</v>
      </c>
      <c r="X18" s="175">
        <f t="shared" si="26"/>
        <v>9.1191999999999995E-2</v>
      </c>
      <c r="Z18" s="269" t="s">
        <v>66</v>
      </c>
      <c r="AA18" s="86">
        <f>F37</f>
        <v>11627</v>
      </c>
      <c r="AB18" s="87">
        <f>'EF peternakan'!$C$10</f>
        <v>1</v>
      </c>
      <c r="AC18" s="43">
        <f t="shared" si="4"/>
        <v>1.1627E-2</v>
      </c>
      <c r="AD18" s="88">
        <f>'EF peternakan'!$C$20</f>
        <v>7</v>
      </c>
      <c r="AE18" s="204">
        <f t="shared" si="5"/>
        <v>8.1389000000000003E-2</v>
      </c>
      <c r="AF18" s="175">
        <f t="shared" si="28"/>
        <v>9.3016000000000001E-2</v>
      </c>
      <c r="AH18" s="269" t="s">
        <v>66</v>
      </c>
      <c r="AI18" s="86">
        <f>G37</f>
        <v>11859</v>
      </c>
      <c r="AJ18" s="87">
        <f>'EF peternakan'!$C$10</f>
        <v>1</v>
      </c>
      <c r="AK18" s="43">
        <f t="shared" si="6"/>
        <v>1.1859E-2</v>
      </c>
      <c r="AL18" s="88">
        <f>'EF peternakan'!$C$20</f>
        <v>7</v>
      </c>
      <c r="AM18" s="204">
        <f>AI18*AL18*10^-6</f>
        <v>8.301299999999999E-2</v>
      </c>
      <c r="AN18" s="175">
        <f t="shared" si="30"/>
        <v>9.4871999999999984E-2</v>
      </c>
      <c r="AP18" s="269" t="s">
        <v>66</v>
      </c>
      <c r="AQ18" s="86">
        <f>H37</f>
        <v>12096</v>
      </c>
      <c r="AR18" s="87">
        <f>'EF peternakan'!$C$10</f>
        <v>1</v>
      </c>
      <c r="AS18" s="43">
        <f t="shared" si="8"/>
        <v>1.2095999999999999E-2</v>
      </c>
      <c r="AT18" s="88">
        <f>'EF peternakan'!$C$20</f>
        <v>7</v>
      </c>
      <c r="AU18" s="204">
        <f t="shared" si="9"/>
        <v>8.4671999999999997E-2</v>
      </c>
      <c r="AV18" s="175">
        <f t="shared" si="32"/>
        <v>9.6767999999999993E-2</v>
      </c>
      <c r="AX18" s="269" t="s">
        <v>66</v>
      </c>
      <c r="AY18" s="86">
        <f>I37</f>
        <v>12338</v>
      </c>
      <c r="AZ18" s="87">
        <f>'EF peternakan'!$C$10</f>
        <v>1</v>
      </c>
      <c r="BA18" s="43">
        <f t="shared" si="10"/>
        <v>1.2338E-2</v>
      </c>
      <c r="BB18" s="88">
        <f>'EF peternakan'!$C$20</f>
        <v>7</v>
      </c>
      <c r="BC18" s="204">
        <f t="shared" si="11"/>
        <v>8.6365999999999998E-2</v>
      </c>
      <c r="BD18" s="175">
        <f t="shared" si="34"/>
        <v>9.8704E-2</v>
      </c>
      <c r="BF18" s="269" t="s">
        <v>66</v>
      </c>
      <c r="BG18" s="86">
        <f>J37</f>
        <v>12585</v>
      </c>
      <c r="BH18" s="87">
        <f>'EF peternakan'!$C$10</f>
        <v>1</v>
      </c>
      <c r="BI18" s="43">
        <f t="shared" si="12"/>
        <v>1.2584999999999999E-2</v>
      </c>
      <c r="BJ18" s="88">
        <f>'EF peternakan'!$C$20</f>
        <v>7</v>
      </c>
      <c r="BK18" s="204">
        <f t="shared" si="13"/>
        <v>8.8094999999999993E-2</v>
      </c>
      <c r="BL18" s="175">
        <f t="shared" si="36"/>
        <v>0.10067999999999999</v>
      </c>
      <c r="BN18" s="269" t="s">
        <v>461</v>
      </c>
      <c r="BO18" s="86">
        <f>K37</f>
        <v>12837</v>
      </c>
      <c r="BP18" s="87">
        <f>'EF peternakan'!$C$10</f>
        <v>1</v>
      </c>
      <c r="BQ18" s="43">
        <f t="shared" si="14"/>
        <v>1.2836999999999999E-2</v>
      </c>
      <c r="BR18" s="88">
        <f>'EF peternakan'!$C$20</f>
        <v>7</v>
      </c>
      <c r="BS18" s="204">
        <f t="shared" si="15"/>
        <v>8.9858999999999994E-2</v>
      </c>
      <c r="BT18" s="175">
        <f t="shared" si="38"/>
        <v>0.102696</v>
      </c>
      <c r="BV18" s="269" t="s">
        <v>461</v>
      </c>
      <c r="BW18" s="86">
        <f>L37</f>
        <v>13093</v>
      </c>
      <c r="BX18" s="87">
        <f>'EF peternakan'!$C$10</f>
        <v>1</v>
      </c>
      <c r="BY18" s="43">
        <f t="shared" si="16"/>
        <v>1.3092999999999999E-2</v>
      </c>
      <c r="BZ18" s="88">
        <f>'EF peternakan'!$C$20</f>
        <v>7</v>
      </c>
      <c r="CA18" s="204">
        <f t="shared" si="17"/>
        <v>9.1650999999999996E-2</v>
      </c>
      <c r="CB18" s="175">
        <f t="shared" si="40"/>
        <v>0.10474399999999999</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473495</v>
      </c>
      <c r="D19" s="9"/>
      <c r="E19" s="12"/>
      <c r="F19" s="88">
        <f>'EF peternakan'!$C$22</f>
        <v>0.02</v>
      </c>
      <c r="G19" s="204">
        <f t="shared" ref="G19:G22" si="44">C19*F19*10^-6</f>
        <v>9.4698999999999998E-3</v>
      </c>
      <c r="H19" s="175">
        <f t="shared" ref="H19:H22" si="45">E19+G19</f>
        <v>9.4698999999999998E-3</v>
      </c>
      <c r="J19" s="46" t="s">
        <v>67</v>
      </c>
      <c r="K19" s="44">
        <f>D33</f>
        <v>482965</v>
      </c>
      <c r="L19" s="9"/>
      <c r="M19" s="12"/>
      <c r="N19" s="88">
        <f>'EF peternakan'!$C$22</f>
        <v>0.02</v>
      </c>
      <c r="O19" s="204">
        <f t="shared" ref="O19:O22" si="46">K19*N19*10^-6</f>
        <v>9.6593000000000009E-3</v>
      </c>
      <c r="P19" s="175">
        <f t="shared" ref="P19:P22" si="47">M19+O19</f>
        <v>9.6593000000000009E-3</v>
      </c>
      <c r="R19" s="46" t="s">
        <v>67</v>
      </c>
      <c r="S19" s="44">
        <f>E33</f>
        <v>492624</v>
      </c>
      <c r="T19" s="9"/>
      <c r="U19" s="12"/>
      <c r="V19" s="88">
        <f>'EF peternakan'!$C$22</f>
        <v>0.02</v>
      </c>
      <c r="W19" s="204">
        <f t="shared" ref="W19:W22" si="48">S19*V19*10^-6</f>
        <v>9.8524799999999985E-3</v>
      </c>
      <c r="X19" s="175">
        <f t="shared" ref="X19:X22" si="49">U19+W19</f>
        <v>9.8524799999999985E-3</v>
      </c>
      <c r="Z19" s="46" t="s">
        <v>67</v>
      </c>
      <c r="AA19" s="44">
        <f>F33</f>
        <v>502477</v>
      </c>
      <c r="AB19" s="9"/>
      <c r="AC19" s="12"/>
      <c r="AD19" s="88">
        <f>'EF peternakan'!$C$22</f>
        <v>0.02</v>
      </c>
      <c r="AE19" s="204">
        <f t="shared" ref="AE19:AE22" si="50">AA19*AD19*10^-6</f>
        <v>1.0049540000000001E-2</v>
      </c>
      <c r="AF19" s="175">
        <f t="shared" ref="AF19:AF22" si="51">AC19+AE19</f>
        <v>1.0049540000000001E-2</v>
      </c>
      <c r="AH19" s="46" t="s">
        <v>67</v>
      </c>
      <c r="AI19" s="44">
        <f>G33</f>
        <v>512526</v>
      </c>
      <c r="AJ19" s="9"/>
      <c r="AK19" s="12"/>
      <c r="AL19" s="88">
        <f>'EF peternakan'!$C$22</f>
        <v>0.02</v>
      </c>
      <c r="AM19" s="204">
        <f t="shared" ref="AM19:AM22" si="52">AI19*AL19*10^-6</f>
        <v>1.0250520000000001E-2</v>
      </c>
      <c r="AN19" s="175">
        <f t="shared" ref="AN19:AN22" si="53">AK19+AM19</f>
        <v>1.0250520000000001E-2</v>
      </c>
      <c r="AP19" s="46" t="s">
        <v>67</v>
      </c>
      <c r="AQ19" s="44">
        <f>H33</f>
        <v>522777</v>
      </c>
      <c r="AR19" s="9"/>
      <c r="AS19" s="12"/>
      <c r="AT19" s="88">
        <f>'EF peternakan'!$C$22</f>
        <v>0.02</v>
      </c>
      <c r="AU19" s="204">
        <f t="shared" ref="AU19:AU21" si="54">AQ19*AT19*10^-6</f>
        <v>1.0455540000000001E-2</v>
      </c>
      <c r="AV19" s="175">
        <f t="shared" ref="AV19:AV21" si="55">AS19+AU19</f>
        <v>1.0455540000000001E-2</v>
      </c>
      <c r="AX19" s="46" t="s">
        <v>67</v>
      </c>
      <c r="AY19" s="44">
        <f>I33</f>
        <v>533232</v>
      </c>
      <c r="AZ19" s="9"/>
      <c r="BA19" s="12"/>
      <c r="BB19" s="88">
        <f>'EF peternakan'!$C$22</f>
        <v>0.02</v>
      </c>
      <c r="BC19" s="204">
        <f t="shared" ref="BC19:BC22" si="56">AY19*BB19*10^-6</f>
        <v>1.066464E-2</v>
      </c>
      <c r="BD19" s="175">
        <f t="shared" ref="BD19:BD22" si="57">BA19+BC19</f>
        <v>1.066464E-2</v>
      </c>
      <c r="BF19" s="46" t="s">
        <v>67</v>
      </c>
      <c r="BG19" s="44">
        <f>J33</f>
        <v>543897</v>
      </c>
      <c r="BH19" s="9"/>
      <c r="BI19" s="12"/>
      <c r="BJ19" s="88">
        <f>'EF peternakan'!$C$22</f>
        <v>0.02</v>
      </c>
      <c r="BK19" s="204">
        <f t="shared" ref="BK19:BK22" si="58">BG19*BJ19*10^-6</f>
        <v>1.0877940000000001E-2</v>
      </c>
      <c r="BL19" s="175">
        <f t="shared" ref="BL19:BL22" si="59">BI19+BK19</f>
        <v>1.0877940000000001E-2</v>
      </c>
      <c r="BN19" s="46" t="s">
        <v>67</v>
      </c>
      <c r="BO19" s="44">
        <f>K33</f>
        <v>554775</v>
      </c>
      <c r="BP19" s="9"/>
      <c r="BQ19" s="12"/>
      <c r="BR19" s="88">
        <f>'EF peternakan'!$C$22</f>
        <v>0.02</v>
      </c>
      <c r="BS19" s="204">
        <f t="shared" ref="BS19:BS22" si="60">BO19*BR19*10^-6</f>
        <v>1.1095499999999999E-2</v>
      </c>
      <c r="BT19" s="175">
        <f t="shared" ref="BT19:BT22" si="61">BQ19+BS19</f>
        <v>1.1095499999999999E-2</v>
      </c>
      <c r="BV19" s="46" t="s">
        <v>67</v>
      </c>
      <c r="BW19" s="44">
        <f>L33</f>
        <v>565870</v>
      </c>
      <c r="BX19" s="9"/>
      <c r="BY19" s="12"/>
      <c r="BZ19" s="88">
        <f>'EF peternakan'!$C$22</f>
        <v>0.02</v>
      </c>
      <c r="CA19" s="204">
        <f t="shared" ref="CA19:CA22" si="62">BW19*BZ19*10^-6</f>
        <v>1.1317399999999998E-2</v>
      </c>
      <c r="CB19" s="175">
        <f t="shared" ref="CB19:CB22" si="63">BY19+CA19</f>
        <v>1.1317399999999998E-2</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2073606</v>
      </c>
      <c r="D20" s="9"/>
      <c r="E20" s="12"/>
      <c r="F20" s="88">
        <f>'EF peternakan'!$C$23</f>
        <v>0.02</v>
      </c>
      <c r="G20" s="204">
        <f t="shared" si="44"/>
        <v>4.1472120000000001E-2</v>
      </c>
      <c r="H20" s="175">
        <f t="shared" si="45"/>
        <v>4.1472120000000001E-2</v>
      </c>
      <c r="J20" s="46" t="s">
        <v>68</v>
      </c>
      <c r="K20" s="44">
        <f t="shared" ref="K20:K21" si="67">D34</f>
        <v>2115078</v>
      </c>
      <c r="L20" s="9"/>
      <c r="M20" s="12"/>
      <c r="N20" s="88">
        <f>'EF peternakan'!$C$23</f>
        <v>0.02</v>
      </c>
      <c r="O20" s="204">
        <f t="shared" si="46"/>
        <v>4.2301559999999995E-2</v>
      </c>
      <c r="P20" s="175">
        <f t="shared" si="47"/>
        <v>4.2301559999999995E-2</v>
      </c>
      <c r="R20" s="46" t="s">
        <v>68</v>
      </c>
      <c r="S20" s="44">
        <f t="shared" ref="S20:S21" si="68">E34</f>
        <v>2157380</v>
      </c>
      <c r="T20" s="9"/>
      <c r="U20" s="12"/>
      <c r="V20" s="88">
        <f>'EF peternakan'!$C$23</f>
        <v>0.02</v>
      </c>
      <c r="W20" s="204">
        <f t="shared" si="48"/>
        <v>4.3147599999999994E-2</v>
      </c>
      <c r="X20" s="175">
        <f t="shared" si="49"/>
        <v>4.3147599999999994E-2</v>
      </c>
      <c r="Z20" s="46" t="s">
        <v>68</v>
      </c>
      <c r="AA20" s="44">
        <f t="shared" ref="AA20:AA21" si="69">F34</f>
        <v>2200527</v>
      </c>
      <c r="AB20" s="9"/>
      <c r="AC20" s="12"/>
      <c r="AD20" s="88">
        <f>'EF peternakan'!$C$23</f>
        <v>0.02</v>
      </c>
      <c r="AE20" s="204">
        <f t="shared" si="50"/>
        <v>4.4010540000000001E-2</v>
      </c>
      <c r="AF20" s="175">
        <f t="shared" si="51"/>
        <v>4.4010540000000001E-2</v>
      </c>
      <c r="AH20" s="46" t="s">
        <v>68</v>
      </c>
      <c r="AI20" s="44">
        <f>G34</f>
        <v>2244538</v>
      </c>
      <c r="AJ20" s="9"/>
      <c r="AK20" s="12"/>
      <c r="AL20" s="88">
        <f>'EF peternakan'!$C$23</f>
        <v>0.02</v>
      </c>
      <c r="AM20" s="204">
        <f t="shared" si="52"/>
        <v>4.4890760000000002E-2</v>
      </c>
      <c r="AN20" s="175">
        <f t="shared" si="53"/>
        <v>4.4890760000000002E-2</v>
      </c>
      <c r="AP20" s="46" t="s">
        <v>68</v>
      </c>
      <c r="AQ20" s="44">
        <f>H34</f>
        <v>2289429</v>
      </c>
      <c r="AR20" s="9"/>
      <c r="AS20" s="12"/>
      <c r="AT20" s="88">
        <f>'EF peternakan'!$C$23</f>
        <v>0.02</v>
      </c>
      <c r="AU20" s="204">
        <f t="shared" si="54"/>
        <v>4.5788580000000002E-2</v>
      </c>
      <c r="AV20" s="175">
        <f t="shared" si="55"/>
        <v>4.5788580000000002E-2</v>
      </c>
      <c r="AX20" s="46" t="s">
        <v>68</v>
      </c>
      <c r="AY20" s="44">
        <f>I34</f>
        <v>2335217</v>
      </c>
      <c r="AZ20" s="9"/>
      <c r="BA20" s="12"/>
      <c r="BB20" s="88">
        <f>'EF peternakan'!$C$23</f>
        <v>0.02</v>
      </c>
      <c r="BC20" s="204">
        <f t="shared" si="56"/>
        <v>4.6704340000000004E-2</v>
      </c>
      <c r="BD20" s="175">
        <f t="shared" si="57"/>
        <v>4.6704340000000004E-2</v>
      </c>
      <c r="BF20" s="46" t="s">
        <v>68</v>
      </c>
      <c r="BG20" s="44">
        <f>J34</f>
        <v>2381921</v>
      </c>
      <c r="BH20" s="9"/>
      <c r="BI20" s="12"/>
      <c r="BJ20" s="88">
        <f>'EF peternakan'!$C$23</f>
        <v>0.02</v>
      </c>
      <c r="BK20" s="204">
        <f t="shared" si="58"/>
        <v>4.7638419999999994E-2</v>
      </c>
      <c r="BL20" s="175">
        <f t="shared" si="59"/>
        <v>4.7638419999999994E-2</v>
      </c>
      <c r="BN20" s="46" t="s">
        <v>68</v>
      </c>
      <c r="BO20" s="44">
        <f>K34</f>
        <v>2429560</v>
      </c>
      <c r="BP20" s="9"/>
      <c r="BQ20" s="12"/>
      <c r="BR20" s="88">
        <f>'EF peternakan'!$C$23</f>
        <v>0.02</v>
      </c>
      <c r="BS20" s="204">
        <f t="shared" si="60"/>
        <v>4.8591200000000001E-2</v>
      </c>
      <c r="BT20" s="175">
        <f t="shared" si="61"/>
        <v>4.8591200000000001E-2</v>
      </c>
      <c r="BV20" s="46" t="s">
        <v>68</v>
      </c>
      <c r="BW20" s="44">
        <f>L34</f>
        <v>2478151</v>
      </c>
      <c r="BX20" s="9"/>
      <c r="BY20" s="12"/>
      <c r="BZ20" s="88">
        <f>'EF peternakan'!$C$23</f>
        <v>0.02</v>
      </c>
      <c r="CA20" s="204">
        <f t="shared" si="62"/>
        <v>4.9563019999999999E-2</v>
      </c>
      <c r="CB20" s="175">
        <f t="shared" si="63"/>
        <v>4.9563019999999999E-2</v>
      </c>
      <c r="CD20" s="46" t="s">
        <v>68</v>
      </c>
      <c r="CE20" s="44">
        <f>M34</f>
        <v>0</v>
      </c>
      <c r="CF20" s="9"/>
      <c r="CG20" s="12"/>
      <c r="CH20" s="88">
        <f>'EF peternakan'!$C$23</f>
        <v>0.02</v>
      </c>
      <c r="CI20" s="204">
        <f t="shared" si="64"/>
        <v>0</v>
      </c>
      <c r="CJ20" s="175">
        <f t="shared" si="65"/>
        <v>0</v>
      </c>
    </row>
    <row r="21" spans="2:88" x14ac:dyDescent="0.25">
      <c r="B21" s="46" t="s">
        <v>69</v>
      </c>
      <c r="C21" s="44">
        <f t="shared" si="66"/>
        <v>0</v>
      </c>
      <c r="D21" s="9"/>
      <c r="E21" s="12"/>
      <c r="F21" s="88">
        <f>'EF peternakan'!$C$24</f>
        <v>0.02</v>
      </c>
      <c r="G21" s="204">
        <f t="shared" si="44"/>
        <v>0</v>
      </c>
      <c r="H21" s="175">
        <f t="shared" si="45"/>
        <v>0</v>
      </c>
      <c r="J21" s="46" t="s">
        <v>69</v>
      </c>
      <c r="K21" s="44">
        <f t="shared" si="67"/>
        <v>0</v>
      </c>
      <c r="L21" s="9"/>
      <c r="M21" s="12"/>
      <c r="N21" s="88">
        <f>'EF peternakan'!$C$24</f>
        <v>0.02</v>
      </c>
      <c r="O21" s="204">
        <f t="shared" si="46"/>
        <v>0</v>
      </c>
      <c r="P21" s="175">
        <f t="shared" si="47"/>
        <v>0</v>
      </c>
      <c r="R21" s="46" t="s">
        <v>69</v>
      </c>
      <c r="S21" s="44">
        <f t="shared" si="68"/>
        <v>0</v>
      </c>
      <c r="T21" s="9"/>
      <c r="U21" s="12"/>
      <c r="V21" s="88">
        <f>'EF peternakan'!$C$24</f>
        <v>0.02</v>
      </c>
      <c r="W21" s="204">
        <f t="shared" si="48"/>
        <v>0</v>
      </c>
      <c r="X21" s="175">
        <f t="shared" si="49"/>
        <v>0</v>
      </c>
      <c r="Z21" s="46" t="s">
        <v>69</v>
      </c>
      <c r="AA21" s="44">
        <f t="shared" si="69"/>
        <v>0</v>
      </c>
      <c r="AB21" s="9"/>
      <c r="AC21" s="12"/>
      <c r="AD21" s="88">
        <f>'EF peternakan'!$C$24</f>
        <v>0.02</v>
      </c>
      <c r="AE21" s="204">
        <f t="shared" si="50"/>
        <v>0</v>
      </c>
      <c r="AF21" s="175">
        <f t="shared" si="51"/>
        <v>0</v>
      </c>
      <c r="AH21" s="46" t="s">
        <v>69</v>
      </c>
      <c r="AI21" s="44">
        <f>G35</f>
        <v>0</v>
      </c>
      <c r="AJ21" s="9"/>
      <c r="AK21" s="12"/>
      <c r="AL21" s="88">
        <f>'EF peternakan'!$C$24</f>
        <v>0.02</v>
      </c>
      <c r="AM21" s="204">
        <f t="shared" si="52"/>
        <v>0</v>
      </c>
      <c r="AN21" s="175">
        <f t="shared" si="53"/>
        <v>0</v>
      </c>
      <c r="AP21" s="46" t="s">
        <v>69</v>
      </c>
      <c r="AQ21" s="44">
        <f>H35</f>
        <v>0</v>
      </c>
      <c r="AR21" s="9"/>
      <c r="AS21" s="12"/>
      <c r="AT21" s="88">
        <f>'EF peternakan'!$C$24</f>
        <v>0.02</v>
      </c>
      <c r="AU21" s="204">
        <f t="shared" si="54"/>
        <v>0</v>
      </c>
      <c r="AV21" s="175">
        <f t="shared" si="55"/>
        <v>0</v>
      </c>
      <c r="AX21" s="46" t="s">
        <v>69</v>
      </c>
      <c r="AY21" s="44">
        <f>I35</f>
        <v>0</v>
      </c>
      <c r="AZ21" s="9"/>
      <c r="BA21" s="12"/>
      <c r="BB21" s="88">
        <f>'EF peternakan'!$C$24</f>
        <v>0.02</v>
      </c>
      <c r="BC21" s="204">
        <f t="shared" si="56"/>
        <v>0</v>
      </c>
      <c r="BD21" s="175">
        <f t="shared" si="57"/>
        <v>0</v>
      </c>
      <c r="BF21" s="46" t="s">
        <v>69</v>
      </c>
      <c r="BG21" s="44">
        <f>J35</f>
        <v>0</v>
      </c>
      <c r="BH21" s="9"/>
      <c r="BI21" s="12"/>
      <c r="BJ21" s="88">
        <f>'EF peternakan'!$C$24</f>
        <v>0.02</v>
      </c>
      <c r="BK21" s="204">
        <f t="shared" si="58"/>
        <v>0</v>
      </c>
      <c r="BL21" s="175">
        <f t="shared" si="59"/>
        <v>0</v>
      </c>
      <c r="BN21" s="46" t="s">
        <v>69</v>
      </c>
      <c r="BO21" s="44">
        <f>K35</f>
        <v>0</v>
      </c>
      <c r="BP21" s="9"/>
      <c r="BQ21" s="12"/>
      <c r="BR21" s="88">
        <f>'EF peternakan'!$C$24</f>
        <v>0.02</v>
      </c>
      <c r="BS21" s="204">
        <f t="shared" si="60"/>
        <v>0</v>
      </c>
      <c r="BT21" s="175">
        <f t="shared" si="61"/>
        <v>0</v>
      </c>
      <c r="BV21" s="46" t="s">
        <v>69</v>
      </c>
      <c r="BW21" s="44">
        <f>L35</f>
        <v>0</v>
      </c>
      <c r="BX21" s="9"/>
      <c r="BY21" s="12"/>
      <c r="BZ21" s="88">
        <f>'EF peternakan'!$C$24</f>
        <v>0.02</v>
      </c>
      <c r="CA21" s="204">
        <f t="shared" si="62"/>
        <v>0</v>
      </c>
      <c r="CB21" s="175">
        <f t="shared" si="63"/>
        <v>0</v>
      </c>
      <c r="CD21" s="46" t="s">
        <v>69</v>
      </c>
      <c r="CE21" s="44">
        <f>M35</f>
        <v>0</v>
      </c>
      <c r="CF21" s="9"/>
      <c r="CG21" s="12"/>
      <c r="CH21" s="88">
        <f>'EF peternakan'!$C$24</f>
        <v>0.02</v>
      </c>
      <c r="CI21" s="204">
        <f t="shared" si="64"/>
        <v>0</v>
      </c>
      <c r="CJ21" s="175">
        <f t="shared" si="65"/>
        <v>0</v>
      </c>
    </row>
    <row r="22" spans="2:88" x14ac:dyDescent="0.25">
      <c r="B22" s="269" t="s">
        <v>462</v>
      </c>
      <c r="C22" s="44">
        <f>C36</f>
        <v>5899</v>
      </c>
      <c r="D22" s="9"/>
      <c r="E22" s="12"/>
      <c r="F22" s="88">
        <f>'EF peternakan'!$C$25</f>
        <v>0.02</v>
      </c>
      <c r="G22" s="204">
        <f t="shared" si="44"/>
        <v>1.1797999999999999E-4</v>
      </c>
      <c r="H22" s="175">
        <f t="shared" si="45"/>
        <v>1.1797999999999999E-4</v>
      </c>
      <c r="J22" s="269" t="s">
        <v>462</v>
      </c>
      <c r="K22" s="44">
        <f>D36</f>
        <v>6017</v>
      </c>
      <c r="L22" s="9"/>
      <c r="M22" s="12"/>
      <c r="N22" s="88">
        <f>'EF peternakan'!$C$25</f>
        <v>0.02</v>
      </c>
      <c r="O22" s="204">
        <f t="shared" si="46"/>
        <v>1.2034E-4</v>
      </c>
      <c r="P22" s="175">
        <f t="shared" si="47"/>
        <v>1.2034E-4</v>
      </c>
      <c r="R22" s="269" t="s">
        <v>462</v>
      </c>
      <c r="S22" s="44">
        <f>E36</f>
        <v>6137</v>
      </c>
      <c r="T22" s="9"/>
      <c r="U22" s="12"/>
      <c r="V22" s="88">
        <f>'EF peternakan'!$C$25</f>
        <v>0.02</v>
      </c>
      <c r="W22" s="204">
        <f t="shared" si="48"/>
        <v>1.2274000000000001E-4</v>
      </c>
      <c r="X22" s="175">
        <f t="shared" si="49"/>
        <v>1.2274000000000001E-4</v>
      </c>
      <c r="Z22" s="269" t="s">
        <v>462</v>
      </c>
      <c r="AA22" s="44">
        <f>F36</f>
        <v>6260</v>
      </c>
      <c r="AB22" s="9"/>
      <c r="AC22" s="12"/>
      <c r="AD22" s="88">
        <f>'EF peternakan'!$C$25</f>
        <v>0.02</v>
      </c>
      <c r="AE22" s="204">
        <f t="shared" si="50"/>
        <v>1.2520000000000001E-4</v>
      </c>
      <c r="AF22" s="175">
        <f t="shared" si="51"/>
        <v>1.2520000000000001E-4</v>
      </c>
      <c r="AH22" s="269" t="s">
        <v>462</v>
      </c>
      <c r="AI22" s="44">
        <f>G36</f>
        <v>6385</v>
      </c>
      <c r="AJ22" s="9"/>
      <c r="AK22" s="12"/>
      <c r="AL22" s="88">
        <f>'EF peternakan'!$C$25</f>
        <v>0.02</v>
      </c>
      <c r="AM22" s="204">
        <f t="shared" si="52"/>
        <v>1.2769999999999999E-4</v>
      </c>
      <c r="AN22" s="175">
        <f t="shared" si="53"/>
        <v>1.2769999999999999E-4</v>
      </c>
      <c r="AP22" s="269" t="s">
        <v>462</v>
      </c>
      <c r="AQ22" s="44">
        <f>H36</f>
        <v>6513</v>
      </c>
      <c r="AR22" s="9"/>
      <c r="AS22" s="12"/>
      <c r="AT22" s="88">
        <f>'EF peternakan'!$C$25</f>
        <v>0.02</v>
      </c>
      <c r="AU22" s="204">
        <f t="shared" ref="AU22" si="70">AQ22*AT22*10^-6</f>
        <v>1.3025999999999999E-4</v>
      </c>
      <c r="AV22" s="175">
        <f t="shared" ref="AV22" si="71">AS22+AU22</f>
        <v>1.3025999999999999E-4</v>
      </c>
      <c r="AX22" s="269" t="s">
        <v>462</v>
      </c>
      <c r="AY22" s="44">
        <f>I36</f>
        <v>6643</v>
      </c>
      <c r="AZ22" s="9"/>
      <c r="BA22" s="12"/>
      <c r="BB22" s="88">
        <f>'EF peternakan'!$C$25</f>
        <v>0.02</v>
      </c>
      <c r="BC22" s="204">
        <f t="shared" si="56"/>
        <v>1.3286E-4</v>
      </c>
      <c r="BD22" s="175">
        <f t="shared" si="57"/>
        <v>1.3286E-4</v>
      </c>
      <c r="BF22" s="269" t="s">
        <v>462</v>
      </c>
      <c r="BG22" s="44">
        <f>J36</f>
        <v>6776</v>
      </c>
      <c r="BH22" s="9"/>
      <c r="BI22" s="12"/>
      <c r="BJ22" s="88">
        <f>'EF peternakan'!$C$25</f>
        <v>0.02</v>
      </c>
      <c r="BK22" s="204">
        <f t="shared" si="58"/>
        <v>1.3552E-4</v>
      </c>
      <c r="BL22" s="175">
        <f t="shared" si="59"/>
        <v>1.3552E-4</v>
      </c>
      <c r="BN22" s="269" t="s">
        <v>462</v>
      </c>
      <c r="BO22" s="44">
        <f>K36</f>
        <v>6912</v>
      </c>
      <c r="BP22" s="9"/>
      <c r="BQ22" s="12"/>
      <c r="BR22" s="88">
        <f>'EF peternakan'!$C$25</f>
        <v>0.02</v>
      </c>
      <c r="BS22" s="204">
        <f t="shared" si="60"/>
        <v>1.3824E-4</v>
      </c>
      <c r="BT22" s="175">
        <f t="shared" si="61"/>
        <v>1.3824E-4</v>
      </c>
      <c r="BV22" s="269" t="s">
        <v>462</v>
      </c>
      <c r="BW22" s="44">
        <f>L36</f>
        <v>7050</v>
      </c>
      <c r="BX22" s="9"/>
      <c r="BY22" s="12"/>
      <c r="BZ22" s="88">
        <f>'EF peternakan'!$C$25</f>
        <v>0.02</v>
      </c>
      <c r="CA22" s="204">
        <f t="shared" si="62"/>
        <v>1.4099999999999998E-4</v>
      </c>
      <c r="CB22" s="175">
        <f t="shared" si="63"/>
        <v>1.4099999999999998E-4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2601416.2133842851</v>
      </c>
      <c r="D23" s="50"/>
      <c r="E23" s="52">
        <f>SUM(E12:E21)</f>
        <v>1.2495500290613948</v>
      </c>
      <c r="F23" s="51"/>
      <c r="G23" s="205">
        <f>SUM(G12:G22)</f>
        <v>0.160280313384285</v>
      </c>
      <c r="H23" s="211">
        <f>SUM(H12:H22)</f>
        <v>1.40983034244568</v>
      </c>
      <c r="J23" s="47" t="s">
        <v>76</v>
      </c>
      <c r="K23" s="45">
        <f>SUM(K12:K22)</f>
        <v>2653921.6788502261</v>
      </c>
      <c r="L23" s="50"/>
      <c r="M23" s="52">
        <f>SUM(M12:M22)</f>
        <v>1.2858119059606172</v>
      </c>
      <c r="N23" s="51"/>
      <c r="O23" s="205">
        <f>SUM(O12:O22)</f>
        <v>0.16397785885022589</v>
      </c>
      <c r="P23" s="211">
        <f>SUM(P12:P22)</f>
        <v>1.4497897648108433</v>
      </c>
      <c r="R23" s="47" t="s">
        <v>76</v>
      </c>
      <c r="S23" s="45">
        <f>SUM(S12:S22)</f>
        <v>2707457.1443161666</v>
      </c>
      <c r="T23" s="50"/>
      <c r="U23" s="52">
        <f>SUM(U12:U22)</f>
        <v>1.3443927828598348</v>
      </c>
      <c r="V23" s="51"/>
      <c r="W23" s="205">
        <f>SUM(W12:W22)</f>
        <v>0.16770092431616671</v>
      </c>
      <c r="X23" s="211">
        <f>SUM(X12:X22)</f>
        <v>1.5120937071760012</v>
      </c>
      <c r="Z23" s="47" t="s">
        <v>76</v>
      </c>
      <c r="AA23" s="45">
        <f>SUM(AA12:AA22)</f>
        <v>2762045.6097821076</v>
      </c>
      <c r="AB23" s="50"/>
      <c r="AC23" s="52">
        <f>SUM(AC12:AC22)</f>
        <v>1.3918936597590574</v>
      </c>
      <c r="AD23" s="51"/>
      <c r="AE23" s="205">
        <f>SUM(AE12:AE22)</f>
        <v>0.17150514978210757</v>
      </c>
      <c r="AF23" s="211">
        <f>SUM(AF12:AF22)</f>
        <v>1.5633988095411648</v>
      </c>
      <c r="AH23" s="47" t="s">
        <v>76</v>
      </c>
      <c r="AI23" s="45">
        <f>SUM(AI12:AI22)</f>
        <v>2817704.0752480486</v>
      </c>
      <c r="AJ23" s="50"/>
      <c r="AK23" s="52">
        <f>SUM(AK12:AK22)</f>
        <v>1.4394125366582793</v>
      </c>
      <c r="AL23" s="51"/>
      <c r="AM23" s="205">
        <f>SUM(AM12:AM22)</f>
        <v>0.1753304952480485</v>
      </c>
      <c r="AN23" s="211">
        <f>SUM(AN12:AN22)</f>
        <v>1.6147430319063278</v>
      </c>
      <c r="AP23" s="47" t="s">
        <v>76</v>
      </c>
      <c r="AQ23" s="45">
        <f>SUM(AQ12:AQ22)</f>
        <v>2874460.5407139892</v>
      </c>
      <c r="AR23" s="50"/>
      <c r="AS23" s="52">
        <f>SUM(AS12:AS22)</f>
        <v>1.4870824135574974</v>
      </c>
      <c r="AT23" s="51"/>
      <c r="AU23" s="205">
        <f>SUM(AU12:AU22)</f>
        <v>0.17924686071398929</v>
      </c>
      <c r="AV23" s="211">
        <f>SUM(AV12:AV22)</f>
        <v>1.6663292742714861</v>
      </c>
      <c r="AX23" s="47" t="s">
        <v>76</v>
      </c>
      <c r="AY23" s="45">
        <f>SUM(AY12:AY22)</f>
        <v>2932331.0061799302</v>
      </c>
      <c r="AZ23" s="50"/>
      <c r="BA23" s="52">
        <f>SUM(BA12:BA22)</f>
        <v>1.5347872904567192</v>
      </c>
      <c r="BB23" s="51"/>
      <c r="BC23" s="205">
        <f>SUM(BC12:BC22)</f>
        <v>0.18322160617993022</v>
      </c>
      <c r="BD23" s="211">
        <f>SUM(BD12:BD22)</f>
        <v>1.7180088966366491</v>
      </c>
      <c r="BF23" s="47" t="s">
        <v>76</v>
      </c>
      <c r="BG23" s="45">
        <f>SUM(BG12:BG22)</f>
        <v>2991341.4716458712</v>
      </c>
      <c r="BH23" s="50"/>
      <c r="BI23" s="52">
        <f>SUM(BI12:BI22)</f>
        <v>1.5825771673559417</v>
      </c>
      <c r="BJ23" s="51"/>
      <c r="BK23" s="205">
        <f>SUM(BK12:BK22)</f>
        <v>0.1872570316458711</v>
      </c>
      <c r="BL23" s="211">
        <f>SUM(BL12:BL22)</f>
        <v>1.7698341990018129</v>
      </c>
      <c r="BN23" s="47" t="s">
        <v>76</v>
      </c>
      <c r="BO23" s="45">
        <f>SUM(BO12:BO22)</f>
        <v>3051512.9371118117</v>
      </c>
      <c r="BP23" s="50"/>
      <c r="BQ23" s="52">
        <f>SUM(BQ12:BQ22)</f>
        <v>1.6303410442551594</v>
      </c>
      <c r="BR23" s="51"/>
      <c r="BS23" s="205">
        <f>SUM(BS12:BS22)</f>
        <v>0.19132079711181191</v>
      </c>
      <c r="BT23" s="211">
        <f>SUM(BT12:BT22)</f>
        <v>1.821661841366971</v>
      </c>
      <c r="BV23" s="47" t="s">
        <v>76</v>
      </c>
      <c r="BW23" s="45">
        <f>SUM(BW12:BW22)</f>
        <v>3112867.4025777527</v>
      </c>
      <c r="BX23" s="50"/>
      <c r="BY23" s="52">
        <f>SUM(BY12:BY22)</f>
        <v>1.6782549211543816</v>
      </c>
      <c r="BZ23" s="51"/>
      <c r="CA23" s="205">
        <f>SUM(CA12:CA22)</f>
        <v>0.19547030257775277</v>
      </c>
      <c r="CB23" s="211">
        <f>SUM(CB12:CB22)</f>
        <v>1.8737252237321345</v>
      </c>
      <c r="CD23" s="47" t="s">
        <v>76</v>
      </c>
      <c r="CE23" s="45">
        <f>SUM(CE12:CE22)</f>
        <v>0</v>
      </c>
      <c r="CF23" s="50"/>
      <c r="CG23" s="52">
        <f>SUM(CG12:CG22)</f>
        <v>0</v>
      </c>
      <c r="CH23" s="51"/>
      <c r="CI23" s="205">
        <f>SUM(CI12:CI22)</f>
        <v>0</v>
      </c>
      <c r="CJ23" s="211">
        <f>SUM(CJ12:CJ22)</f>
        <v>0</v>
      </c>
    </row>
    <row r="25" spans="2:88" x14ac:dyDescent="0.25">
      <c r="B25" s="227"/>
      <c r="C25" s="414" t="s">
        <v>518</v>
      </c>
      <c r="D25" s="415"/>
      <c r="E25" s="415"/>
      <c r="F25" s="415"/>
      <c r="G25" s="415"/>
      <c r="H25" s="415"/>
      <c r="I25" s="415"/>
      <c r="J25" s="415"/>
      <c r="K25" s="415"/>
      <c r="L25" s="415"/>
      <c r="M25" s="416"/>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3">
        <f>'[1]Kutai Timur'!$O$26</f>
        <v>125</v>
      </c>
      <c r="D27" s="403">
        <f>'[1]Kutai Timur'!$O$27</f>
        <v>128</v>
      </c>
      <c r="E27" s="403">
        <f>'[1]Kutai Timur'!$O$28</f>
        <v>130</v>
      </c>
      <c r="F27" s="403">
        <f>'[1]Kutai Timur'!$O$29</f>
        <v>133</v>
      </c>
      <c r="G27" s="403">
        <f>'[1]Kutai Timur'!$O$30</f>
        <v>135</v>
      </c>
      <c r="H27" s="403">
        <f>'[1]Kutai Timur'!$O$31</f>
        <v>138</v>
      </c>
      <c r="I27" s="403">
        <f>'[1]Kutai Timur'!$O$32</f>
        <v>141</v>
      </c>
      <c r="J27" s="403">
        <f>'[1]Kutai Timur'!$O$33</f>
        <v>144</v>
      </c>
      <c r="K27" s="403">
        <f>'[1]Kutai Timur'!$O$34</f>
        <v>146</v>
      </c>
      <c r="L27" s="403">
        <f>'[1]Kutai Timur'!$O$35</f>
        <v>149</v>
      </c>
      <c r="M27" s="230"/>
    </row>
    <row r="28" spans="2:88" x14ac:dyDescent="0.25">
      <c r="B28" s="56" t="s">
        <v>71</v>
      </c>
      <c r="C28" s="403">
        <f>'[1]Kutai Timur'!$N$26</f>
        <v>23402.213384285002</v>
      </c>
      <c r="D28" s="403">
        <f>'[1]Kutai Timur'!$N$27</f>
        <v>24346.678850225901</v>
      </c>
      <c r="E28" s="403">
        <f>'[1]Kutai Timur'!$N$28</f>
        <v>25291.144316166701</v>
      </c>
      <c r="F28" s="403">
        <f>'[1]Kutai Timur'!$N$29</f>
        <v>26235.6097821076</v>
      </c>
      <c r="G28" s="403">
        <f>'[1]Kutai Timur'!$N$30</f>
        <v>27180.075248048499</v>
      </c>
      <c r="H28" s="403">
        <f>'[1]Kutai Timur'!$N$31</f>
        <v>28124.5407139893</v>
      </c>
      <c r="I28" s="403">
        <f>'[1]Kutai Timur'!$N$32</f>
        <v>29069.006179930198</v>
      </c>
      <c r="J28" s="403">
        <f>'[1]Kutai Timur'!$N$33</f>
        <v>30013.471645871101</v>
      </c>
      <c r="K28" s="403">
        <f>'[1]Kutai Timur'!$N$34</f>
        <v>30957.937111811902</v>
      </c>
      <c r="L28" s="403">
        <f>'[1]Kutai Timur'!$N$35</f>
        <v>31902.4025777528</v>
      </c>
      <c r="M28" s="230"/>
      <c r="N28" s="230"/>
    </row>
    <row r="29" spans="2:88" x14ac:dyDescent="0.25">
      <c r="B29" s="56" t="s">
        <v>22</v>
      </c>
      <c r="C29" s="403">
        <f>'[1]Kutai Timur'!$P$26</f>
        <v>1228</v>
      </c>
      <c r="D29" s="403">
        <f>'[1]Kutai Timur'!$P$27</f>
        <v>1253</v>
      </c>
      <c r="E29" s="403">
        <f>'[1]Kutai Timur'!$P$28</f>
        <v>1278</v>
      </c>
      <c r="F29" s="403">
        <f>'[1]Kutai Timur'!$P$29</f>
        <v>1303</v>
      </c>
      <c r="G29" s="403">
        <f>'[1]Kutai Timur'!$P$30</f>
        <v>1329</v>
      </c>
      <c r="H29" s="403">
        <f>'[1]Kutai Timur'!$P$31</f>
        <v>1356</v>
      </c>
      <c r="I29" s="403">
        <f>'[1]Kutai Timur'!$P$32</f>
        <v>1383</v>
      </c>
      <c r="J29" s="403">
        <f>'[1]Kutai Timur'!$P$33</f>
        <v>1411</v>
      </c>
      <c r="K29" s="403">
        <f>'[1]Kutai Timur'!$P$34</f>
        <v>1439</v>
      </c>
      <c r="L29" s="403">
        <f>'[1]Kutai Timur'!$P$35</f>
        <v>1468</v>
      </c>
      <c r="M29" s="230"/>
    </row>
    <row r="30" spans="2:88" x14ac:dyDescent="0.25">
      <c r="B30" s="56" t="s">
        <v>65</v>
      </c>
      <c r="C30" s="403">
        <f>'[1]Kutai Timur'!$R$26</f>
        <v>0</v>
      </c>
      <c r="D30" s="403">
        <f>'[1]Kutai Timur'!$R$27</f>
        <v>0</v>
      </c>
      <c r="E30" s="403">
        <f>'[1]Kutai Timur'!$R$28</f>
        <v>0</v>
      </c>
      <c r="F30" s="403">
        <f>'[1]Kutai Timur'!$R$29</f>
        <v>0</v>
      </c>
      <c r="G30" s="403">
        <f>'[1]Kutai Timur'!$R$30</f>
        <v>0</v>
      </c>
      <c r="H30" s="403">
        <f>'[1]Kutai Timur'!$R$31</f>
        <v>0</v>
      </c>
      <c r="I30" s="403">
        <f>'[1]Kutai Timur'!$R$32</f>
        <v>0</v>
      </c>
      <c r="J30" s="403">
        <f>'[1]Kutai Timur'!$R$33</f>
        <v>0</v>
      </c>
      <c r="K30" s="403">
        <f>'[1]Kutai Timur'!$R$34</f>
        <v>0</v>
      </c>
      <c r="L30" s="403">
        <f>'[1]Kutai Timur'!$R$35</f>
        <v>0</v>
      </c>
      <c r="M30" s="226"/>
    </row>
    <row r="31" spans="2:88" x14ac:dyDescent="0.25">
      <c r="B31" s="56" t="s">
        <v>23</v>
      </c>
      <c r="C31" s="403">
        <f>'[1]Kutai Timur'!$Q$26</f>
        <v>12705</v>
      </c>
      <c r="D31" s="403">
        <f>'[1]Kutai Timur'!$Q$27</f>
        <v>12959</v>
      </c>
      <c r="E31" s="403">
        <f>'[1]Kutai Timur'!$Q$28</f>
        <v>13218</v>
      </c>
      <c r="F31" s="403">
        <f>'[1]Kutai Timur'!$Q$29</f>
        <v>13483</v>
      </c>
      <c r="G31" s="403">
        <f>'[1]Kutai Timur'!$Q$30</f>
        <v>13752</v>
      </c>
      <c r="H31" s="403">
        <f>'[1]Kutai Timur'!$Q$31</f>
        <v>14027</v>
      </c>
      <c r="I31" s="403">
        <f>'[1]Kutai Timur'!$Q$32</f>
        <v>14308</v>
      </c>
      <c r="J31" s="403">
        <f>'[1]Kutai Timur'!$Q$33</f>
        <v>14594</v>
      </c>
      <c r="K31" s="403">
        <f>'[1]Kutai Timur'!$Q$34</f>
        <v>14886</v>
      </c>
      <c r="L31" s="403">
        <f>'[1]Kutai Timur'!$Q$35</f>
        <v>15184</v>
      </c>
      <c r="M31" s="230"/>
    </row>
    <row r="32" spans="2:88" x14ac:dyDescent="0.25">
      <c r="B32" s="56" t="s">
        <v>24</v>
      </c>
      <c r="C32" s="403">
        <f>'[1]Kutai Timur'!$T$26</f>
        <v>0</v>
      </c>
      <c r="D32" s="403">
        <f>'[1]Kutai Timur'!$T$27</f>
        <v>0</v>
      </c>
      <c r="E32" s="403">
        <f>'[1]Kutai Timur'!$T$29</f>
        <v>0</v>
      </c>
      <c r="F32" s="403">
        <f>'[1]Kutai Timur'!$T$29</f>
        <v>0</v>
      </c>
      <c r="G32" s="403">
        <f>'[1]Kutai Timur'!$T$30</f>
        <v>0</v>
      </c>
      <c r="H32" s="403">
        <f>'[1]Kutai Timur'!$T$31</f>
        <v>0</v>
      </c>
      <c r="I32" s="403">
        <f>'[1]Kutai Timur'!$T$32</f>
        <v>0</v>
      </c>
      <c r="J32" s="403">
        <f>'[1]Kutai Timur'!$T$33</f>
        <v>0</v>
      </c>
      <c r="K32" s="403">
        <f>'[1]Kutai Timur'!$T$34</f>
        <v>0</v>
      </c>
      <c r="L32" s="403">
        <f>'[1]Kutai Timur'!$T$35</f>
        <v>0</v>
      </c>
      <c r="M32" s="230"/>
    </row>
    <row r="33" spans="2:13" x14ac:dyDescent="0.25">
      <c r="B33" s="56" t="s">
        <v>72</v>
      </c>
      <c r="C33" s="403">
        <f>'[1]Kutai Timur'!$U$26</f>
        <v>473495</v>
      </c>
      <c r="D33" s="403">
        <f>'[1]Kutai Timur'!$U$27</f>
        <v>482965</v>
      </c>
      <c r="E33" s="403">
        <f>'[1]Kutai Timur'!$U$28</f>
        <v>492624</v>
      </c>
      <c r="F33" s="403">
        <f>'[1]Kutai Timur'!$U$29</f>
        <v>502477</v>
      </c>
      <c r="G33" s="403">
        <f>'[1]Kutai Timur'!$U$30</f>
        <v>512526</v>
      </c>
      <c r="H33" s="403">
        <f>'[1]Kutai Timur'!$U$31</f>
        <v>522777</v>
      </c>
      <c r="I33" s="403">
        <f>'[1]Kutai Timur'!$U$32</f>
        <v>533232</v>
      </c>
      <c r="J33" s="403">
        <f>'[1]Kutai Timur'!$U$33</f>
        <v>543897</v>
      </c>
      <c r="K33" s="403">
        <f>'[1]Kutai Timur'!$U$34</f>
        <v>554775</v>
      </c>
      <c r="L33" s="403">
        <f>'[1]Kutai Timur'!$U$35</f>
        <v>565870</v>
      </c>
      <c r="M33" s="230"/>
    </row>
    <row r="34" spans="2:13" x14ac:dyDescent="0.25">
      <c r="B34" s="56" t="s">
        <v>73</v>
      </c>
      <c r="C34" s="403">
        <f>'[1]Kutai Timur'!$V$26</f>
        <v>2073606</v>
      </c>
      <c r="D34" s="403">
        <f>'[1]Kutai Timur'!$V$27</f>
        <v>2115078</v>
      </c>
      <c r="E34" s="403">
        <f>'[1]Kutai Timur'!$V$28</f>
        <v>2157380</v>
      </c>
      <c r="F34" s="403">
        <f>'[1]Kutai Timur'!$V$29</f>
        <v>2200527</v>
      </c>
      <c r="G34" s="403">
        <f>'[1]Kutai Timur'!$V$30</f>
        <v>2244538</v>
      </c>
      <c r="H34" s="403">
        <f>'[1]Kutai Timur'!$V$31</f>
        <v>2289429</v>
      </c>
      <c r="I34" s="403">
        <f>'[1]Kutai Timur'!$V$32</f>
        <v>2335217</v>
      </c>
      <c r="J34" s="403">
        <f>'[1]Kutai Timur'!$V$33</f>
        <v>2381921</v>
      </c>
      <c r="K34" s="403">
        <f>'[1]Kutai Timur'!$V$34</f>
        <v>2429560</v>
      </c>
      <c r="L34" s="403">
        <f>'[1]Kutai Timur'!$V$35</f>
        <v>2478151</v>
      </c>
      <c r="M34" s="230"/>
    </row>
    <row r="35" spans="2:13" x14ac:dyDescent="0.25">
      <c r="B35" s="56" t="s">
        <v>74</v>
      </c>
      <c r="C35" s="403">
        <f>'[1]Kutai Timur'!$W$26</f>
        <v>0</v>
      </c>
      <c r="D35" s="403">
        <f>'[1]Kutai Timur'!$W$27</f>
        <v>0</v>
      </c>
      <c r="E35" s="403">
        <f>'[1]Kutai Timur'!$W$28</f>
        <v>0</v>
      </c>
      <c r="F35" s="403">
        <f>'[1]Kutai Timur'!$W$29</f>
        <v>0</v>
      </c>
      <c r="G35" s="403">
        <f>'[1]Kutai Timur'!$W$30</f>
        <v>0</v>
      </c>
      <c r="H35" s="403">
        <f>'[1]Kutai Timur'!$W$31</f>
        <v>0</v>
      </c>
      <c r="I35" s="403">
        <f>'[1]Kutai Timur'!$W$32</f>
        <v>0</v>
      </c>
      <c r="J35" s="403">
        <f>'[1]Kutai Timur'!$W$33</f>
        <v>0</v>
      </c>
      <c r="K35" s="403">
        <f>'[1]Kutai Timur'!$W$34</f>
        <v>0</v>
      </c>
      <c r="L35" s="403">
        <f>'[1]Kutai Timur'!$W$35</f>
        <v>0</v>
      </c>
      <c r="M35" s="226"/>
    </row>
    <row r="36" spans="2:13" x14ac:dyDescent="0.25">
      <c r="B36" s="56" t="s">
        <v>75</v>
      </c>
      <c r="C36" s="403">
        <f>'[1]Kutai Timur'!$X$26</f>
        <v>5899</v>
      </c>
      <c r="D36" s="403">
        <f>'[1]Kutai Timur'!$X$27</f>
        <v>6017</v>
      </c>
      <c r="E36" s="403">
        <f>'[1]Kutai Timur'!$X$28</f>
        <v>6137</v>
      </c>
      <c r="F36" s="403">
        <f>'[1]Kutai Timur'!$X$29</f>
        <v>6260</v>
      </c>
      <c r="G36" s="403">
        <f>'[1]Kutai Timur'!$X$30</f>
        <v>6385</v>
      </c>
      <c r="H36" s="403">
        <f>'[1]Kutai Timur'!$X$31</f>
        <v>6513</v>
      </c>
      <c r="I36" s="403">
        <f>'[1]Kutai Timur'!$X$32</f>
        <v>6643</v>
      </c>
      <c r="J36" s="403">
        <f>'[1]Kutai Timur'!$X$33</f>
        <v>6776</v>
      </c>
      <c r="K36" s="403">
        <f>'[1]Kutai Timur'!$X$34</f>
        <v>6912</v>
      </c>
      <c r="L36" s="403">
        <f>'[1]Kutai Timur'!$X$35</f>
        <v>7050</v>
      </c>
      <c r="M36" s="226"/>
    </row>
    <row r="37" spans="2:13" x14ac:dyDescent="0.25">
      <c r="B37" s="271" t="s">
        <v>66</v>
      </c>
      <c r="C37" s="404">
        <f>'[1]Kutai Timur'!$S$26</f>
        <v>10956</v>
      </c>
      <c r="D37" s="404">
        <f>'[1]Kutai Timur'!$S$27</f>
        <v>11175</v>
      </c>
      <c r="E37" s="404">
        <f>'[1]Kutai Timur'!$S$28</f>
        <v>11399</v>
      </c>
      <c r="F37" s="404">
        <f>'[1]Kutai Timur'!$S$29</f>
        <v>11627</v>
      </c>
      <c r="G37" s="404">
        <f>'[1]Kutai Timur'!$S$30</f>
        <v>11859</v>
      </c>
      <c r="H37" s="404">
        <f>'[1]Kutai Timur'!$S$31</f>
        <v>12096</v>
      </c>
      <c r="I37" s="404">
        <f>'[1]Kutai Timur'!$S$32</f>
        <v>12338</v>
      </c>
      <c r="J37" s="404">
        <f>'[1]Kutai Timur'!$S$33</f>
        <v>12585</v>
      </c>
      <c r="K37" s="404">
        <f>'[1]Kutai Timur'!$S$34</f>
        <v>12837</v>
      </c>
      <c r="L37" s="404">
        <f>'[1]Kutai Timur'!$S$35</f>
        <v>13093</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Y5"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4" t="s">
        <v>98</v>
      </c>
      <c r="F5" s="425"/>
      <c r="G5" s="427"/>
      <c r="H5" s="424" t="s">
        <v>89</v>
      </c>
      <c r="I5" s="425"/>
      <c r="J5" s="425"/>
      <c r="K5" s="426"/>
      <c r="S5" s="419" t="s">
        <v>102</v>
      </c>
      <c r="T5" s="302" t="s">
        <v>3</v>
      </c>
      <c r="U5" s="303" t="s">
        <v>89</v>
      </c>
      <c r="V5" s="424" t="s">
        <v>145</v>
      </c>
      <c r="W5" s="425"/>
      <c r="X5" s="424" t="s">
        <v>146</v>
      </c>
      <c r="Y5" s="426"/>
      <c r="AB5" s="419" t="s">
        <v>102</v>
      </c>
      <c r="AC5" s="302" t="s">
        <v>3</v>
      </c>
      <c r="AD5" s="303" t="s">
        <v>89</v>
      </c>
      <c r="AE5" s="424" t="s">
        <v>98</v>
      </c>
      <c r="AF5" s="425"/>
      <c r="AG5" s="427"/>
      <c r="AH5" s="424" t="s">
        <v>89</v>
      </c>
      <c r="AI5" s="425"/>
      <c r="AJ5" s="425"/>
      <c r="AK5" s="426"/>
      <c r="AS5" s="419" t="s">
        <v>102</v>
      </c>
      <c r="AT5" s="302" t="s">
        <v>3</v>
      </c>
      <c r="AU5" s="303" t="s">
        <v>89</v>
      </c>
      <c r="AV5" s="424" t="s">
        <v>145</v>
      </c>
      <c r="AW5" s="425"/>
      <c r="AX5" s="424" t="s">
        <v>146</v>
      </c>
      <c r="AY5" s="426"/>
      <c r="BB5" s="419" t="s">
        <v>102</v>
      </c>
      <c r="BC5" s="302" t="s">
        <v>3</v>
      </c>
      <c r="BD5" s="303" t="s">
        <v>89</v>
      </c>
      <c r="BE5" s="424" t="s">
        <v>98</v>
      </c>
      <c r="BF5" s="425"/>
      <c r="BG5" s="427"/>
      <c r="BH5" s="424" t="s">
        <v>89</v>
      </c>
      <c r="BI5" s="425"/>
      <c r="BJ5" s="425"/>
      <c r="BK5" s="426"/>
      <c r="BS5" s="419" t="s">
        <v>102</v>
      </c>
      <c r="BT5" s="302" t="s">
        <v>3</v>
      </c>
      <c r="BU5" s="303" t="s">
        <v>89</v>
      </c>
      <c r="BV5" s="424" t="s">
        <v>145</v>
      </c>
      <c r="BW5" s="425"/>
      <c r="BX5" s="424" t="s">
        <v>146</v>
      </c>
      <c r="BY5" s="426"/>
      <c r="CB5" s="419" t="s">
        <v>102</v>
      </c>
      <c r="CC5" s="302" t="s">
        <v>3</v>
      </c>
      <c r="CD5" s="303" t="s">
        <v>89</v>
      </c>
      <c r="CE5" s="424" t="s">
        <v>98</v>
      </c>
      <c r="CF5" s="425"/>
      <c r="CG5" s="427"/>
      <c r="CH5" s="424" t="s">
        <v>89</v>
      </c>
      <c r="CI5" s="425"/>
      <c r="CJ5" s="425"/>
      <c r="CK5" s="426"/>
      <c r="CS5" s="419" t="s">
        <v>102</v>
      </c>
      <c r="CT5" s="302" t="s">
        <v>3</v>
      </c>
      <c r="CU5" s="303" t="s">
        <v>89</v>
      </c>
      <c r="CV5" s="424" t="s">
        <v>145</v>
      </c>
      <c r="CW5" s="425"/>
      <c r="CX5" s="424" t="s">
        <v>146</v>
      </c>
      <c r="CY5" s="426"/>
      <c r="DB5" s="419" t="s">
        <v>102</v>
      </c>
      <c r="DC5" s="302" t="s">
        <v>3</v>
      </c>
      <c r="DD5" s="303" t="s">
        <v>89</v>
      </c>
      <c r="DE5" s="424" t="s">
        <v>98</v>
      </c>
      <c r="DF5" s="425"/>
      <c r="DG5" s="427"/>
      <c r="DH5" s="424" t="s">
        <v>89</v>
      </c>
      <c r="DI5" s="425"/>
      <c r="DJ5" s="425"/>
      <c r="DK5" s="426"/>
      <c r="DS5" s="419" t="s">
        <v>102</v>
      </c>
      <c r="DT5" s="302" t="s">
        <v>3</v>
      </c>
      <c r="DU5" s="303" t="s">
        <v>89</v>
      </c>
      <c r="DV5" s="424" t="s">
        <v>145</v>
      </c>
      <c r="DW5" s="425"/>
      <c r="DX5" s="424" t="s">
        <v>146</v>
      </c>
      <c r="DY5" s="426"/>
      <c r="EB5" s="419" t="s">
        <v>102</v>
      </c>
      <c r="EC5" s="302" t="s">
        <v>3</v>
      </c>
      <c r="ED5" s="303" t="s">
        <v>89</v>
      </c>
      <c r="EE5" s="424" t="s">
        <v>98</v>
      </c>
      <c r="EF5" s="425"/>
      <c r="EG5" s="427"/>
      <c r="EH5" s="424" t="s">
        <v>89</v>
      </c>
      <c r="EI5" s="425"/>
      <c r="EJ5" s="425"/>
      <c r="EK5" s="426"/>
      <c r="ES5" s="419" t="s">
        <v>102</v>
      </c>
      <c r="ET5" s="302" t="s">
        <v>3</v>
      </c>
      <c r="EU5" s="303" t="s">
        <v>89</v>
      </c>
      <c r="EV5" s="424" t="s">
        <v>145</v>
      </c>
      <c r="EW5" s="425"/>
      <c r="EX5" s="424" t="s">
        <v>146</v>
      </c>
      <c r="EY5" s="426"/>
      <c r="FB5" s="419" t="s">
        <v>102</v>
      </c>
      <c r="FC5" s="302" t="s">
        <v>3</v>
      </c>
      <c r="FD5" s="303" t="s">
        <v>89</v>
      </c>
      <c r="FE5" s="424" t="s">
        <v>98</v>
      </c>
      <c r="FF5" s="425"/>
      <c r="FG5" s="427"/>
      <c r="FH5" s="424" t="s">
        <v>89</v>
      </c>
      <c r="FI5" s="425"/>
      <c r="FJ5" s="425"/>
      <c r="FK5" s="426"/>
      <c r="FS5" s="419" t="s">
        <v>102</v>
      </c>
      <c r="FT5" s="302" t="s">
        <v>3</v>
      </c>
      <c r="FU5" s="303" t="s">
        <v>89</v>
      </c>
      <c r="FV5" s="424" t="s">
        <v>145</v>
      </c>
      <c r="FW5" s="425"/>
      <c r="FX5" s="424" t="s">
        <v>146</v>
      </c>
      <c r="FY5" s="426"/>
      <c r="GB5" s="419" t="s">
        <v>102</v>
      </c>
      <c r="GC5" s="302" t="s">
        <v>3</v>
      </c>
      <c r="GD5" s="303" t="s">
        <v>89</v>
      </c>
      <c r="GE5" s="424" t="s">
        <v>98</v>
      </c>
      <c r="GF5" s="425"/>
      <c r="GG5" s="427"/>
      <c r="GH5" s="424" t="s">
        <v>89</v>
      </c>
      <c r="GI5" s="425"/>
      <c r="GJ5" s="425"/>
      <c r="GK5" s="426"/>
      <c r="GS5" s="419" t="s">
        <v>102</v>
      </c>
      <c r="GT5" s="302" t="s">
        <v>3</v>
      </c>
      <c r="GU5" s="303" t="s">
        <v>89</v>
      </c>
      <c r="GV5" s="424" t="s">
        <v>145</v>
      </c>
      <c r="GW5" s="425"/>
      <c r="GX5" s="424" t="s">
        <v>146</v>
      </c>
      <c r="GY5" s="426"/>
      <c r="HB5" s="419" t="s">
        <v>102</v>
      </c>
      <c r="HC5" s="302" t="s">
        <v>3</v>
      </c>
      <c r="HD5" s="303" t="s">
        <v>89</v>
      </c>
      <c r="HE5" s="424" t="s">
        <v>98</v>
      </c>
      <c r="HF5" s="425"/>
      <c r="HG5" s="427"/>
      <c r="HH5" s="424" t="s">
        <v>89</v>
      </c>
      <c r="HI5" s="425"/>
      <c r="HJ5" s="425"/>
      <c r="HK5" s="426"/>
      <c r="HS5" s="419" t="s">
        <v>102</v>
      </c>
      <c r="HT5" s="302" t="s">
        <v>3</v>
      </c>
      <c r="HU5" s="303" t="s">
        <v>89</v>
      </c>
      <c r="HV5" s="424" t="s">
        <v>145</v>
      </c>
      <c r="HW5" s="425"/>
      <c r="HX5" s="424" t="s">
        <v>146</v>
      </c>
      <c r="HY5" s="426"/>
      <c r="IB5" s="419" t="s">
        <v>102</v>
      </c>
      <c r="IC5" s="302" t="s">
        <v>3</v>
      </c>
      <c r="ID5" s="303" t="s">
        <v>89</v>
      </c>
      <c r="IE5" s="424" t="s">
        <v>98</v>
      </c>
      <c r="IF5" s="425"/>
      <c r="IG5" s="427"/>
      <c r="IH5" s="424" t="s">
        <v>89</v>
      </c>
      <c r="II5" s="425"/>
      <c r="IJ5" s="425"/>
      <c r="IK5" s="426"/>
      <c r="IS5" s="419" t="s">
        <v>102</v>
      </c>
      <c r="IT5" s="302" t="s">
        <v>3</v>
      </c>
      <c r="IU5" s="303" t="s">
        <v>89</v>
      </c>
      <c r="IV5" s="424" t="s">
        <v>145</v>
      </c>
      <c r="IW5" s="425"/>
      <c r="IX5" s="424" t="s">
        <v>146</v>
      </c>
      <c r="IY5" s="426"/>
      <c r="JB5" s="419" t="s">
        <v>102</v>
      </c>
      <c r="JC5" s="302" t="s">
        <v>3</v>
      </c>
      <c r="JD5" s="303" t="s">
        <v>89</v>
      </c>
      <c r="JE5" s="424" t="s">
        <v>98</v>
      </c>
      <c r="JF5" s="425"/>
      <c r="JG5" s="427"/>
      <c r="JH5" s="424" t="s">
        <v>89</v>
      </c>
      <c r="JI5" s="425"/>
      <c r="JJ5" s="425"/>
      <c r="JK5" s="426"/>
      <c r="JS5" s="419" t="s">
        <v>102</v>
      </c>
      <c r="JT5" s="302" t="s">
        <v>3</v>
      </c>
      <c r="JU5" s="303" t="s">
        <v>89</v>
      </c>
      <c r="JV5" s="424" t="s">
        <v>145</v>
      </c>
      <c r="JW5" s="425"/>
      <c r="JX5" s="424" t="s">
        <v>146</v>
      </c>
      <c r="JY5" s="426"/>
    </row>
    <row r="6" spans="1:285" s="253" customFormat="1" ht="93" x14ac:dyDescent="0.25">
      <c r="B6" s="420"/>
      <c r="C6" s="423" t="s">
        <v>12</v>
      </c>
      <c r="D6" s="25" t="s">
        <v>5</v>
      </c>
      <c r="E6" s="25" t="s">
        <v>88</v>
      </c>
      <c r="F6" s="25" t="s">
        <v>93</v>
      </c>
      <c r="G6" s="25" t="s">
        <v>96</v>
      </c>
      <c r="H6" s="423" t="s">
        <v>349</v>
      </c>
      <c r="I6" s="203" t="s">
        <v>110</v>
      </c>
      <c r="J6" s="294" t="s">
        <v>106</v>
      </c>
      <c r="K6" s="21" t="s">
        <v>133</v>
      </c>
      <c r="S6" s="420"/>
      <c r="T6" s="428" t="s">
        <v>12</v>
      </c>
      <c r="U6" s="25" t="s">
        <v>121</v>
      </c>
      <c r="V6" s="423" t="s">
        <v>130</v>
      </c>
      <c r="W6" s="25" t="s">
        <v>124</v>
      </c>
      <c r="X6" s="25" t="s">
        <v>126</v>
      </c>
      <c r="Y6" s="157" t="s">
        <v>129</v>
      </c>
      <c r="AB6" s="420"/>
      <c r="AC6" s="423" t="s">
        <v>12</v>
      </c>
      <c r="AD6" s="25" t="s">
        <v>5</v>
      </c>
      <c r="AE6" s="25" t="s">
        <v>88</v>
      </c>
      <c r="AF6" s="25" t="s">
        <v>93</v>
      </c>
      <c r="AG6" s="25" t="s">
        <v>96</v>
      </c>
      <c r="AH6" s="423" t="s">
        <v>349</v>
      </c>
      <c r="AI6" s="203" t="s">
        <v>110</v>
      </c>
      <c r="AJ6" s="294" t="s">
        <v>106</v>
      </c>
      <c r="AK6" s="21" t="s">
        <v>133</v>
      </c>
      <c r="AS6" s="420"/>
      <c r="AT6" s="428" t="s">
        <v>12</v>
      </c>
      <c r="AU6" s="25" t="s">
        <v>121</v>
      </c>
      <c r="AV6" s="423" t="s">
        <v>130</v>
      </c>
      <c r="AW6" s="25" t="s">
        <v>124</v>
      </c>
      <c r="AX6" s="25" t="s">
        <v>126</v>
      </c>
      <c r="AY6" s="157" t="s">
        <v>129</v>
      </c>
      <c r="BB6" s="420"/>
      <c r="BC6" s="423" t="s">
        <v>12</v>
      </c>
      <c r="BD6" s="25" t="s">
        <v>5</v>
      </c>
      <c r="BE6" s="25" t="s">
        <v>88</v>
      </c>
      <c r="BF6" s="25" t="s">
        <v>93</v>
      </c>
      <c r="BG6" s="25" t="s">
        <v>96</v>
      </c>
      <c r="BH6" s="423" t="s">
        <v>349</v>
      </c>
      <c r="BI6" s="203" t="s">
        <v>110</v>
      </c>
      <c r="BJ6" s="294" t="s">
        <v>106</v>
      </c>
      <c r="BK6" s="21" t="s">
        <v>133</v>
      </c>
      <c r="BS6" s="420"/>
      <c r="BT6" s="428" t="s">
        <v>12</v>
      </c>
      <c r="BU6" s="25" t="s">
        <v>121</v>
      </c>
      <c r="BV6" s="423" t="s">
        <v>130</v>
      </c>
      <c r="BW6" s="25" t="s">
        <v>124</v>
      </c>
      <c r="BX6" s="25" t="s">
        <v>126</v>
      </c>
      <c r="BY6" s="157" t="s">
        <v>129</v>
      </c>
      <c r="CB6" s="420"/>
      <c r="CC6" s="423" t="s">
        <v>12</v>
      </c>
      <c r="CD6" s="25" t="s">
        <v>5</v>
      </c>
      <c r="CE6" s="25" t="s">
        <v>88</v>
      </c>
      <c r="CF6" s="25" t="s">
        <v>93</v>
      </c>
      <c r="CG6" s="25" t="s">
        <v>96</v>
      </c>
      <c r="CH6" s="423" t="s">
        <v>349</v>
      </c>
      <c r="CI6" s="203" t="s">
        <v>110</v>
      </c>
      <c r="CJ6" s="294" t="s">
        <v>106</v>
      </c>
      <c r="CK6" s="21" t="s">
        <v>133</v>
      </c>
      <c r="CS6" s="420"/>
      <c r="CT6" s="428" t="s">
        <v>12</v>
      </c>
      <c r="CU6" s="25" t="s">
        <v>121</v>
      </c>
      <c r="CV6" s="423" t="s">
        <v>130</v>
      </c>
      <c r="CW6" s="25" t="s">
        <v>124</v>
      </c>
      <c r="CX6" s="25" t="s">
        <v>126</v>
      </c>
      <c r="CY6" s="157" t="s">
        <v>129</v>
      </c>
      <c r="DB6" s="420"/>
      <c r="DC6" s="423" t="s">
        <v>12</v>
      </c>
      <c r="DD6" s="25" t="s">
        <v>5</v>
      </c>
      <c r="DE6" s="25" t="s">
        <v>88</v>
      </c>
      <c r="DF6" s="25" t="s">
        <v>93</v>
      </c>
      <c r="DG6" s="25" t="s">
        <v>96</v>
      </c>
      <c r="DH6" s="423" t="s">
        <v>349</v>
      </c>
      <c r="DI6" s="203" t="s">
        <v>110</v>
      </c>
      <c r="DJ6" s="294" t="s">
        <v>106</v>
      </c>
      <c r="DK6" s="21" t="s">
        <v>133</v>
      </c>
      <c r="DS6" s="420"/>
      <c r="DT6" s="428" t="s">
        <v>12</v>
      </c>
      <c r="DU6" s="25" t="s">
        <v>121</v>
      </c>
      <c r="DV6" s="423" t="s">
        <v>130</v>
      </c>
      <c r="DW6" s="25" t="s">
        <v>124</v>
      </c>
      <c r="DX6" s="25" t="s">
        <v>126</v>
      </c>
      <c r="DY6" s="157" t="s">
        <v>129</v>
      </c>
      <c r="EB6" s="420"/>
      <c r="EC6" s="423" t="s">
        <v>12</v>
      </c>
      <c r="ED6" s="25" t="s">
        <v>5</v>
      </c>
      <c r="EE6" s="25" t="s">
        <v>88</v>
      </c>
      <c r="EF6" s="25" t="s">
        <v>93</v>
      </c>
      <c r="EG6" s="25" t="s">
        <v>96</v>
      </c>
      <c r="EH6" s="423" t="s">
        <v>349</v>
      </c>
      <c r="EI6" s="203" t="s">
        <v>110</v>
      </c>
      <c r="EJ6" s="294" t="s">
        <v>106</v>
      </c>
      <c r="EK6" s="21" t="s">
        <v>133</v>
      </c>
      <c r="ES6" s="420"/>
      <c r="ET6" s="428" t="s">
        <v>12</v>
      </c>
      <c r="EU6" s="25" t="s">
        <v>121</v>
      </c>
      <c r="EV6" s="423" t="s">
        <v>130</v>
      </c>
      <c r="EW6" s="25" t="s">
        <v>124</v>
      </c>
      <c r="EX6" s="25" t="s">
        <v>126</v>
      </c>
      <c r="EY6" s="157" t="s">
        <v>129</v>
      </c>
      <c r="FB6" s="420"/>
      <c r="FC6" s="423" t="s">
        <v>12</v>
      </c>
      <c r="FD6" s="25" t="s">
        <v>5</v>
      </c>
      <c r="FE6" s="25" t="s">
        <v>88</v>
      </c>
      <c r="FF6" s="25" t="s">
        <v>93</v>
      </c>
      <c r="FG6" s="25" t="s">
        <v>96</v>
      </c>
      <c r="FH6" s="423" t="s">
        <v>349</v>
      </c>
      <c r="FI6" s="203" t="s">
        <v>110</v>
      </c>
      <c r="FJ6" s="294" t="s">
        <v>106</v>
      </c>
      <c r="FK6" s="21" t="s">
        <v>133</v>
      </c>
      <c r="FS6" s="420"/>
      <c r="FT6" s="428" t="s">
        <v>12</v>
      </c>
      <c r="FU6" s="25" t="s">
        <v>121</v>
      </c>
      <c r="FV6" s="423" t="s">
        <v>130</v>
      </c>
      <c r="FW6" s="25" t="s">
        <v>124</v>
      </c>
      <c r="FX6" s="25" t="s">
        <v>126</v>
      </c>
      <c r="FY6" s="157" t="s">
        <v>129</v>
      </c>
      <c r="GB6" s="420"/>
      <c r="GC6" s="423" t="s">
        <v>12</v>
      </c>
      <c r="GD6" s="25" t="s">
        <v>5</v>
      </c>
      <c r="GE6" s="25" t="s">
        <v>88</v>
      </c>
      <c r="GF6" s="25" t="s">
        <v>93</v>
      </c>
      <c r="GG6" s="25" t="s">
        <v>96</v>
      </c>
      <c r="GH6" s="423" t="s">
        <v>349</v>
      </c>
      <c r="GI6" s="203" t="s">
        <v>110</v>
      </c>
      <c r="GJ6" s="294" t="s">
        <v>106</v>
      </c>
      <c r="GK6" s="21" t="s">
        <v>133</v>
      </c>
      <c r="GS6" s="420"/>
      <c r="GT6" s="428" t="s">
        <v>12</v>
      </c>
      <c r="GU6" s="25" t="s">
        <v>121</v>
      </c>
      <c r="GV6" s="423" t="s">
        <v>130</v>
      </c>
      <c r="GW6" s="25" t="s">
        <v>124</v>
      </c>
      <c r="GX6" s="25" t="s">
        <v>126</v>
      </c>
      <c r="GY6" s="157" t="s">
        <v>129</v>
      </c>
      <c r="HB6" s="420"/>
      <c r="HC6" s="423" t="s">
        <v>12</v>
      </c>
      <c r="HD6" s="25" t="s">
        <v>5</v>
      </c>
      <c r="HE6" s="25" t="s">
        <v>88</v>
      </c>
      <c r="HF6" s="25" t="s">
        <v>93</v>
      </c>
      <c r="HG6" s="25" t="s">
        <v>96</v>
      </c>
      <c r="HH6" s="423" t="s">
        <v>349</v>
      </c>
      <c r="HI6" s="203" t="s">
        <v>110</v>
      </c>
      <c r="HJ6" s="294" t="s">
        <v>106</v>
      </c>
      <c r="HK6" s="21" t="s">
        <v>133</v>
      </c>
      <c r="HS6" s="420"/>
      <c r="HT6" s="428" t="s">
        <v>12</v>
      </c>
      <c r="HU6" s="25" t="s">
        <v>121</v>
      </c>
      <c r="HV6" s="423" t="s">
        <v>130</v>
      </c>
      <c r="HW6" s="25" t="s">
        <v>124</v>
      </c>
      <c r="HX6" s="25" t="s">
        <v>126</v>
      </c>
      <c r="HY6" s="157" t="s">
        <v>129</v>
      </c>
      <c r="IB6" s="420"/>
      <c r="IC6" s="423" t="s">
        <v>12</v>
      </c>
      <c r="ID6" s="25" t="s">
        <v>5</v>
      </c>
      <c r="IE6" s="25" t="s">
        <v>88</v>
      </c>
      <c r="IF6" s="25" t="s">
        <v>93</v>
      </c>
      <c r="IG6" s="25" t="s">
        <v>96</v>
      </c>
      <c r="IH6" s="423" t="s">
        <v>349</v>
      </c>
      <c r="II6" s="203" t="s">
        <v>110</v>
      </c>
      <c r="IJ6" s="294" t="s">
        <v>106</v>
      </c>
      <c r="IK6" s="21" t="s">
        <v>133</v>
      </c>
      <c r="IS6" s="420"/>
      <c r="IT6" s="428" t="s">
        <v>12</v>
      </c>
      <c r="IU6" s="25" t="s">
        <v>121</v>
      </c>
      <c r="IV6" s="423" t="s">
        <v>130</v>
      </c>
      <c r="IW6" s="25" t="s">
        <v>124</v>
      </c>
      <c r="IX6" s="25" t="s">
        <v>126</v>
      </c>
      <c r="IY6" s="157" t="s">
        <v>129</v>
      </c>
      <c r="JB6" s="420"/>
      <c r="JC6" s="423" t="s">
        <v>12</v>
      </c>
      <c r="JD6" s="25" t="s">
        <v>5</v>
      </c>
      <c r="JE6" s="25" t="s">
        <v>88</v>
      </c>
      <c r="JF6" s="25" t="s">
        <v>93</v>
      </c>
      <c r="JG6" s="25" t="s">
        <v>96</v>
      </c>
      <c r="JH6" s="423" t="s">
        <v>349</v>
      </c>
      <c r="JI6" s="203" t="s">
        <v>110</v>
      </c>
      <c r="JJ6" s="294" t="s">
        <v>106</v>
      </c>
      <c r="JK6" s="21" t="s">
        <v>133</v>
      </c>
      <c r="JS6" s="420"/>
      <c r="JT6" s="428" t="s">
        <v>12</v>
      </c>
      <c r="JU6" s="25" t="s">
        <v>121</v>
      </c>
      <c r="JV6" s="423" t="s">
        <v>130</v>
      </c>
      <c r="JW6" s="25" t="s">
        <v>124</v>
      </c>
      <c r="JX6" s="25" t="s">
        <v>126</v>
      </c>
      <c r="JY6" s="157" t="s">
        <v>129</v>
      </c>
    </row>
    <row r="7" spans="1:285" s="20" customFormat="1" ht="45" x14ac:dyDescent="0.25">
      <c r="A7" s="20" t="s">
        <v>348</v>
      </c>
      <c r="B7" s="420"/>
      <c r="C7" s="423"/>
      <c r="D7" s="254" t="s">
        <v>6</v>
      </c>
      <c r="E7" s="25" t="s">
        <v>95</v>
      </c>
      <c r="F7" s="254" t="s">
        <v>94</v>
      </c>
      <c r="G7" s="254" t="s">
        <v>97</v>
      </c>
      <c r="H7" s="423"/>
      <c r="I7" s="273" t="s">
        <v>109</v>
      </c>
      <c r="J7" s="294" t="s">
        <v>107</v>
      </c>
      <c r="K7" s="274" t="s">
        <v>108</v>
      </c>
      <c r="S7" s="420"/>
      <c r="T7" s="428"/>
      <c r="U7" s="203" t="s">
        <v>109</v>
      </c>
      <c r="V7" s="423"/>
      <c r="W7" s="203" t="s">
        <v>109</v>
      </c>
      <c r="X7" s="25" t="s">
        <v>128</v>
      </c>
      <c r="Y7" s="275" t="s">
        <v>143</v>
      </c>
      <c r="AB7" s="420"/>
      <c r="AC7" s="423"/>
      <c r="AD7" s="254" t="s">
        <v>6</v>
      </c>
      <c r="AE7" s="25" t="s">
        <v>95</v>
      </c>
      <c r="AF7" s="254" t="s">
        <v>94</v>
      </c>
      <c r="AG7" s="254" t="s">
        <v>97</v>
      </c>
      <c r="AH7" s="423"/>
      <c r="AI7" s="273" t="s">
        <v>109</v>
      </c>
      <c r="AJ7" s="294" t="s">
        <v>107</v>
      </c>
      <c r="AK7" s="274" t="s">
        <v>108</v>
      </c>
      <c r="AS7" s="420"/>
      <c r="AT7" s="428"/>
      <c r="AU7" s="203" t="s">
        <v>109</v>
      </c>
      <c r="AV7" s="423"/>
      <c r="AW7" s="203" t="s">
        <v>109</v>
      </c>
      <c r="AX7" s="25" t="s">
        <v>128</v>
      </c>
      <c r="AY7" s="275" t="s">
        <v>143</v>
      </c>
      <c r="BB7" s="420"/>
      <c r="BC7" s="423"/>
      <c r="BD7" s="254" t="s">
        <v>6</v>
      </c>
      <c r="BE7" s="25" t="s">
        <v>95</v>
      </c>
      <c r="BF7" s="254" t="s">
        <v>94</v>
      </c>
      <c r="BG7" s="254" t="s">
        <v>97</v>
      </c>
      <c r="BH7" s="423"/>
      <c r="BI7" s="273" t="s">
        <v>109</v>
      </c>
      <c r="BJ7" s="294" t="s">
        <v>107</v>
      </c>
      <c r="BK7" s="274" t="s">
        <v>108</v>
      </c>
      <c r="BS7" s="420"/>
      <c r="BT7" s="428"/>
      <c r="BU7" s="203" t="s">
        <v>109</v>
      </c>
      <c r="BV7" s="423"/>
      <c r="BW7" s="203" t="s">
        <v>109</v>
      </c>
      <c r="BX7" s="25" t="s">
        <v>128</v>
      </c>
      <c r="BY7" s="275" t="s">
        <v>143</v>
      </c>
      <c r="CB7" s="420"/>
      <c r="CC7" s="423"/>
      <c r="CD7" s="254" t="s">
        <v>6</v>
      </c>
      <c r="CE7" s="25" t="s">
        <v>95</v>
      </c>
      <c r="CF7" s="254" t="s">
        <v>94</v>
      </c>
      <c r="CG7" s="254" t="s">
        <v>97</v>
      </c>
      <c r="CH7" s="423"/>
      <c r="CI7" s="273" t="s">
        <v>109</v>
      </c>
      <c r="CJ7" s="294" t="s">
        <v>107</v>
      </c>
      <c r="CK7" s="274" t="s">
        <v>108</v>
      </c>
      <c r="CS7" s="420"/>
      <c r="CT7" s="428"/>
      <c r="CU7" s="203" t="s">
        <v>109</v>
      </c>
      <c r="CV7" s="423"/>
      <c r="CW7" s="203" t="s">
        <v>109</v>
      </c>
      <c r="CX7" s="25" t="s">
        <v>128</v>
      </c>
      <c r="CY7" s="275" t="s">
        <v>143</v>
      </c>
      <c r="DB7" s="420"/>
      <c r="DC7" s="423"/>
      <c r="DD7" s="254" t="s">
        <v>6</v>
      </c>
      <c r="DE7" s="25" t="s">
        <v>95</v>
      </c>
      <c r="DF7" s="254" t="s">
        <v>94</v>
      </c>
      <c r="DG7" s="254" t="s">
        <v>97</v>
      </c>
      <c r="DH7" s="423"/>
      <c r="DI7" s="273" t="s">
        <v>109</v>
      </c>
      <c r="DJ7" s="294" t="s">
        <v>107</v>
      </c>
      <c r="DK7" s="274" t="s">
        <v>108</v>
      </c>
      <c r="DS7" s="420"/>
      <c r="DT7" s="428"/>
      <c r="DU7" s="203" t="s">
        <v>109</v>
      </c>
      <c r="DV7" s="423"/>
      <c r="DW7" s="203" t="s">
        <v>109</v>
      </c>
      <c r="DX7" s="25" t="s">
        <v>128</v>
      </c>
      <c r="DY7" s="275" t="s">
        <v>143</v>
      </c>
      <c r="EB7" s="420"/>
      <c r="EC7" s="423"/>
      <c r="ED7" s="254" t="s">
        <v>6</v>
      </c>
      <c r="EE7" s="25" t="s">
        <v>95</v>
      </c>
      <c r="EF7" s="254" t="s">
        <v>94</v>
      </c>
      <c r="EG7" s="254" t="s">
        <v>97</v>
      </c>
      <c r="EH7" s="423"/>
      <c r="EI7" s="273" t="s">
        <v>109</v>
      </c>
      <c r="EJ7" s="294" t="s">
        <v>107</v>
      </c>
      <c r="EK7" s="274" t="s">
        <v>108</v>
      </c>
      <c r="ES7" s="420"/>
      <c r="ET7" s="428"/>
      <c r="EU7" s="203" t="s">
        <v>109</v>
      </c>
      <c r="EV7" s="423"/>
      <c r="EW7" s="203" t="s">
        <v>109</v>
      </c>
      <c r="EX7" s="25" t="s">
        <v>128</v>
      </c>
      <c r="EY7" s="275" t="s">
        <v>143</v>
      </c>
      <c r="FB7" s="420"/>
      <c r="FC7" s="423"/>
      <c r="FD7" s="254" t="s">
        <v>6</v>
      </c>
      <c r="FE7" s="25" t="s">
        <v>95</v>
      </c>
      <c r="FF7" s="254" t="s">
        <v>94</v>
      </c>
      <c r="FG7" s="254" t="s">
        <v>97</v>
      </c>
      <c r="FH7" s="423"/>
      <c r="FI7" s="273" t="s">
        <v>109</v>
      </c>
      <c r="FJ7" s="294" t="s">
        <v>107</v>
      </c>
      <c r="FK7" s="274" t="s">
        <v>108</v>
      </c>
      <c r="FS7" s="420"/>
      <c r="FT7" s="428"/>
      <c r="FU7" s="203" t="s">
        <v>109</v>
      </c>
      <c r="FV7" s="423"/>
      <c r="FW7" s="203" t="s">
        <v>109</v>
      </c>
      <c r="FX7" s="25" t="s">
        <v>128</v>
      </c>
      <c r="FY7" s="275" t="s">
        <v>143</v>
      </c>
      <c r="GB7" s="420"/>
      <c r="GC7" s="423"/>
      <c r="GD7" s="254" t="s">
        <v>6</v>
      </c>
      <c r="GE7" s="25" t="s">
        <v>95</v>
      </c>
      <c r="GF7" s="254" t="s">
        <v>94</v>
      </c>
      <c r="GG7" s="254" t="s">
        <v>97</v>
      </c>
      <c r="GH7" s="423"/>
      <c r="GI7" s="273" t="s">
        <v>109</v>
      </c>
      <c r="GJ7" s="294" t="s">
        <v>107</v>
      </c>
      <c r="GK7" s="274" t="s">
        <v>108</v>
      </c>
      <c r="GS7" s="420"/>
      <c r="GT7" s="428"/>
      <c r="GU7" s="203" t="s">
        <v>109</v>
      </c>
      <c r="GV7" s="423"/>
      <c r="GW7" s="203" t="s">
        <v>109</v>
      </c>
      <c r="GX7" s="25" t="s">
        <v>128</v>
      </c>
      <c r="GY7" s="275" t="s">
        <v>143</v>
      </c>
      <c r="HB7" s="420"/>
      <c r="HC7" s="423"/>
      <c r="HD7" s="254" t="s">
        <v>6</v>
      </c>
      <c r="HE7" s="25" t="s">
        <v>95</v>
      </c>
      <c r="HF7" s="254" t="s">
        <v>94</v>
      </c>
      <c r="HG7" s="254" t="s">
        <v>97</v>
      </c>
      <c r="HH7" s="423"/>
      <c r="HI7" s="273" t="s">
        <v>109</v>
      </c>
      <c r="HJ7" s="294" t="s">
        <v>107</v>
      </c>
      <c r="HK7" s="274" t="s">
        <v>108</v>
      </c>
      <c r="HS7" s="420"/>
      <c r="HT7" s="428"/>
      <c r="HU7" s="203" t="s">
        <v>109</v>
      </c>
      <c r="HV7" s="423"/>
      <c r="HW7" s="203" t="s">
        <v>109</v>
      </c>
      <c r="HX7" s="25" t="s">
        <v>128</v>
      </c>
      <c r="HY7" s="275" t="s">
        <v>143</v>
      </c>
      <c r="IB7" s="420"/>
      <c r="IC7" s="423"/>
      <c r="ID7" s="254" t="s">
        <v>6</v>
      </c>
      <c r="IE7" s="25" t="s">
        <v>95</v>
      </c>
      <c r="IF7" s="254" t="s">
        <v>94</v>
      </c>
      <c r="IG7" s="254" t="s">
        <v>97</v>
      </c>
      <c r="IH7" s="423"/>
      <c r="II7" s="273" t="s">
        <v>109</v>
      </c>
      <c r="IJ7" s="294" t="s">
        <v>107</v>
      </c>
      <c r="IK7" s="274" t="s">
        <v>108</v>
      </c>
      <c r="IS7" s="420"/>
      <c r="IT7" s="428"/>
      <c r="IU7" s="203" t="s">
        <v>109</v>
      </c>
      <c r="IV7" s="423"/>
      <c r="IW7" s="203" t="s">
        <v>109</v>
      </c>
      <c r="IX7" s="25" t="s">
        <v>128</v>
      </c>
      <c r="IY7" s="275" t="s">
        <v>143</v>
      </c>
      <c r="JB7" s="420"/>
      <c r="JC7" s="423"/>
      <c r="JD7" s="254" t="s">
        <v>6</v>
      </c>
      <c r="JE7" s="25" t="s">
        <v>95</v>
      </c>
      <c r="JF7" s="254" t="s">
        <v>94</v>
      </c>
      <c r="JG7" s="254" t="s">
        <v>97</v>
      </c>
      <c r="JH7" s="423"/>
      <c r="JI7" s="273" t="s">
        <v>109</v>
      </c>
      <c r="JJ7" s="294" t="s">
        <v>107</v>
      </c>
      <c r="JK7" s="274" t="s">
        <v>108</v>
      </c>
      <c r="JS7" s="420"/>
      <c r="JT7" s="428"/>
      <c r="JU7" s="203" t="s">
        <v>109</v>
      </c>
      <c r="JV7" s="423"/>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125</v>
      </c>
      <c r="E11" s="87">
        <f>'EF peternakan'!$G$5</f>
        <v>0.47</v>
      </c>
      <c r="F11" s="293">
        <f>'EF peternakan'!$H$5</f>
        <v>300</v>
      </c>
      <c r="G11" s="91">
        <f>E11*(F11/10^3)*365</f>
        <v>51.464999999999996</v>
      </c>
      <c r="H11" s="89">
        <f>I$26/100</f>
        <v>0.02</v>
      </c>
      <c r="I11" s="83">
        <f>D11*G11*H11</f>
        <v>128.66249999999999</v>
      </c>
      <c r="J11" s="88">
        <v>0.02</v>
      </c>
      <c r="K11" s="85">
        <f t="shared" ref="K11:K21" si="0">I11*J11*(44/28)</f>
        <v>4.043678571428571</v>
      </c>
      <c r="S11" s="6"/>
      <c r="T11" s="81" t="s">
        <v>64</v>
      </c>
      <c r="U11" s="86">
        <f t="shared" ref="U11:U21" si="1">I11</f>
        <v>128.66249999999999</v>
      </c>
      <c r="V11" s="87">
        <f>V26</f>
        <v>0</v>
      </c>
      <c r="W11" s="300">
        <f>U11*V11</f>
        <v>0</v>
      </c>
      <c r="X11" s="91">
        <f t="shared" ref="X11:X16" si="2">Z$26</f>
        <v>0.01</v>
      </c>
      <c r="Y11" s="98">
        <f t="shared" ref="Y11:Y16" si="3">W11*X11*(44/28)</f>
        <v>0</v>
      </c>
      <c r="AB11" s="6"/>
      <c r="AC11" s="81" t="s">
        <v>64</v>
      </c>
      <c r="AD11" s="86">
        <f>D39</f>
        <v>128</v>
      </c>
      <c r="AE11" s="87">
        <f>'EF peternakan'!$G$5</f>
        <v>0.47</v>
      </c>
      <c r="AF11" s="87">
        <f>'EF peternakan'!$H$5</f>
        <v>300</v>
      </c>
      <c r="AG11" s="91">
        <f t="shared" ref="AG11:AG21" si="4">AE11*(AF11/10^3)*365</f>
        <v>51.464999999999996</v>
      </c>
      <c r="AH11" s="89">
        <f t="shared" ref="AH11:AH21" si="5">AI$26/100</f>
        <v>0.02</v>
      </c>
      <c r="AI11" s="83">
        <f t="shared" ref="AI11:AI20" si="6">AD11*AG11*AH11</f>
        <v>131.75039999999998</v>
      </c>
      <c r="AJ11" s="88">
        <v>0.02</v>
      </c>
      <c r="AK11" s="85">
        <f t="shared" ref="AK11:AK21" si="7">AI11*AJ11*(44/28)</f>
        <v>4.1407268571428562</v>
      </c>
      <c r="AS11" s="6"/>
      <c r="AT11" s="81" t="s">
        <v>64</v>
      </c>
      <c r="AU11" s="86">
        <f t="shared" ref="AU11:AU15" si="8">AI11</f>
        <v>131.75039999999998</v>
      </c>
      <c r="AV11" s="87">
        <f t="shared" ref="AV11:AV16" si="9">AV26</f>
        <v>0</v>
      </c>
      <c r="AW11" s="300">
        <f>AU11*AV11</f>
        <v>0</v>
      </c>
      <c r="AX11" s="91">
        <f t="shared" ref="AX11:AX16" si="10">AZ$26</f>
        <v>0.01</v>
      </c>
      <c r="AY11" s="98">
        <f t="shared" ref="AY11:AY16" si="11">AW11*AX11*(44/28)</f>
        <v>0</v>
      </c>
      <c r="BB11" s="6"/>
      <c r="BC11" s="81" t="s">
        <v>64</v>
      </c>
      <c r="BD11" s="86">
        <f>E39</f>
        <v>130</v>
      </c>
      <c r="BE11" s="87">
        <f>'EF peternakan'!$G$5</f>
        <v>0.47</v>
      </c>
      <c r="BF11" s="87">
        <f>'EF peternakan'!$H$5</f>
        <v>300</v>
      </c>
      <c r="BG11" s="91">
        <f>BE11*(BF11/10^3)*365</f>
        <v>51.464999999999996</v>
      </c>
      <c r="BH11" s="89">
        <f t="shared" ref="BH11:BH16" si="12">BI$26/100</f>
        <v>0.02</v>
      </c>
      <c r="BI11" s="83">
        <f>BD11*BG11*BH11</f>
        <v>133.809</v>
      </c>
      <c r="BJ11" s="88">
        <v>0.02</v>
      </c>
      <c r="BK11" s="85">
        <f t="shared" ref="BK11:BK21" si="13">BI11*BJ11*(44/28)</f>
        <v>4.2054257142857141</v>
      </c>
      <c r="BS11" s="6"/>
      <c r="BT11" s="81" t="s">
        <v>64</v>
      </c>
      <c r="BU11" s="86">
        <f>BI11</f>
        <v>133.809</v>
      </c>
      <c r="BV11" s="87">
        <f t="shared" ref="BV11:BV16" si="14">BV26</f>
        <v>0</v>
      </c>
      <c r="BW11" s="300">
        <f>BU11*BV11</f>
        <v>0</v>
      </c>
      <c r="BX11" s="91">
        <f t="shared" ref="BX11:BX16" si="15">BZ$26</f>
        <v>0.01</v>
      </c>
      <c r="BY11" s="98">
        <f t="shared" ref="BY11:BY16" si="16">BW11*BX11*(44/28)</f>
        <v>0</v>
      </c>
      <c r="CB11" s="6"/>
      <c r="CC11" s="81" t="s">
        <v>64</v>
      </c>
      <c r="CD11" s="86">
        <f>F39</f>
        <v>133</v>
      </c>
      <c r="CE11" s="87">
        <f>'EF peternakan'!$G$5</f>
        <v>0.47</v>
      </c>
      <c r="CF11" s="87">
        <f>'EF peternakan'!$H$5</f>
        <v>300</v>
      </c>
      <c r="CG11" s="91">
        <f t="shared" ref="CG11:CG21" si="17">CE11*(CF11/10^3)*365</f>
        <v>51.464999999999996</v>
      </c>
      <c r="CH11" s="89">
        <f t="shared" ref="CH11:CH21" si="18">CI$26/100</f>
        <v>0.02</v>
      </c>
      <c r="CI11" s="83">
        <f t="shared" ref="CI11:CI15" si="19">CD11*CG11*CH11</f>
        <v>136.89689999999999</v>
      </c>
      <c r="CJ11" s="88">
        <v>0.02</v>
      </c>
      <c r="CK11" s="85">
        <f t="shared" ref="CK11:CK21" si="20">CI11*CJ11*(44/28)</f>
        <v>4.3024739999999992</v>
      </c>
      <c r="CS11" s="6"/>
      <c r="CT11" s="81" t="s">
        <v>64</v>
      </c>
      <c r="CU11" s="86">
        <f>CI11</f>
        <v>136.89689999999999</v>
      </c>
      <c r="CV11" s="87">
        <f t="shared" ref="CV11:CV16" si="21">CV26</f>
        <v>0</v>
      </c>
      <c r="CW11" s="300">
        <f>CU11*CV11</f>
        <v>0</v>
      </c>
      <c r="CX11" s="91">
        <f t="shared" ref="CX11:CX16" si="22">CZ$26</f>
        <v>0.01</v>
      </c>
      <c r="CY11" s="98">
        <f t="shared" ref="CY11:CY16" si="23">CW11*CX11*(44/28)</f>
        <v>0</v>
      </c>
      <c r="DB11" s="6"/>
      <c r="DC11" s="81" t="s">
        <v>64</v>
      </c>
      <c r="DD11" s="86">
        <f>G39</f>
        <v>135</v>
      </c>
      <c r="DE11" s="87">
        <f>'EF peternakan'!$G$5</f>
        <v>0.47</v>
      </c>
      <c r="DF11" s="87">
        <f>'EF peternakan'!$H$5</f>
        <v>300</v>
      </c>
      <c r="DG11" s="91">
        <f t="shared" ref="DG11:DG21" si="24">DE11*(DF11/10^3)*365</f>
        <v>51.464999999999996</v>
      </c>
      <c r="DH11" s="89">
        <f t="shared" ref="DH11:DH21" si="25">DI$26/100</f>
        <v>0.02</v>
      </c>
      <c r="DI11" s="83">
        <f t="shared" ref="DI11:DI21" si="26">DD11*DG11*DH11</f>
        <v>138.9555</v>
      </c>
      <c r="DJ11" s="88">
        <v>0.02</v>
      </c>
      <c r="DK11" s="85">
        <f t="shared" ref="DK11:DK15" si="27">DI11*DJ11*(44/28)</f>
        <v>4.3671728571428572</v>
      </c>
      <c r="DS11" s="6"/>
      <c r="DT11" s="81" t="s">
        <v>64</v>
      </c>
      <c r="DU11" s="86">
        <f>DI11</f>
        <v>138.9555</v>
      </c>
      <c r="DV11" s="87">
        <f t="shared" ref="DV11:DV16" si="28">DV26</f>
        <v>0</v>
      </c>
      <c r="DW11" s="300">
        <f>DU11*DV11</f>
        <v>0</v>
      </c>
      <c r="DX11" s="91">
        <f t="shared" ref="DX11:DX16" si="29">DZ$26</f>
        <v>0.01</v>
      </c>
      <c r="DY11" s="98">
        <f t="shared" ref="DY11:DY16" si="30">DW11*DX11*(44/28)</f>
        <v>0</v>
      </c>
      <c r="EB11" s="6"/>
      <c r="EC11" s="81" t="s">
        <v>64</v>
      </c>
      <c r="ED11" s="86">
        <f>H39</f>
        <v>138</v>
      </c>
      <c r="EE11" s="87">
        <f>'EF peternakan'!$G$5</f>
        <v>0.47</v>
      </c>
      <c r="EF11" s="87">
        <f>'EF peternakan'!$H$5</f>
        <v>300</v>
      </c>
      <c r="EG11" s="91">
        <f t="shared" ref="EG11:EG21" si="31">EE11*(EF11/10^3)*365</f>
        <v>51.464999999999996</v>
      </c>
      <c r="EH11" s="89">
        <f t="shared" ref="EH11:EH21" si="32">EI$26/100</f>
        <v>0.02</v>
      </c>
      <c r="EI11" s="83">
        <f t="shared" ref="EI11:EI21" si="33">ED11*EG11*EH11</f>
        <v>142.04339999999999</v>
      </c>
      <c r="EJ11" s="88">
        <v>0.02</v>
      </c>
      <c r="EK11" s="85">
        <f t="shared" ref="EK11:EK21" si="34">EI11*EJ11*(44/28)</f>
        <v>4.4642211428571423</v>
      </c>
      <c r="ES11" s="6"/>
      <c r="ET11" s="81" t="s">
        <v>64</v>
      </c>
      <c r="EU11" s="86">
        <f>EI11</f>
        <v>142.04339999999999</v>
      </c>
      <c r="EV11" s="87">
        <f t="shared" ref="EV11:EV16" si="35">EV26</f>
        <v>0</v>
      </c>
      <c r="EW11" s="300">
        <f>EU11*EV11</f>
        <v>0</v>
      </c>
      <c r="EX11" s="91">
        <f t="shared" ref="EX11:EX16" si="36">EZ$26</f>
        <v>0.01</v>
      </c>
      <c r="EY11" s="98">
        <f t="shared" ref="EY11:EY16" si="37">EW11*EX11*(44/28)</f>
        <v>0</v>
      </c>
      <c r="FB11" s="6"/>
      <c r="FC11" s="81" t="s">
        <v>64</v>
      </c>
      <c r="FD11" s="86">
        <f>I39</f>
        <v>141</v>
      </c>
      <c r="FE11" s="87">
        <f>'EF peternakan'!$G$5</f>
        <v>0.47</v>
      </c>
      <c r="FF11" s="87">
        <f>'EF peternakan'!$H$5</f>
        <v>300</v>
      </c>
      <c r="FG11" s="91">
        <f t="shared" ref="FG11:FG21" si="38">FE11*(FF11/10^3)*365</f>
        <v>51.464999999999996</v>
      </c>
      <c r="FH11" s="89">
        <f t="shared" ref="FH11:FH21" si="39">FI$26/100</f>
        <v>0.02</v>
      </c>
      <c r="FI11" s="83">
        <f t="shared" ref="FI11:FI16" si="40">FD11*FG11*FH11</f>
        <v>145.13129999999998</v>
      </c>
      <c r="FJ11" s="88">
        <v>0.02</v>
      </c>
      <c r="FK11" s="85">
        <f t="shared" ref="FK11:FK16" si="41">FI11*FJ11*(44/28)</f>
        <v>4.5612694285714284</v>
      </c>
      <c r="FS11" s="6"/>
      <c r="FT11" s="81" t="s">
        <v>64</v>
      </c>
      <c r="FU11" s="86">
        <f>FI11</f>
        <v>145.13129999999998</v>
      </c>
      <c r="FV11" s="87">
        <f t="shared" ref="FV11:FV16" si="42">FV26</f>
        <v>0</v>
      </c>
      <c r="FW11" s="300">
        <f>FU11*FV11</f>
        <v>0</v>
      </c>
      <c r="FX11" s="91">
        <f t="shared" ref="FX11:FX16" si="43">FZ$26</f>
        <v>0.01</v>
      </c>
      <c r="FY11" s="98">
        <f>FW11*FX11*(44/28)</f>
        <v>0</v>
      </c>
      <c r="GB11" s="6"/>
      <c r="GC11" s="81" t="s">
        <v>64</v>
      </c>
      <c r="GD11" s="86">
        <f>J39</f>
        <v>144</v>
      </c>
      <c r="GE11" s="87">
        <f>'EF peternakan'!$G$5</f>
        <v>0.47</v>
      </c>
      <c r="GF11" s="87">
        <f>'EF peternakan'!$H$5</f>
        <v>300</v>
      </c>
      <c r="GG11" s="91">
        <f t="shared" ref="GG11:GG21" si="44">GE11*(GF11/10^3)*365</f>
        <v>51.464999999999996</v>
      </c>
      <c r="GH11" s="89">
        <f t="shared" ref="GH11:GH21" si="45">GI$26/100</f>
        <v>0.02</v>
      </c>
      <c r="GI11" s="83">
        <f t="shared" ref="GI11:GI16" si="46">GD11*GG11*GH11</f>
        <v>148.21919999999997</v>
      </c>
      <c r="GJ11" s="88">
        <v>0.02</v>
      </c>
      <c r="GK11" s="85">
        <f t="shared" ref="GK11:GK16" si="47">GI11*GJ11*(44/28)</f>
        <v>4.6583177142857135</v>
      </c>
      <c r="GS11" s="6"/>
      <c r="GT11" s="81" t="s">
        <v>64</v>
      </c>
      <c r="GU11" s="86">
        <f t="shared" ref="GU11:GU21" si="48">GI11</f>
        <v>148.21919999999997</v>
      </c>
      <c r="GV11" s="87">
        <f t="shared" ref="GV11:GV16" si="49">GV26</f>
        <v>0</v>
      </c>
      <c r="GW11" s="300">
        <f>GU11*GV11</f>
        <v>0</v>
      </c>
      <c r="GX11" s="91">
        <f t="shared" ref="GX11:GX16" si="50">GZ$26</f>
        <v>0.01</v>
      </c>
      <c r="GY11" s="98">
        <f t="shared" ref="GY11:GY16" si="51">GW11*GX11*(44/28)</f>
        <v>0</v>
      </c>
      <c r="HB11" s="6"/>
      <c r="HC11" s="81" t="s">
        <v>64</v>
      </c>
      <c r="HD11" s="86">
        <f>K39</f>
        <v>146</v>
      </c>
      <c r="HE11" s="87">
        <f>'EF peternakan'!$G$5</f>
        <v>0.47</v>
      </c>
      <c r="HF11" s="87">
        <f>'EF peternakan'!$H$5</f>
        <v>300</v>
      </c>
      <c r="HG11" s="91">
        <f t="shared" ref="HG11:HG21" si="52">HE11*(HF11/10^3)*365</f>
        <v>51.464999999999996</v>
      </c>
      <c r="HH11" s="89">
        <f t="shared" ref="HH11:HH21" si="53">HI$26/100</f>
        <v>0.02</v>
      </c>
      <c r="HI11" s="83">
        <f t="shared" ref="HI11:HI21" si="54">HD11*HG11*HH11</f>
        <v>150.27779999999998</v>
      </c>
      <c r="HJ11" s="88">
        <v>0.02</v>
      </c>
      <c r="HK11" s="85">
        <f t="shared" ref="HK11:HK21" si="55">HI11*HJ11*(44/28)</f>
        <v>4.7230165714285715</v>
      </c>
      <c r="HS11" s="6"/>
      <c r="HT11" s="81" t="s">
        <v>64</v>
      </c>
      <c r="HU11" s="86">
        <f>HI11</f>
        <v>150.27779999999998</v>
      </c>
      <c r="HV11" s="87">
        <f t="shared" ref="HV11:HV16" si="56">HV26</f>
        <v>0</v>
      </c>
      <c r="HW11" s="300">
        <f>HU11*HV11</f>
        <v>0</v>
      </c>
      <c r="HX11" s="91">
        <f t="shared" ref="HX11:HX16" si="57">HZ$26</f>
        <v>0.01</v>
      </c>
      <c r="HY11" s="98">
        <f t="shared" ref="HY11:HY16" si="58">HW11*HX11*(44/28)</f>
        <v>0</v>
      </c>
      <c r="IB11" s="6"/>
      <c r="IC11" s="81" t="s">
        <v>64</v>
      </c>
      <c r="ID11" s="86">
        <f>L39</f>
        <v>149</v>
      </c>
      <c r="IE11" s="87">
        <f>'EF peternakan'!$G$5</f>
        <v>0.47</v>
      </c>
      <c r="IF11" s="87">
        <f>'EF peternakan'!$H$5</f>
        <v>300</v>
      </c>
      <c r="IG11" s="91">
        <f t="shared" ref="IG11:IG21" si="59">IE11*(IF11/10^3)*365</f>
        <v>51.464999999999996</v>
      </c>
      <c r="IH11" s="89">
        <f t="shared" ref="IH11:IH21" si="60">II$26/100</f>
        <v>0.02</v>
      </c>
      <c r="II11" s="83">
        <f t="shared" ref="II11:II21" si="61">ID11*IG11*IH11</f>
        <v>153.3657</v>
      </c>
      <c r="IJ11" s="88">
        <v>0.02</v>
      </c>
      <c r="IK11" s="85">
        <f t="shared" ref="IK11:IK21" si="62">II11*IJ11*(44/28)</f>
        <v>4.8200648571428575</v>
      </c>
      <c r="IS11" s="6"/>
      <c r="IT11" s="81" t="s">
        <v>64</v>
      </c>
      <c r="IU11" s="86">
        <f t="shared" ref="IU11:IU21" si="63">II11</f>
        <v>153.3657</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23402.213384285002</v>
      </c>
      <c r="E12" s="87">
        <f>'EF peternakan'!$G$6</f>
        <v>0.34</v>
      </c>
      <c r="F12" s="293">
        <f>'EF peternakan'!$H$6</f>
        <v>250</v>
      </c>
      <c r="G12" s="91">
        <f>E12*(F12/10^3)*365</f>
        <v>31.025000000000002</v>
      </c>
      <c r="H12" s="89">
        <f t="shared" ref="H12:H21" si="76">I$26/100</f>
        <v>0.02</v>
      </c>
      <c r="I12" s="83">
        <f>D12*G12*H12</f>
        <v>14521.073404948844</v>
      </c>
      <c r="J12" s="88">
        <v>0.02</v>
      </c>
      <c r="K12" s="85">
        <f t="shared" si="0"/>
        <v>456.37659272696368</v>
      </c>
      <c r="S12" s="6"/>
      <c r="T12" s="81" t="s">
        <v>71</v>
      </c>
      <c r="U12" s="86">
        <f t="shared" si="1"/>
        <v>14521.073404948844</v>
      </c>
      <c r="V12" s="87">
        <f t="shared" ref="V12:V16" si="77">V27</f>
        <v>0.3</v>
      </c>
      <c r="W12" s="300">
        <f t="shared" ref="W12:W16" si="78">U12*V12</f>
        <v>4356.3220214846533</v>
      </c>
      <c r="X12" s="91">
        <f t="shared" si="2"/>
        <v>0.01</v>
      </c>
      <c r="Y12" s="98">
        <f t="shared" si="3"/>
        <v>68.456488909044552</v>
      </c>
      <c r="AB12" s="6"/>
      <c r="AC12" s="81" t="s">
        <v>71</v>
      </c>
      <c r="AD12" s="86">
        <f t="shared" ref="AD12:AD20" si="79">D40</f>
        <v>24346.678850225901</v>
      </c>
      <c r="AE12" s="87">
        <f>'EF peternakan'!$G$6</f>
        <v>0.34</v>
      </c>
      <c r="AF12" s="87">
        <f>'EF peternakan'!$H$6</f>
        <v>250</v>
      </c>
      <c r="AG12" s="91">
        <f t="shared" si="4"/>
        <v>31.025000000000002</v>
      </c>
      <c r="AH12" s="89">
        <f t="shared" si="5"/>
        <v>0.02</v>
      </c>
      <c r="AI12" s="83">
        <f t="shared" si="6"/>
        <v>15107.114226565172</v>
      </c>
      <c r="AJ12" s="88">
        <v>0.02</v>
      </c>
      <c r="AK12" s="85">
        <f t="shared" si="7"/>
        <v>474.79501854919113</v>
      </c>
      <c r="AS12" s="6"/>
      <c r="AT12" s="81" t="s">
        <v>71</v>
      </c>
      <c r="AU12" s="86">
        <f t="shared" si="8"/>
        <v>15107.114226565172</v>
      </c>
      <c r="AV12" s="87">
        <f t="shared" si="9"/>
        <v>0.3</v>
      </c>
      <c r="AW12" s="300">
        <f t="shared" ref="AW12:AW16" si="80">AU12*AV12</f>
        <v>4532.1342679695517</v>
      </c>
      <c r="AX12" s="91">
        <f t="shared" si="10"/>
        <v>0.01</v>
      </c>
      <c r="AY12" s="98">
        <f t="shared" si="11"/>
        <v>71.219252782378675</v>
      </c>
      <c r="BB12" s="6"/>
      <c r="BC12" s="81" t="s">
        <v>71</v>
      </c>
      <c r="BD12" s="86">
        <f t="shared" ref="BD12:BD16" si="81">E40</f>
        <v>25291.144316166701</v>
      </c>
      <c r="BE12" s="87">
        <f>'EF peternakan'!$G$6</f>
        <v>0.34</v>
      </c>
      <c r="BF12" s="87">
        <f>'EF peternakan'!$H$6</f>
        <v>250</v>
      </c>
      <c r="BG12" s="91">
        <f t="shared" ref="BG12:BG16" si="82">BE12*(BF12/10^3)*365</f>
        <v>31.025000000000002</v>
      </c>
      <c r="BH12" s="89">
        <f t="shared" si="12"/>
        <v>0.02</v>
      </c>
      <c r="BI12" s="83">
        <f t="shared" ref="BI12" si="83">BD12*BG12*BH12</f>
        <v>15693.155048181441</v>
      </c>
      <c r="BJ12" s="88">
        <v>0.02</v>
      </c>
      <c r="BK12" s="85">
        <f t="shared" si="13"/>
        <v>493.2134443714167</v>
      </c>
      <c r="BS12" s="6"/>
      <c r="BT12" s="81" t="s">
        <v>71</v>
      </c>
      <c r="BU12" s="86">
        <f t="shared" ref="BU12:BU15" si="84">BI12</f>
        <v>15693.155048181441</v>
      </c>
      <c r="BV12" s="87">
        <f t="shared" si="14"/>
        <v>0.3</v>
      </c>
      <c r="BW12" s="300">
        <f t="shared" ref="BW12:BW16" si="85">BU12*BV12</f>
        <v>4707.946514454432</v>
      </c>
      <c r="BX12" s="91">
        <f t="shared" si="15"/>
        <v>0.01</v>
      </c>
      <c r="BY12" s="98">
        <f t="shared" si="16"/>
        <v>73.982016655712499</v>
      </c>
      <c r="CB12" s="6"/>
      <c r="CC12" s="81" t="s">
        <v>71</v>
      </c>
      <c r="CD12" s="86">
        <f t="shared" ref="CD12:CD16" si="86">F40</f>
        <v>26235.6097821076</v>
      </c>
      <c r="CE12" s="87">
        <f>'EF peternakan'!$G$6</f>
        <v>0.34</v>
      </c>
      <c r="CF12" s="87">
        <f>'EF peternakan'!$H$6</f>
        <v>250</v>
      </c>
      <c r="CG12" s="91">
        <f t="shared" si="17"/>
        <v>31.025000000000002</v>
      </c>
      <c r="CH12" s="89">
        <f t="shared" si="18"/>
        <v>0.02</v>
      </c>
      <c r="CI12" s="83">
        <f t="shared" si="19"/>
        <v>16279.195869797766</v>
      </c>
      <c r="CJ12" s="88">
        <v>0.02</v>
      </c>
      <c r="CK12" s="85">
        <f t="shared" si="20"/>
        <v>511.63187019364409</v>
      </c>
      <c r="CS12" s="6"/>
      <c r="CT12" s="81" t="s">
        <v>71</v>
      </c>
      <c r="CU12" s="86">
        <f>CI12</f>
        <v>16279.195869797766</v>
      </c>
      <c r="CV12" s="87">
        <f t="shared" si="21"/>
        <v>0.3</v>
      </c>
      <c r="CW12" s="300">
        <f t="shared" ref="CW12:CW16" si="87">CU12*CV12</f>
        <v>4883.7587609393295</v>
      </c>
      <c r="CX12" s="91">
        <f t="shared" si="22"/>
        <v>0.01</v>
      </c>
      <c r="CY12" s="98">
        <f t="shared" si="23"/>
        <v>76.744780529046608</v>
      </c>
      <c r="DB12" s="6"/>
      <c r="DC12" s="81" t="s">
        <v>71</v>
      </c>
      <c r="DD12" s="86">
        <f t="shared" ref="DD12:DD16" si="88">G40</f>
        <v>27180.075248048499</v>
      </c>
      <c r="DE12" s="87">
        <f>'EF peternakan'!$G$6</f>
        <v>0.34</v>
      </c>
      <c r="DF12" s="87">
        <f>'EF peternakan'!$H$6</f>
        <v>250</v>
      </c>
      <c r="DG12" s="91">
        <f t="shared" si="24"/>
        <v>31.025000000000002</v>
      </c>
      <c r="DH12" s="89">
        <f t="shared" si="25"/>
        <v>0.02</v>
      </c>
      <c r="DI12" s="83">
        <f t="shared" si="26"/>
        <v>16865.236691414095</v>
      </c>
      <c r="DJ12" s="88">
        <v>0.02</v>
      </c>
      <c r="DK12" s="85">
        <f t="shared" si="27"/>
        <v>530.05029601587148</v>
      </c>
      <c r="DS12" s="6"/>
      <c r="DT12" s="81" t="s">
        <v>71</v>
      </c>
      <c r="DU12" s="86">
        <f t="shared" ref="DU12:DU15" si="89">DI12</f>
        <v>16865.236691414095</v>
      </c>
      <c r="DV12" s="87">
        <f t="shared" si="28"/>
        <v>0.3</v>
      </c>
      <c r="DW12" s="300">
        <f t="shared" ref="DW12:DW16" si="90">DU12*DV12</f>
        <v>5059.5710074242279</v>
      </c>
      <c r="DX12" s="91">
        <f t="shared" si="29"/>
        <v>0.01</v>
      </c>
      <c r="DY12" s="98">
        <f t="shared" si="30"/>
        <v>79.507544402380717</v>
      </c>
      <c r="EB12" s="6"/>
      <c r="EC12" s="81" t="s">
        <v>71</v>
      </c>
      <c r="ED12" s="86">
        <f t="shared" ref="ED12:ED21" si="91">H40</f>
        <v>28124.5407139893</v>
      </c>
      <c r="EE12" s="87">
        <f>'EF peternakan'!$G$6</f>
        <v>0.34</v>
      </c>
      <c r="EF12" s="87">
        <f>'EF peternakan'!$H$6</f>
        <v>250</v>
      </c>
      <c r="EG12" s="91">
        <f t="shared" si="31"/>
        <v>31.025000000000002</v>
      </c>
      <c r="EH12" s="89">
        <f t="shared" si="32"/>
        <v>0.02</v>
      </c>
      <c r="EI12" s="83">
        <f t="shared" si="33"/>
        <v>17451.277513030363</v>
      </c>
      <c r="EJ12" s="88">
        <v>0.02</v>
      </c>
      <c r="EK12" s="85">
        <f t="shared" si="34"/>
        <v>548.46872183809717</v>
      </c>
      <c r="ES12" s="6"/>
      <c r="ET12" s="81" t="s">
        <v>71</v>
      </c>
      <c r="EU12" s="86">
        <f>EI12</f>
        <v>17451.277513030363</v>
      </c>
      <c r="EV12" s="87">
        <f t="shared" si="35"/>
        <v>0.3</v>
      </c>
      <c r="EW12" s="300">
        <f t="shared" ref="EW12:EW16" si="92">EU12*EV12</f>
        <v>5235.383253909109</v>
      </c>
      <c r="EX12" s="91">
        <f t="shared" si="36"/>
        <v>0.01</v>
      </c>
      <c r="EY12" s="98">
        <f t="shared" si="37"/>
        <v>82.270308275714569</v>
      </c>
      <c r="FB12" s="6"/>
      <c r="FC12" s="81" t="s">
        <v>71</v>
      </c>
      <c r="FD12" s="86">
        <f t="shared" ref="FD12:FD21" si="93">I40</f>
        <v>29069.006179930198</v>
      </c>
      <c r="FE12" s="87">
        <f>'EF peternakan'!$G$6</f>
        <v>0.34</v>
      </c>
      <c r="FF12" s="87">
        <f>'EF peternakan'!$H$6</f>
        <v>250</v>
      </c>
      <c r="FG12" s="91">
        <f t="shared" si="38"/>
        <v>31.025000000000002</v>
      </c>
      <c r="FH12" s="89">
        <f t="shared" si="39"/>
        <v>0.02</v>
      </c>
      <c r="FI12" s="83">
        <f t="shared" si="40"/>
        <v>18037.31833464669</v>
      </c>
      <c r="FJ12" s="88">
        <v>0.02</v>
      </c>
      <c r="FK12" s="85">
        <f t="shared" si="41"/>
        <v>566.88714766032456</v>
      </c>
      <c r="FS12" s="6"/>
      <c r="FT12" s="81" t="s">
        <v>71</v>
      </c>
      <c r="FU12" s="86">
        <f t="shared" ref="FU12:FU21" si="94">FI12</f>
        <v>18037.31833464669</v>
      </c>
      <c r="FV12" s="87">
        <f t="shared" si="42"/>
        <v>0.3</v>
      </c>
      <c r="FW12" s="300">
        <f t="shared" ref="FW12:FW16" si="95">FU12*FV12</f>
        <v>5411.1955003940066</v>
      </c>
      <c r="FX12" s="91">
        <f t="shared" si="43"/>
        <v>0.01</v>
      </c>
      <c r="FY12" s="98">
        <f t="shared" ref="FY12:FY16" si="96">FW12*FX12*(44/28)</f>
        <v>85.033072149048678</v>
      </c>
      <c r="GB12" s="6"/>
      <c r="GC12" s="81" t="s">
        <v>71</v>
      </c>
      <c r="GD12" s="86">
        <f t="shared" ref="GD12:GD21" si="97">J40</f>
        <v>30013.471645871101</v>
      </c>
      <c r="GE12" s="87">
        <f>'EF peternakan'!$G$6</f>
        <v>0.34</v>
      </c>
      <c r="GF12" s="87">
        <f>'EF peternakan'!$H$6</f>
        <v>250</v>
      </c>
      <c r="GG12" s="91">
        <f t="shared" si="44"/>
        <v>31.025000000000002</v>
      </c>
      <c r="GH12" s="89">
        <f t="shared" si="45"/>
        <v>0.02</v>
      </c>
      <c r="GI12" s="83">
        <f t="shared" si="46"/>
        <v>18623.359156263021</v>
      </c>
      <c r="GJ12" s="88">
        <v>0.02</v>
      </c>
      <c r="GK12" s="85">
        <f t="shared" si="47"/>
        <v>585.30557348255206</v>
      </c>
      <c r="GS12" s="6"/>
      <c r="GT12" s="81" t="s">
        <v>71</v>
      </c>
      <c r="GU12" s="86">
        <f>GI12</f>
        <v>18623.359156263021</v>
      </c>
      <c r="GV12" s="87">
        <f t="shared" si="49"/>
        <v>0.3</v>
      </c>
      <c r="GW12" s="300">
        <f t="shared" ref="GW12:GW16" si="98">GU12*GV12</f>
        <v>5587.0077468789059</v>
      </c>
      <c r="GX12" s="91">
        <f t="shared" si="50"/>
        <v>0.01</v>
      </c>
      <c r="GY12" s="98">
        <f t="shared" si="51"/>
        <v>87.795836022382815</v>
      </c>
      <c r="HB12" s="6"/>
      <c r="HC12" s="81" t="s">
        <v>71</v>
      </c>
      <c r="HD12" s="86">
        <f t="shared" ref="HD12:HD21" si="99">K40</f>
        <v>30957.937111811902</v>
      </c>
      <c r="HE12" s="87">
        <f>'EF peternakan'!$G$6</f>
        <v>0.34</v>
      </c>
      <c r="HF12" s="87">
        <f>'EF peternakan'!$H$6</f>
        <v>250</v>
      </c>
      <c r="HG12" s="91">
        <f t="shared" si="52"/>
        <v>31.025000000000002</v>
      </c>
      <c r="HH12" s="89">
        <f t="shared" si="53"/>
        <v>0.02</v>
      </c>
      <c r="HI12" s="83">
        <f t="shared" si="54"/>
        <v>19209.399977879286</v>
      </c>
      <c r="HJ12" s="88">
        <v>0.02</v>
      </c>
      <c r="HK12" s="85">
        <f t="shared" si="55"/>
        <v>603.72399930477752</v>
      </c>
      <c r="HS12" s="6"/>
      <c r="HT12" s="81" t="s">
        <v>71</v>
      </c>
      <c r="HU12" s="86">
        <f t="shared" ref="HU12:HU21" si="100">HI12</f>
        <v>19209.399977879286</v>
      </c>
      <c r="HV12" s="87">
        <f t="shared" si="56"/>
        <v>0.3</v>
      </c>
      <c r="HW12" s="300">
        <f t="shared" ref="HW12:HW16" si="101">HU12*HV12</f>
        <v>5762.8199933637852</v>
      </c>
      <c r="HX12" s="91">
        <f t="shared" si="57"/>
        <v>0.01</v>
      </c>
      <c r="HY12" s="98">
        <f t="shared" si="58"/>
        <v>90.558599895716625</v>
      </c>
      <c r="IB12" s="6"/>
      <c r="IC12" s="81" t="s">
        <v>71</v>
      </c>
      <c r="ID12" s="86">
        <f t="shared" ref="ID12:ID21" si="102">L40</f>
        <v>31902.4025777528</v>
      </c>
      <c r="IE12" s="87">
        <f>'EF peternakan'!$G$6</f>
        <v>0.34</v>
      </c>
      <c r="IF12" s="87">
        <f>'EF peternakan'!$H$6</f>
        <v>250</v>
      </c>
      <c r="IG12" s="91">
        <f t="shared" si="59"/>
        <v>31.025000000000002</v>
      </c>
      <c r="IH12" s="89">
        <f t="shared" si="60"/>
        <v>0.02</v>
      </c>
      <c r="II12" s="83">
        <f t="shared" si="61"/>
        <v>19795.440799495616</v>
      </c>
      <c r="IJ12" s="88">
        <v>0.02</v>
      </c>
      <c r="IK12" s="85">
        <f t="shared" si="62"/>
        <v>622.14242512700514</v>
      </c>
      <c r="IS12" s="6"/>
      <c r="IT12" s="81" t="s">
        <v>71</v>
      </c>
      <c r="IU12" s="86">
        <f t="shared" si="63"/>
        <v>19795.440799495616</v>
      </c>
      <c r="IV12" s="87">
        <f t="shared" si="64"/>
        <v>0.3</v>
      </c>
      <c r="IW12" s="300">
        <f t="shared" ref="IW12:IW16" si="103">IU12*IV12</f>
        <v>5938.6322398486845</v>
      </c>
      <c r="IX12" s="91">
        <f t="shared" si="65"/>
        <v>0.01</v>
      </c>
      <c r="IY12" s="98">
        <f t="shared" si="66"/>
        <v>93.321363769050762</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1228</v>
      </c>
      <c r="E13" s="87">
        <f>'EF peternakan'!$G$17</f>
        <v>0.32</v>
      </c>
      <c r="F13" s="293">
        <f>'EF peternakan'!$H$17</f>
        <v>300</v>
      </c>
      <c r="G13" s="91">
        <f t="shared" ref="G13:G21" si="106">E13*(F13/10^3)*365</f>
        <v>35.04</v>
      </c>
      <c r="H13" s="89">
        <f t="shared" si="76"/>
        <v>0.02</v>
      </c>
      <c r="I13" s="83">
        <f t="shared" ref="I13:I20" si="107">D13*G13*H13</f>
        <v>860.58239999999989</v>
      </c>
      <c r="J13" s="88">
        <v>0.02</v>
      </c>
      <c r="K13" s="85">
        <f t="shared" si="0"/>
        <v>27.046875428571422</v>
      </c>
      <c r="S13" s="6"/>
      <c r="T13" s="81" t="s">
        <v>22</v>
      </c>
      <c r="U13" s="86">
        <f t="shared" si="1"/>
        <v>860.58239999999989</v>
      </c>
      <c r="V13" s="87">
        <f t="shared" si="77"/>
        <v>0</v>
      </c>
      <c r="W13" s="300">
        <f t="shared" si="78"/>
        <v>0</v>
      </c>
      <c r="X13" s="91">
        <f t="shared" si="2"/>
        <v>0.01</v>
      </c>
      <c r="Y13" s="98">
        <f t="shared" si="3"/>
        <v>0</v>
      </c>
      <c r="AB13" s="6"/>
      <c r="AC13" s="81" t="s">
        <v>22</v>
      </c>
      <c r="AD13" s="86">
        <f t="shared" si="79"/>
        <v>1253</v>
      </c>
      <c r="AE13" s="87">
        <f>'EF peternakan'!$G$17</f>
        <v>0.32</v>
      </c>
      <c r="AF13" s="87">
        <f>'EF peternakan'!$H$17</f>
        <v>300</v>
      </c>
      <c r="AG13" s="91">
        <f t="shared" si="4"/>
        <v>35.04</v>
      </c>
      <c r="AH13" s="89">
        <f t="shared" si="5"/>
        <v>0.02</v>
      </c>
      <c r="AI13" s="83">
        <f t="shared" si="6"/>
        <v>878.10239999999988</v>
      </c>
      <c r="AJ13" s="88">
        <v>0.02</v>
      </c>
      <c r="AK13" s="85">
        <f t="shared" si="7"/>
        <v>27.597503999999994</v>
      </c>
      <c r="AS13" s="6"/>
      <c r="AT13" s="81" t="s">
        <v>22</v>
      </c>
      <c r="AU13" s="86">
        <f t="shared" si="8"/>
        <v>878.10239999999988</v>
      </c>
      <c r="AV13" s="87">
        <f t="shared" si="9"/>
        <v>0</v>
      </c>
      <c r="AW13" s="300">
        <f t="shared" si="80"/>
        <v>0</v>
      </c>
      <c r="AX13" s="91">
        <f t="shared" si="10"/>
        <v>0.01</v>
      </c>
      <c r="AY13" s="98">
        <f t="shared" si="11"/>
        <v>0</v>
      </c>
      <c r="BB13" s="6"/>
      <c r="BC13" s="81" t="s">
        <v>22</v>
      </c>
      <c r="BD13" s="86">
        <f t="shared" si="81"/>
        <v>1278</v>
      </c>
      <c r="BE13" s="87">
        <f>'EF peternakan'!$G$17</f>
        <v>0.32</v>
      </c>
      <c r="BF13" s="87">
        <f>'EF peternakan'!$H$17</f>
        <v>300</v>
      </c>
      <c r="BG13" s="91">
        <f t="shared" si="82"/>
        <v>35.04</v>
      </c>
      <c r="BH13" s="89">
        <f t="shared" si="12"/>
        <v>0.02</v>
      </c>
      <c r="BI13" s="83">
        <f t="shared" ref="BI13:BI21" si="108">BD13*BG13*BH13</f>
        <v>895.62239999999997</v>
      </c>
      <c r="BJ13" s="88">
        <v>0.02</v>
      </c>
      <c r="BK13" s="85">
        <f t="shared" si="13"/>
        <v>28.148132571428572</v>
      </c>
      <c r="BS13" s="6"/>
      <c r="BT13" s="81" t="s">
        <v>22</v>
      </c>
      <c r="BU13" s="86">
        <f t="shared" si="84"/>
        <v>895.62239999999997</v>
      </c>
      <c r="BV13" s="87">
        <f t="shared" si="14"/>
        <v>0</v>
      </c>
      <c r="BW13" s="300">
        <f t="shared" si="85"/>
        <v>0</v>
      </c>
      <c r="BX13" s="91">
        <f t="shared" si="15"/>
        <v>0.01</v>
      </c>
      <c r="BY13" s="98">
        <f t="shared" si="16"/>
        <v>0</v>
      </c>
      <c r="CB13" s="6"/>
      <c r="CC13" s="81" t="s">
        <v>22</v>
      </c>
      <c r="CD13" s="86">
        <f t="shared" si="86"/>
        <v>1303</v>
      </c>
      <c r="CE13" s="87">
        <f>'EF peternakan'!$G$17</f>
        <v>0.32</v>
      </c>
      <c r="CF13" s="87">
        <f>'EF peternakan'!$H$17</f>
        <v>300</v>
      </c>
      <c r="CG13" s="91">
        <f t="shared" si="17"/>
        <v>35.04</v>
      </c>
      <c r="CH13" s="89">
        <f t="shared" si="18"/>
        <v>0.02</v>
      </c>
      <c r="CI13" s="83">
        <f t="shared" si="19"/>
        <v>913.14239999999995</v>
      </c>
      <c r="CJ13" s="88">
        <v>0.02</v>
      </c>
      <c r="CK13" s="85">
        <f t="shared" si="20"/>
        <v>28.698761142857141</v>
      </c>
      <c r="CS13" s="6"/>
      <c r="CT13" s="81" t="s">
        <v>22</v>
      </c>
      <c r="CU13" s="86">
        <f t="shared" ref="CU13:CU15" si="109">CI13</f>
        <v>913.14239999999995</v>
      </c>
      <c r="CV13" s="87">
        <f t="shared" si="21"/>
        <v>0</v>
      </c>
      <c r="CW13" s="300">
        <f t="shared" si="87"/>
        <v>0</v>
      </c>
      <c r="CX13" s="91">
        <f t="shared" si="22"/>
        <v>0.01</v>
      </c>
      <c r="CY13" s="98">
        <f t="shared" si="23"/>
        <v>0</v>
      </c>
      <c r="DB13" s="6"/>
      <c r="DC13" s="81" t="s">
        <v>22</v>
      </c>
      <c r="DD13" s="86">
        <f t="shared" si="88"/>
        <v>1329</v>
      </c>
      <c r="DE13" s="87">
        <f>'EF peternakan'!$G$17</f>
        <v>0.32</v>
      </c>
      <c r="DF13" s="87">
        <f>'EF peternakan'!$H$17</f>
        <v>300</v>
      </c>
      <c r="DG13" s="91">
        <f t="shared" si="24"/>
        <v>35.04</v>
      </c>
      <c r="DH13" s="89">
        <f t="shared" si="25"/>
        <v>0.02</v>
      </c>
      <c r="DI13" s="83">
        <f t="shared" si="26"/>
        <v>931.36319999999989</v>
      </c>
      <c r="DJ13" s="88">
        <v>0.02</v>
      </c>
      <c r="DK13" s="85">
        <f t="shared" si="27"/>
        <v>29.271414857142851</v>
      </c>
      <c r="DS13" s="6"/>
      <c r="DT13" s="81" t="s">
        <v>22</v>
      </c>
      <c r="DU13" s="86">
        <f t="shared" si="89"/>
        <v>931.36319999999989</v>
      </c>
      <c r="DV13" s="87">
        <f t="shared" si="28"/>
        <v>0</v>
      </c>
      <c r="DW13" s="300">
        <f t="shared" si="90"/>
        <v>0</v>
      </c>
      <c r="DX13" s="91">
        <f t="shared" si="29"/>
        <v>0.01</v>
      </c>
      <c r="DY13" s="98">
        <f t="shared" si="30"/>
        <v>0</v>
      </c>
      <c r="EB13" s="6"/>
      <c r="EC13" s="81" t="s">
        <v>22</v>
      </c>
      <c r="ED13" s="86">
        <f t="shared" si="91"/>
        <v>1356</v>
      </c>
      <c r="EE13" s="87">
        <f>'EF peternakan'!$G$17</f>
        <v>0.32</v>
      </c>
      <c r="EF13" s="87">
        <f>'EF peternakan'!$H$17</f>
        <v>300</v>
      </c>
      <c r="EG13" s="91">
        <f t="shared" si="31"/>
        <v>35.04</v>
      </c>
      <c r="EH13" s="89">
        <f t="shared" si="32"/>
        <v>0.02</v>
      </c>
      <c r="EI13" s="83">
        <f t="shared" si="33"/>
        <v>950.28480000000002</v>
      </c>
      <c r="EJ13" s="88">
        <v>0.02</v>
      </c>
      <c r="EK13" s="85">
        <f t="shared" si="34"/>
        <v>29.866093714285714</v>
      </c>
      <c r="ES13" s="6"/>
      <c r="ET13" s="81" t="s">
        <v>22</v>
      </c>
      <c r="EU13" s="86">
        <f>EI13</f>
        <v>950.28480000000002</v>
      </c>
      <c r="EV13" s="87">
        <f t="shared" si="35"/>
        <v>0</v>
      </c>
      <c r="EW13" s="300">
        <f t="shared" si="92"/>
        <v>0</v>
      </c>
      <c r="EX13" s="91">
        <f t="shared" si="36"/>
        <v>0.01</v>
      </c>
      <c r="EY13" s="98">
        <f t="shared" si="37"/>
        <v>0</v>
      </c>
      <c r="FB13" s="6"/>
      <c r="FC13" s="81" t="s">
        <v>22</v>
      </c>
      <c r="FD13" s="86">
        <f t="shared" si="93"/>
        <v>1383</v>
      </c>
      <c r="FE13" s="87">
        <f>'EF peternakan'!$G$17</f>
        <v>0.32</v>
      </c>
      <c r="FF13" s="87">
        <f>'EF peternakan'!$H$17</f>
        <v>300</v>
      </c>
      <c r="FG13" s="91">
        <f t="shared" si="38"/>
        <v>35.04</v>
      </c>
      <c r="FH13" s="89">
        <f t="shared" si="39"/>
        <v>0.02</v>
      </c>
      <c r="FI13" s="83">
        <f t="shared" si="40"/>
        <v>969.20640000000003</v>
      </c>
      <c r="FJ13" s="88">
        <v>0.02</v>
      </c>
      <c r="FK13" s="85">
        <f t="shared" si="41"/>
        <v>30.460772571428571</v>
      </c>
      <c r="FS13" s="6"/>
      <c r="FT13" s="81" t="s">
        <v>22</v>
      </c>
      <c r="FU13" s="86">
        <f t="shared" si="94"/>
        <v>969.20640000000003</v>
      </c>
      <c r="FV13" s="87">
        <f t="shared" si="42"/>
        <v>0</v>
      </c>
      <c r="FW13" s="300">
        <f t="shared" si="95"/>
        <v>0</v>
      </c>
      <c r="FX13" s="91">
        <f t="shared" si="43"/>
        <v>0.01</v>
      </c>
      <c r="FY13" s="98">
        <f t="shared" si="96"/>
        <v>0</v>
      </c>
      <c r="GB13" s="6"/>
      <c r="GC13" s="81" t="s">
        <v>22</v>
      </c>
      <c r="GD13" s="86">
        <f t="shared" si="97"/>
        <v>1411</v>
      </c>
      <c r="GE13" s="87">
        <f>'EF peternakan'!$G$17</f>
        <v>0.32</v>
      </c>
      <c r="GF13" s="87">
        <f>'EF peternakan'!$H$17</f>
        <v>300</v>
      </c>
      <c r="GG13" s="91">
        <f t="shared" si="44"/>
        <v>35.04</v>
      </c>
      <c r="GH13" s="89">
        <f t="shared" si="45"/>
        <v>0.02</v>
      </c>
      <c r="GI13" s="83">
        <f t="shared" si="46"/>
        <v>988.82880000000011</v>
      </c>
      <c r="GJ13" s="88">
        <v>0.02</v>
      </c>
      <c r="GK13" s="85">
        <f t="shared" si="47"/>
        <v>31.077476571428573</v>
      </c>
      <c r="GS13" s="6"/>
      <c r="GT13" s="81" t="s">
        <v>22</v>
      </c>
      <c r="GU13" s="86">
        <f t="shared" si="48"/>
        <v>988.82880000000011</v>
      </c>
      <c r="GV13" s="87">
        <f t="shared" si="49"/>
        <v>0</v>
      </c>
      <c r="GW13" s="300">
        <f t="shared" si="98"/>
        <v>0</v>
      </c>
      <c r="GX13" s="91">
        <f t="shared" si="50"/>
        <v>0.01</v>
      </c>
      <c r="GY13" s="98">
        <f t="shared" si="51"/>
        <v>0</v>
      </c>
      <c r="HB13" s="6"/>
      <c r="HC13" s="81" t="s">
        <v>22</v>
      </c>
      <c r="HD13" s="86">
        <f t="shared" si="99"/>
        <v>1439</v>
      </c>
      <c r="HE13" s="87">
        <f>'EF peternakan'!$G$17</f>
        <v>0.32</v>
      </c>
      <c r="HF13" s="87">
        <f>'EF peternakan'!$H$17</f>
        <v>300</v>
      </c>
      <c r="HG13" s="91">
        <f t="shared" si="52"/>
        <v>35.04</v>
      </c>
      <c r="HH13" s="89">
        <f t="shared" si="53"/>
        <v>0.02</v>
      </c>
      <c r="HI13" s="83">
        <f t="shared" si="54"/>
        <v>1008.4512</v>
      </c>
      <c r="HJ13" s="88">
        <v>0.02</v>
      </c>
      <c r="HK13" s="85">
        <f t="shared" si="55"/>
        <v>31.694180571428571</v>
      </c>
      <c r="HS13" s="6"/>
      <c r="HT13" s="81" t="s">
        <v>22</v>
      </c>
      <c r="HU13" s="86">
        <f t="shared" si="100"/>
        <v>1008.4512</v>
      </c>
      <c r="HV13" s="87">
        <f t="shared" si="56"/>
        <v>0</v>
      </c>
      <c r="HW13" s="300">
        <f t="shared" si="101"/>
        <v>0</v>
      </c>
      <c r="HX13" s="91">
        <f t="shared" si="57"/>
        <v>0.01</v>
      </c>
      <c r="HY13" s="98">
        <f t="shared" si="58"/>
        <v>0</v>
      </c>
      <c r="IB13" s="6"/>
      <c r="IC13" s="81" t="s">
        <v>22</v>
      </c>
      <c r="ID13" s="86">
        <f t="shared" si="102"/>
        <v>1468</v>
      </c>
      <c r="IE13" s="87">
        <f>'EF peternakan'!$G$17</f>
        <v>0.32</v>
      </c>
      <c r="IF13" s="87">
        <f>'EF peternakan'!$H$17</f>
        <v>300</v>
      </c>
      <c r="IG13" s="91">
        <f t="shared" si="59"/>
        <v>35.04</v>
      </c>
      <c r="IH13" s="89">
        <f t="shared" si="60"/>
        <v>0.02</v>
      </c>
      <c r="II13" s="83">
        <f t="shared" si="61"/>
        <v>1028.7744</v>
      </c>
      <c r="IJ13" s="88">
        <v>0.02</v>
      </c>
      <c r="IK13" s="85">
        <f t="shared" si="62"/>
        <v>32.332909714285712</v>
      </c>
      <c r="IS13" s="6"/>
      <c r="IT13" s="81" t="s">
        <v>22</v>
      </c>
      <c r="IU13" s="86">
        <f t="shared" si="63"/>
        <v>1028.7744</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12705</v>
      </c>
      <c r="E15" s="87">
        <f>'EF peternakan'!$G$15</f>
        <v>1.37</v>
      </c>
      <c r="F15" s="293">
        <f>'EF peternakan'!$H$15</f>
        <v>40</v>
      </c>
      <c r="G15" s="91">
        <f t="shared" si="106"/>
        <v>20.002000000000002</v>
      </c>
      <c r="H15" s="89">
        <f t="shared" si="76"/>
        <v>0.02</v>
      </c>
      <c r="I15" s="83">
        <f t="shared" si="107"/>
        <v>5082.5082000000011</v>
      </c>
      <c r="J15" s="88">
        <v>0.02</v>
      </c>
      <c r="K15" s="85">
        <f t="shared" si="0"/>
        <v>159.73597200000003</v>
      </c>
      <c r="S15" s="6"/>
      <c r="T15" s="291" t="s">
        <v>23</v>
      </c>
      <c r="U15" s="86">
        <f t="shared" si="1"/>
        <v>5082.5082000000011</v>
      </c>
      <c r="V15" s="87">
        <f t="shared" si="77"/>
        <v>0</v>
      </c>
      <c r="W15" s="300">
        <f t="shared" si="78"/>
        <v>0</v>
      </c>
      <c r="X15" s="91">
        <f t="shared" si="2"/>
        <v>0.01</v>
      </c>
      <c r="Y15" s="98">
        <f t="shared" si="3"/>
        <v>0</v>
      </c>
      <c r="AB15" s="6"/>
      <c r="AC15" s="291" t="s">
        <v>23</v>
      </c>
      <c r="AD15" s="86">
        <f t="shared" si="79"/>
        <v>12959</v>
      </c>
      <c r="AE15" s="87">
        <f>'EF peternakan'!$G$15</f>
        <v>1.37</v>
      </c>
      <c r="AF15" s="87">
        <f>'EF peternakan'!$H$15</f>
        <v>40</v>
      </c>
      <c r="AG15" s="91">
        <f t="shared" si="4"/>
        <v>20.002000000000002</v>
      </c>
      <c r="AH15" s="89">
        <f t="shared" si="5"/>
        <v>0.02</v>
      </c>
      <c r="AI15" s="83">
        <f t="shared" si="6"/>
        <v>5184.1183600000004</v>
      </c>
      <c r="AJ15" s="88">
        <v>0.02</v>
      </c>
      <c r="AK15" s="85">
        <f t="shared" si="7"/>
        <v>162.9294341714286</v>
      </c>
      <c r="AS15" s="6"/>
      <c r="AT15" s="291" t="s">
        <v>23</v>
      </c>
      <c r="AU15" s="86">
        <f t="shared" si="8"/>
        <v>5184.1183600000004</v>
      </c>
      <c r="AV15" s="87">
        <f t="shared" si="9"/>
        <v>0</v>
      </c>
      <c r="AW15" s="300">
        <f t="shared" si="80"/>
        <v>0</v>
      </c>
      <c r="AX15" s="91">
        <f t="shared" si="10"/>
        <v>0.01</v>
      </c>
      <c r="AY15" s="98">
        <f t="shared" si="11"/>
        <v>0</v>
      </c>
      <c r="BB15" s="6"/>
      <c r="BC15" s="291" t="s">
        <v>23</v>
      </c>
      <c r="BD15" s="86">
        <f t="shared" si="81"/>
        <v>13218</v>
      </c>
      <c r="BE15" s="87">
        <f>'EF peternakan'!$G$15</f>
        <v>1.37</v>
      </c>
      <c r="BF15" s="87">
        <f>'EF peternakan'!$H$15</f>
        <v>40</v>
      </c>
      <c r="BG15" s="91">
        <f t="shared" si="82"/>
        <v>20.002000000000002</v>
      </c>
      <c r="BH15" s="89">
        <f t="shared" si="12"/>
        <v>0.02</v>
      </c>
      <c r="BI15" s="83">
        <f t="shared" si="108"/>
        <v>5287.728720000001</v>
      </c>
      <c r="BJ15" s="88">
        <v>0.02</v>
      </c>
      <c r="BK15" s="85">
        <f t="shared" si="13"/>
        <v>166.18575977142859</v>
      </c>
      <c r="BS15" s="6"/>
      <c r="BT15" s="291" t="s">
        <v>23</v>
      </c>
      <c r="BU15" s="86">
        <f t="shared" si="84"/>
        <v>5287.728720000001</v>
      </c>
      <c r="BV15" s="87">
        <f t="shared" si="14"/>
        <v>0</v>
      </c>
      <c r="BW15" s="300">
        <f t="shared" si="85"/>
        <v>0</v>
      </c>
      <c r="BX15" s="91">
        <f t="shared" si="15"/>
        <v>0.01</v>
      </c>
      <c r="BY15" s="98">
        <f t="shared" si="16"/>
        <v>0</v>
      </c>
      <c r="CB15" s="6"/>
      <c r="CC15" s="291" t="s">
        <v>23</v>
      </c>
      <c r="CD15" s="86">
        <f t="shared" si="86"/>
        <v>13483</v>
      </c>
      <c r="CE15" s="87">
        <f>'EF peternakan'!$G$15</f>
        <v>1.37</v>
      </c>
      <c r="CF15" s="87">
        <f>'EF peternakan'!$H$15</f>
        <v>40</v>
      </c>
      <c r="CG15" s="91">
        <f t="shared" si="17"/>
        <v>20.002000000000002</v>
      </c>
      <c r="CH15" s="89">
        <f t="shared" si="18"/>
        <v>0.02</v>
      </c>
      <c r="CI15" s="83">
        <f t="shared" si="19"/>
        <v>5393.7393200000006</v>
      </c>
      <c r="CJ15" s="88">
        <v>0.02</v>
      </c>
      <c r="CK15" s="85">
        <f t="shared" si="20"/>
        <v>169.51752148571433</v>
      </c>
      <c r="CS15" s="6"/>
      <c r="CT15" s="291" t="s">
        <v>23</v>
      </c>
      <c r="CU15" s="86">
        <f t="shared" si="109"/>
        <v>5393.7393200000006</v>
      </c>
      <c r="CV15" s="87">
        <f t="shared" si="21"/>
        <v>0</v>
      </c>
      <c r="CW15" s="300">
        <f t="shared" si="87"/>
        <v>0</v>
      </c>
      <c r="CX15" s="91">
        <f t="shared" si="22"/>
        <v>0.01</v>
      </c>
      <c r="CY15" s="98">
        <f t="shared" si="23"/>
        <v>0</v>
      </c>
      <c r="DB15" s="6"/>
      <c r="DC15" s="291" t="s">
        <v>23</v>
      </c>
      <c r="DD15" s="86">
        <f t="shared" si="88"/>
        <v>13752</v>
      </c>
      <c r="DE15" s="87">
        <f>'EF peternakan'!$G$15</f>
        <v>1.37</v>
      </c>
      <c r="DF15" s="87">
        <f>'EF peternakan'!$H$15</f>
        <v>40</v>
      </c>
      <c r="DG15" s="91">
        <f t="shared" si="24"/>
        <v>20.002000000000002</v>
      </c>
      <c r="DH15" s="89">
        <f t="shared" si="25"/>
        <v>0.02</v>
      </c>
      <c r="DI15" s="83">
        <f t="shared" si="26"/>
        <v>5501.3500800000002</v>
      </c>
      <c r="DJ15" s="88">
        <v>0.02</v>
      </c>
      <c r="DK15" s="85">
        <f t="shared" si="27"/>
        <v>172.89957394285716</v>
      </c>
      <c r="DS15" s="6"/>
      <c r="DT15" s="291" t="s">
        <v>23</v>
      </c>
      <c r="DU15" s="86">
        <f t="shared" si="89"/>
        <v>5501.3500800000002</v>
      </c>
      <c r="DV15" s="87">
        <f t="shared" si="28"/>
        <v>0</v>
      </c>
      <c r="DW15" s="300">
        <f t="shared" si="90"/>
        <v>0</v>
      </c>
      <c r="DX15" s="91">
        <f t="shared" si="29"/>
        <v>0.01</v>
      </c>
      <c r="DY15" s="98">
        <f t="shared" si="30"/>
        <v>0</v>
      </c>
      <c r="EB15" s="6"/>
      <c r="EC15" s="291" t="s">
        <v>23</v>
      </c>
      <c r="ED15" s="86">
        <f t="shared" si="91"/>
        <v>14027</v>
      </c>
      <c r="EE15" s="87">
        <f>'EF peternakan'!$G$15</f>
        <v>1.37</v>
      </c>
      <c r="EF15" s="87">
        <f>'EF peternakan'!$H$15</f>
        <v>40</v>
      </c>
      <c r="EG15" s="91">
        <f t="shared" si="31"/>
        <v>20.002000000000002</v>
      </c>
      <c r="EH15" s="89">
        <f t="shared" si="32"/>
        <v>0.02</v>
      </c>
      <c r="EI15" s="83">
        <f t="shared" si="33"/>
        <v>5611.3610800000015</v>
      </c>
      <c r="EJ15" s="88">
        <v>0.02</v>
      </c>
      <c r="EK15" s="85">
        <f t="shared" si="34"/>
        <v>176.35706251428576</v>
      </c>
      <c r="ES15" s="6"/>
      <c r="ET15" s="291" t="s">
        <v>23</v>
      </c>
      <c r="EU15" s="86">
        <f t="shared" si="110"/>
        <v>5611.3610800000015</v>
      </c>
      <c r="EV15" s="87">
        <f t="shared" si="35"/>
        <v>0</v>
      </c>
      <c r="EW15" s="300">
        <f t="shared" si="92"/>
        <v>0</v>
      </c>
      <c r="EX15" s="91">
        <f t="shared" si="36"/>
        <v>0.01</v>
      </c>
      <c r="EY15" s="98">
        <f t="shared" si="37"/>
        <v>0</v>
      </c>
      <c r="FB15" s="6"/>
      <c r="FC15" s="291" t="s">
        <v>23</v>
      </c>
      <c r="FD15" s="86">
        <f t="shared" si="93"/>
        <v>14308</v>
      </c>
      <c r="FE15" s="87">
        <f>'EF peternakan'!$G$15</f>
        <v>1.37</v>
      </c>
      <c r="FF15" s="87">
        <f>'EF peternakan'!$H$15</f>
        <v>40</v>
      </c>
      <c r="FG15" s="91">
        <f t="shared" si="38"/>
        <v>20.002000000000002</v>
      </c>
      <c r="FH15" s="89">
        <f t="shared" si="39"/>
        <v>0.02</v>
      </c>
      <c r="FI15" s="83">
        <f t="shared" si="40"/>
        <v>5723.7723200000009</v>
      </c>
      <c r="FJ15" s="88">
        <v>0.02</v>
      </c>
      <c r="FK15" s="85">
        <f t="shared" si="41"/>
        <v>179.88998720000004</v>
      </c>
      <c r="FS15" s="6"/>
      <c r="FT15" s="291" t="s">
        <v>23</v>
      </c>
      <c r="FU15" s="86">
        <f t="shared" si="94"/>
        <v>5723.7723200000009</v>
      </c>
      <c r="FV15" s="87">
        <f t="shared" si="42"/>
        <v>0</v>
      </c>
      <c r="FW15" s="300">
        <f t="shared" si="95"/>
        <v>0</v>
      </c>
      <c r="FX15" s="91">
        <f t="shared" si="43"/>
        <v>0.01</v>
      </c>
      <c r="FY15" s="98">
        <f t="shared" si="96"/>
        <v>0</v>
      </c>
      <c r="GB15" s="6"/>
      <c r="GC15" s="291" t="s">
        <v>23</v>
      </c>
      <c r="GD15" s="86">
        <f t="shared" si="97"/>
        <v>14594</v>
      </c>
      <c r="GE15" s="87">
        <f>'EF peternakan'!$G$15</f>
        <v>1.37</v>
      </c>
      <c r="GF15" s="87">
        <f>'EF peternakan'!$H$15</f>
        <v>40</v>
      </c>
      <c r="GG15" s="91">
        <f t="shared" si="44"/>
        <v>20.002000000000002</v>
      </c>
      <c r="GH15" s="89">
        <f t="shared" si="45"/>
        <v>0.02</v>
      </c>
      <c r="GI15" s="83">
        <f t="shared" si="46"/>
        <v>5838.1837600000008</v>
      </c>
      <c r="GJ15" s="88">
        <v>0.02</v>
      </c>
      <c r="GK15" s="85">
        <f t="shared" si="47"/>
        <v>183.48577531428575</v>
      </c>
      <c r="GS15" s="6"/>
      <c r="GT15" s="291" t="s">
        <v>23</v>
      </c>
      <c r="GU15" s="86">
        <f t="shared" si="48"/>
        <v>5838.1837600000008</v>
      </c>
      <c r="GV15" s="87">
        <f t="shared" si="49"/>
        <v>0</v>
      </c>
      <c r="GW15" s="300">
        <f t="shared" si="98"/>
        <v>0</v>
      </c>
      <c r="GX15" s="91">
        <f t="shared" si="50"/>
        <v>0.01</v>
      </c>
      <c r="GY15" s="98">
        <f t="shared" si="51"/>
        <v>0</v>
      </c>
      <c r="HB15" s="6"/>
      <c r="HC15" s="291" t="s">
        <v>23</v>
      </c>
      <c r="HD15" s="86">
        <f t="shared" si="99"/>
        <v>14886</v>
      </c>
      <c r="HE15" s="87">
        <f>'EF peternakan'!$G$15</f>
        <v>1.37</v>
      </c>
      <c r="HF15" s="87">
        <f>'EF peternakan'!$H$15</f>
        <v>40</v>
      </c>
      <c r="HG15" s="91">
        <f t="shared" si="52"/>
        <v>20.002000000000002</v>
      </c>
      <c r="HH15" s="89">
        <f t="shared" si="53"/>
        <v>0.02</v>
      </c>
      <c r="HI15" s="83">
        <f t="shared" si="54"/>
        <v>5954.9954400000015</v>
      </c>
      <c r="HJ15" s="88">
        <v>0.02</v>
      </c>
      <c r="HK15" s="85">
        <f t="shared" si="55"/>
        <v>187.15699954285719</v>
      </c>
      <c r="HS15" s="6"/>
      <c r="HT15" s="291" t="s">
        <v>23</v>
      </c>
      <c r="HU15" s="86">
        <f t="shared" si="100"/>
        <v>5954.9954400000015</v>
      </c>
      <c r="HV15" s="87">
        <f t="shared" si="56"/>
        <v>0</v>
      </c>
      <c r="HW15" s="300">
        <f t="shared" si="101"/>
        <v>0</v>
      </c>
      <c r="HX15" s="91">
        <f t="shared" si="57"/>
        <v>0.01</v>
      </c>
      <c r="HY15" s="98">
        <f t="shared" si="58"/>
        <v>0</v>
      </c>
      <c r="IB15" s="6"/>
      <c r="IC15" s="291" t="s">
        <v>23</v>
      </c>
      <c r="ID15" s="86">
        <f t="shared" si="102"/>
        <v>15184</v>
      </c>
      <c r="IE15" s="87">
        <f>'EF peternakan'!$G$15</f>
        <v>1.37</v>
      </c>
      <c r="IF15" s="87">
        <f>'EF peternakan'!$H$15</f>
        <v>40</v>
      </c>
      <c r="IG15" s="91">
        <f t="shared" si="59"/>
        <v>20.002000000000002</v>
      </c>
      <c r="IH15" s="89">
        <f t="shared" si="60"/>
        <v>0.02</v>
      </c>
      <c r="II15" s="83">
        <f t="shared" si="61"/>
        <v>6074.2073600000003</v>
      </c>
      <c r="IJ15" s="88">
        <v>0.02</v>
      </c>
      <c r="IK15" s="85">
        <f t="shared" si="62"/>
        <v>190.90365988571429</v>
      </c>
      <c r="IS15" s="6"/>
      <c r="IT15" s="291" t="s">
        <v>23</v>
      </c>
      <c r="IU15" s="86">
        <f t="shared" si="63"/>
        <v>6074.2073600000003</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473495</v>
      </c>
      <c r="E17" s="87">
        <f>'EF peternakan'!$G$10</f>
        <v>0.82</v>
      </c>
      <c r="F17" s="293">
        <f>'EF peternakan'!$H$10</f>
        <v>2</v>
      </c>
      <c r="G17" s="9">
        <f t="shared" si="106"/>
        <v>0.59860000000000002</v>
      </c>
      <c r="H17" s="89">
        <f t="shared" si="76"/>
        <v>0.02</v>
      </c>
      <c r="I17" s="83">
        <f t="shared" si="107"/>
        <v>5668.6821400000008</v>
      </c>
      <c r="J17" s="306">
        <f>'EF peternakan'!$C$32</f>
        <v>0.01</v>
      </c>
      <c r="K17" s="85">
        <f t="shared" si="0"/>
        <v>89.079290771428575</v>
      </c>
      <c r="S17" s="6"/>
      <c r="T17" s="291" t="s">
        <v>72</v>
      </c>
      <c r="U17" s="86">
        <f t="shared" si="1"/>
        <v>5668.6821400000008</v>
      </c>
      <c r="V17" s="9"/>
      <c r="W17" s="9"/>
      <c r="X17" s="9"/>
      <c r="Y17" s="96"/>
      <c r="AB17" s="6"/>
      <c r="AC17" s="291" t="s">
        <v>72</v>
      </c>
      <c r="AD17" s="86">
        <f t="shared" si="79"/>
        <v>482965</v>
      </c>
      <c r="AE17" s="87">
        <f>'EF peternakan'!$G$10</f>
        <v>0.82</v>
      </c>
      <c r="AF17" s="87">
        <f>'EF peternakan'!$H$10</f>
        <v>2</v>
      </c>
      <c r="AG17" s="91">
        <f t="shared" si="4"/>
        <v>0.59860000000000002</v>
      </c>
      <c r="AH17" s="89">
        <f t="shared" si="5"/>
        <v>0.02</v>
      </c>
      <c r="AI17" s="83">
        <f t="shared" si="6"/>
        <v>5782.0569800000003</v>
      </c>
      <c r="AJ17" s="306">
        <f>'EF peternakan'!$C$32</f>
        <v>0.01</v>
      </c>
      <c r="AK17" s="85">
        <f t="shared" si="7"/>
        <v>90.860895400000004</v>
      </c>
      <c r="AS17" s="6"/>
      <c r="AT17" s="291" t="s">
        <v>72</v>
      </c>
      <c r="AU17" s="86">
        <f t="shared" ref="AU17:AU20" si="111">AI17</f>
        <v>5782.0569800000003</v>
      </c>
      <c r="AV17" s="9"/>
      <c r="AW17" s="9"/>
      <c r="AX17" s="9"/>
      <c r="AY17" s="96"/>
      <c r="BB17" s="6"/>
      <c r="BC17" s="291" t="s">
        <v>72</v>
      </c>
      <c r="BD17" s="44">
        <f>E45</f>
        <v>492624</v>
      </c>
      <c r="BE17" s="87">
        <f>'EF peternakan'!$G$10</f>
        <v>0.82</v>
      </c>
      <c r="BF17" s="87">
        <f>'EF peternakan'!$H$10</f>
        <v>2</v>
      </c>
      <c r="BG17" s="91">
        <f t="shared" ref="BG17:BG21" si="112">BE17*(BF17/10^3)*365</f>
        <v>0.59860000000000002</v>
      </c>
      <c r="BH17" s="89">
        <f t="shared" ref="BH17:BH21" si="113">BI$26/100</f>
        <v>0.02</v>
      </c>
      <c r="BI17" s="83">
        <f t="shared" si="108"/>
        <v>5897.694528</v>
      </c>
      <c r="BJ17" s="306">
        <f>'EF peternakan'!$C$32</f>
        <v>0.01</v>
      </c>
      <c r="BK17" s="85">
        <f t="shared" si="13"/>
        <v>92.678056868571431</v>
      </c>
      <c r="BS17" s="6"/>
      <c r="BT17" s="291" t="s">
        <v>72</v>
      </c>
      <c r="BU17" s="86">
        <f t="shared" ref="BU17:BU21" si="114">BI17</f>
        <v>5897.694528</v>
      </c>
      <c r="BV17" s="9"/>
      <c r="BW17" s="9"/>
      <c r="BX17" s="9"/>
      <c r="BY17" s="96"/>
      <c r="CB17" s="6"/>
      <c r="CC17" s="291" t="s">
        <v>72</v>
      </c>
      <c r="CD17" s="86">
        <f>F45</f>
        <v>502477</v>
      </c>
      <c r="CE17" s="87">
        <f>'EF peternakan'!$G$10</f>
        <v>0.82</v>
      </c>
      <c r="CF17" s="87">
        <f>'EF peternakan'!$H$10</f>
        <v>2</v>
      </c>
      <c r="CG17" s="91">
        <f t="shared" si="17"/>
        <v>0.59860000000000002</v>
      </c>
      <c r="CH17" s="89">
        <f t="shared" si="18"/>
        <v>0.02</v>
      </c>
      <c r="CI17" s="83">
        <f t="shared" ref="CI17:CI21" si="115">CD17*CG17*CH17</f>
        <v>6015.6546440000011</v>
      </c>
      <c r="CJ17" s="306">
        <f>'EF peternakan'!$C$32</f>
        <v>0.01</v>
      </c>
      <c r="CK17" s="85">
        <f t="shared" si="20"/>
        <v>94.531715834285734</v>
      </c>
      <c r="CS17" s="6"/>
      <c r="CT17" s="291" t="s">
        <v>72</v>
      </c>
      <c r="CU17" s="86">
        <f t="shared" ref="CU17:CU21" si="116">CI17</f>
        <v>6015.6546440000011</v>
      </c>
      <c r="CV17" s="9"/>
      <c r="CW17" s="9"/>
      <c r="CX17" s="9"/>
      <c r="CY17" s="96"/>
      <c r="DB17" s="6"/>
      <c r="DC17" s="291" t="s">
        <v>72</v>
      </c>
      <c r="DD17" s="44">
        <f>G45</f>
        <v>512526</v>
      </c>
      <c r="DE17" s="87">
        <f>'EF peternakan'!$G$10</f>
        <v>0.82</v>
      </c>
      <c r="DF17" s="87">
        <f>'EF peternakan'!$H$10</f>
        <v>2</v>
      </c>
      <c r="DG17" s="91">
        <f t="shared" si="24"/>
        <v>0.59860000000000002</v>
      </c>
      <c r="DH17" s="89">
        <f t="shared" si="25"/>
        <v>0.02</v>
      </c>
      <c r="DI17" s="83">
        <f>DD17*DG17*DH17</f>
        <v>6135.9612720000005</v>
      </c>
      <c r="DJ17" s="306">
        <f>'EF peternakan'!$C$32</f>
        <v>0.01</v>
      </c>
      <c r="DK17" s="85">
        <f t="shared" ref="DK17:DK21" si="117">DI17*DJ17*(44/28)</f>
        <v>96.422248560000014</v>
      </c>
      <c r="DS17" s="6"/>
      <c r="DT17" s="291" t="s">
        <v>72</v>
      </c>
      <c r="DU17" s="86">
        <f t="shared" ref="DU17:DU21" si="118">DI17</f>
        <v>6135.9612720000005</v>
      </c>
      <c r="DV17" s="9"/>
      <c r="DW17" s="9"/>
      <c r="DX17" s="9"/>
      <c r="DY17" s="96"/>
      <c r="EB17" s="6"/>
      <c r="EC17" s="291" t="s">
        <v>72</v>
      </c>
      <c r="ED17" s="86">
        <f t="shared" si="91"/>
        <v>522777</v>
      </c>
      <c r="EE17" s="87">
        <f>'EF peternakan'!$G$10</f>
        <v>0.82</v>
      </c>
      <c r="EF17" s="87">
        <f>'EF peternakan'!$H$10</f>
        <v>2</v>
      </c>
      <c r="EG17" s="91">
        <f t="shared" si="31"/>
        <v>0.59860000000000002</v>
      </c>
      <c r="EH17" s="89">
        <f t="shared" si="32"/>
        <v>0.02</v>
      </c>
      <c r="EI17" s="83">
        <f t="shared" si="33"/>
        <v>6258.6862439999995</v>
      </c>
      <c r="EJ17" s="306">
        <f>'EF peternakan'!$C$32</f>
        <v>0.01</v>
      </c>
      <c r="EK17" s="85">
        <f t="shared" si="34"/>
        <v>98.350783834285707</v>
      </c>
      <c r="ES17" s="6"/>
      <c r="ET17" s="291" t="s">
        <v>72</v>
      </c>
      <c r="EU17" s="86">
        <f t="shared" si="110"/>
        <v>6258.6862439999995</v>
      </c>
      <c r="EV17" s="9"/>
      <c r="EW17" s="9"/>
      <c r="EX17" s="9"/>
      <c r="EY17" s="96"/>
      <c r="FB17" s="6"/>
      <c r="FC17" s="291" t="s">
        <v>72</v>
      </c>
      <c r="FD17" s="86">
        <f t="shared" si="93"/>
        <v>533232</v>
      </c>
      <c r="FE17" s="87">
        <f>'EF peternakan'!$G$10</f>
        <v>0.82</v>
      </c>
      <c r="FF17" s="87">
        <f>'EF peternakan'!$H$10</f>
        <v>2</v>
      </c>
      <c r="FG17" s="91">
        <f t="shared" si="38"/>
        <v>0.59860000000000002</v>
      </c>
      <c r="FH17" s="89">
        <f t="shared" si="39"/>
        <v>0.02</v>
      </c>
      <c r="FI17" s="83">
        <f t="shared" ref="FI17:FI21" si="119">FD17*FG17*FH17</f>
        <v>6383.8535039999997</v>
      </c>
      <c r="FJ17" s="306">
        <f>'EF peternakan'!$C$32</f>
        <v>0.01</v>
      </c>
      <c r="FK17" s="85">
        <f t="shared" ref="FK17:FK21" si="120">FI17*FJ17*(44/28)</f>
        <v>100.31769791999999</v>
      </c>
      <c r="FS17" s="6"/>
      <c r="FT17" s="291" t="s">
        <v>72</v>
      </c>
      <c r="FU17" s="86">
        <f t="shared" si="94"/>
        <v>6383.8535039999997</v>
      </c>
      <c r="FV17" s="9"/>
      <c r="FW17" s="9"/>
      <c r="FX17" s="9"/>
      <c r="FY17" s="96"/>
      <c r="GB17" s="6"/>
      <c r="GC17" s="291" t="s">
        <v>72</v>
      </c>
      <c r="GD17" s="86">
        <f t="shared" si="97"/>
        <v>543897</v>
      </c>
      <c r="GE17" s="87">
        <f>'EF peternakan'!$G$10</f>
        <v>0.82</v>
      </c>
      <c r="GF17" s="87">
        <f>'EF peternakan'!$H$10</f>
        <v>2</v>
      </c>
      <c r="GG17" s="91">
        <f t="shared" si="44"/>
        <v>0.59860000000000002</v>
      </c>
      <c r="GH17" s="89">
        <f t="shared" si="45"/>
        <v>0.02</v>
      </c>
      <c r="GI17" s="83">
        <f t="shared" ref="GI17:GI21" si="121">GD17*GG17*GH17</f>
        <v>6511.5348840000006</v>
      </c>
      <c r="GJ17" s="306">
        <f>'EF peternakan'!$C$32</f>
        <v>0.01</v>
      </c>
      <c r="GK17" s="85">
        <f t="shared" ref="GK17:GK21" si="122">GI17*GJ17*(44/28)</f>
        <v>102.3241196057143</v>
      </c>
      <c r="GS17" s="6"/>
      <c r="GT17" s="291" t="s">
        <v>72</v>
      </c>
      <c r="GU17" s="86">
        <f t="shared" si="48"/>
        <v>6511.5348840000006</v>
      </c>
      <c r="GV17" s="9"/>
      <c r="GW17" s="9"/>
      <c r="GX17" s="9"/>
      <c r="GY17" s="96"/>
      <c r="HB17" s="6"/>
      <c r="HC17" s="291" t="s">
        <v>72</v>
      </c>
      <c r="HD17" s="86">
        <f t="shared" si="99"/>
        <v>554775</v>
      </c>
      <c r="HE17" s="87">
        <f>'EF peternakan'!$G$10</f>
        <v>0.82</v>
      </c>
      <c r="HF17" s="87">
        <f>'EF peternakan'!$H$10</f>
        <v>2</v>
      </c>
      <c r="HG17" s="91">
        <f t="shared" si="52"/>
        <v>0.59860000000000002</v>
      </c>
      <c r="HH17" s="89">
        <f t="shared" si="53"/>
        <v>0.02</v>
      </c>
      <c r="HI17" s="83">
        <f t="shared" si="54"/>
        <v>6641.7663000000002</v>
      </c>
      <c r="HJ17" s="306">
        <f>'EF peternakan'!$C$32</f>
        <v>0.01</v>
      </c>
      <c r="HK17" s="85">
        <f t="shared" si="55"/>
        <v>104.37061328571428</v>
      </c>
      <c r="HS17" s="6"/>
      <c r="HT17" s="291" t="s">
        <v>72</v>
      </c>
      <c r="HU17" s="86">
        <f t="shared" si="100"/>
        <v>6641.7663000000002</v>
      </c>
      <c r="HV17" s="9"/>
      <c r="HW17" s="9"/>
      <c r="HX17" s="9"/>
      <c r="HY17" s="96"/>
      <c r="IB17" s="6"/>
      <c r="IC17" s="291" t="s">
        <v>72</v>
      </c>
      <c r="ID17" s="86">
        <f t="shared" si="102"/>
        <v>565870</v>
      </c>
      <c r="IE17" s="87">
        <f>'EF peternakan'!$G$10</f>
        <v>0.82</v>
      </c>
      <c r="IF17" s="87">
        <f>'EF peternakan'!$H$10</f>
        <v>2</v>
      </c>
      <c r="IG17" s="91">
        <f t="shared" si="59"/>
        <v>0.59860000000000002</v>
      </c>
      <c r="IH17" s="89">
        <f t="shared" si="60"/>
        <v>0.02</v>
      </c>
      <c r="II17" s="83">
        <f t="shared" si="61"/>
        <v>6774.5956400000005</v>
      </c>
      <c r="IJ17" s="306">
        <f>'EF peternakan'!$C$32</f>
        <v>0.01</v>
      </c>
      <c r="IK17" s="85">
        <f t="shared" si="62"/>
        <v>106.4579314857143</v>
      </c>
      <c r="IS17" s="6"/>
      <c r="IT17" s="291" t="s">
        <v>72</v>
      </c>
      <c r="IU17" s="86">
        <f t="shared" si="63"/>
        <v>6774.5956400000005</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2073606</v>
      </c>
      <c r="E18" s="87">
        <f>'EF peternakan'!$G$11</f>
        <v>1.1000000000000001</v>
      </c>
      <c r="F18" s="293">
        <f>'EF peternakan'!$H$11</f>
        <v>2</v>
      </c>
      <c r="G18" s="9">
        <f t="shared" si="106"/>
        <v>0.80300000000000005</v>
      </c>
      <c r="H18" s="89">
        <f t="shared" si="76"/>
        <v>0.02</v>
      </c>
      <c r="I18" s="83">
        <f t="shared" si="107"/>
        <v>33302.112359999999</v>
      </c>
      <c r="J18" s="306">
        <f>'EF peternakan'!$C$32</f>
        <v>0.01</v>
      </c>
      <c r="K18" s="85">
        <f t="shared" si="0"/>
        <v>523.31890851428568</v>
      </c>
      <c r="S18" s="6"/>
      <c r="T18" s="291" t="s">
        <v>73</v>
      </c>
      <c r="U18" s="86">
        <f t="shared" si="1"/>
        <v>33302.112359999999</v>
      </c>
      <c r="V18" s="9"/>
      <c r="W18" s="9"/>
      <c r="X18" s="9"/>
      <c r="Y18" s="96"/>
      <c r="AB18" s="6"/>
      <c r="AC18" s="291" t="s">
        <v>73</v>
      </c>
      <c r="AD18" s="86">
        <f t="shared" si="79"/>
        <v>2115078</v>
      </c>
      <c r="AE18" s="87">
        <f>'EF peternakan'!$G$11</f>
        <v>1.1000000000000001</v>
      </c>
      <c r="AF18" s="87">
        <f>'EF peternakan'!$H$11</f>
        <v>2</v>
      </c>
      <c r="AG18" s="91">
        <f t="shared" si="4"/>
        <v>0.80300000000000005</v>
      </c>
      <c r="AH18" s="89">
        <f t="shared" si="5"/>
        <v>0.02</v>
      </c>
      <c r="AI18" s="83">
        <f t="shared" si="6"/>
        <v>33968.152679999999</v>
      </c>
      <c r="AJ18" s="306">
        <f>'EF peternakan'!$C$32</f>
        <v>0.01</v>
      </c>
      <c r="AK18" s="85">
        <f t="shared" si="7"/>
        <v>533.78525639999998</v>
      </c>
      <c r="AS18" s="6"/>
      <c r="AT18" s="291" t="s">
        <v>73</v>
      </c>
      <c r="AU18" s="86">
        <f t="shared" si="111"/>
        <v>33968.152679999999</v>
      </c>
      <c r="AV18" s="9"/>
      <c r="AW18" s="9"/>
      <c r="AX18" s="9"/>
      <c r="AY18" s="96"/>
      <c r="BB18" s="6"/>
      <c r="BC18" s="291" t="s">
        <v>73</v>
      </c>
      <c r="BD18" s="44">
        <f t="shared" ref="BD18:BD20" si="124">E46</f>
        <v>2157380</v>
      </c>
      <c r="BE18" s="87">
        <f>'EF peternakan'!$G$11</f>
        <v>1.1000000000000001</v>
      </c>
      <c r="BF18" s="87">
        <f>'EF peternakan'!$H$11</f>
        <v>2</v>
      </c>
      <c r="BG18" s="91">
        <f t="shared" si="112"/>
        <v>0.80300000000000005</v>
      </c>
      <c r="BH18" s="89">
        <f t="shared" si="113"/>
        <v>0.02</v>
      </c>
      <c r="BI18" s="83">
        <f t="shared" si="108"/>
        <v>34647.522800000006</v>
      </c>
      <c r="BJ18" s="306">
        <f>'EF peternakan'!$C$32</f>
        <v>0.01</v>
      </c>
      <c r="BK18" s="85">
        <f t="shared" si="13"/>
        <v>544.46107257142864</v>
      </c>
      <c r="BS18" s="6"/>
      <c r="BT18" s="291" t="s">
        <v>73</v>
      </c>
      <c r="BU18" s="86">
        <f t="shared" si="114"/>
        <v>34647.522800000006</v>
      </c>
      <c r="BV18" s="9"/>
      <c r="BW18" s="9"/>
      <c r="BX18" s="9"/>
      <c r="BY18" s="96"/>
      <c r="CB18" s="6"/>
      <c r="CC18" s="291" t="s">
        <v>73</v>
      </c>
      <c r="CD18" s="86">
        <f t="shared" ref="CD18:CD20" si="125">F46</f>
        <v>2200527</v>
      </c>
      <c r="CE18" s="87">
        <f>'EF peternakan'!$G$11</f>
        <v>1.1000000000000001</v>
      </c>
      <c r="CF18" s="87">
        <f>'EF peternakan'!$H$11</f>
        <v>2</v>
      </c>
      <c r="CG18" s="91">
        <f t="shared" si="17"/>
        <v>0.80300000000000005</v>
      </c>
      <c r="CH18" s="89">
        <f t="shared" si="18"/>
        <v>0.02</v>
      </c>
      <c r="CI18" s="83">
        <f t="shared" si="115"/>
        <v>35340.463620000002</v>
      </c>
      <c r="CJ18" s="306">
        <f>'EF peternakan'!$C$32</f>
        <v>0.01</v>
      </c>
      <c r="CK18" s="85">
        <f t="shared" si="20"/>
        <v>555.35014260000003</v>
      </c>
      <c r="CS18" s="6"/>
      <c r="CT18" s="291" t="s">
        <v>73</v>
      </c>
      <c r="CU18" s="86">
        <f t="shared" si="116"/>
        <v>35340.463620000002</v>
      </c>
      <c r="CV18" s="9"/>
      <c r="CW18" s="9"/>
      <c r="CX18" s="9"/>
      <c r="CY18" s="96"/>
      <c r="DB18" s="6"/>
      <c r="DC18" s="291" t="s">
        <v>73</v>
      </c>
      <c r="DD18" s="44">
        <f t="shared" ref="DD18:DD21" si="126">G46</f>
        <v>2244538</v>
      </c>
      <c r="DE18" s="87">
        <f>'EF peternakan'!$G$11</f>
        <v>1.1000000000000001</v>
      </c>
      <c r="DF18" s="87">
        <f>'EF peternakan'!$H$11</f>
        <v>2</v>
      </c>
      <c r="DG18" s="91">
        <f t="shared" si="24"/>
        <v>0.80300000000000005</v>
      </c>
      <c r="DH18" s="89">
        <f t="shared" si="25"/>
        <v>0.02</v>
      </c>
      <c r="DI18" s="83">
        <f t="shared" si="26"/>
        <v>36047.280280000006</v>
      </c>
      <c r="DJ18" s="306">
        <f>'EF peternakan'!$C$32</f>
        <v>0.01</v>
      </c>
      <c r="DK18" s="85">
        <f t="shared" si="117"/>
        <v>566.45726154285728</v>
      </c>
      <c r="DS18" s="6"/>
      <c r="DT18" s="291" t="s">
        <v>73</v>
      </c>
      <c r="DU18" s="86">
        <f t="shared" si="118"/>
        <v>36047.280280000006</v>
      </c>
      <c r="DV18" s="9"/>
      <c r="DW18" s="9"/>
      <c r="DX18" s="9"/>
      <c r="DY18" s="96"/>
      <c r="EB18" s="6"/>
      <c r="EC18" s="291" t="s">
        <v>73</v>
      </c>
      <c r="ED18" s="86">
        <f t="shared" si="91"/>
        <v>2289429</v>
      </c>
      <c r="EE18" s="87">
        <f>'EF peternakan'!$G$11</f>
        <v>1.1000000000000001</v>
      </c>
      <c r="EF18" s="87">
        <f>'EF peternakan'!$H$11</f>
        <v>2</v>
      </c>
      <c r="EG18" s="91">
        <f t="shared" si="31"/>
        <v>0.80300000000000005</v>
      </c>
      <c r="EH18" s="89">
        <f t="shared" si="32"/>
        <v>0.02</v>
      </c>
      <c r="EI18" s="83">
        <f>ED18*EG18*EH18</f>
        <v>36768.229740000002</v>
      </c>
      <c r="EJ18" s="306">
        <f>'EF peternakan'!$C$32</f>
        <v>0.01</v>
      </c>
      <c r="EK18" s="85">
        <f>EI18*EJ18*(44/28)</f>
        <v>577.78646734285724</v>
      </c>
      <c r="ES18" s="6"/>
      <c r="ET18" s="291" t="s">
        <v>73</v>
      </c>
      <c r="EU18" s="86">
        <f t="shared" si="110"/>
        <v>36768.229740000002</v>
      </c>
      <c r="EV18" s="9"/>
      <c r="EW18" s="9"/>
      <c r="EX18" s="9"/>
      <c r="EY18" s="96"/>
      <c r="FB18" s="6"/>
      <c r="FC18" s="291" t="s">
        <v>73</v>
      </c>
      <c r="FD18" s="86">
        <f t="shared" si="93"/>
        <v>2335217</v>
      </c>
      <c r="FE18" s="87">
        <f>'EF peternakan'!$G$11</f>
        <v>1.1000000000000001</v>
      </c>
      <c r="FF18" s="87">
        <f>'EF peternakan'!$H$11</f>
        <v>2</v>
      </c>
      <c r="FG18" s="91">
        <f t="shared" si="38"/>
        <v>0.80300000000000005</v>
      </c>
      <c r="FH18" s="89">
        <f t="shared" si="39"/>
        <v>0.02</v>
      </c>
      <c r="FI18" s="83">
        <f>FD18*FG18*FH18</f>
        <v>37503.585020000006</v>
      </c>
      <c r="FJ18" s="306">
        <f>'EF peternakan'!$C$32</f>
        <v>0.01</v>
      </c>
      <c r="FK18" s="85">
        <f>FI18*FJ18*(44/28)</f>
        <v>589.34205031428587</v>
      </c>
      <c r="FS18" s="6"/>
      <c r="FT18" s="291" t="s">
        <v>73</v>
      </c>
      <c r="FU18" s="86">
        <f t="shared" si="94"/>
        <v>37503.585020000006</v>
      </c>
      <c r="FV18" s="9"/>
      <c r="FW18" s="9"/>
      <c r="FX18" s="9"/>
      <c r="FY18" s="96"/>
      <c r="GB18" s="6"/>
      <c r="GC18" s="291" t="s">
        <v>73</v>
      </c>
      <c r="GD18" s="86">
        <f t="shared" si="97"/>
        <v>2381921</v>
      </c>
      <c r="GE18" s="87">
        <f>'EF peternakan'!$G$11</f>
        <v>1.1000000000000001</v>
      </c>
      <c r="GF18" s="87">
        <f>'EF peternakan'!$H$11</f>
        <v>2</v>
      </c>
      <c r="GG18" s="91">
        <f t="shared" si="44"/>
        <v>0.80300000000000005</v>
      </c>
      <c r="GH18" s="89">
        <f t="shared" si="45"/>
        <v>0.02</v>
      </c>
      <c r="GI18" s="83">
        <f t="shared" si="121"/>
        <v>38253.651260000006</v>
      </c>
      <c r="GJ18" s="306">
        <f>'EF peternakan'!$C$32</f>
        <v>0.01</v>
      </c>
      <c r="GK18" s="85">
        <f t="shared" si="122"/>
        <v>601.12880551428589</v>
      </c>
      <c r="GS18" s="6"/>
      <c r="GT18" s="291" t="s">
        <v>73</v>
      </c>
      <c r="GU18" s="86">
        <f t="shared" si="48"/>
        <v>38253.651260000006</v>
      </c>
      <c r="GV18" s="9"/>
      <c r="GW18" s="9"/>
      <c r="GX18" s="9"/>
      <c r="GY18" s="96"/>
      <c r="HB18" s="6"/>
      <c r="HC18" s="291" t="s">
        <v>73</v>
      </c>
      <c r="HD18" s="86">
        <f t="shared" si="99"/>
        <v>2429560</v>
      </c>
      <c r="HE18" s="87">
        <f>'EF peternakan'!$G$11</f>
        <v>1.1000000000000001</v>
      </c>
      <c r="HF18" s="87">
        <f>'EF peternakan'!$H$11</f>
        <v>2</v>
      </c>
      <c r="HG18" s="91">
        <f t="shared" si="52"/>
        <v>0.80300000000000005</v>
      </c>
      <c r="HH18" s="89">
        <f t="shared" si="53"/>
        <v>0.02</v>
      </c>
      <c r="HI18" s="83">
        <f t="shared" si="54"/>
        <v>39018.733600000007</v>
      </c>
      <c r="HJ18" s="306">
        <f>'EF peternakan'!$C$32</f>
        <v>0.01</v>
      </c>
      <c r="HK18" s="85">
        <f t="shared" si="55"/>
        <v>613.1515280000001</v>
      </c>
      <c r="HS18" s="6"/>
      <c r="HT18" s="291" t="s">
        <v>73</v>
      </c>
      <c r="HU18" s="86">
        <f t="shared" si="100"/>
        <v>39018.733600000007</v>
      </c>
      <c r="HV18" s="9"/>
      <c r="HW18" s="9"/>
      <c r="HX18" s="9"/>
      <c r="HY18" s="96"/>
      <c r="IB18" s="6"/>
      <c r="IC18" s="291" t="s">
        <v>73</v>
      </c>
      <c r="ID18" s="86">
        <f t="shared" si="102"/>
        <v>2478151</v>
      </c>
      <c r="IE18" s="87">
        <f>'EF peternakan'!$G$11</f>
        <v>1.1000000000000001</v>
      </c>
      <c r="IF18" s="87">
        <f>'EF peternakan'!$H$11</f>
        <v>2</v>
      </c>
      <c r="IG18" s="91">
        <f t="shared" si="59"/>
        <v>0.80300000000000005</v>
      </c>
      <c r="IH18" s="89">
        <f t="shared" si="60"/>
        <v>0.02</v>
      </c>
      <c r="II18" s="83">
        <f t="shared" si="61"/>
        <v>39799.105060000002</v>
      </c>
      <c r="IJ18" s="306">
        <f>'EF peternakan'!$C$32</f>
        <v>0.01</v>
      </c>
      <c r="IK18" s="85">
        <f t="shared" si="62"/>
        <v>625.41450808571437</v>
      </c>
      <c r="IS18" s="6"/>
      <c r="IT18" s="291" t="s">
        <v>73</v>
      </c>
      <c r="IU18" s="86">
        <f t="shared" si="63"/>
        <v>39799.105060000002</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0</v>
      </c>
      <c r="E19" s="87">
        <f>'EF peternakan'!$G$10</f>
        <v>0.82</v>
      </c>
      <c r="F19" s="293">
        <f>'EF peternakan'!$H$10</f>
        <v>2</v>
      </c>
      <c r="G19" s="9">
        <f t="shared" si="106"/>
        <v>0.59860000000000002</v>
      </c>
      <c r="H19" s="89">
        <f t="shared" si="76"/>
        <v>0.02</v>
      </c>
      <c r="I19" s="83">
        <f t="shared" si="107"/>
        <v>0</v>
      </c>
      <c r="J19" s="306">
        <f>'EF peternakan'!$C$32</f>
        <v>0.01</v>
      </c>
      <c r="K19" s="85">
        <f t="shared" si="0"/>
        <v>0</v>
      </c>
      <c r="S19" s="6"/>
      <c r="T19" s="291" t="s">
        <v>74</v>
      </c>
      <c r="U19" s="86">
        <f t="shared" si="1"/>
        <v>0</v>
      </c>
      <c r="V19" s="9"/>
      <c r="W19" s="9"/>
      <c r="X19" s="9"/>
      <c r="Y19" s="96"/>
      <c r="AB19" s="6"/>
      <c r="AC19" s="291" t="s">
        <v>74</v>
      </c>
      <c r="AD19" s="86">
        <f t="shared" si="79"/>
        <v>0</v>
      </c>
      <c r="AE19" s="87">
        <f>'EF peternakan'!$G$10</f>
        <v>0.82</v>
      </c>
      <c r="AF19" s="87">
        <f>'EF peternakan'!$H$10</f>
        <v>2</v>
      </c>
      <c r="AG19" s="91">
        <f t="shared" si="4"/>
        <v>0.59860000000000002</v>
      </c>
      <c r="AH19" s="89">
        <f t="shared" si="5"/>
        <v>0.02</v>
      </c>
      <c r="AI19" s="83">
        <f t="shared" si="6"/>
        <v>0</v>
      </c>
      <c r="AJ19" s="306">
        <f>'EF peternakan'!$C$32</f>
        <v>0.01</v>
      </c>
      <c r="AK19" s="85">
        <f t="shared" si="7"/>
        <v>0</v>
      </c>
      <c r="AS19" s="6"/>
      <c r="AT19" s="291" t="s">
        <v>74</v>
      </c>
      <c r="AU19" s="86">
        <f t="shared" si="111"/>
        <v>0</v>
      </c>
      <c r="AV19" s="9"/>
      <c r="AW19" s="9"/>
      <c r="AX19" s="9"/>
      <c r="AY19" s="96"/>
      <c r="BB19" s="6"/>
      <c r="BC19" s="291" t="s">
        <v>74</v>
      </c>
      <c r="BD19" s="44">
        <f t="shared" si="124"/>
        <v>0</v>
      </c>
      <c r="BE19" s="87">
        <f>'EF peternakan'!$G$10</f>
        <v>0.82</v>
      </c>
      <c r="BF19" s="87">
        <f>'EF peternakan'!$H$10</f>
        <v>2</v>
      </c>
      <c r="BG19" s="91">
        <f t="shared" si="112"/>
        <v>0.59860000000000002</v>
      </c>
      <c r="BH19" s="89">
        <f t="shared" si="113"/>
        <v>0.02</v>
      </c>
      <c r="BI19" s="83">
        <f t="shared" si="108"/>
        <v>0</v>
      </c>
      <c r="BJ19" s="306">
        <f>'EF peternakan'!$C$32</f>
        <v>0.01</v>
      </c>
      <c r="BK19" s="85">
        <f t="shared" si="13"/>
        <v>0</v>
      </c>
      <c r="BS19" s="6"/>
      <c r="BT19" s="291" t="s">
        <v>74</v>
      </c>
      <c r="BU19" s="86">
        <f t="shared" si="114"/>
        <v>0</v>
      </c>
      <c r="BV19" s="9"/>
      <c r="BW19" s="9"/>
      <c r="BX19" s="9"/>
      <c r="BY19" s="96"/>
      <c r="CB19" s="6"/>
      <c r="CC19" s="291" t="s">
        <v>74</v>
      </c>
      <c r="CD19" s="86">
        <f t="shared" si="125"/>
        <v>0</v>
      </c>
      <c r="CE19" s="87">
        <f>'EF peternakan'!$G$10</f>
        <v>0.82</v>
      </c>
      <c r="CF19" s="87">
        <f>'EF peternakan'!$H$10</f>
        <v>2</v>
      </c>
      <c r="CG19" s="91">
        <f t="shared" si="17"/>
        <v>0.59860000000000002</v>
      </c>
      <c r="CH19" s="89">
        <f t="shared" si="18"/>
        <v>0.02</v>
      </c>
      <c r="CI19" s="83">
        <f t="shared" si="115"/>
        <v>0</v>
      </c>
      <c r="CJ19" s="306">
        <f>'EF peternakan'!$C$32</f>
        <v>0.01</v>
      </c>
      <c r="CK19" s="85">
        <f t="shared" si="20"/>
        <v>0</v>
      </c>
      <c r="CS19" s="6"/>
      <c r="CT19" s="291" t="s">
        <v>74</v>
      </c>
      <c r="CU19" s="86">
        <f t="shared" si="116"/>
        <v>0</v>
      </c>
      <c r="CV19" s="9"/>
      <c r="CW19" s="9"/>
      <c r="CX19" s="9"/>
      <c r="CY19" s="96"/>
      <c r="DB19" s="6"/>
      <c r="DC19" s="291" t="s">
        <v>74</v>
      </c>
      <c r="DD19" s="44">
        <f t="shared" si="126"/>
        <v>0</v>
      </c>
      <c r="DE19" s="87">
        <f>'EF peternakan'!$G$10</f>
        <v>0.82</v>
      </c>
      <c r="DF19" s="87">
        <f>'EF peternakan'!$H$10</f>
        <v>2</v>
      </c>
      <c r="DG19" s="91">
        <f t="shared" si="24"/>
        <v>0.59860000000000002</v>
      </c>
      <c r="DH19" s="89">
        <f t="shared" si="25"/>
        <v>0.02</v>
      </c>
      <c r="DI19" s="83">
        <f t="shared" si="26"/>
        <v>0</v>
      </c>
      <c r="DJ19" s="306">
        <f>'EF peternakan'!$C$32</f>
        <v>0.01</v>
      </c>
      <c r="DK19" s="85">
        <f t="shared" si="117"/>
        <v>0</v>
      </c>
      <c r="DS19" s="6"/>
      <c r="DT19" s="291" t="s">
        <v>74</v>
      </c>
      <c r="DU19" s="86">
        <f t="shared" si="118"/>
        <v>0</v>
      </c>
      <c r="DV19" s="9"/>
      <c r="DW19" s="9"/>
      <c r="DX19" s="9"/>
      <c r="DY19" s="96"/>
      <c r="EB19" s="6"/>
      <c r="EC19" s="291" t="s">
        <v>74</v>
      </c>
      <c r="ED19" s="86">
        <f t="shared" si="91"/>
        <v>0</v>
      </c>
      <c r="EE19" s="87">
        <f>'EF peternakan'!$G$10</f>
        <v>0.82</v>
      </c>
      <c r="EF19" s="87">
        <f>'EF peternakan'!$H$10</f>
        <v>2</v>
      </c>
      <c r="EG19" s="91">
        <f t="shared" si="31"/>
        <v>0.59860000000000002</v>
      </c>
      <c r="EH19" s="89">
        <f t="shared" si="32"/>
        <v>0.02</v>
      </c>
      <c r="EI19" s="83">
        <f t="shared" si="33"/>
        <v>0</v>
      </c>
      <c r="EJ19" s="306">
        <f>'EF peternakan'!$C$32</f>
        <v>0.01</v>
      </c>
      <c r="EK19" s="85">
        <f t="shared" si="34"/>
        <v>0</v>
      </c>
      <c r="ES19" s="6"/>
      <c r="ET19" s="291" t="s">
        <v>74</v>
      </c>
      <c r="EU19" s="86">
        <f t="shared" si="110"/>
        <v>0</v>
      </c>
      <c r="EV19" s="9"/>
      <c r="EW19" s="9"/>
      <c r="EX19" s="9"/>
      <c r="EY19" s="96"/>
      <c r="FB19" s="6"/>
      <c r="FC19" s="291" t="s">
        <v>74</v>
      </c>
      <c r="FD19" s="86">
        <f t="shared" si="93"/>
        <v>0</v>
      </c>
      <c r="FE19" s="87">
        <f>'EF peternakan'!$G$10</f>
        <v>0.82</v>
      </c>
      <c r="FF19" s="87">
        <f>'EF peternakan'!$H$10</f>
        <v>2</v>
      </c>
      <c r="FG19" s="91">
        <f t="shared" si="38"/>
        <v>0.59860000000000002</v>
      </c>
      <c r="FH19" s="89">
        <f t="shared" si="39"/>
        <v>0.02</v>
      </c>
      <c r="FI19" s="83">
        <f t="shared" si="119"/>
        <v>0</v>
      </c>
      <c r="FJ19" s="306">
        <f>'EF peternakan'!$C$32</f>
        <v>0.01</v>
      </c>
      <c r="FK19" s="85">
        <f t="shared" si="120"/>
        <v>0</v>
      </c>
      <c r="FS19" s="6"/>
      <c r="FT19" s="291" t="s">
        <v>74</v>
      </c>
      <c r="FU19" s="86">
        <f t="shared" si="94"/>
        <v>0</v>
      </c>
      <c r="FV19" s="9"/>
      <c r="FW19" s="9"/>
      <c r="FX19" s="9"/>
      <c r="FY19" s="96"/>
      <c r="GB19" s="6"/>
      <c r="GC19" s="291" t="s">
        <v>74</v>
      </c>
      <c r="GD19" s="86">
        <f t="shared" si="97"/>
        <v>0</v>
      </c>
      <c r="GE19" s="87">
        <f>'EF peternakan'!$G$10</f>
        <v>0.82</v>
      </c>
      <c r="GF19" s="87">
        <f>'EF peternakan'!$H$10</f>
        <v>2</v>
      </c>
      <c r="GG19" s="91">
        <f t="shared" si="44"/>
        <v>0.59860000000000002</v>
      </c>
      <c r="GH19" s="89">
        <f t="shared" si="45"/>
        <v>0.02</v>
      </c>
      <c r="GI19" s="83">
        <f t="shared" si="121"/>
        <v>0</v>
      </c>
      <c r="GJ19" s="306">
        <f>'EF peternakan'!$C$32</f>
        <v>0.01</v>
      </c>
      <c r="GK19" s="85">
        <f t="shared" si="122"/>
        <v>0</v>
      </c>
      <c r="GS19" s="6"/>
      <c r="GT19" s="291" t="s">
        <v>74</v>
      </c>
      <c r="GU19" s="86">
        <f t="shared" si="48"/>
        <v>0</v>
      </c>
      <c r="GV19" s="9"/>
      <c r="GW19" s="9"/>
      <c r="GX19" s="9"/>
      <c r="GY19" s="96"/>
      <c r="HB19" s="6"/>
      <c r="HC19" s="291" t="s">
        <v>74</v>
      </c>
      <c r="HD19" s="86">
        <f t="shared" si="99"/>
        <v>0</v>
      </c>
      <c r="HE19" s="87">
        <f>'EF peternakan'!$G$10</f>
        <v>0.82</v>
      </c>
      <c r="HF19" s="87">
        <f>'EF peternakan'!$H$10</f>
        <v>2</v>
      </c>
      <c r="HG19" s="91">
        <f t="shared" si="52"/>
        <v>0.59860000000000002</v>
      </c>
      <c r="HH19" s="89">
        <f t="shared" si="53"/>
        <v>0.02</v>
      </c>
      <c r="HI19" s="83">
        <f t="shared" si="54"/>
        <v>0</v>
      </c>
      <c r="HJ19" s="306">
        <f>'EF peternakan'!$C$32</f>
        <v>0.01</v>
      </c>
      <c r="HK19" s="85">
        <f t="shared" si="55"/>
        <v>0</v>
      </c>
      <c r="HS19" s="6"/>
      <c r="HT19" s="291" t="s">
        <v>74</v>
      </c>
      <c r="HU19" s="86">
        <f t="shared" si="100"/>
        <v>0</v>
      </c>
      <c r="HV19" s="9"/>
      <c r="HW19" s="9"/>
      <c r="HX19" s="9"/>
      <c r="HY19" s="96"/>
      <c r="IB19" s="6"/>
      <c r="IC19" s="291" t="s">
        <v>74</v>
      </c>
      <c r="ID19" s="86">
        <f t="shared" si="102"/>
        <v>0</v>
      </c>
      <c r="IE19" s="87">
        <f>'EF peternakan'!$G$10</f>
        <v>0.82</v>
      </c>
      <c r="IF19" s="87">
        <f>'EF peternakan'!$H$10</f>
        <v>2</v>
      </c>
      <c r="IG19" s="91">
        <f t="shared" si="59"/>
        <v>0.59860000000000002</v>
      </c>
      <c r="IH19" s="89">
        <f t="shared" si="60"/>
        <v>0.02</v>
      </c>
      <c r="II19" s="83">
        <f t="shared" si="61"/>
        <v>0</v>
      </c>
      <c r="IJ19" s="306">
        <f>'EF peternakan'!$C$32</f>
        <v>0.01</v>
      </c>
      <c r="IK19" s="85">
        <f t="shared" si="62"/>
        <v>0</v>
      </c>
      <c r="IS19" s="6"/>
      <c r="IT19" s="291" t="s">
        <v>74</v>
      </c>
      <c r="IU19" s="86">
        <f t="shared" si="63"/>
        <v>0</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5899</v>
      </c>
      <c r="E20" s="87">
        <f>'EF peternakan'!$G$13</f>
        <v>0.83</v>
      </c>
      <c r="F20" s="293">
        <f>'EF peternakan'!$H$13</f>
        <v>2</v>
      </c>
      <c r="G20" s="9">
        <f t="shared" si="106"/>
        <v>0.60589999999999999</v>
      </c>
      <c r="H20" s="89">
        <f t="shared" si="76"/>
        <v>0.02</v>
      </c>
      <c r="I20" s="83">
        <f t="shared" si="107"/>
        <v>71.484082000000001</v>
      </c>
      <c r="J20" s="306">
        <f>'EF peternakan'!$C$32</f>
        <v>0.01</v>
      </c>
      <c r="K20" s="85">
        <f t="shared" si="0"/>
        <v>1.1233212885714285</v>
      </c>
      <c r="S20" s="290"/>
      <c r="T20" s="291" t="s">
        <v>75</v>
      </c>
      <c r="U20" s="86">
        <f t="shared" si="1"/>
        <v>71.484082000000001</v>
      </c>
      <c r="V20" s="9"/>
      <c r="W20" s="9"/>
      <c r="X20" s="9"/>
      <c r="Y20" s="96"/>
      <c r="AB20" s="290"/>
      <c r="AC20" s="291" t="s">
        <v>75</v>
      </c>
      <c r="AD20" s="86">
        <f t="shared" si="79"/>
        <v>6017</v>
      </c>
      <c r="AE20" s="87">
        <f>'EF peternakan'!$G$13</f>
        <v>0.83</v>
      </c>
      <c r="AF20" s="87">
        <f>'EF peternakan'!$H$13</f>
        <v>2</v>
      </c>
      <c r="AG20" s="91">
        <f t="shared" si="4"/>
        <v>0.60589999999999999</v>
      </c>
      <c r="AH20" s="89">
        <f t="shared" si="5"/>
        <v>0.02</v>
      </c>
      <c r="AI20" s="83">
        <f t="shared" si="6"/>
        <v>72.914006000000001</v>
      </c>
      <c r="AJ20" s="306">
        <f>'EF peternakan'!$C$32</f>
        <v>0.01</v>
      </c>
      <c r="AK20" s="85">
        <f t="shared" si="7"/>
        <v>1.1457915228571427</v>
      </c>
      <c r="AS20" s="290"/>
      <c r="AT20" s="291" t="s">
        <v>75</v>
      </c>
      <c r="AU20" s="86">
        <f t="shared" si="111"/>
        <v>72.914006000000001</v>
      </c>
      <c r="AV20" s="9"/>
      <c r="AW20" s="9"/>
      <c r="AX20" s="9"/>
      <c r="AY20" s="96"/>
      <c r="BB20" s="290"/>
      <c r="BC20" s="291" t="s">
        <v>75</v>
      </c>
      <c r="BD20" s="44">
        <f t="shared" si="124"/>
        <v>6137</v>
      </c>
      <c r="BE20" s="87">
        <f>'EF peternakan'!$G$13</f>
        <v>0.83</v>
      </c>
      <c r="BF20" s="87">
        <f>'EF peternakan'!$H$13</f>
        <v>2</v>
      </c>
      <c r="BG20" s="91">
        <f t="shared" si="112"/>
        <v>0.60589999999999999</v>
      </c>
      <c r="BH20" s="89">
        <f t="shared" si="113"/>
        <v>0.02</v>
      </c>
      <c r="BI20" s="83">
        <f t="shared" si="108"/>
        <v>74.368166000000002</v>
      </c>
      <c r="BJ20" s="306">
        <f>'EF peternakan'!$C$32</f>
        <v>0.01</v>
      </c>
      <c r="BK20" s="85">
        <f t="shared" si="13"/>
        <v>1.1686426085714285</v>
      </c>
      <c r="BS20" s="290"/>
      <c r="BT20" s="291" t="s">
        <v>75</v>
      </c>
      <c r="BU20" s="86">
        <f t="shared" si="114"/>
        <v>74.368166000000002</v>
      </c>
      <c r="BV20" s="9"/>
      <c r="BW20" s="9"/>
      <c r="BX20" s="9"/>
      <c r="BY20" s="96"/>
      <c r="CB20" s="290"/>
      <c r="CC20" s="291" t="s">
        <v>75</v>
      </c>
      <c r="CD20" s="86">
        <f t="shared" si="125"/>
        <v>6260</v>
      </c>
      <c r="CE20" s="87">
        <f>'EF peternakan'!$G$13</f>
        <v>0.83</v>
      </c>
      <c r="CF20" s="87">
        <f>'EF peternakan'!$H$13</f>
        <v>2</v>
      </c>
      <c r="CG20" s="91">
        <f t="shared" si="17"/>
        <v>0.60589999999999999</v>
      </c>
      <c r="CH20" s="89">
        <f t="shared" si="18"/>
        <v>0.02</v>
      </c>
      <c r="CI20" s="83">
        <f t="shared" si="115"/>
        <v>75.858679999999993</v>
      </c>
      <c r="CJ20" s="306">
        <f>'EF peternakan'!$C$32</f>
        <v>0.01</v>
      </c>
      <c r="CK20" s="85">
        <f t="shared" si="20"/>
        <v>1.1920649714285712</v>
      </c>
      <c r="CS20" s="290"/>
      <c r="CT20" s="291" t="s">
        <v>75</v>
      </c>
      <c r="CU20" s="86">
        <f t="shared" si="116"/>
        <v>75.858679999999993</v>
      </c>
      <c r="CV20" s="9"/>
      <c r="CW20" s="9"/>
      <c r="CX20" s="9"/>
      <c r="CY20" s="96"/>
      <c r="DB20" s="290"/>
      <c r="DC20" s="291" t="s">
        <v>75</v>
      </c>
      <c r="DD20" s="44">
        <f t="shared" si="126"/>
        <v>6385</v>
      </c>
      <c r="DE20" s="87">
        <f>'EF peternakan'!$G$13</f>
        <v>0.83</v>
      </c>
      <c r="DF20" s="87">
        <f>'EF peternakan'!$H$13</f>
        <v>2</v>
      </c>
      <c r="DG20" s="91">
        <f t="shared" si="24"/>
        <v>0.60589999999999999</v>
      </c>
      <c r="DH20" s="89">
        <f t="shared" si="25"/>
        <v>0.02</v>
      </c>
      <c r="DI20" s="83">
        <f t="shared" si="26"/>
        <v>77.373429999999999</v>
      </c>
      <c r="DJ20" s="306">
        <f>'EF peternakan'!$C$32</f>
        <v>0.01</v>
      </c>
      <c r="DK20" s="85">
        <f t="shared" si="117"/>
        <v>1.2158681857142857</v>
      </c>
      <c r="DS20" s="290"/>
      <c r="DT20" s="291" t="s">
        <v>75</v>
      </c>
      <c r="DU20" s="86">
        <f t="shared" si="118"/>
        <v>77.373429999999999</v>
      </c>
      <c r="DV20" s="9"/>
      <c r="DW20" s="9"/>
      <c r="DX20" s="9"/>
      <c r="DY20" s="96"/>
      <c r="EB20" s="290"/>
      <c r="EC20" s="291" t="s">
        <v>75</v>
      </c>
      <c r="ED20" s="86">
        <f t="shared" si="91"/>
        <v>6513</v>
      </c>
      <c r="EE20" s="87">
        <f>'EF peternakan'!$G$13</f>
        <v>0.83</v>
      </c>
      <c r="EF20" s="87">
        <f>'EF peternakan'!$H$13</f>
        <v>2</v>
      </c>
      <c r="EG20" s="91">
        <f t="shared" si="31"/>
        <v>0.60589999999999999</v>
      </c>
      <c r="EH20" s="89">
        <f t="shared" si="32"/>
        <v>0.02</v>
      </c>
      <c r="EI20" s="83">
        <f t="shared" si="33"/>
        <v>78.924534000000008</v>
      </c>
      <c r="EJ20" s="306">
        <f>'EF peternakan'!$C$32</f>
        <v>0.01</v>
      </c>
      <c r="EK20" s="85">
        <f t="shared" si="34"/>
        <v>1.2402426771428574</v>
      </c>
      <c r="ES20" s="290"/>
      <c r="ET20" s="291" t="s">
        <v>75</v>
      </c>
      <c r="EU20" s="86">
        <f t="shared" si="110"/>
        <v>78.924534000000008</v>
      </c>
      <c r="EV20" s="9"/>
      <c r="EW20" s="9"/>
      <c r="EX20" s="9"/>
      <c r="EY20" s="96"/>
      <c r="FB20" s="290"/>
      <c r="FC20" s="291" t="s">
        <v>75</v>
      </c>
      <c r="FD20" s="86">
        <f t="shared" si="93"/>
        <v>6643</v>
      </c>
      <c r="FE20" s="87">
        <f>'EF peternakan'!$G$13</f>
        <v>0.83</v>
      </c>
      <c r="FF20" s="87">
        <f>'EF peternakan'!$H$13</f>
        <v>2</v>
      </c>
      <c r="FG20" s="91">
        <f t="shared" si="38"/>
        <v>0.60589999999999999</v>
      </c>
      <c r="FH20" s="89">
        <f t="shared" si="39"/>
        <v>0.02</v>
      </c>
      <c r="FI20" s="83">
        <f t="shared" si="119"/>
        <v>80.499874000000005</v>
      </c>
      <c r="FJ20" s="306">
        <f>'EF peternakan'!$C$32</f>
        <v>0.01</v>
      </c>
      <c r="FK20" s="85">
        <f t="shared" si="120"/>
        <v>1.2649980199999999</v>
      </c>
      <c r="FS20" s="290"/>
      <c r="FT20" s="291" t="s">
        <v>75</v>
      </c>
      <c r="FU20" s="86">
        <f t="shared" si="94"/>
        <v>80.499874000000005</v>
      </c>
      <c r="FV20" s="9"/>
      <c r="FW20" s="9"/>
      <c r="FX20" s="9"/>
      <c r="FY20" s="96"/>
      <c r="GB20" s="290"/>
      <c r="GC20" s="291" t="s">
        <v>75</v>
      </c>
      <c r="GD20" s="86">
        <f t="shared" si="97"/>
        <v>6776</v>
      </c>
      <c r="GE20" s="87">
        <f>'EF peternakan'!$G$13</f>
        <v>0.83</v>
      </c>
      <c r="GF20" s="87">
        <f>'EF peternakan'!$H$13</f>
        <v>2</v>
      </c>
      <c r="GG20" s="91">
        <f t="shared" si="44"/>
        <v>0.60589999999999999</v>
      </c>
      <c r="GH20" s="89">
        <f t="shared" si="45"/>
        <v>0.02</v>
      </c>
      <c r="GI20" s="83">
        <f t="shared" si="121"/>
        <v>82.111568000000005</v>
      </c>
      <c r="GJ20" s="306">
        <f>'EF peternakan'!$C$32</f>
        <v>0.01</v>
      </c>
      <c r="GK20" s="85">
        <f t="shared" si="122"/>
        <v>1.2903246400000001</v>
      </c>
      <c r="GS20" s="290"/>
      <c r="GT20" s="291" t="s">
        <v>75</v>
      </c>
      <c r="GU20" s="86">
        <f t="shared" si="48"/>
        <v>82.111568000000005</v>
      </c>
      <c r="GV20" s="9"/>
      <c r="GW20" s="9"/>
      <c r="GX20" s="9"/>
      <c r="GY20" s="96"/>
      <c r="HB20" s="290"/>
      <c r="HC20" s="291" t="s">
        <v>75</v>
      </c>
      <c r="HD20" s="86">
        <f t="shared" si="99"/>
        <v>6912</v>
      </c>
      <c r="HE20" s="87">
        <f>'EF peternakan'!$G$13</f>
        <v>0.83</v>
      </c>
      <c r="HF20" s="87">
        <f>'EF peternakan'!$H$13</f>
        <v>2</v>
      </c>
      <c r="HG20" s="91">
        <f t="shared" si="52"/>
        <v>0.60589999999999999</v>
      </c>
      <c r="HH20" s="89">
        <f t="shared" si="53"/>
        <v>0.02</v>
      </c>
      <c r="HI20" s="83">
        <f t="shared" si="54"/>
        <v>83.759616000000008</v>
      </c>
      <c r="HJ20" s="306">
        <f>'EF peternakan'!$C$32</f>
        <v>0.01</v>
      </c>
      <c r="HK20" s="85">
        <f t="shared" si="55"/>
        <v>1.3162225371428573</v>
      </c>
      <c r="HS20" s="290"/>
      <c r="HT20" s="291" t="s">
        <v>75</v>
      </c>
      <c r="HU20" s="86">
        <f t="shared" si="100"/>
        <v>83.759616000000008</v>
      </c>
      <c r="HV20" s="9"/>
      <c r="HW20" s="9"/>
      <c r="HX20" s="9"/>
      <c r="HY20" s="96"/>
      <c r="IB20" s="290"/>
      <c r="IC20" s="291" t="s">
        <v>75</v>
      </c>
      <c r="ID20" s="86">
        <f t="shared" si="102"/>
        <v>7050</v>
      </c>
      <c r="IE20" s="87">
        <f>'EF peternakan'!$G$13</f>
        <v>0.83</v>
      </c>
      <c r="IF20" s="87">
        <f>'EF peternakan'!$H$13</f>
        <v>2</v>
      </c>
      <c r="IG20" s="91">
        <f t="shared" si="59"/>
        <v>0.60589999999999999</v>
      </c>
      <c r="IH20" s="89">
        <f t="shared" si="60"/>
        <v>0.02</v>
      </c>
      <c r="II20" s="83">
        <f t="shared" si="61"/>
        <v>85.431900000000013</v>
      </c>
      <c r="IJ20" s="306">
        <f>'EF peternakan'!$C$32</f>
        <v>0.01</v>
      </c>
      <c r="IK20" s="85">
        <f t="shared" si="62"/>
        <v>1.342501285714286</v>
      </c>
      <c r="IS20" s="290"/>
      <c r="IT20" s="291" t="s">
        <v>75</v>
      </c>
      <c r="IU20" s="86">
        <f t="shared" si="63"/>
        <v>85.431900000000013</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10956</v>
      </c>
      <c r="E21" s="87">
        <f>'EF peternakan'!$G$7</f>
        <v>0.5</v>
      </c>
      <c r="F21" s="293">
        <f>'EF peternakan'!$H$7</f>
        <v>100</v>
      </c>
      <c r="G21" s="9">
        <f t="shared" si="106"/>
        <v>18.25</v>
      </c>
      <c r="H21" s="89">
        <f t="shared" si="76"/>
        <v>0.02</v>
      </c>
      <c r="I21" s="83">
        <f>D21*G21*H21</f>
        <v>3998.94</v>
      </c>
      <c r="J21" s="88">
        <v>0.02</v>
      </c>
      <c r="K21" s="85">
        <f t="shared" si="0"/>
        <v>125.68097142857144</v>
      </c>
      <c r="S21" s="290"/>
      <c r="T21" s="270" t="s">
        <v>66</v>
      </c>
      <c r="U21" s="86">
        <f t="shared" si="1"/>
        <v>3998.94</v>
      </c>
      <c r="V21" s="9"/>
      <c r="W21" s="9"/>
      <c r="X21" s="9"/>
      <c r="Y21" s="96"/>
      <c r="AB21" s="290"/>
      <c r="AC21" s="270" t="s">
        <v>66</v>
      </c>
      <c r="AD21" s="86">
        <f>D49</f>
        <v>11175</v>
      </c>
      <c r="AE21" s="87">
        <f>'EF peternakan'!$G$7</f>
        <v>0.5</v>
      </c>
      <c r="AF21" s="87">
        <f>'EF peternakan'!$H$7</f>
        <v>100</v>
      </c>
      <c r="AG21" s="91">
        <f t="shared" si="4"/>
        <v>18.25</v>
      </c>
      <c r="AH21" s="89">
        <f t="shared" si="5"/>
        <v>0.02</v>
      </c>
      <c r="AI21" s="83">
        <f>AD21*AG21*AH21</f>
        <v>4078.875</v>
      </c>
      <c r="AJ21" s="88">
        <v>0.02</v>
      </c>
      <c r="AK21" s="85">
        <f t="shared" si="7"/>
        <v>128.19321428571428</v>
      </c>
      <c r="AS21" s="290"/>
      <c r="AT21" s="270" t="s">
        <v>66</v>
      </c>
      <c r="AU21" s="86">
        <f>AI21</f>
        <v>4078.875</v>
      </c>
      <c r="AV21" s="9"/>
      <c r="AW21" s="9"/>
      <c r="AX21" s="9"/>
      <c r="AY21" s="96"/>
      <c r="BB21" s="290"/>
      <c r="BC21" s="270" t="s">
        <v>66</v>
      </c>
      <c r="BD21" s="44">
        <f>E49</f>
        <v>11399</v>
      </c>
      <c r="BE21" s="87">
        <f>'EF peternakan'!$G$7</f>
        <v>0.5</v>
      </c>
      <c r="BF21" s="87">
        <f>'EF peternakan'!$H$7</f>
        <v>100</v>
      </c>
      <c r="BG21" s="91">
        <f t="shared" si="112"/>
        <v>18.25</v>
      </c>
      <c r="BH21" s="89">
        <f t="shared" si="113"/>
        <v>0.02</v>
      </c>
      <c r="BI21" s="83">
        <f t="shared" si="108"/>
        <v>4160.6350000000002</v>
      </c>
      <c r="BJ21" s="88">
        <v>0.02</v>
      </c>
      <c r="BK21" s="85">
        <f t="shared" si="13"/>
        <v>130.76281428571431</v>
      </c>
      <c r="BS21" s="290"/>
      <c r="BT21" s="270" t="s">
        <v>66</v>
      </c>
      <c r="BU21" s="86">
        <f t="shared" si="114"/>
        <v>4160.6350000000002</v>
      </c>
      <c r="BV21" s="9"/>
      <c r="BW21" s="9"/>
      <c r="BX21" s="9"/>
      <c r="BY21" s="96"/>
      <c r="CB21" s="290"/>
      <c r="CC21" s="270" t="s">
        <v>66</v>
      </c>
      <c r="CD21" s="86">
        <f>F49</f>
        <v>11627</v>
      </c>
      <c r="CE21" s="87">
        <f>'EF peternakan'!$G$7</f>
        <v>0.5</v>
      </c>
      <c r="CF21" s="87">
        <f>'EF peternakan'!$H$7</f>
        <v>100</v>
      </c>
      <c r="CG21" s="91">
        <f t="shared" si="17"/>
        <v>18.25</v>
      </c>
      <c r="CH21" s="89">
        <f t="shared" si="18"/>
        <v>0.02</v>
      </c>
      <c r="CI21" s="83">
        <f t="shared" si="115"/>
        <v>4243.8550000000005</v>
      </c>
      <c r="CJ21" s="88">
        <v>0.02</v>
      </c>
      <c r="CK21" s="85">
        <f t="shared" si="20"/>
        <v>133.37830000000002</v>
      </c>
      <c r="CS21" s="290"/>
      <c r="CT21" s="270" t="s">
        <v>66</v>
      </c>
      <c r="CU21" s="86">
        <f t="shared" si="116"/>
        <v>4243.8550000000005</v>
      </c>
      <c r="CV21" s="9"/>
      <c r="CW21" s="9"/>
      <c r="CX21" s="9"/>
      <c r="CY21" s="96"/>
      <c r="DB21" s="290"/>
      <c r="DC21" s="270" t="s">
        <v>66</v>
      </c>
      <c r="DD21" s="44">
        <f t="shared" si="126"/>
        <v>11859</v>
      </c>
      <c r="DE21" s="87">
        <f>'EF peternakan'!$G$7</f>
        <v>0.5</v>
      </c>
      <c r="DF21" s="87">
        <f>'EF peternakan'!$H$7</f>
        <v>100</v>
      </c>
      <c r="DG21" s="91">
        <f t="shared" si="24"/>
        <v>18.25</v>
      </c>
      <c r="DH21" s="89">
        <f t="shared" si="25"/>
        <v>0.02</v>
      </c>
      <c r="DI21" s="83">
        <f t="shared" si="26"/>
        <v>4328.5349999999999</v>
      </c>
      <c r="DJ21" s="88">
        <v>0.02</v>
      </c>
      <c r="DK21" s="85">
        <f t="shared" si="117"/>
        <v>136.03967142857144</v>
      </c>
      <c r="DS21" s="290"/>
      <c r="DT21" s="270" t="s">
        <v>66</v>
      </c>
      <c r="DU21" s="86">
        <f t="shared" si="118"/>
        <v>4328.5349999999999</v>
      </c>
      <c r="DV21" s="9"/>
      <c r="DW21" s="9"/>
      <c r="DX21" s="9"/>
      <c r="DY21" s="96"/>
      <c r="EB21" s="290"/>
      <c r="EC21" s="270" t="s">
        <v>66</v>
      </c>
      <c r="ED21" s="86">
        <f t="shared" si="91"/>
        <v>12096</v>
      </c>
      <c r="EE21" s="87">
        <f>'EF peternakan'!$G$7</f>
        <v>0.5</v>
      </c>
      <c r="EF21" s="87">
        <f>'EF peternakan'!$H$7</f>
        <v>100</v>
      </c>
      <c r="EG21" s="91">
        <f t="shared" si="31"/>
        <v>18.25</v>
      </c>
      <c r="EH21" s="89">
        <f t="shared" si="32"/>
        <v>0.02</v>
      </c>
      <c r="EI21" s="83">
        <f t="shared" si="33"/>
        <v>4415.04</v>
      </c>
      <c r="EJ21" s="88">
        <v>0.02</v>
      </c>
      <c r="EK21" s="85">
        <f t="shared" si="34"/>
        <v>138.75839999999999</v>
      </c>
      <c r="ES21" s="290"/>
      <c r="ET21" s="270" t="s">
        <v>66</v>
      </c>
      <c r="EU21" s="86">
        <f t="shared" si="110"/>
        <v>4415.04</v>
      </c>
      <c r="EV21" s="9"/>
      <c r="EW21" s="9"/>
      <c r="EX21" s="9"/>
      <c r="EY21" s="96"/>
      <c r="FB21" s="290"/>
      <c r="FC21" s="270" t="s">
        <v>66</v>
      </c>
      <c r="FD21" s="86">
        <f t="shared" si="93"/>
        <v>12338</v>
      </c>
      <c r="FE21" s="87">
        <f>'EF peternakan'!$G$7</f>
        <v>0.5</v>
      </c>
      <c r="FF21" s="87">
        <f>'EF peternakan'!$H$7</f>
        <v>100</v>
      </c>
      <c r="FG21" s="91">
        <f t="shared" si="38"/>
        <v>18.25</v>
      </c>
      <c r="FH21" s="89">
        <f t="shared" si="39"/>
        <v>0.02</v>
      </c>
      <c r="FI21" s="83">
        <f t="shared" si="119"/>
        <v>4503.37</v>
      </c>
      <c r="FJ21" s="88">
        <v>0.02</v>
      </c>
      <c r="FK21" s="85">
        <f t="shared" si="120"/>
        <v>141.53448571428572</v>
      </c>
      <c r="FS21" s="290"/>
      <c r="FT21" s="270" t="s">
        <v>66</v>
      </c>
      <c r="FU21" s="86">
        <f t="shared" si="94"/>
        <v>4503.37</v>
      </c>
      <c r="FV21" s="9"/>
      <c r="FW21" s="9"/>
      <c r="FX21" s="9"/>
      <c r="FY21" s="96"/>
      <c r="GB21" s="290"/>
      <c r="GC21" s="270" t="s">
        <v>66</v>
      </c>
      <c r="GD21" s="86">
        <f t="shared" si="97"/>
        <v>12585</v>
      </c>
      <c r="GE21" s="87">
        <f>'EF peternakan'!$G$7</f>
        <v>0.5</v>
      </c>
      <c r="GF21" s="87">
        <f>'EF peternakan'!$H$7</f>
        <v>100</v>
      </c>
      <c r="GG21" s="91">
        <f t="shared" si="44"/>
        <v>18.25</v>
      </c>
      <c r="GH21" s="89">
        <f t="shared" si="45"/>
        <v>0.02</v>
      </c>
      <c r="GI21" s="83">
        <f t="shared" si="121"/>
        <v>4593.5250000000005</v>
      </c>
      <c r="GJ21" s="88">
        <v>0.02</v>
      </c>
      <c r="GK21" s="85">
        <f t="shared" si="122"/>
        <v>144.36792857142859</v>
      </c>
      <c r="GS21" s="290"/>
      <c r="GT21" s="270" t="s">
        <v>66</v>
      </c>
      <c r="GU21" s="86">
        <f t="shared" si="48"/>
        <v>4593.5250000000005</v>
      </c>
      <c r="GV21" s="9"/>
      <c r="GW21" s="9"/>
      <c r="GX21" s="9"/>
      <c r="GY21" s="96"/>
      <c r="HB21" s="290"/>
      <c r="HC21" s="270" t="s">
        <v>66</v>
      </c>
      <c r="HD21" s="86">
        <f t="shared" si="99"/>
        <v>12837</v>
      </c>
      <c r="HE21" s="87">
        <f>'EF peternakan'!$G$7</f>
        <v>0.5</v>
      </c>
      <c r="HF21" s="87">
        <f>'EF peternakan'!$H$7</f>
        <v>100</v>
      </c>
      <c r="HG21" s="91">
        <f t="shared" si="52"/>
        <v>18.25</v>
      </c>
      <c r="HH21" s="89">
        <f t="shared" si="53"/>
        <v>0.02</v>
      </c>
      <c r="HI21" s="83">
        <f t="shared" si="54"/>
        <v>4685.5050000000001</v>
      </c>
      <c r="HJ21" s="88">
        <v>0.02</v>
      </c>
      <c r="HK21" s="85">
        <f t="shared" si="55"/>
        <v>147.25872857142858</v>
      </c>
      <c r="HS21" s="290"/>
      <c r="HT21" s="270" t="s">
        <v>66</v>
      </c>
      <c r="HU21" s="86">
        <f t="shared" si="100"/>
        <v>4685.5050000000001</v>
      </c>
      <c r="HV21" s="9"/>
      <c r="HW21" s="9"/>
      <c r="HX21" s="9"/>
      <c r="HY21" s="96"/>
      <c r="IB21" s="290"/>
      <c r="IC21" s="270" t="s">
        <v>66</v>
      </c>
      <c r="ID21" s="86">
        <f t="shared" si="102"/>
        <v>13093</v>
      </c>
      <c r="IE21" s="87">
        <f>'EF peternakan'!$G$7</f>
        <v>0.5</v>
      </c>
      <c r="IF21" s="87">
        <f>'EF peternakan'!$H$7</f>
        <v>100</v>
      </c>
      <c r="IG21" s="91">
        <f t="shared" si="59"/>
        <v>18.25</v>
      </c>
      <c r="IH21" s="89">
        <f t="shared" si="60"/>
        <v>0.02</v>
      </c>
      <c r="II21" s="83">
        <f t="shared" si="61"/>
        <v>4778.9449999999997</v>
      </c>
      <c r="IJ21" s="88">
        <v>0.02</v>
      </c>
      <c r="IK21" s="85">
        <f t="shared" si="62"/>
        <v>150.19541428571426</v>
      </c>
      <c r="IS21" s="290"/>
      <c r="IT21" s="270" t="s">
        <v>66</v>
      </c>
      <c r="IU21" s="86">
        <f t="shared" si="63"/>
        <v>4778.9449999999997</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7" t="s">
        <v>76</v>
      </c>
      <c r="C23" s="418"/>
      <c r="D23" s="295">
        <f>SUM(D11:D21)</f>
        <v>2601416.2133842851</v>
      </c>
      <c r="E23" s="296"/>
      <c r="F23" s="295">
        <f>SUM(F11:F21)</f>
        <v>1593</v>
      </c>
      <c r="G23" s="295">
        <f>SUM(G11:G21)</f>
        <v>269.95035000000007</v>
      </c>
      <c r="H23" s="297"/>
      <c r="I23" s="298">
        <f>SUM(I11:I21)</f>
        <v>63634.045086948849</v>
      </c>
      <c r="J23" s="297"/>
      <c r="K23" s="299">
        <f>SUM(K11:K21)</f>
        <v>1386.4056107298206</v>
      </c>
      <c r="S23" s="417" t="s">
        <v>76</v>
      </c>
      <c r="T23" s="422"/>
      <c r="U23" s="45">
        <f>SUM(U11:U21)</f>
        <v>63634.045086948849</v>
      </c>
      <c r="V23" s="101"/>
      <c r="W23" s="45">
        <f>SUM(W11:W21)</f>
        <v>4356.3220214846533</v>
      </c>
      <c r="X23" s="101"/>
      <c r="Y23" s="97">
        <f>SUM(Y11:Y22)</f>
        <v>68.456488909044552</v>
      </c>
      <c r="AB23" s="417" t="s">
        <v>76</v>
      </c>
      <c r="AC23" s="418"/>
      <c r="AD23" s="45">
        <f>SUM(AD11:AD21)</f>
        <v>2653921.6788502261</v>
      </c>
      <c r="AE23" s="50"/>
      <c r="AF23" s="295">
        <f>SUM(AF11:AF21)</f>
        <v>1593</v>
      </c>
      <c r="AG23" s="295">
        <f>SUM(AG11:AG21)</f>
        <v>269.95035000000007</v>
      </c>
      <c r="AH23" s="297"/>
      <c r="AI23" s="298">
        <f>SUM(AI11:AI21)</f>
        <v>65203.084052565173</v>
      </c>
      <c r="AJ23" s="297"/>
      <c r="AK23" s="299">
        <f>SUM(AK11:AK21)</f>
        <v>1423.447841186334</v>
      </c>
      <c r="AS23" s="417" t="s">
        <v>76</v>
      </c>
      <c r="AT23" s="422"/>
      <c r="AU23" s="45">
        <f>SUM(AU11:AU21)</f>
        <v>65203.084052565173</v>
      </c>
      <c r="AV23" s="101"/>
      <c r="AW23" s="45">
        <f>SUM(AW11:AW21)</f>
        <v>4532.1342679695517</v>
      </c>
      <c r="AX23" s="101"/>
      <c r="AY23" s="97">
        <f>SUM(AY11:AY22)</f>
        <v>71.219252782378675</v>
      </c>
      <c r="BB23" s="417" t="s">
        <v>76</v>
      </c>
      <c r="BC23" s="418"/>
      <c r="BD23" s="45">
        <f>SUM(BD11:BD21)</f>
        <v>2707457.1443161666</v>
      </c>
      <c r="BE23" s="50"/>
      <c r="BF23" s="99">
        <f>SUM(BF11:BF21)</f>
        <v>1593</v>
      </c>
      <c r="BG23" s="301">
        <f>SUM(BG11:BG21)</f>
        <v>269.95035000000007</v>
      </c>
      <c r="BH23" s="100"/>
      <c r="BI23" s="52">
        <f>SUM(BI11:BI21)</f>
        <v>66790.535662181443</v>
      </c>
      <c r="BJ23" s="100"/>
      <c r="BK23" s="53">
        <f>SUM(BK11:BK21)</f>
        <v>1460.8233487628452</v>
      </c>
      <c r="BS23" s="417" t="s">
        <v>76</v>
      </c>
      <c r="BT23" s="422"/>
      <c r="BU23" s="45">
        <f>SUM(BU11:BU21)</f>
        <v>66790.535662181443</v>
      </c>
      <c r="BV23" s="101"/>
      <c r="BW23" s="45">
        <f>SUM(BW11:BW21)</f>
        <v>4707.946514454432</v>
      </c>
      <c r="BX23" s="101"/>
      <c r="BY23" s="97">
        <f>SUM(BY11:BY22)</f>
        <v>73.982016655712499</v>
      </c>
      <c r="CB23" s="417" t="s">
        <v>76</v>
      </c>
      <c r="CC23" s="418"/>
      <c r="CD23" s="45">
        <f>SUM(CD11:CD21)</f>
        <v>2762045.6097821076</v>
      </c>
      <c r="CE23" s="50"/>
      <c r="CF23" s="99">
        <f>SUM(CF11:CF21)</f>
        <v>1593</v>
      </c>
      <c r="CG23" s="301">
        <f>SUM(CG11:CG21)</f>
        <v>269.95035000000007</v>
      </c>
      <c r="CH23" s="100"/>
      <c r="CI23" s="52">
        <f>SUM(CI11:CI21)</f>
        <v>68398.80643379777</v>
      </c>
      <c r="CJ23" s="100"/>
      <c r="CK23" s="53">
        <f>SUM(CK11:CK21)</f>
        <v>1498.60285022793</v>
      </c>
      <c r="CS23" s="417" t="s">
        <v>76</v>
      </c>
      <c r="CT23" s="422"/>
      <c r="CU23" s="45">
        <f>SUM(CU11:CU21)</f>
        <v>68398.80643379777</v>
      </c>
      <c r="CV23" s="101"/>
      <c r="CW23" s="45">
        <f>SUM(CW11:CW21)</f>
        <v>4883.7587609393295</v>
      </c>
      <c r="CX23" s="101"/>
      <c r="CY23" s="97">
        <f>SUM(CY11:CY22)</f>
        <v>76.744780529046608</v>
      </c>
      <c r="DB23" s="417" t="s">
        <v>76</v>
      </c>
      <c r="DC23" s="418"/>
      <c r="DD23" s="45">
        <f>SUM(DD11:DD21)</f>
        <v>2817704.0752480486</v>
      </c>
      <c r="DE23" s="50"/>
      <c r="DF23" s="99">
        <f>SUM(DF11:DF21)</f>
        <v>1593</v>
      </c>
      <c r="DG23" s="301">
        <f>SUM(DG11:DG21)</f>
        <v>269.95035000000007</v>
      </c>
      <c r="DH23" s="100"/>
      <c r="DI23" s="52">
        <f>SUM(DI11:DI21)</f>
        <v>70026.055453414112</v>
      </c>
      <c r="DJ23" s="100"/>
      <c r="DK23" s="53">
        <f>SUM(DK11:DK21)</f>
        <v>1536.7235073901575</v>
      </c>
      <c r="DS23" s="417" t="s">
        <v>76</v>
      </c>
      <c r="DT23" s="422"/>
      <c r="DU23" s="45">
        <f>SUM(DU11:DU21)</f>
        <v>70026.055453414112</v>
      </c>
      <c r="DV23" s="101"/>
      <c r="DW23" s="45">
        <f>SUM(DW11:DW21)</f>
        <v>5059.5710074242279</v>
      </c>
      <c r="DX23" s="101"/>
      <c r="DY23" s="97">
        <f>SUM(DY11:DY22)</f>
        <v>79.507544402380717</v>
      </c>
      <c r="EB23" s="417" t="s">
        <v>76</v>
      </c>
      <c r="EC23" s="418"/>
      <c r="ED23" s="45">
        <f>SUM(ED11:ED21)</f>
        <v>2874460.5407139892</v>
      </c>
      <c r="EE23" s="50"/>
      <c r="EF23" s="99">
        <f>SUM(EF11:EF21)</f>
        <v>1593</v>
      </c>
      <c r="EG23" s="301">
        <f>SUM(EG11:EG21)</f>
        <v>269.95035000000007</v>
      </c>
      <c r="EH23" s="100"/>
      <c r="EI23" s="52">
        <f>SUM(EI11:EI21)</f>
        <v>71675.847311030375</v>
      </c>
      <c r="EJ23" s="100"/>
      <c r="EK23" s="53">
        <f>SUM(EK11:EK21)</f>
        <v>1575.2919930638116</v>
      </c>
      <c r="ES23" s="417" t="s">
        <v>76</v>
      </c>
      <c r="ET23" s="422"/>
      <c r="EU23" s="45">
        <f>SUM(EU11:EU21)</f>
        <v>71675.847311030375</v>
      </c>
      <c r="EV23" s="101"/>
      <c r="EW23" s="45">
        <f>SUM(EW11:EW21)</f>
        <v>5235.383253909109</v>
      </c>
      <c r="EX23" s="101"/>
      <c r="EY23" s="97">
        <f>SUM(EY11:EY22)</f>
        <v>82.270308275714569</v>
      </c>
      <c r="FB23" s="417" t="s">
        <v>76</v>
      </c>
      <c r="FC23" s="418"/>
      <c r="FD23" s="45">
        <f>SUM(FD11:FD21)</f>
        <v>2932331.0061799302</v>
      </c>
      <c r="FE23" s="50"/>
      <c r="FF23" s="99">
        <f>SUM(FF11:FF21)</f>
        <v>1593</v>
      </c>
      <c r="FG23" s="301">
        <f>SUM(FG11:FG21)</f>
        <v>269.95035000000007</v>
      </c>
      <c r="FH23" s="100"/>
      <c r="FI23" s="298">
        <f>SUM(FI11:FI21)</f>
        <v>73346.736752646684</v>
      </c>
      <c r="FJ23" s="100"/>
      <c r="FK23" s="299">
        <f>SUM(FK11:FK21)</f>
        <v>1614.2584088288961</v>
      </c>
      <c r="FS23" s="417" t="s">
        <v>76</v>
      </c>
      <c r="FT23" s="422"/>
      <c r="FU23" s="45">
        <f>SUM(FU11:FU21)</f>
        <v>73346.736752646684</v>
      </c>
      <c r="FV23" s="101"/>
      <c r="FW23" s="45">
        <f>SUM(FW11:FW21)</f>
        <v>5411.1955003940066</v>
      </c>
      <c r="FX23" s="101"/>
      <c r="FY23" s="97">
        <f>SUM(FY11:FY22)</f>
        <v>85.033072149048678</v>
      </c>
      <c r="GB23" s="417" t="s">
        <v>76</v>
      </c>
      <c r="GC23" s="418"/>
      <c r="GD23" s="45">
        <f>SUM(GD11:GD21)</f>
        <v>2991341.4716458712</v>
      </c>
      <c r="GE23" s="50"/>
      <c r="GF23" s="99">
        <f>SUM(GF11:GF21)</f>
        <v>1593</v>
      </c>
      <c r="GG23" s="301">
        <f>SUM(GG11:GG21)</f>
        <v>269.95035000000007</v>
      </c>
      <c r="GH23" s="100"/>
      <c r="GI23" s="52">
        <f>SUM(GI11:GI21)</f>
        <v>75039.413628263021</v>
      </c>
      <c r="GJ23" s="100"/>
      <c r="GK23" s="53">
        <f>SUM(GK11:GK21)</f>
        <v>1653.6383214139807</v>
      </c>
      <c r="GS23" s="417" t="s">
        <v>76</v>
      </c>
      <c r="GT23" s="422"/>
      <c r="GU23" s="45">
        <f>SUM(GU11:GU21)</f>
        <v>75039.413628263021</v>
      </c>
      <c r="GV23" s="101"/>
      <c r="GW23" s="45">
        <f>SUM(GW11:GW21)</f>
        <v>5587.0077468789059</v>
      </c>
      <c r="GX23" s="101"/>
      <c r="GY23" s="97">
        <f>SUM(GY11:GY22)</f>
        <v>87.795836022382815</v>
      </c>
      <c r="HB23" s="417" t="s">
        <v>76</v>
      </c>
      <c r="HC23" s="418"/>
      <c r="HD23" s="45">
        <f>SUM(HD11:HD21)</f>
        <v>3051512.9371118117</v>
      </c>
      <c r="HE23" s="50"/>
      <c r="HF23" s="99">
        <f>SUM(HF11:HF21)</f>
        <v>1593</v>
      </c>
      <c r="HG23" s="301">
        <f>SUM(HG11:HG21)</f>
        <v>269.95035000000007</v>
      </c>
      <c r="HH23" s="100"/>
      <c r="HI23" s="52">
        <f>SUM(HI11:HI21)</f>
        <v>76752.888933879294</v>
      </c>
      <c r="HJ23" s="100"/>
      <c r="HK23" s="53">
        <f>SUM(HK11:HK21)</f>
        <v>1693.3952883847778</v>
      </c>
      <c r="HS23" s="417" t="s">
        <v>76</v>
      </c>
      <c r="HT23" s="422"/>
      <c r="HU23" s="45">
        <f>SUM(HU11:HU21)</f>
        <v>76752.888933879294</v>
      </c>
      <c r="HV23" s="101"/>
      <c r="HW23" s="45">
        <f>SUM(HW11:HW21)</f>
        <v>5762.8199933637852</v>
      </c>
      <c r="HX23" s="101"/>
      <c r="HY23" s="97">
        <f>SUM(HY11:HY22)</f>
        <v>90.558599895716625</v>
      </c>
      <c r="IB23" s="417" t="s">
        <v>76</v>
      </c>
      <c r="IC23" s="418"/>
      <c r="ID23" s="45">
        <f>SUM(ID11:ID21)</f>
        <v>3112867.4025777527</v>
      </c>
      <c r="IE23" s="50"/>
      <c r="IF23" s="99">
        <f>SUM(IF11:IF21)</f>
        <v>1593</v>
      </c>
      <c r="IG23" s="301">
        <f>SUM(IG11:IG21)</f>
        <v>269.95035000000007</v>
      </c>
      <c r="IH23" s="100"/>
      <c r="II23" s="52">
        <f>SUM(II11:II21)</f>
        <v>78489.865859495621</v>
      </c>
      <c r="IJ23" s="100"/>
      <c r="IK23" s="53">
        <f>SUM(IK11:IK21)</f>
        <v>1733.6094147270051</v>
      </c>
      <c r="IS23" s="417" t="s">
        <v>76</v>
      </c>
      <c r="IT23" s="422"/>
      <c r="IU23" s="45">
        <f>SUM(IU11:IU21)</f>
        <v>78489.865859495621</v>
      </c>
      <c r="IV23" s="101"/>
      <c r="IW23" s="45">
        <f>SUM(IW11:IW21)</f>
        <v>5938.6322398486845</v>
      </c>
      <c r="IX23" s="101"/>
      <c r="IY23" s="97">
        <f>SUM(IY11:IY22)</f>
        <v>93.321363769050762</v>
      </c>
      <c r="JB23" s="417" t="s">
        <v>76</v>
      </c>
      <c r="JC23" s="418"/>
      <c r="JD23" s="45">
        <f>SUM(JD11:JD21)</f>
        <v>0</v>
      </c>
      <c r="JE23" s="50"/>
      <c r="JF23" s="99">
        <f>SUM(JF11:JF21)</f>
        <v>1593</v>
      </c>
      <c r="JG23" s="301">
        <f>SUM(JG11:JG21)</f>
        <v>269.95035000000007</v>
      </c>
      <c r="JH23" s="100"/>
      <c r="JI23" s="52">
        <f>SUM(JI11:JI21)</f>
        <v>0</v>
      </c>
      <c r="JJ23" s="100"/>
      <c r="JK23" s="53">
        <f>SUM(JK11:JK21)</f>
        <v>0</v>
      </c>
      <c r="JS23" s="417" t="s">
        <v>76</v>
      </c>
      <c r="JT23" s="422"/>
      <c r="JU23" s="45">
        <f>SUM(JU11:JU21)</f>
        <v>0</v>
      </c>
      <c r="JV23" s="101"/>
      <c r="JW23" s="45">
        <f>SUM(JW11:JW21)</f>
        <v>0</v>
      </c>
      <c r="JX23" s="101"/>
      <c r="JY23" s="97">
        <f>SUM(JY11:JY22)</f>
        <v>0</v>
      </c>
    </row>
    <row r="25" spans="2:286" ht="16.5" customHeight="1" x14ac:dyDescent="0.35">
      <c r="B25" s="40"/>
      <c r="C25" s="33"/>
      <c r="D25" s="33"/>
      <c r="E25" s="199"/>
      <c r="F25" s="199"/>
      <c r="G25" s="199"/>
      <c r="H25" s="199"/>
      <c r="I25" s="421" t="s">
        <v>113</v>
      </c>
      <c r="J25" s="421"/>
      <c r="K25" t="s">
        <v>463</v>
      </c>
      <c r="S25" s="40"/>
      <c r="T25" s="33"/>
      <c r="U25" s="33"/>
      <c r="V25" s="54" t="s">
        <v>134</v>
      </c>
      <c r="W25" s="54" t="s">
        <v>136</v>
      </c>
      <c r="AB25" s="40"/>
      <c r="AC25" s="33"/>
      <c r="AD25" s="33"/>
      <c r="AE25" s="199"/>
      <c r="AF25" s="199"/>
      <c r="AG25" s="199"/>
      <c r="AH25" s="199"/>
      <c r="AI25" s="421" t="s">
        <v>113</v>
      </c>
      <c r="AJ25" s="421"/>
      <c r="AK25" t="s">
        <v>115</v>
      </c>
      <c r="AS25" s="40"/>
      <c r="AT25" s="33"/>
      <c r="AU25" s="33"/>
      <c r="AV25" s="199" t="s">
        <v>134</v>
      </c>
      <c r="AW25" s="199" t="s">
        <v>136</v>
      </c>
      <c r="BB25" s="40"/>
      <c r="BC25" s="33"/>
      <c r="BD25" s="33"/>
      <c r="BE25" s="199"/>
      <c r="BF25" s="199"/>
      <c r="BG25" s="199"/>
      <c r="BH25" s="199"/>
      <c r="BI25" s="421" t="s">
        <v>113</v>
      </c>
      <c r="BJ25" s="421"/>
      <c r="BK25" t="s">
        <v>115</v>
      </c>
      <c r="BS25" s="40"/>
      <c r="BT25" s="33"/>
      <c r="BU25" s="33"/>
      <c r="BV25" s="199" t="s">
        <v>134</v>
      </c>
      <c r="BW25" s="199" t="s">
        <v>136</v>
      </c>
      <c r="CB25" s="40"/>
      <c r="CC25" s="33"/>
      <c r="CD25" s="33"/>
      <c r="CE25" s="199"/>
      <c r="CF25" s="199"/>
      <c r="CG25" s="199"/>
      <c r="CH25" s="199"/>
      <c r="CI25" s="421" t="s">
        <v>113</v>
      </c>
      <c r="CJ25" s="421"/>
      <c r="CK25" t="s">
        <v>115</v>
      </c>
      <c r="CS25" s="40"/>
      <c r="CT25" s="33"/>
      <c r="CU25" s="33"/>
      <c r="CV25" s="199" t="s">
        <v>134</v>
      </c>
      <c r="CW25" s="199" t="s">
        <v>136</v>
      </c>
      <c r="DB25" s="40"/>
      <c r="DC25" s="33"/>
      <c r="DD25" s="33"/>
      <c r="DE25" s="199"/>
      <c r="DF25" s="199"/>
      <c r="DG25" s="199"/>
      <c r="DH25" s="199"/>
      <c r="DI25" s="421" t="s">
        <v>113</v>
      </c>
      <c r="DJ25" s="421"/>
      <c r="DK25" t="s">
        <v>115</v>
      </c>
      <c r="DS25" s="40"/>
      <c r="DT25" s="33"/>
      <c r="DU25" s="33"/>
      <c r="DV25" s="199" t="s">
        <v>134</v>
      </c>
      <c r="DW25" s="199" t="s">
        <v>136</v>
      </c>
      <c r="EB25" s="40"/>
      <c r="EC25" s="33"/>
      <c r="ED25" s="33"/>
      <c r="EE25" s="199"/>
      <c r="EF25" s="199"/>
      <c r="EG25" s="199"/>
      <c r="EH25" s="199"/>
      <c r="EI25" s="421" t="s">
        <v>113</v>
      </c>
      <c r="EJ25" s="421"/>
      <c r="EK25" t="s">
        <v>115</v>
      </c>
      <c r="ES25" s="40"/>
      <c r="ET25" s="33"/>
      <c r="EU25" s="33"/>
      <c r="EV25" s="199" t="s">
        <v>134</v>
      </c>
      <c r="EW25" s="199" t="s">
        <v>136</v>
      </c>
      <c r="FB25" s="40"/>
      <c r="FC25" s="33"/>
      <c r="FD25" s="33"/>
      <c r="FE25" s="199"/>
      <c r="FF25" s="199"/>
      <c r="FG25" s="199"/>
      <c r="FH25" s="199"/>
      <c r="FI25" s="421" t="s">
        <v>113</v>
      </c>
      <c r="FJ25" s="421"/>
      <c r="FK25" t="s">
        <v>115</v>
      </c>
      <c r="FS25" s="40"/>
      <c r="FT25" s="33"/>
      <c r="FU25" s="33"/>
      <c r="FV25" s="199" t="s">
        <v>134</v>
      </c>
      <c r="FW25" s="199" t="s">
        <v>136</v>
      </c>
      <c r="GB25" s="40"/>
      <c r="GC25" s="33"/>
      <c r="GD25" s="33"/>
      <c r="GE25" s="199"/>
      <c r="GF25" s="199"/>
      <c r="GG25" s="199"/>
      <c r="GH25" s="199"/>
      <c r="GI25" s="421" t="s">
        <v>113</v>
      </c>
      <c r="GJ25" s="421"/>
      <c r="GK25" t="s">
        <v>115</v>
      </c>
      <c r="GS25" s="40"/>
      <c r="GT25" s="33"/>
      <c r="GU25" s="33"/>
      <c r="GV25" s="199" t="s">
        <v>134</v>
      </c>
      <c r="GW25" s="199" t="s">
        <v>136</v>
      </c>
      <c r="HB25" s="40"/>
      <c r="HC25" s="33"/>
      <c r="HD25" s="33"/>
      <c r="HE25" s="199"/>
      <c r="HF25" s="199"/>
      <c r="HG25" s="199"/>
      <c r="HH25" s="199"/>
      <c r="HI25" s="421" t="s">
        <v>113</v>
      </c>
      <c r="HJ25" s="421"/>
      <c r="HK25" t="s">
        <v>115</v>
      </c>
      <c r="HS25" s="40"/>
      <c r="HT25" s="33"/>
      <c r="HU25" s="33"/>
      <c r="HV25" s="199" t="s">
        <v>134</v>
      </c>
      <c r="HW25" s="199" t="s">
        <v>136</v>
      </c>
      <c r="IB25" s="40"/>
      <c r="IC25" s="33"/>
      <c r="ID25" s="33"/>
      <c r="IE25" s="199"/>
      <c r="IF25" s="199"/>
      <c r="IG25" s="199"/>
      <c r="IH25" s="199"/>
      <c r="II25" s="421" t="s">
        <v>113</v>
      </c>
      <c r="IJ25" s="421"/>
      <c r="IK25" t="s">
        <v>115</v>
      </c>
      <c r="IS25" s="40"/>
      <c r="IT25" s="33"/>
      <c r="IU25" s="33"/>
      <c r="IV25" s="199" t="s">
        <v>134</v>
      </c>
      <c r="IW25" s="199" t="s">
        <v>136</v>
      </c>
      <c r="JB25" s="40"/>
      <c r="JC25" s="33"/>
      <c r="JD25" s="33"/>
      <c r="JE25" s="199"/>
      <c r="JF25" s="199"/>
      <c r="JG25" s="199"/>
      <c r="JH25" s="199"/>
      <c r="JI25" s="421" t="s">
        <v>113</v>
      </c>
      <c r="JJ25" s="421"/>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4" t="s">
        <v>518</v>
      </c>
      <c r="D37" s="415"/>
      <c r="E37" s="415"/>
      <c r="F37" s="415"/>
      <c r="G37" s="415"/>
      <c r="H37" s="415"/>
      <c r="I37" s="415"/>
      <c r="J37" s="415"/>
      <c r="K37" s="415"/>
      <c r="L37" s="415"/>
      <c r="M37" s="416"/>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125</v>
      </c>
      <c r="D39" s="230">
        <f>'Peternakan-CH4'!D27</f>
        <v>128</v>
      </c>
      <c r="E39" s="230">
        <f>'Peternakan-CH4'!E27</f>
        <v>130</v>
      </c>
      <c r="F39" s="230">
        <f>'Peternakan-CH4'!F27</f>
        <v>133</v>
      </c>
      <c r="G39" s="230">
        <f>'Peternakan-CH4'!G27</f>
        <v>135</v>
      </c>
      <c r="H39" s="230">
        <f>'Peternakan-CH4'!H27</f>
        <v>138</v>
      </c>
      <c r="I39" s="230">
        <f>'Peternakan-CH4'!I27</f>
        <v>141</v>
      </c>
      <c r="J39" s="230">
        <f>'Peternakan-CH4'!J27</f>
        <v>144</v>
      </c>
      <c r="K39" s="230">
        <f>'Peternakan-CH4'!K27</f>
        <v>146</v>
      </c>
      <c r="L39" s="230">
        <f>'Peternakan-CH4'!L27</f>
        <v>149</v>
      </c>
      <c r="M39" s="226"/>
    </row>
    <row r="40" spans="2:284" x14ac:dyDescent="0.25">
      <c r="B40" s="56" t="s">
        <v>71</v>
      </c>
      <c r="C40" s="230">
        <f>'Peternakan-CH4'!C28</f>
        <v>23402.213384285002</v>
      </c>
      <c r="D40" s="230">
        <f>'Peternakan-CH4'!D28</f>
        <v>24346.678850225901</v>
      </c>
      <c r="E40" s="230">
        <f>'Peternakan-CH4'!E28</f>
        <v>25291.144316166701</v>
      </c>
      <c r="F40" s="230">
        <f>'Peternakan-CH4'!F28</f>
        <v>26235.6097821076</v>
      </c>
      <c r="G40" s="230">
        <f>'Peternakan-CH4'!G28</f>
        <v>27180.075248048499</v>
      </c>
      <c r="H40" s="230">
        <f>'Peternakan-CH4'!H28</f>
        <v>28124.5407139893</v>
      </c>
      <c r="I40" s="230">
        <f>'Peternakan-CH4'!I28</f>
        <v>29069.006179930198</v>
      </c>
      <c r="J40" s="230">
        <f>'Peternakan-CH4'!J28</f>
        <v>30013.471645871101</v>
      </c>
      <c r="K40" s="230">
        <f>'Peternakan-CH4'!K28</f>
        <v>30957.937111811902</v>
      </c>
      <c r="L40" s="230">
        <f>'Peternakan-CH4'!L28</f>
        <v>31902.4025777528</v>
      </c>
      <c r="M40" s="226"/>
    </row>
    <row r="41" spans="2:284" x14ac:dyDescent="0.25">
      <c r="B41" s="56" t="s">
        <v>22</v>
      </c>
      <c r="C41" s="230">
        <f>'Peternakan-CH4'!C29</f>
        <v>1228</v>
      </c>
      <c r="D41" s="230">
        <f>'Peternakan-CH4'!D29</f>
        <v>1253</v>
      </c>
      <c r="E41" s="230">
        <f>'Peternakan-CH4'!E29</f>
        <v>1278</v>
      </c>
      <c r="F41" s="230">
        <f>'Peternakan-CH4'!F29</f>
        <v>1303</v>
      </c>
      <c r="G41" s="230">
        <f>'Peternakan-CH4'!G29</f>
        <v>1329</v>
      </c>
      <c r="H41" s="230">
        <f>'Peternakan-CH4'!H29</f>
        <v>1356</v>
      </c>
      <c r="I41" s="230">
        <f>'Peternakan-CH4'!I29</f>
        <v>1383</v>
      </c>
      <c r="J41" s="230">
        <f>'Peternakan-CH4'!J29</f>
        <v>1411</v>
      </c>
      <c r="K41" s="230">
        <f>'Peternakan-CH4'!K29</f>
        <v>1439</v>
      </c>
      <c r="L41" s="230">
        <f>'Peternakan-CH4'!L29</f>
        <v>1468</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12705</v>
      </c>
      <c r="D43" s="230">
        <f>'Peternakan-CH4'!D31</f>
        <v>12959</v>
      </c>
      <c r="E43" s="230">
        <f>'Peternakan-CH4'!E31</f>
        <v>13218</v>
      </c>
      <c r="F43" s="230">
        <f>'Peternakan-CH4'!F31</f>
        <v>13483</v>
      </c>
      <c r="G43" s="230">
        <f>'Peternakan-CH4'!G31</f>
        <v>13752</v>
      </c>
      <c r="H43" s="230">
        <f>'Peternakan-CH4'!H31</f>
        <v>14027</v>
      </c>
      <c r="I43" s="230">
        <f>'Peternakan-CH4'!I31</f>
        <v>14308</v>
      </c>
      <c r="J43" s="230">
        <f>'Peternakan-CH4'!J31</f>
        <v>14594</v>
      </c>
      <c r="K43" s="230">
        <f>'Peternakan-CH4'!K31</f>
        <v>14886</v>
      </c>
      <c r="L43" s="230">
        <f>'Peternakan-CH4'!L31</f>
        <v>15184</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473495</v>
      </c>
      <c r="D45" s="230">
        <f>'Peternakan-CH4'!D33</f>
        <v>482965</v>
      </c>
      <c r="E45" s="230">
        <f>'Peternakan-CH4'!E33</f>
        <v>492624</v>
      </c>
      <c r="F45" s="230">
        <f>'Peternakan-CH4'!F33</f>
        <v>502477</v>
      </c>
      <c r="G45" s="230">
        <f>'Peternakan-CH4'!G33</f>
        <v>512526</v>
      </c>
      <c r="H45" s="230">
        <f>'Peternakan-CH4'!H33</f>
        <v>522777</v>
      </c>
      <c r="I45" s="230">
        <f>'Peternakan-CH4'!I33</f>
        <v>533232</v>
      </c>
      <c r="J45" s="230">
        <f>'Peternakan-CH4'!J33</f>
        <v>543897</v>
      </c>
      <c r="K45" s="230">
        <f>'Peternakan-CH4'!K33</f>
        <v>554775</v>
      </c>
      <c r="L45" s="230">
        <f>'Peternakan-CH4'!L33</f>
        <v>565870</v>
      </c>
      <c r="M45" s="226"/>
    </row>
    <row r="46" spans="2:284" x14ac:dyDescent="0.25">
      <c r="B46" s="56" t="s">
        <v>73</v>
      </c>
      <c r="C46" s="230">
        <f>'Peternakan-CH4'!C34</f>
        <v>2073606</v>
      </c>
      <c r="D46" s="230">
        <f>'Peternakan-CH4'!D34</f>
        <v>2115078</v>
      </c>
      <c r="E46" s="230">
        <f>'Peternakan-CH4'!E34</f>
        <v>2157380</v>
      </c>
      <c r="F46" s="230">
        <f>'Peternakan-CH4'!F34</f>
        <v>2200527</v>
      </c>
      <c r="G46" s="230">
        <f>'Peternakan-CH4'!G34</f>
        <v>2244538</v>
      </c>
      <c r="H46" s="230">
        <f>'Peternakan-CH4'!H34</f>
        <v>2289429</v>
      </c>
      <c r="I46" s="230">
        <f>'Peternakan-CH4'!I34</f>
        <v>2335217</v>
      </c>
      <c r="J46" s="230">
        <f>'Peternakan-CH4'!J34</f>
        <v>2381921</v>
      </c>
      <c r="K46" s="230">
        <f>'Peternakan-CH4'!K34</f>
        <v>2429560</v>
      </c>
      <c r="L46" s="230">
        <f>'Peternakan-CH4'!L34</f>
        <v>2478151</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9"/>
    </row>
    <row r="48" spans="2:284" x14ac:dyDescent="0.25">
      <c r="B48" s="56" t="s">
        <v>75</v>
      </c>
      <c r="C48" s="230">
        <f>'Peternakan-CH4'!C36</f>
        <v>5899</v>
      </c>
      <c r="D48" s="230">
        <f>'Peternakan-CH4'!D36</f>
        <v>6017</v>
      </c>
      <c r="E48" s="230">
        <f>'Peternakan-CH4'!E36</f>
        <v>6137</v>
      </c>
      <c r="F48" s="230">
        <f>'Peternakan-CH4'!F36</f>
        <v>6260</v>
      </c>
      <c r="G48" s="230">
        <f>'Peternakan-CH4'!G36</f>
        <v>6385</v>
      </c>
      <c r="H48" s="230">
        <f>'Peternakan-CH4'!H36</f>
        <v>6513</v>
      </c>
      <c r="I48" s="230">
        <f>'Peternakan-CH4'!I36</f>
        <v>6643</v>
      </c>
      <c r="J48" s="230">
        <f>'Peternakan-CH4'!J36</f>
        <v>6776</v>
      </c>
      <c r="K48" s="230">
        <f>'Peternakan-CH4'!K36</f>
        <v>6912</v>
      </c>
      <c r="L48" s="230">
        <f>'Peternakan-CH4'!L36</f>
        <v>7050</v>
      </c>
      <c r="M48" s="289"/>
    </row>
    <row r="49" spans="2:12" x14ac:dyDescent="0.25">
      <c r="B49" s="271" t="s">
        <v>66</v>
      </c>
      <c r="C49" s="233">
        <f>'Peternakan-CH4'!C37</f>
        <v>10956</v>
      </c>
      <c r="D49" s="233">
        <f>'Peternakan-CH4'!D37</f>
        <v>11175</v>
      </c>
      <c r="E49" s="233">
        <f>'Peternakan-CH4'!E37</f>
        <v>11399</v>
      </c>
      <c r="F49" s="233">
        <f>'Peternakan-CH4'!F37</f>
        <v>11627</v>
      </c>
      <c r="G49" s="233">
        <f>'Peternakan-CH4'!G37</f>
        <v>11859</v>
      </c>
      <c r="H49" s="233">
        <f>'Peternakan-CH4'!H37</f>
        <v>12096</v>
      </c>
      <c r="I49" s="233">
        <f>'Peternakan-CH4'!I37</f>
        <v>12338</v>
      </c>
      <c r="J49" s="233">
        <f>'Peternakan-CH4'!J37</f>
        <v>12585</v>
      </c>
      <c r="K49" s="233">
        <f>'Peternakan-CH4'!K37</f>
        <v>12837</v>
      </c>
      <c r="L49" s="233">
        <f>'Peternakan-CH4'!L37</f>
        <v>13093</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9" t="s">
        <v>181</v>
      </c>
      <c r="D3" s="430"/>
      <c r="E3" s="430"/>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1" t="s">
        <v>174</v>
      </c>
      <c r="D4" s="432"/>
      <c r="E4" s="432"/>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6" t="s">
        <v>171</v>
      </c>
      <c r="C5" s="437" t="s">
        <v>43</v>
      </c>
      <c r="D5" s="438" t="s">
        <v>175</v>
      </c>
      <c r="E5" s="43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6"/>
      <c r="C6" s="436"/>
      <c r="D6" s="440" t="s">
        <v>176</v>
      </c>
      <c r="E6" s="187" t="s">
        <v>152</v>
      </c>
      <c r="F6" s="112" t="s">
        <v>153</v>
      </c>
      <c r="G6" s="444">
        <v>0.46</v>
      </c>
      <c r="H6" s="111"/>
      <c r="I6" s="433" t="s">
        <v>200</v>
      </c>
      <c r="K6" s="132">
        <v>3</v>
      </c>
      <c r="L6" s="132" t="s">
        <v>217</v>
      </c>
      <c r="M6" s="133">
        <v>273.60000000000002</v>
      </c>
      <c r="N6" s="134">
        <f>M6/M10</f>
        <v>1.3525055863402704</v>
      </c>
      <c r="P6" s="136">
        <v>3</v>
      </c>
      <c r="Q6" s="136" t="s">
        <v>218</v>
      </c>
      <c r="R6" s="137">
        <v>235.2</v>
      </c>
      <c r="S6" s="138">
        <v>1</v>
      </c>
    </row>
    <row r="7" spans="2:19" ht="16.5" customHeight="1" x14ac:dyDescent="0.25">
      <c r="B7" s="436"/>
      <c r="C7" s="436"/>
      <c r="D7" s="441"/>
      <c r="E7" s="113" t="s">
        <v>154</v>
      </c>
      <c r="F7" s="112" t="s">
        <v>155</v>
      </c>
      <c r="G7" s="434"/>
      <c r="H7" s="111"/>
      <c r="I7" s="434"/>
      <c r="K7" s="132">
        <v>4</v>
      </c>
      <c r="L7" s="132" t="s">
        <v>219</v>
      </c>
      <c r="M7" s="133">
        <v>244.16499999999999</v>
      </c>
      <c r="N7" s="134">
        <f>M7/M10</f>
        <v>1.2069975383361553</v>
      </c>
      <c r="P7" s="132">
        <v>4</v>
      </c>
      <c r="Q7" s="132" t="s">
        <v>220</v>
      </c>
      <c r="R7" s="133">
        <v>152.56</v>
      </c>
      <c r="S7" s="134">
        <f>R7/R6</f>
        <v>0.64863945578231297</v>
      </c>
    </row>
    <row r="8" spans="2:19" x14ac:dyDescent="0.25">
      <c r="B8" s="436"/>
      <c r="C8" s="442" t="s">
        <v>44</v>
      </c>
      <c r="D8" s="440" t="s">
        <v>177</v>
      </c>
      <c r="E8" s="441"/>
      <c r="F8" s="112" t="s">
        <v>156</v>
      </c>
      <c r="G8" s="433">
        <v>0.49</v>
      </c>
      <c r="H8" s="111"/>
      <c r="I8" s="433" t="s">
        <v>201</v>
      </c>
      <c r="K8" s="132">
        <v>5</v>
      </c>
      <c r="L8" s="132" t="s">
        <v>221</v>
      </c>
      <c r="M8" s="133">
        <v>223.2</v>
      </c>
      <c r="N8" s="134">
        <f>M8/M10</f>
        <v>1.1033598204354835</v>
      </c>
      <c r="P8" s="132">
        <v>5</v>
      </c>
      <c r="Q8" s="132" t="s">
        <v>222</v>
      </c>
      <c r="R8" s="139">
        <v>144.22</v>
      </c>
      <c r="S8" s="134">
        <f>R8/R6</f>
        <v>0.61318027210884352</v>
      </c>
    </row>
    <row r="9" spans="2:19" x14ac:dyDescent="0.25">
      <c r="B9" s="436"/>
      <c r="C9" s="443"/>
      <c r="D9" s="440" t="s">
        <v>178</v>
      </c>
      <c r="E9" s="441"/>
      <c r="F9" s="112" t="s">
        <v>157</v>
      </c>
      <c r="G9" s="435"/>
      <c r="H9" s="111"/>
      <c r="I9" s="435"/>
      <c r="K9" s="132">
        <v>6</v>
      </c>
      <c r="L9" s="132" t="s">
        <v>223</v>
      </c>
      <c r="M9" s="133">
        <v>204.64</v>
      </c>
      <c r="N9" s="134">
        <f>M9/M10</f>
        <v>1.0116109034673717</v>
      </c>
      <c r="P9" s="132">
        <v>6</v>
      </c>
      <c r="Q9" s="132" t="s">
        <v>224</v>
      </c>
      <c r="R9" s="133">
        <v>141.12</v>
      </c>
      <c r="S9" s="134">
        <f>R9/R6</f>
        <v>0.60000000000000009</v>
      </c>
    </row>
    <row r="10" spans="2:19" x14ac:dyDescent="0.25">
      <c r="B10" s="436"/>
      <c r="C10" s="442" t="s">
        <v>173</v>
      </c>
      <c r="D10" s="440" t="s">
        <v>179</v>
      </c>
      <c r="E10" s="441"/>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6"/>
      <c r="C11" s="442"/>
      <c r="D11" s="440" t="s">
        <v>180</v>
      </c>
      <c r="E11" s="441"/>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6" t="s">
        <v>172</v>
      </c>
      <c r="C12" s="114" t="s">
        <v>160</v>
      </c>
      <c r="D12" s="445"/>
      <c r="E12" s="445"/>
      <c r="F12" s="56"/>
      <c r="G12" s="111"/>
      <c r="H12" s="115">
        <v>1.1200000000000001</v>
      </c>
      <c r="I12" s="111" t="s">
        <v>185</v>
      </c>
      <c r="K12" s="132">
        <v>9</v>
      </c>
      <c r="L12" s="132" t="s">
        <v>229</v>
      </c>
      <c r="M12" s="133">
        <v>186.655</v>
      </c>
      <c r="N12" s="134">
        <f>M12/M10</f>
        <v>0.92270442331265767</v>
      </c>
    </row>
    <row r="13" spans="2:19" x14ac:dyDescent="0.25">
      <c r="B13" s="446"/>
      <c r="C13" s="197" t="s">
        <v>354</v>
      </c>
      <c r="D13" s="445"/>
      <c r="E13" s="445"/>
      <c r="F13" s="56"/>
      <c r="G13" s="111"/>
      <c r="H13" s="115">
        <v>0.28999999999999998</v>
      </c>
      <c r="I13" s="111" t="s">
        <v>186</v>
      </c>
      <c r="K13" s="132">
        <v>10</v>
      </c>
      <c r="L13" s="132" t="s">
        <v>230</v>
      </c>
      <c r="M13" s="133">
        <v>157.77000000000001</v>
      </c>
      <c r="N13" s="134">
        <f>M13/M10</f>
        <v>0.77991522791266243</v>
      </c>
    </row>
    <row r="14" spans="2:19" x14ac:dyDescent="0.25">
      <c r="B14" s="446"/>
      <c r="C14" s="114" t="s">
        <v>161</v>
      </c>
      <c r="D14" s="445"/>
      <c r="E14" s="445"/>
      <c r="F14" s="56"/>
      <c r="G14" s="111"/>
      <c r="H14" s="115">
        <v>1.02</v>
      </c>
      <c r="I14" s="111" t="s">
        <v>187</v>
      </c>
      <c r="K14" s="132">
        <v>11</v>
      </c>
      <c r="L14" s="132" t="s">
        <v>231</v>
      </c>
      <c r="M14" s="133">
        <v>153.5</v>
      </c>
      <c r="N14" s="134">
        <f>M14/M10</f>
        <v>0.75880704496795126</v>
      </c>
    </row>
    <row r="15" spans="2:19" x14ac:dyDescent="0.25">
      <c r="B15" s="446"/>
      <c r="C15" s="116" t="s">
        <v>162</v>
      </c>
      <c r="D15" s="447"/>
      <c r="E15" s="447"/>
      <c r="F15" s="56"/>
      <c r="G15" s="111"/>
      <c r="H15" s="117">
        <v>1.02</v>
      </c>
      <c r="I15" s="117" t="s">
        <v>188</v>
      </c>
      <c r="K15" s="132">
        <v>12</v>
      </c>
      <c r="L15" s="132" t="s">
        <v>232</v>
      </c>
      <c r="M15" s="133">
        <v>147.54</v>
      </c>
      <c r="N15" s="134">
        <f>M15/M10</f>
        <v>0.72934456947603599</v>
      </c>
    </row>
    <row r="16" spans="2:19" x14ac:dyDescent="0.25">
      <c r="B16" s="446"/>
      <c r="C16" s="116" t="s">
        <v>163</v>
      </c>
      <c r="D16" s="445"/>
      <c r="E16" s="445"/>
      <c r="F16" s="56"/>
      <c r="G16" s="111"/>
      <c r="H16" s="117">
        <v>0.84</v>
      </c>
      <c r="I16" s="117" t="s">
        <v>189</v>
      </c>
      <c r="K16" s="132">
        <v>13</v>
      </c>
      <c r="L16" s="132" t="s">
        <v>233</v>
      </c>
      <c r="M16" s="133">
        <v>146.18671875000001</v>
      </c>
      <c r="N16" s="134">
        <f>M16/M10</f>
        <v>0.72265480174754726</v>
      </c>
    </row>
    <row r="17" spans="2:26" x14ac:dyDescent="0.25">
      <c r="B17" s="446"/>
      <c r="C17" s="116" t="s">
        <v>164</v>
      </c>
      <c r="D17" s="445"/>
      <c r="E17" s="445"/>
      <c r="F17" s="56"/>
      <c r="G17" s="56"/>
      <c r="H17" s="111">
        <v>2.39</v>
      </c>
      <c r="I17" s="111" t="s">
        <v>190</v>
      </c>
      <c r="K17" s="132">
        <v>14</v>
      </c>
      <c r="L17" s="132" t="s">
        <v>234</v>
      </c>
      <c r="M17" s="141">
        <v>145.63885714285715</v>
      </c>
      <c r="N17" s="134">
        <f>M17/M10</f>
        <v>0.71994652000704262</v>
      </c>
      <c r="Y17" s="186"/>
      <c r="Z17" s="186"/>
    </row>
    <row r="18" spans="2:26" x14ac:dyDescent="0.25">
      <c r="B18" s="446"/>
      <c r="C18" s="116" t="s">
        <v>165</v>
      </c>
      <c r="D18" s="445"/>
      <c r="E18" s="445"/>
      <c r="F18" s="56"/>
      <c r="G18" s="56"/>
      <c r="H18" s="115" t="s">
        <v>83</v>
      </c>
      <c r="I18" s="115" t="s">
        <v>83</v>
      </c>
      <c r="K18" s="132">
        <v>15</v>
      </c>
      <c r="L18" s="132" t="s">
        <v>235</v>
      </c>
      <c r="M18" s="133">
        <v>145.53861111111109</v>
      </c>
      <c r="N18" s="134">
        <f>M18/M10</f>
        <v>0.71945096694437816</v>
      </c>
      <c r="Y18" s="186"/>
      <c r="Z18" s="186"/>
    </row>
    <row r="19" spans="2:26" x14ac:dyDescent="0.25">
      <c r="B19" s="446"/>
      <c r="C19" s="116" t="s">
        <v>166</v>
      </c>
      <c r="D19" s="445"/>
      <c r="E19" s="445"/>
      <c r="F19" s="56"/>
      <c r="G19" s="56"/>
      <c r="H19" s="111" t="s">
        <v>167</v>
      </c>
      <c r="I19" s="111" t="s">
        <v>167</v>
      </c>
      <c r="K19" s="132">
        <v>16</v>
      </c>
      <c r="L19" s="132" t="s">
        <v>236</v>
      </c>
      <c r="M19" s="133">
        <v>127</v>
      </c>
      <c r="N19" s="134">
        <f>M19/M10</f>
        <v>0.62780778313309327</v>
      </c>
      <c r="Y19" s="186"/>
      <c r="Z19" s="186"/>
    </row>
    <row r="20" spans="2:26" x14ac:dyDescent="0.25">
      <c r="B20" s="446"/>
      <c r="C20" s="116" t="s">
        <v>168</v>
      </c>
      <c r="D20" s="445"/>
      <c r="E20" s="44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9" t="s">
        <v>256</v>
      </c>
      <c r="C36" s="448" t="s">
        <v>257</v>
      </c>
      <c r="D36" s="448"/>
      <c r="E36" s="448" t="s">
        <v>259</v>
      </c>
      <c r="F36" s="448"/>
      <c r="K36" s="132">
        <v>33</v>
      </c>
      <c r="L36" s="132" t="s">
        <v>251</v>
      </c>
      <c r="M36" s="144">
        <v>323.44704032083536</v>
      </c>
      <c r="N36" s="134">
        <f t="shared" si="0"/>
        <v>1.5989178688565659</v>
      </c>
    </row>
    <row r="37" spans="2:14" ht="15" customHeight="1" x14ac:dyDescent="0.25">
      <c r="B37" s="449"/>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0" t="s">
        <v>263</v>
      </c>
      <c r="D38" s="451">
        <v>1.4</v>
      </c>
      <c r="E38" s="111">
        <v>1</v>
      </c>
      <c r="F38" s="111" t="s">
        <v>264</v>
      </c>
      <c r="K38" s="132">
        <v>35</v>
      </c>
      <c r="L38" s="132" t="s">
        <v>253</v>
      </c>
      <c r="M38" s="144">
        <v>270.79611936186569</v>
      </c>
      <c r="N38" s="134">
        <f t="shared" si="0"/>
        <v>1.3386449714773025</v>
      </c>
    </row>
    <row r="39" spans="2:14" ht="15" customHeight="1" x14ac:dyDescent="0.25">
      <c r="B39" s="148" t="s">
        <v>260</v>
      </c>
      <c r="C39" s="450"/>
      <c r="D39" s="451"/>
      <c r="E39" s="111">
        <v>0.68</v>
      </c>
      <c r="F39" s="111" t="s">
        <v>265</v>
      </c>
      <c r="K39" s="132">
        <v>36</v>
      </c>
      <c r="L39" s="132" t="s">
        <v>254</v>
      </c>
      <c r="M39" s="144">
        <v>271.88698926542628</v>
      </c>
      <c r="N39" s="134">
        <f t="shared" si="0"/>
        <v>1.344037543255578</v>
      </c>
    </row>
    <row r="40" spans="2:14" ht="15" customHeight="1" x14ac:dyDescent="0.25">
      <c r="B40" s="148" t="s">
        <v>262</v>
      </c>
      <c r="C40" s="450"/>
      <c r="D40" s="451"/>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2" t="s">
        <v>27</v>
      </c>
      <c r="E5" s="453"/>
      <c r="F5" s="452" t="s">
        <v>29</v>
      </c>
      <c r="G5" s="454"/>
      <c r="H5" s="171"/>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4800</v>
      </c>
      <c r="E11" s="220">
        <v>1.3</v>
      </c>
      <c r="F11" s="88">
        <v>160.9</v>
      </c>
      <c r="G11" s="266">
        <v>1</v>
      </c>
      <c r="H11" s="43">
        <f>'EF&amp;SF lahan sawah'!$H$13</f>
        <v>0.28999999999999998</v>
      </c>
      <c r="I11" s="89">
        <f>'EF&amp;SF lahan sawah'!$N$22</f>
        <v>0.56746289219990131</v>
      </c>
      <c r="J11" s="150">
        <f>F11*G11*H11*I11*$I$28</f>
        <v>30.629886766402873</v>
      </c>
      <c r="K11" s="42">
        <f>D11*E11*J11*10^-6</f>
        <v>0.19113049342235391</v>
      </c>
    </row>
    <row r="12" spans="2:11" x14ac:dyDescent="0.25">
      <c r="B12" s="308">
        <v>2022</v>
      </c>
      <c r="C12" s="6"/>
      <c r="D12" s="260">
        <f>'Direct N2O'!B37*60%</f>
        <v>4896</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0.19495310329080101</v>
      </c>
    </row>
    <row r="13" spans="2:11" x14ac:dyDescent="0.25">
      <c r="B13" s="308">
        <v>2023</v>
      </c>
      <c r="C13" s="6"/>
      <c r="D13" s="260">
        <f>'Direct N2O'!B38*60%</f>
        <v>4993.8</v>
      </c>
      <c r="E13" s="220">
        <v>1.3</v>
      </c>
      <c r="F13" s="88">
        <v>160.9</v>
      </c>
      <c r="G13" s="266">
        <v>1</v>
      </c>
      <c r="H13" s="43">
        <f>'EF&amp;SF lahan sawah'!$H$13</f>
        <v>0.28999999999999998</v>
      </c>
      <c r="I13" s="89">
        <f>'EF&amp;SF lahan sawah'!$N$22</f>
        <v>0.56746289219990131</v>
      </c>
      <c r="J13" s="150">
        <f t="shared" si="0"/>
        <v>30.629886766402873</v>
      </c>
      <c r="K13" s="42">
        <f t="shared" si="1"/>
        <v>0.19884738709428146</v>
      </c>
    </row>
    <row r="14" spans="2:11" x14ac:dyDescent="0.25">
      <c r="B14" s="308">
        <v>2024</v>
      </c>
      <c r="C14" s="6"/>
      <c r="D14" s="260">
        <f>'Direct N2O'!B39*60%</f>
        <v>5094</v>
      </c>
      <c r="E14" s="220">
        <v>1.3</v>
      </c>
      <c r="F14" s="88">
        <v>160.9</v>
      </c>
      <c r="G14" s="266">
        <v>1</v>
      </c>
      <c r="H14" s="43">
        <f>'EF&amp;SF lahan sawah'!$H$13</f>
        <v>0.28999999999999998</v>
      </c>
      <c r="I14" s="89">
        <f>'EF&amp;SF lahan sawah'!$N$22</f>
        <v>0.56746289219990131</v>
      </c>
      <c r="J14" s="150">
        <f t="shared" si="0"/>
        <v>30.629886766402873</v>
      </c>
      <c r="K14" s="42">
        <f t="shared" si="1"/>
        <v>0.2028372361444731</v>
      </c>
    </row>
    <row r="15" spans="2:11" x14ac:dyDescent="0.25">
      <c r="B15" s="308">
        <v>2025</v>
      </c>
      <c r="C15" s="6"/>
      <c r="D15" s="260">
        <f>'Direct N2O'!B40*60%</f>
        <v>5195.3999999999996</v>
      </c>
      <c r="E15" s="220">
        <v>1.3</v>
      </c>
      <c r="F15" s="88">
        <v>160.9</v>
      </c>
      <c r="G15" s="266">
        <v>1</v>
      </c>
      <c r="H15" s="43">
        <f>'EF&amp;SF lahan sawah'!$H$13</f>
        <v>0.28999999999999998</v>
      </c>
      <c r="I15" s="89">
        <f>'EF&amp;SF lahan sawah'!$N$22</f>
        <v>0.56746289219990131</v>
      </c>
      <c r="J15" s="150">
        <f t="shared" si="0"/>
        <v>30.629886766402873</v>
      </c>
      <c r="K15" s="42">
        <f t="shared" si="1"/>
        <v>0.20687486781802031</v>
      </c>
    </row>
    <row r="16" spans="2:11" x14ac:dyDescent="0.25">
      <c r="B16" s="308">
        <v>2026</v>
      </c>
      <c r="C16" s="6"/>
      <c r="D16" s="260">
        <f>'Direct N2O'!B41*60%</f>
        <v>5299.8</v>
      </c>
      <c r="E16" s="220">
        <v>1.3</v>
      </c>
      <c r="F16" s="88">
        <v>160.9</v>
      </c>
      <c r="G16" s="266">
        <v>1</v>
      </c>
      <c r="H16" s="43">
        <f>'EF&amp;SF lahan sawah'!$H$13</f>
        <v>0.28999999999999998</v>
      </c>
      <c r="I16" s="89">
        <f>'EF&amp;SF lahan sawah'!$N$22</f>
        <v>0.56746289219990131</v>
      </c>
      <c r="J16" s="150">
        <f t="shared" si="0"/>
        <v>30.629886766402873</v>
      </c>
      <c r="K16" s="42">
        <f t="shared" si="1"/>
        <v>0.21103195604995656</v>
      </c>
    </row>
    <row r="17" spans="2:11" x14ac:dyDescent="0.25">
      <c r="B17" s="308">
        <v>2027</v>
      </c>
      <c r="C17" s="6"/>
      <c r="D17" s="260">
        <f>'Direct N2O'!B42*60%</f>
        <v>5405.4</v>
      </c>
      <c r="E17" s="220">
        <v>1.3</v>
      </c>
      <c r="F17" s="88">
        <v>160.9</v>
      </c>
      <c r="G17" s="266">
        <v>1</v>
      </c>
      <c r="H17" s="43">
        <f>'EF&amp;SF lahan sawah'!$H$13</f>
        <v>0.28999999999999998</v>
      </c>
      <c r="I17" s="89">
        <f>'EF&amp;SF lahan sawah'!$N$22</f>
        <v>0.56746289219990131</v>
      </c>
      <c r="J17" s="150">
        <f t="shared" si="0"/>
        <v>30.629886766402873</v>
      </c>
      <c r="K17" s="42">
        <f t="shared" si="1"/>
        <v>0.21523682690524829</v>
      </c>
    </row>
    <row r="18" spans="2:11" x14ac:dyDescent="0.25">
      <c r="B18" s="308">
        <v>2028</v>
      </c>
      <c r="C18" s="6"/>
      <c r="D18" s="260">
        <f>'Direct N2O'!B43*60%</f>
        <v>5513.4</v>
      </c>
      <c r="E18" s="220">
        <v>1.3</v>
      </c>
      <c r="F18" s="88">
        <v>160.9</v>
      </c>
      <c r="G18" s="266">
        <v>1</v>
      </c>
      <c r="H18" s="43">
        <f>'EF&amp;SF lahan sawah'!$H$13</f>
        <v>0.28999999999999998</v>
      </c>
      <c r="I18" s="89">
        <f>'EF&amp;SF lahan sawah'!$N$22</f>
        <v>0.56746289219990131</v>
      </c>
      <c r="J18" s="150">
        <f t="shared" si="0"/>
        <v>30.629886766402873</v>
      </c>
      <c r="K18" s="42">
        <f t="shared" si="1"/>
        <v>0.21953726300725127</v>
      </c>
    </row>
    <row r="19" spans="2:11" x14ac:dyDescent="0.25">
      <c r="B19" s="308">
        <v>2029</v>
      </c>
      <c r="C19" s="6"/>
      <c r="D19" s="260">
        <f>'Direct N2O'!B44*60%</f>
        <v>5623.8</v>
      </c>
      <c r="E19" s="220">
        <v>1.3</v>
      </c>
      <c r="F19" s="88">
        <v>160.9</v>
      </c>
      <c r="G19" s="266">
        <v>1</v>
      </c>
      <c r="H19" s="43">
        <f>'EF&amp;SF lahan sawah'!$H$13</f>
        <v>0.28999999999999998</v>
      </c>
      <c r="I19" s="89">
        <f>'EF&amp;SF lahan sawah'!$N$22</f>
        <v>0.56746289219990131</v>
      </c>
      <c r="J19" s="150">
        <f t="shared" si="0"/>
        <v>30.629886766402873</v>
      </c>
      <c r="K19" s="42">
        <f t="shared" si="1"/>
        <v>0.22393326435596542</v>
      </c>
    </row>
    <row r="20" spans="2:11" x14ac:dyDescent="0.25">
      <c r="B20" s="308">
        <v>2030</v>
      </c>
      <c r="C20" s="6"/>
      <c r="D20" s="260">
        <f>'Direct N2O'!B45*60%</f>
        <v>5736.5999999999995</v>
      </c>
      <c r="E20" s="220">
        <v>1.3</v>
      </c>
      <c r="F20" s="88">
        <v>160.9</v>
      </c>
      <c r="G20" s="266">
        <v>1</v>
      </c>
      <c r="H20" s="43">
        <f>'EF&amp;SF lahan sawah'!$H$13</f>
        <v>0.28999999999999998</v>
      </c>
      <c r="I20" s="89">
        <f>'EF&amp;SF lahan sawah'!$N$22</f>
        <v>0.56746289219990131</v>
      </c>
      <c r="J20" s="150">
        <f t="shared" si="0"/>
        <v>30.629886766402873</v>
      </c>
      <c r="K20" s="42">
        <f t="shared" si="1"/>
        <v>0.22842483095139071</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52558.2</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2" t="s">
        <v>27</v>
      </c>
      <c r="E37" s="453"/>
      <c r="F37" s="452" t="s">
        <v>29</v>
      </c>
      <c r="G37" s="454"/>
      <c r="H37" s="258"/>
      <c r="I37" s="452" t="s">
        <v>29</v>
      </c>
      <c r="J37" s="453"/>
      <c r="K37" s="259"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2400</v>
      </c>
      <c r="E43" s="220">
        <v>1.3</v>
      </c>
      <c r="F43" s="88">
        <v>160.9</v>
      </c>
      <c r="G43" s="266">
        <v>1</v>
      </c>
      <c r="H43" s="43">
        <f>'EF&amp;SF lahan sawah'!$H$13</f>
        <v>0.28999999999999998</v>
      </c>
      <c r="I43" s="89">
        <f>'EF&amp;SF lahan sawah'!$N$27</f>
        <v>1.1568871577513371</v>
      </c>
      <c r="J43" s="150">
        <f>F43*G43*H43*I43*$I$28</f>
        <v>62.445180346605362</v>
      </c>
      <c r="K43" s="42">
        <f>D43*E43*J43*10^-6</f>
        <v>0.19482896268140873</v>
      </c>
    </row>
    <row r="44" spans="2:11" x14ac:dyDescent="0.25">
      <c r="B44" s="308">
        <f t="shared" ref="B44:B53" si="2">B12</f>
        <v>2022</v>
      </c>
      <c r="C44" s="6"/>
      <c r="D44" s="260">
        <f>'Direct N2O'!B37*30%</f>
        <v>2448</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0.19872554193503691</v>
      </c>
    </row>
    <row r="45" spans="2:11" x14ac:dyDescent="0.25">
      <c r="B45" s="308">
        <f t="shared" si="2"/>
        <v>2023</v>
      </c>
      <c r="C45" s="6"/>
      <c r="D45" s="260">
        <f>'Direct N2O'!B38*30%</f>
        <v>2496.9</v>
      </c>
      <c r="E45" s="220">
        <v>1.3</v>
      </c>
      <c r="F45" s="88">
        <v>160.9</v>
      </c>
      <c r="G45" s="266">
        <v>1</v>
      </c>
      <c r="H45" s="43">
        <f>'EF&amp;SF lahan sawah'!$H$13</f>
        <v>0.28999999999999998</v>
      </c>
      <c r="I45" s="89">
        <f>'EF&amp;SF lahan sawah'!$N$27</f>
        <v>1.1568871577513371</v>
      </c>
      <c r="J45" s="150">
        <f t="shared" si="3"/>
        <v>62.445180346605362</v>
      </c>
      <c r="K45" s="42">
        <f t="shared" si="4"/>
        <v>0.20269518204967063</v>
      </c>
    </row>
    <row r="46" spans="2:11" x14ac:dyDescent="0.25">
      <c r="B46" s="308">
        <f t="shared" si="2"/>
        <v>2024</v>
      </c>
      <c r="C46" s="6"/>
      <c r="D46" s="260">
        <f>'Direct N2O'!B39*30%</f>
        <v>2547</v>
      </c>
      <c r="E46" s="220">
        <v>1.3</v>
      </c>
      <c r="F46" s="88">
        <v>160.9</v>
      </c>
      <c r="G46" s="266">
        <v>1</v>
      </c>
      <c r="H46" s="43">
        <f>'EF&amp;SF lahan sawah'!$H$13</f>
        <v>0.28999999999999998</v>
      </c>
      <c r="I46" s="89">
        <f>'EF&amp;SF lahan sawah'!$N$27</f>
        <v>1.1568871577513371</v>
      </c>
      <c r="J46" s="150">
        <f t="shared" si="3"/>
        <v>62.445180346605362</v>
      </c>
      <c r="K46" s="42">
        <f t="shared" si="4"/>
        <v>0.206762236645645</v>
      </c>
    </row>
    <row r="47" spans="2:11" x14ac:dyDescent="0.25">
      <c r="B47" s="308">
        <f t="shared" si="2"/>
        <v>2025</v>
      </c>
      <c r="C47" s="6"/>
      <c r="D47" s="260">
        <f>'Direct N2O'!B40*30%</f>
        <v>2597.6999999999998</v>
      </c>
      <c r="E47" s="220">
        <v>1.3</v>
      </c>
      <c r="F47" s="88">
        <v>160.9</v>
      </c>
      <c r="G47" s="266">
        <v>1</v>
      </c>
      <c r="H47" s="43">
        <f>'EF&amp;SF lahan sawah'!$H$13</f>
        <v>0.28999999999999998</v>
      </c>
      <c r="I47" s="89">
        <f>'EF&amp;SF lahan sawah'!$N$27</f>
        <v>1.1568871577513371</v>
      </c>
      <c r="J47" s="150">
        <f t="shared" si="3"/>
        <v>62.445180346605362</v>
      </c>
      <c r="K47" s="42">
        <f t="shared" si="4"/>
        <v>0.21087799848228975</v>
      </c>
    </row>
    <row r="48" spans="2:11" x14ac:dyDescent="0.25">
      <c r="B48" s="308">
        <f t="shared" si="2"/>
        <v>2026</v>
      </c>
      <c r="C48" s="6"/>
      <c r="D48" s="260">
        <f>'Direct N2O'!B41*30%</f>
        <v>2649.9</v>
      </c>
      <c r="E48" s="220">
        <v>1.3</v>
      </c>
      <c r="F48" s="88">
        <v>160.9</v>
      </c>
      <c r="G48" s="266">
        <v>1</v>
      </c>
      <c r="H48" s="43">
        <f>'EF&amp;SF lahan sawah'!$H$13</f>
        <v>0.28999999999999998</v>
      </c>
      <c r="I48" s="89">
        <f>'EF&amp;SF lahan sawah'!$N$27</f>
        <v>1.1568871577513371</v>
      </c>
      <c r="J48" s="150">
        <f t="shared" si="3"/>
        <v>62.445180346605362</v>
      </c>
      <c r="K48" s="42">
        <f t="shared" si="4"/>
        <v>0.21511552842061044</v>
      </c>
    </row>
    <row r="49" spans="2:11" x14ac:dyDescent="0.25">
      <c r="B49" s="308">
        <f t="shared" si="2"/>
        <v>2027</v>
      </c>
      <c r="C49" s="6"/>
      <c r="D49" s="260">
        <f>'Direct N2O'!B42*30%</f>
        <v>2702.7</v>
      </c>
      <c r="E49" s="220">
        <v>1.3</v>
      </c>
      <c r="F49" s="88">
        <v>160.9</v>
      </c>
      <c r="G49" s="266">
        <v>1</v>
      </c>
      <c r="H49" s="43">
        <f>'EF&amp;SF lahan sawah'!$H$13</f>
        <v>0.28999999999999998</v>
      </c>
      <c r="I49" s="89">
        <f>'EF&amp;SF lahan sawah'!$N$27</f>
        <v>1.1568871577513371</v>
      </c>
      <c r="J49" s="150">
        <f t="shared" si="3"/>
        <v>62.445180346605362</v>
      </c>
      <c r="K49" s="42">
        <f t="shared" si="4"/>
        <v>0.21940176559960137</v>
      </c>
    </row>
    <row r="50" spans="2:11" x14ac:dyDescent="0.25">
      <c r="B50" s="308">
        <f t="shared" si="2"/>
        <v>2028</v>
      </c>
      <c r="C50" s="6"/>
      <c r="D50" s="260">
        <f>'Direct N2O'!B43*30%</f>
        <v>2756.7</v>
      </c>
      <c r="E50" s="220">
        <v>1.3</v>
      </c>
      <c r="F50" s="88">
        <v>160.9</v>
      </c>
      <c r="G50" s="266">
        <v>1</v>
      </c>
      <c r="H50" s="43">
        <f>'EF&amp;SF lahan sawah'!$H$13</f>
        <v>0.28999999999999998</v>
      </c>
      <c r="I50" s="89">
        <f>'EF&amp;SF lahan sawah'!$N$27</f>
        <v>1.1568871577513371</v>
      </c>
      <c r="J50" s="150">
        <f t="shared" si="3"/>
        <v>62.445180346605362</v>
      </c>
      <c r="K50" s="42">
        <f t="shared" si="4"/>
        <v>0.22378541725993309</v>
      </c>
    </row>
    <row r="51" spans="2:11" x14ac:dyDescent="0.25">
      <c r="B51" s="308">
        <f t="shared" si="2"/>
        <v>2029</v>
      </c>
      <c r="C51" s="6"/>
      <c r="D51" s="260">
        <f>'Direct N2O'!B44*30%</f>
        <v>2811.9</v>
      </c>
      <c r="E51" s="220">
        <v>1.3</v>
      </c>
      <c r="F51" s="88">
        <v>160.9</v>
      </c>
      <c r="G51" s="266">
        <v>1</v>
      </c>
      <c r="H51" s="43">
        <f>'EF&amp;SF lahan sawah'!$H$13</f>
        <v>0.28999999999999998</v>
      </c>
      <c r="I51" s="89">
        <f>'EF&amp;SF lahan sawah'!$N$27</f>
        <v>1.1568871577513371</v>
      </c>
      <c r="J51" s="150">
        <f t="shared" si="3"/>
        <v>62.445180346605362</v>
      </c>
      <c r="K51" s="42">
        <f t="shared" si="4"/>
        <v>0.22826648340160549</v>
      </c>
    </row>
    <row r="52" spans="2:11" x14ac:dyDescent="0.25">
      <c r="B52" s="308">
        <f t="shared" si="2"/>
        <v>2030</v>
      </c>
      <c r="C52" s="6"/>
      <c r="D52" s="260">
        <f>'Direct N2O'!B45*30%</f>
        <v>2868.2999999999997</v>
      </c>
      <c r="E52" s="220">
        <v>1.3</v>
      </c>
      <c r="F52" s="88">
        <v>160.9</v>
      </c>
      <c r="G52" s="266">
        <v>1</v>
      </c>
      <c r="H52" s="43">
        <f>'EF&amp;SF lahan sawah'!$H$13</f>
        <v>0.28999999999999998</v>
      </c>
      <c r="I52" s="89">
        <f>'EF&amp;SF lahan sawah'!$N$27</f>
        <v>1.1568871577513371</v>
      </c>
      <c r="J52" s="150">
        <f t="shared" si="3"/>
        <v>62.445180346605362</v>
      </c>
      <c r="K52" s="42">
        <f t="shared" si="4"/>
        <v>0.2328449640246186</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26279.1</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2" t="s">
        <v>27</v>
      </c>
      <c r="E62" s="453"/>
      <c r="F62" s="452" t="s">
        <v>29</v>
      </c>
      <c r="G62" s="454"/>
      <c r="H62" s="258"/>
      <c r="I62" s="452" t="s">
        <v>29</v>
      </c>
      <c r="J62" s="453"/>
      <c r="K62" s="259"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800</v>
      </c>
      <c r="E68" s="220">
        <v>1.3</v>
      </c>
      <c r="F68" s="88">
        <v>160.9</v>
      </c>
      <c r="G68" s="201">
        <v>1</v>
      </c>
      <c r="H68" s="43">
        <f>'EF&amp;SF lahan sawah'!$H$13</f>
        <v>0.28999999999999998</v>
      </c>
      <c r="I68" s="89">
        <f>'EF&amp;SF lahan sawah'!$N$38</f>
        <v>1.3386449714773025</v>
      </c>
      <c r="J68" s="150">
        <f>F68*G68*H68*I68*$I$28</f>
        <v>72.255903355739306</v>
      </c>
      <c r="K68" s="42">
        <f>D68*E68*J68*10^-6</f>
        <v>7.5146139489968872E-2</v>
      </c>
    </row>
    <row r="69" spans="2:11" x14ac:dyDescent="0.25">
      <c r="B69" s="308">
        <f t="shared" ref="B69:B78" si="5">B12</f>
        <v>2022</v>
      </c>
      <c r="C69" s="6"/>
      <c r="D69" s="260">
        <f>'Direct N2O'!B37*10%</f>
        <v>816</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7.6649062279768254E-2</v>
      </c>
    </row>
    <row r="70" spans="2:11" x14ac:dyDescent="0.25">
      <c r="B70" s="308">
        <f t="shared" si="5"/>
        <v>2023</v>
      </c>
      <c r="C70" s="6"/>
      <c r="D70" s="260">
        <f>'Direct N2O'!B38*10%</f>
        <v>832.30000000000007</v>
      </c>
      <c r="E70" s="220">
        <v>1.3</v>
      </c>
      <c r="F70" s="88">
        <v>160.9</v>
      </c>
      <c r="G70" s="201">
        <v>1</v>
      </c>
      <c r="H70" s="43">
        <f>'EF&amp;SF lahan sawah'!$H$13</f>
        <v>0.28999999999999998</v>
      </c>
      <c r="I70" s="89">
        <f>'EF&amp;SF lahan sawah'!$N$38</f>
        <v>1.3386449714773025</v>
      </c>
      <c r="J70" s="150">
        <f t="shared" si="6"/>
        <v>72.255903355739306</v>
      </c>
      <c r="K70" s="42">
        <f t="shared" si="7"/>
        <v>7.8180164871876387E-2</v>
      </c>
    </row>
    <row r="71" spans="2:11" x14ac:dyDescent="0.25">
      <c r="B71" s="308">
        <f t="shared" si="5"/>
        <v>2024</v>
      </c>
      <c r="C71" s="6"/>
      <c r="D71" s="260">
        <f>'Direct N2O'!B39*10%</f>
        <v>849</v>
      </c>
      <c r="E71" s="220">
        <v>1.3</v>
      </c>
      <c r="F71" s="88">
        <v>160.9</v>
      </c>
      <c r="G71" s="201">
        <v>1</v>
      </c>
      <c r="H71" s="43">
        <f>'EF&amp;SF lahan sawah'!$H$13</f>
        <v>0.28999999999999998</v>
      </c>
      <c r="I71" s="89">
        <f>'EF&amp;SF lahan sawah'!$N$38</f>
        <v>1.3386449714773025</v>
      </c>
      <c r="J71" s="150">
        <f t="shared" si="6"/>
        <v>72.255903355739306</v>
      </c>
      <c r="K71" s="42">
        <f t="shared" si="7"/>
        <v>7.9748840533729479E-2</v>
      </c>
    </row>
    <row r="72" spans="2:11" x14ac:dyDescent="0.25">
      <c r="B72" s="308">
        <f t="shared" si="5"/>
        <v>2025</v>
      </c>
      <c r="C72" s="6"/>
      <c r="D72" s="260">
        <f>'Direct N2O'!B40*10%</f>
        <v>865.90000000000009</v>
      </c>
      <c r="E72" s="220">
        <v>1.3</v>
      </c>
      <c r="F72" s="88">
        <v>160.9</v>
      </c>
      <c r="G72" s="201">
        <v>1</v>
      </c>
      <c r="H72" s="43">
        <f>'EF&amp;SF lahan sawah'!$H$13</f>
        <v>0.28999999999999998</v>
      </c>
      <c r="I72" s="89">
        <f>'EF&amp;SF lahan sawah'!$N$38</f>
        <v>1.3386449714773025</v>
      </c>
      <c r="J72" s="150">
        <f t="shared" si="6"/>
        <v>72.255903355739306</v>
      </c>
      <c r="K72" s="42">
        <f t="shared" si="7"/>
        <v>8.1336302730455057E-2</v>
      </c>
    </row>
    <row r="73" spans="2:11" x14ac:dyDescent="0.25">
      <c r="B73" s="308">
        <f t="shared" si="5"/>
        <v>2026</v>
      </c>
      <c r="C73" s="6"/>
      <c r="D73" s="260">
        <f>'Direct N2O'!B41*10%</f>
        <v>883.30000000000007</v>
      </c>
      <c r="E73" s="220">
        <v>1.3</v>
      </c>
      <c r="F73" s="88">
        <v>160.9</v>
      </c>
      <c r="G73" s="201">
        <v>1</v>
      </c>
      <c r="H73" s="43">
        <f>'EF&amp;SF lahan sawah'!$H$13</f>
        <v>0.28999999999999998</v>
      </c>
      <c r="I73" s="89">
        <f>'EF&amp;SF lahan sawah'!$N$38</f>
        <v>1.3386449714773025</v>
      </c>
      <c r="J73" s="150">
        <f t="shared" si="6"/>
        <v>72.255903355739306</v>
      </c>
      <c r="K73" s="42">
        <f t="shared" si="7"/>
        <v>8.2970731264361899E-2</v>
      </c>
    </row>
    <row r="74" spans="2:11" x14ac:dyDescent="0.25">
      <c r="B74" s="308">
        <f t="shared" si="5"/>
        <v>2027</v>
      </c>
      <c r="C74" s="6"/>
      <c r="D74" s="260">
        <f>'Direct N2O'!B42*10%</f>
        <v>900.90000000000009</v>
      </c>
      <c r="E74" s="220">
        <v>1.3</v>
      </c>
      <c r="F74" s="88">
        <v>160.9</v>
      </c>
      <c r="G74" s="201">
        <v>1</v>
      </c>
      <c r="H74" s="43">
        <f>'EF&amp;SF lahan sawah'!$H$13</f>
        <v>0.28999999999999998</v>
      </c>
      <c r="I74" s="89">
        <f>'EF&amp;SF lahan sawah'!$N$38</f>
        <v>1.3386449714773025</v>
      </c>
      <c r="J74" s="150">
        <f t="shared" si="6"/>
        <v>72.255903355739306</v>
      </c>
      <c r="K74" s="42">
        <f t="shared" si="7"/>
        <v>8.4623946333141215E-2</v>
      </c>
    </row>
    <row r="75" spans="2:11" x14ac:dyDescent="0.25">
      <c r="B75" s="308">
        <f t="shared" si="5"/>
        <v>2028</v>
      </c>
      <c r="C75" s="6"/>
      <c r="D75" s="260">
        <f>'Direct N2O'!B43*10%</f>
        <v>918.90000000000009</v>
      </c>
      <c r="E75" s="220">
        <v>1.3</v>
      </c>
      <c r="F75" s="88">
        <v>160.9</v>
      </c>
      <c r="G75" s="201">
        <v>1</v>
      </c>
      <c r="H75" s="43">
        <f>'EF&amp;SF lahan sawah'!$H$13</f>
        <v>0.28999999999999998</v>
      </c>
      <c r="I75" s="89">
        <f>'EF&amp;SF lahan sawah'!$N$38</f>
        <v>1.3386449714773025</v>
      </c>
      <c r="J75" s="150">
        <f t="shared" si="6"/>
        <v>72.255903355739306</v>
      </c>
      <c r="K75" s="42">
        <f t="shared" si="7"/>
        <v>8.6314734471665516E-2</v>
      </c>
    </row>
    <row r="76" spans="2:11" x14ac:dyDescent="0.25">
      <c r="B76" s="308">
        <f t="shared" si="5"/>
        <v>2029</v>
      </c>
      <c r="C76" s="6"/>
      <c r="D76" s="260">
        <f>'Direct N2O'!B44*10%</f>
        <v>937.30000000000007</v>
      </c>
      <c r="E76" s="220">
        <v>1.3</v>
      </c>
      <c r="F76" s="88">
        <v>160.9</v>
      </c>
      <c r="G76" s="201">
        <v>1</v>
      </c>
      <c r="H76" s="43">
        <f>'EF&amp;SF lahan sawah'!$H$13</f>
        <v>0.28999999999999998</v>
      </c>
      <c r="I76" s="89">
        <f>'EF&amp;SF lahan sawah'!$N$38</f>
        <v>1.3386449714773025</v>
      </c>
      <c r="J76" s="150">
        <f t="shared" si="6"/>
        <v>72.255903355739306</v>
      </c>
      <c r="K76" s="42">
        <f t="shared" si="7"/>
        <v>8.8043095679934805E-2</v>
      </c>
    </row>
    <row r="77" spans="2:11" x14ac:dyDescent="0.25">
      <c r="B77" s="308">
        <f t="shared" si="5"/>
        <v>2030</v>
      </c>
      <c r="C77" s="6"/>
      <c r="D77" s="260">
        <f>'Direct N2O'!B45*10%</f>
        <v>956.1</v>
      </c>
      <c r="E77" s="220">
        <v>1.3</v>
      </c>
      <c r="F77" s="88">
        <v>160.9</v>
      </c>
      <c r="G77" s="201">
        <v>1</v>
      </c>
      <c r="H77" s="43">
        <f>'EF&amp;SF lahan sawah'!$H$13</f>
        <v>0.28999999999999998</v>
      </c>
      <c r="I77" s="89">
        <f>'EF&amp;SF lahan sawah'!$N$38</f>
        <v>1.3386449714773025</v>
      </c>
      <c r="J77" s="150">
        <f t="shared" si="6"/>
        <v>72.255903355739306</v>
      </c>
      <c r="K77" s="42">
        <f t="shared" si="7"/>
        <v>8.9809029957949066E-2</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8759.7000000000007</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8" t="s">
        <v>288</v>
      </c>
      <c r="D5" s="459"/>
      <c r="E5" s="459"/>
      <c r="F5" s="459"/>
      <c r="G5" s="460"/>
    </row>
    <row r="6" spans="2:7" ht="45" x14ac:dyDescent="0.25">
      <c r="B6" s="455" t="s">
        <v>396</v>
      </c>
      <c r="C6" s="23" t="s">
        <v>280</v>
      </c>
      <c r="D6" s="160" t="s">
        <v>54</v>
      </c>
      <c r="E6" s="164" t="s">
        <v>289</v>
      </c>
      <c r="F6" s="24" t="s">
        <v>54</v>
      </c>
      <c r="G6" s="157" t="s">
        <v>31</v>
      </c>
    </row>
    <row r="7" spans="2:7" ht="17.25" x14ac:dyDescent="0.25">
      <c r="B7" s="455"/>
      <c r="C7" s="23" t="s">
        <v>281</v>
      </c>
      <c r="D7" s="161" t="s">
        <v>290</v>
      </c>
      <c r="E7" s="24" t="s">
        <v>281</v>
      </c>
      <c r="F7" s="11" t="s">
        <v>291</v>
      </c>
      <c r="G7" s="93"/>
    </row>
    <row r="8" spans="2:7" x14ac:dyDescent="0.25">
      <c r="B8" s="455"/>
      <c r="C8" s="153"/>
      <c r="D8" s="162" t="s">
        <v>282</v>
      </c>
      <c r="E8" s="165"/>
      <c r="F8" s="26" t="s">
        <v>292</v>
      </c>
      <c r="G8" s="92"/>
    </row>
    <row r="9" spans="2:7" ht="18.75" thickBot="1" x14ac:dyDescent="0.4">
      <c r="B9" s="456"/>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4" t="s">
        <v>56</v>
      </c>
      <c r="D5" s="454"/>
      <c r="E5" s="461"/>
    </row>
    <row r="6" spans="2:5" ht="45" x14ac:dyDescent="0.25">
      <c r="B6" s="462" t="s">
        <v>396</v>
      </c>
      <c r="C6" s="173" t="s">
        <v>46</v>
      </c>
      <c r="D6" s="173" t="s">
        <v>48</v>
      </c>
      <c r="E6" s="173"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8">
        <f>'Lahan sawah'!B11</f>
        <v>2021</v>
      </c>
      <c r="C11" s="260">
        <f>'Direct N2O'!T36*10^-3</f>
        <v>2200</v>
      </c>
      <c r="D11" s="224">
        <v>0.2</v>
      </c>
      <c r="E11" s="225">
        <f>C11*D11</f>
        <v>440</v>
      </c>
    </row>
    <row r="12" spans="2:5" x14ac:dyDescent="0.25">
      <c r="B12" s="308">
        <f>'Lahan sawah'!B12</f>
        <v>2022</v>
      </c>
      <c r="C12" s="260">
        <f>'Direct N2O'!T37*10^-3</f>
        <v>2244</v>
      </c>
      <c r="D12" s="224">
        <v>0.2</v>
      </c>
      <c r="E12" s="225">
        <f t="shared" ref="E12:E21" si="0">C12*D12</f>
        <v>448.8</v>
      </c>
    </row>
    <row r="13" spans="2:5" x14ac:dyDescent="0.25">
      <c r="B13" s="308">
        <f>'Lahan sawah'!B13</f>
        <v>2023</v>
      </c>
      <c r="C13" s="260">
        <f>'Direct N2O'!T38*10^-3</f>
        <v>2288.8250000000003</v>
      </c>
      <c r="D13" s="224">
        <v>0.2</v>
      </c>
      <c r="E13" s="225">
        <f t="shared" si="0"/>
        <v>457.7650000000001</v>
      </c>
    </row>
    <row r="14" spans="2:5" x14ac:dyDescent="0.25">
      <c r="B14" s="308">
        <f>'Lahan sawah'!B14</f>
        <v>2024</v>
      </c>
      <c r="C14" s="260">
        <f>'Direct N2O'!T39*10^-3</f>
        <v>2334.75</v>
      </c>
      <c r="D14" s="224">
        <v>0.2</v>
      </c>
      <c r="E14" s="225">
        <f t="shared" si="0"/>
        <v>466.95000000000005</v>
      </c>
    </row>
    <row r="15" spans="2:5" x14ac:dyDescent="0.25">
      <c r="B15" s="308">
        <f>'Lahan sawah'!B15</f>
        <v>2025</v>
      </c>
      <c r="C15" s="260">
        <f>'Direct N2O'!T40*10^-3</f>
        <v>2381.2249999999999</v>
      </c>
      <c r="D15" s="224">
        <v>0.2</v>
      </c>
      <c r="E15" s="225">
        <f t="shared" si="0"/>
        <v>476.245</v>
      </c>
    </row>
    <row r="16" spans="2:5" x14ac:dyDescent="0.25">
      <c r="B16" s="308">
        <f>'Lahan sawah'!B16</f>
        <v>2026</v>
      </c>
      <c r="C16" s="260">
        <f>'Direct N2O'!T41*10^-3</f>
        <v>2429.0750000000003</v>
      </c>
      <c r="D16" s="224">
        <v>0.2</v>
      </c>
      <c r="E16" s="225">
        <f t="shared" si="0"/>
        <v>485.81500000000005</v>
      </c>
    </row>
    <row r="17" spans="2:13" x14ac:dyDescent="0.25">
      <c r="B17" s="308">
        <f>'Lahan sawah'!B17</f>
        <v>2027</v>
      </c>
      <c r="C17" s="260">
        <f>'Direct N2O'!T42*10^-3</f>
        <v>2477.4749999999999</v>
      </c>
      <c r="D17" s="224">
        <v>0.2</v>
      </c>
      <c r="E17" s="225">
        <f t="shared" si="0"/>
        <v>495.495</v>
      </c>
    </row>
    <row r="18" spans="2:13" x14ac:dyDescent="0.25">
      <c r="B18" s="308">
        <f>'Lahan sawah'!B18</f>
        <v>2028</v>
      </c>
      <c r="C18" s="260">
        <f>'Direct N2O'!T43*10^-3</f>
        <v>2526.9749999999999</v>
      </c>
      <c r="D18" s="224">
        <v>0.2</v>
      </c>
      <c r="E18" s="176">
        <f t="shared" si="0"/>
        <v>505.39499999999998</v>
      </c>
    </row>
    <row r="19" spans="2:13" x14ac:dyDescent="0.25">
      <c r="B19" s="308">
        <f>'Lahan sawah'!B19</f>
        <v>2029</v>
      </c>
      <c r="C19" s="260">
        <f>'Direct N2O'!T44*10^-3</f>
        <v>2577.5750000000003</v>
      </c>
      <c r="D19" s="224">
        <v>0.2</v>
      </c>
      <c r="E19" s="176">
        <f t="shared" si="0"/>
        <v>515.5150000000001</v>
      </c>
    </row>
    <row r="20" spans="2:13" x14ac:dyDescent="0.25">
      <c r="B20" s="308">
        <f>'Lahan sawah'!B20</f>
        <v>2030</v>
      </c>
      <c r="C20" s="260">
        <f>'Direct N2O'!T45*10^-3</f>
        <v>2629.2750000000001</v>
      </c>
      <c r="D20" s="224">
        <v>0.2</v>
      </c>
      <c r="E20" s="176">
        <f t="shared" si="0"/>
        <v>525.85500000000002</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1346.5650000000001</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29" zoomScale="85" zoomScaleNormal="85" workbookViewId="0">
      <selection activeCell="K37" sqref="K37"/>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0" t="s">
        <v>367</v>
      </c>
      <c r="B3" s="480"/>
      <c r="C3" s="481" t="s">
        <v>368</v>
      </c>
      <c r="D3" s="481"/>
      <c r="E3" s="481"/>
      <c r="F3" s="481"/>
      <c r="G3" s="481"/>
      <c r="H3" s="311"/>
      <c r="I3" s="316"/>
      <c r="J3" s="316"/>
      <c r="K3" s="316"/>
      <c r="L3" s="316"/>
      <c r="M3" s="316"/>
      <c r="N3" s="316"/>
      <c r="O3" s="316"/>
      <c r="P3" s="311"/>
      <c r="Q3" s="316"/>
      <c r="R3" s="316"/>
      <c r="S3" s="316"/>
      <c r="T3" s="316"/>
      <c r="U3" s="316"/>
      <c r="V3" s="316"/>
      <c r="W3" s="316"/>
      <c r="Y3" s="316"/>
      <c r="Z3" s="316"/>
      <c r="AA3" s="316"/>
      <c r="AB3" s="316"/>
      <c r="AC3" s="316"/>
      <c r="AD3" s="316"/>
      <c r="AE3" s="316"/>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6"/>
      <c r="CD3" s="316"/>
      <c r="CE3" s="316"/>
      <c r="CF3" s="316"/>
      <c r="CG3" s="316"/>
      <c r="CH3" s="316"/>
      <c r="CI3" s="316"/>
    </row>
    <row r="4" spans="1:87" s="313" customFormat="1" ht="13.5" customHeight="1" x14ac:dyDescent="0.25">
      <c r="A4" s="480" t="s">
        <v>369</v>
      </c>
      <c r="B4" s="480"/>
      <c r="C4" s="481" t="s">
        <v>481</v>
      </c>
      <c r="D4" s="481"/>
      <c r="E4" s="481"/>
      <c r="F4" s="481"/>
      <c r="G4" s="481"/>
      <c r="H4" s="311"/>
      <c r="I4" s="316"/>
      <c r="J4" s="316"/>
      <c r="K4" s="316"/>
      <c r="L4" s="316"/>
      <c r="M4" s="316"/>
      <c r="N4" s="316"/>
      <c r="O4" s="316"/>
      <c r="P4" s="311"/>
      <c r="Q4" s="316"/>
      <c r="R4" s="316"/>
      <c r="S4" s="316"/>
      <c r="T4" s="316"/>
      <c r="U4" s="316"/>
      <c r="V4" s="316"/>
      <c r="W4" s="316"/>
      <c r="Y4" s="316"/>
      <c r="Z4" s="316"/>
      <c r="AA4" s="316"/>
      <c r="AB4" s="316"/>
      <c r="AC4" s="316"/>
      <c r="AD4" s="316"/>
      <c r="AE4" s="316"/>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6"/>
      <c r="CD4" s="316"/>
      <c r="CE4" s="316"/>
      <c r="CF4" s="316"/>
      <c r="CG4" s="316"/>
      <c r="CH4" s="316"/>
      <c r="CI4" s="316"/>
    </row>
    <row r="5" spans="1:87" s="313" customFormat="1" x14ac:dyDescent="0.25">
      <c r="A5" s="480" t="s">
        <v>370</v>
      </c>
      <c r="B5" s="480"/>
      <c r="C5" s="481" t="s">
        <v>371</v>
      </c>
      <c r="D5" s="481"/>
      <c r="E5" s="481"/>
      <c r="F5" s="481"/>
      <c r="G5" s="481"/>
      <c r="H5" s="311"/>
      <c r="I5" s="316"/>
      <c r="J5" s="316"/>
      <c r="K5" s="316"/>
      <c r="L5" s="316"/>
      <c r="M5" s="316"/>
      <c r="N5" s="316"/>
      <c r="O5" s="316"/>
      <c r="P5" s="311"/>
      <c r="Q5" s="316"/>
      <c r="R5" s="316"/>
      <c r="S5" s="316"/>
      <c r="T5" s="316"/>
      <c r="U5" s="316"/>
      <c r="V5" s="316"/>
      <c r="W5" s="316"/>
      <c r="Y5" s="316"/>
      <c r="Z5" s="316"/>
      <c r="AA5" s="316"/>
      <c r="AB5" s="316"/>
      <c r="AC5" s="316"/>
      <c r="AD5" s="316"/>
      <c r="AE5" s="316"/>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6"/>
      <c r="CD5" s="316"/>
      <c r="CE5" s="316"/>
      <c r="CF5" s="316"/>
      <c r="CG5" s="316"/>
      <c r="CH5" s="316"/>
      <c r="CI5" s="316"/>
    </row>
    <row r="6" spans="1:87" s="313" customFormat="1" x14ac:dyDescent="0.25">
      <c r="A6" s="480" t="s">
        <v>372</v>
      </c>
      <c r="B6" s="480"/>
      <c r="C6" s="481" t="s">
        <v>373</v>
      </c>
      <c r="D6" s="481"/>
      <c r="E6" s="481"/>
      <c r="F6" s="481"/>
      <c r="G6" s="481"/>
      <c r="H6" s="311"/>
      <c r="I6" s="316"/>
      <c r="J6" s="316"/>
      <c r="K6" s="316"/>
      <c r="L6" s="316"/>
      <c r="M6" s="316"/>
      <c r="N6" s="316"/>
      <c r="O6" s="316"/>
      <c r="P6" s="311"/>
      <c r="Q6" s="316"/>
      <c r="R6" s="316"/>
      <c r="S6" s="316"/>
      <c r="T6" s="316"/>
      <c r="U6" s="316"/>
      <c r="V6" s="316"/>
      <c r="W6" s="316"/>
      <c r="Y6" s="316"/>
      <c r="Z6" s="316"/>
      <c r="AA6" s="316"/>
      <c r="AB6" s="316"/>
      <c r="AC6" s="316"/>
      <c r="AD6" s="316"/>
      <c r="AE6" s="316"/>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6"/>
      <c r="CD6" s="316"/>
      <c r="CE6" s="316"/>
      <c r="CF6" s="316"/>
      <c r="CG6" s="316"/>
      <c r="CH6" s="316"/>
      <c r="CI6" s="316"/>
    </row>
    <row r="7" spans="1:87" s="313" customFormat="1" x14ac:dyDescent="0.25">
      <c r="A7" s="482" t="s">
        <v>3</v>
      </c>
      <c r="B7" s="482"/>
      <c r="C7" s="483" t="s">
        <v>374</v>
      </c>
      <c r="D7" s="483"/>
      <c r="E7" s="483"/>
      <c r="F7" s="483"/>
      <c r="G7" s="483"/>
      <c r="H7" s="311"/>
      <c r="I7" s="316"/>
      <c r="J7" s="316"/>
      <c r="K7" s="316"/>
      <c r="L7" s="316"/>
      <c r="M7" s="316"/>
      <c r="N7" s="316"/>
      <c r="O7" s="316"/>
      <c r="P7" s="311"/>
      <c r="Q7" s="316"/>
      <c r="R7" s="316"/>
      <c r="S7" s="316"/>
      <c r="T7" s="316"/>
      <c r="U7" s="316"/>
      <c r="V7" s="316"/>
      <c r="W7" s="316"/>
      <c r="Y7" s="316"/>
      <c r="Z7" s="316"/>
      <c r="AA7" s="316"/>
      <c r="AB7" s="316"/>
      <c r="AC7" s="316"/>
      <c r="AD7" s="316"/>
      <c r="AE7" s="316"/>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6"/>
      <c r="CD7" s="316"/>
      <c r="CE7" s="316"/>
      <c r="CF7" s="316"/>
      <c r="CG7" s="316"/>
      <c r="CH7" s="316"/>
      <c r="CI7" s="316"/>
    </row>
    <row r="8" spans="1:87" s="313" customFormat="1" ht="39.75" x14ac:dyDescent="0.25">
      <c r="A8" s="479" t="s">
        <v>375</v>
      </c>
      <c r="B8" s="479"/>
      <c r="C8" s="479" t="s">
        <v>376</v>
      </c>
      <c r="D8" s="479"/>
      <c r="E8" s="479" t="s">
        <v>482</v>
      </c>
      <c r="F8" s="479"/>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9"/>
      <c r="B9" s="479"/>
      <c r="C9" s="479" t="s">
        <v>484</v>
      </c>
      <c r="D9" s="479"/>
      <c r="E9" s="479" t="s">
        <v>485</v>
      </c>
      <c r="F9" s="479"/>
      <c r="G9" s="486"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6"/>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9"/>
      <c r="B12" s="479"/>
      <c r="C12" s="469" t="s">
        <v>378</v>
      </c>
      <c r="D12" s="469"/>
      <c r="E12" s="469" t="s">
        <v>54</v>
      </c>
      <c r="F12" s="469"/>
      <c r="G12" s="355" t="s">
        <v>488</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6"/>
      <c r="X12" s="310" t="s">
        <v>396</v>
      </c>
      <c r="Y12" s="311">
        <v>2027</v>
      </c>
      <c r="Z12" s="314"/>
      <c r="AA12" s="310" t="s">
        <v>396</v>
      </c>
      <c r="AB12" s="311">
        <v>2028</v>
      </c>
      <c r="AC12" s="316"/>
      <c r="AD12" s="310" t="s">
        <v>396</v>
      </c>
      <c r="AE12" s="311">
        <v>2029</v>
      </c>
      <c r="AG12" s="310" t="s">
        <v>396</v>
      </c>
      <c r="AH12" s="311">
        <v>2030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5" t="s">
        <v>489</v>
      </c>
      <c r="B13" s="330" t="s">
        <v>379</v>
      </c>
      <c r="C13" s="357" t="s">
        <v>490</v>
      </c>
      <c r="D13" s="358">
        <f>$AA36</f>
        <v>1012000</v>
      </c>
      <c r="E13" s="477" t="s">
        <v>491</v>
      </c>
      <c r="F13" s="359">
        <v>0.01</v>
      </c>
      <c r="G13" s="360">
        <f>D13*$F$13</f>
        <v>10120</v>
      </c>
      <c r="I13" s="358">
        <f>$AA37</f>
        <v>1032240</v>
      </c>
      <c r="J13" s="360">
        <f>I13*$F$13</f>
        <v>10322.4</v>
      </c>
      <c r="L13" s="358">
        <f>$AA38</f>
        <v>1052859.5</v>
      </c>
      <c r="M13" s="360">
        <f>L13*$F$13</f>
        <v>10528.594999999999</v>
      </c>
      <c r="N13" s="362"/>
      <c r="O13" s="358">
        <f>$AA39</f>
        <v>1073985</v>
      </c>
      <c r="P13" s="360">
        <f>O13*$F$13</f>
        <v>10739.85</v>
      </c>
      <c r="Q13" s="363"/>
      <c r="R13" s="358">
        <f>$AA40</f>
        <v>1095363.5</v>
      </c>
      <c r="S13" s="360">
        <f>R13*$F$13</f>
        <v>10953.635</v>
      </c>
      <c r="T13" s="314"/>
      <c r="U13" s="358">
        <f>$AA41</f>
        <v>1117374.5</v>
      </c>
      <c r="V13" s="360">
        <f>U13*$F$13</f>
        <v>11173.745000000001</v>
      </c>
      <c r="W13" s="313"/>
      <c r="X13" s="358">
        <f>$AA42</f>
        <v>1139638.5</v>
      </c>
      <c r="Y13" s="360">
        <f>X13*$F$13</f>
        <v>11396.385</v>
      </c>
      <c r="Z13" s="314"/>
      <c r="AA13" s="358">
        <f>$AA43</f>
        <v>1162408.5</v>
      </c>
      <c r="AB13" s="360">
        <f>AA13*$F$13</f>
        <v>11624.085000000001</v>
      </c>
      <c r="AC13" s="314"/>
      <c r="AD13" s="358">
        <f>$AA44</f>
        <v>1185684.5</v>
      </c>
      <c r="AE13" s="360">
        <f>AD13*$F$13</f>
        <v>11856.844999999999</v>
      </c>
      <c r="AF13" s="313"/>
      <c r="AG13" s="358">
        <f>$AA45</f>
        <v>1209466.5</v>
      </c>
      <c r="AH13" s="360">
        <f>AG13*$F$13</f>
        <v>12094.665000000001</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4"/>
      <c r="B14" s="365" t="s">
        <v>380</v>
      </c>
      <c r="C14" s="366" t="s">
        <v>492</v>
      </c>
      <c r="D14" s="367">
        <v>0</v>
      </c>
      <c r="E14" s="485"/>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4" t="s">
        <v>493</v>
      </c>
      <c r="B15" s="369" t="s">
        <v>379</v>
      </c>
      <c r="C15" s="370" t="s">
        <v>490</v>
      </c>
      <c r="D15" s="361">
        <f>$U36</f>
        <v>1012000</v>
      </c>
      <c r="E15" s="476" t="s">
        <v>494</v>
      </c>
      <c r="F15" s="371">
        <v>3.0000000000000001E-3</v>
      </c>
      <c r="G15" s="360">
        <f>D15*$F$15</f>
        <v>3036</v>
      </c>
      <c r="I15" s="361">
        <f>$U37</f>
        <v>1032240</v>
      </c>
      <c r="J15" s="360">
        <f>I15*$F$15</f>
        <v>3096.7200000000003</v>
      </c>
      <c r="L15" s="361">
        <f>$U38</f>
        <v>1052859.5</v>
      </c>
      <c r="M15" s="360">
        <f>L15*$F$15</f>
        <v>3158.5785000000001</v>
      </c>
      <c r="N15" s="362"/>
      <c r="O15" s="361">
        <f>$U39</f>
        <v>1073985</v>
      </c>
      <c r="P15" s="360">
        <f>O15*$F$15</f>
        <v>3221.9549999999999</v>
      </c>
      <c r="Q15" s="363"/>
      <c r="R15" s="361">
        <f>$U40</f>
        <v>1095363.5</v>
      </c>
      <c r="S15" s="360">
        <f>R15*$F$15</f>
        <v>3286.0905000000002</v>
      </c>
      <c r="T15" s="314"/>
      <c r="U15" s="361">
        <f>$U41</f>
        <v>1117374.5</v>
      </c>
      <c r="V15" s="360">
        <f>U15*$F$15</f>
        <v>3352.1235000000001</v>
      </c>
      <c r="W15" s="313"/>
      <c r="X15" s="361">
        <f>$U42</f>
        <v>1139638.5</v>
      </c>
      <c r="Y15" s="360">
        <f>X15*$F$15</f>
        <v>3418.9155000000001</v>
      </c>
      <c r="Z15" s="314"/>
      <c r="AA15" s="361">
        <f>$U43</f>
        <v>1162408.5</v>
      </c>
      <c r="AB15" s="360">
        <f>AA15*$F$15</f>
        <v>3487.2255</v>
      </c>
      <c r="AC15" s="314"/>
      <c r="AD15" s="361">
        <f>$U44</f>
        <v>1185684.5</v>
      </c>
      <c r="AE15" s="360">
        <f>AD15*$F$15</f>
        <v>3557.0535</v>
      </c>
      <c r="AF15" s="313"/>
      <c r="AG15" s="361">
        <f>$U45</f>
        <v>1209466.5</v>
      </c>
      <c r="AH15" s="360">
        <f>AG15*$F$15</f>
        <v>3628.3995</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5"/>
      <c r="B16" s="330" t="s">
        <v>380</v>
      </c>
      <c r="C16" s="357" t="s">
        <v>492</v>
      </c>
      <c r="D16" s="358">
        <v>0</v>
      </c>
      <c r="E16" s="477"/>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78" t="s">
        <v>25</v>
      </c>
      <c r="B17" s="478"/>
      <c r="C17" s="372"/>
      <c r="D17" s="373"/>
      <c r="E17" s="372"/>
      <c r="F17" s="372"/>
      <c r="G17" s="374">
        <f>SUM(G13:G16)</f>
        <v>13156</v>
      </c>
      <c r="I17" s="373"/>
      <c r="J17" s="374">
        <f>SUM(J13:J16)</f>
        <v>13419.119999999999</v>
      </c>
      <c r="L17" s="373"/>
      <c r="M17" s="374">
        <f>SUM(M13:M16)</f>
        <v>13687.173499999999</v>
      </c>
      <c r="N17" s="362"/>
      <c r="O17" s="373"/>
      <c r="P17" s="374">
        <f>SUM(P13:P16)</f>
        <v>13961.805</v>
      </c>
      <c r="Q17" s="363"/>
      <c r="R17" s="373"/>
      <c r="S17" s="374">
        <f>SUM(S13:S16)</f>
        <v>14239.7255</v>
      </c>
      <c r="T17" s="354"/>
      <c r="U17" s="373"/>
      <c r="V17" s="374">
        <f>SUM(V13:V16)</f>
        <v>14525.8685</v>
      </c>
      <c r="W17" s="313"/>
      <c r="X17" s="373"/>
      <c r="Y17" s="374">
        <f>SUM(Y13:Y16)</f>
        <v>14815.300500000001</v>
      </c>
      <c r="Z17" s="375"/>
      <c r="AA17" s="373"/>
      <c r="AB17" s="374">
        <f>SUM(AB13:AB16)</f>
        <v>15111.310500000001</v>
      </c>
      <c r="AC17" s="354"/>
      <c r="AD17" s="373"/>
      <c r="AE17" s="374">
        <f>SUM(AE13:AE16)</f>
        <v>15413.898499999999</v>
      </c>
      <c r="AF17" s="313"/>
      <c r="AG17" s="373"/>
      <c r="AH17" s="374">
        <f>SUM(AH13:AH16)</f>
        <v>15723.0645</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2" t="s">
        <v>516</v>
      </c>
      <c r="G18" s="393">
        <f>G17</f>
        <v>13156</v>
      </c>
      <c r="I18" s="392" t="s">
        <v>516</v>
      </c>
      <c r="J18" s="393">
        <f>J17</f>
        <v>13419.119999999999</v>
      </c>
      <c r="L18" s="392" t="s">
        <v>516</v>
      </c>
      <c r="M18" s="393">
        <f>M17</f>
        <v>13687.173499999999</v>
      </c>
      <c r="N18" s="315"/>
      <c r="O18" s="392" t="s">
        <v>516</v>
      </c>
      <c r="P18" s="393">
        <f>P17</f>
        <v>13961.805</v>
      </c>
      <c r="Q18" s="376"/>
      <c r="R18" s="392" t="s">
        <v>516</v>
      </c>
      <c r="S18" s="393">
        <f>S17</f>
        <v>14239.7255</v>
      </c>
      <c r="T18" s="313"/>
      <c r="U18" s="392" t="s">
        <v>516</v>
      </c>
      <c r="V18" s="393">
        <f>V17</f>
        <v>14525.8685</v>
      </c>
      <c r="W18" s="313"/>
      <c r="X18" s="392" t="s">
        <v>516</v>
      </c>
      <c r="Y18" s="393">
        <f>Y17</f>
        <v>14815.300500000001</v>
      </c>
      <c r="Z18" s="313"/>
      <c r="AA18" s="392" t="s">
        <v>516</v>
      </c>
      <c r="AB18" s="393">
        <f>AB17</f>
        <v>15111.310500000001</v>
      </c>
      <c r="AC18" s="313"/>
      <c r="AD18" s="392" t="s">
        <v>516</v>
      </c>
      <c r="AE18" s="393">
        <f>AE17</f>
        <v>15413.898499999999</v>
      </c>
      <c r="AF18" s="313"/>
      <c r="AG18" s="392" t="s">
        <v>516</v>
      </c>
      <c r="AH18" s="393">
        <f>AH17</f>
        <v>15723.0645</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4">
        <f>G18*44/28</f>
        <v>20673.714285714286</v>
      </c>
      <c r="J19" s="394">
        <f>J18*44/28</f>
        <v>21087.188571428567</v>
      </c>
      <c r="M19" s="394">
        <f>M18*44/28</f>
        <v>21508.415499999999</v>
      </c>
      <c r="N19" s="315"/>
      <c r="P19" s="394">
        <f>P18*44/28</f>
        <v>21939.979285714286</v>
      </c>
      <c r="Q19" s="317"/>
      <c r="S19" s="394">
        <f>S18*44/28</f>
        <v>22376.711500000001</v>
      </c>
      <c r="T19" s="313"/>
      <c r="V19" s="394">
        <f>V18*44/28</f>
        <v>22826.364785714286</v>
      </c>
      <c r="W19" s="313"/>
      <c r="Y19" s="394">
        <f>Y18*44/28</f>
        <v>23281.186500000003</v>
      </c>
      <c r="Z19" s="313"/>
      <c r="AB19" s="394">
        <f>AB18*44/28</f>
        <v>23746.345071428572</v>
      </c>
      <c r="AC19" s="313"/>
      <c r="AE19" s="394">
        <f>AE18*44/28</f>
        <v>24221.840499999998</v>
      </c>
      <c r="AF19" s="313"/>
      <c r="AH19" s="394">
        <f>AH18*44/28</f>
        <v>24707.672785714287</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3" t="s">
        <v>386</v>
      </c>
      <c r="B25" s="473"/>
      <c r="C25" s="471" t="s">
        <v>387</v>
      </c>
      <c r="D25" s="472"/>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8" t="s">
        <v>495</v>
      </c>
      <c r="C34" s="468"/>
      <c r="D34" s="468"/>
      <c r="E34" s="468"/>
      <c r="F34" s="468"/>
      <c r="G34" s="468"/>
      <c r="H34" s="465" t="s">
        <v>496</v>
      </c>
      <c r="I34" s="466"/>
      <c r="J34" s="466"/>
      <c r="K34" s="466"/>
      <c r="L34" s="466"/>
      <c r="M34" s="467"/>
      <c r="N34" s="470" t="s">
        <v>497</v>
      </c>
      <c r="O34" s="470"/>
      <c r="P34" s="470"/>
      <c r="Q34" s="470"/>
      <c r="R34" s="470"/>
      <c r="S34" s="470"/>
      <c r="T34" s="470"/>
      <c r="U34" s="488" t="s">
        <v>499</v>
      </c>
      <c r="V34" s="488"/>
      <c r="W34" s="488"/>
      <c r="X34" s="488"/>
      <c r="Y34" s="488"/>
      <c r="Z34" s="488"/>
      <c r="AA34" s="488"/>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4" t="s">
        <v>406</v>
      </c>
      <c r="V35" s="384" t="s">
        <v>407</v>
      </c>
      <c r="W35" s="384" t="s">
        <v>390</v>
      </c>
      <c r="X35" s="385" t="s">
        <v>391</v>
      </c>
      <c r="Y35" s="386" t="s">
        <v>392</v>
      </c>
      <c r="Z35" s="384" t="s">
        <v>393</v>
      </c>
      <c r="AA35" s="335" t="s">
        <v>500</v>
      </c>
      <c r="AJ35" s="311" t="s">
        <v>423</v>
      </c>
      <c r="AK35" s="311" t="s">
        <v>270</v>
      </c>
    </row>
    <row r="36" spans="1:38" ht="15" x14ac:dyDescent="0.25">
      <c r="A36" s="377">
        <f>'Lahan sawah'!B11</f>
        <v>2021</v>
      </c>
      <c r="B36" s="405">
        <f>'[1]Kutai Timur'!$B26</f>
        <v>8000</v>
      </c>
      <c r="C36" s="406">
        <f>'[1]Kutai Timur'!$G26</f>
        <v>6772</v>
      </c>
      <c r="D36" s="378">
        <f t="shared" ref="D36:D45" si="0">B36+C36</f>
        <v>14772</v>
      </c>
      <c r="E36" s="338">
        <f>D60</f>
        <v>895</v>
      </c>
      <c r="F36" s="339"/>
      <c r="G36" s="407">
        <f>[2]KUTIM!F27</f>
        <v>526676.55555555562</v>
      </c>
      <c r="H36" s="340">
        <v>275</v>
      </c>
      <c r="I36" s="340"/>
      <c r="J36" s="340"/>
      <c r="K36" s="340"/>
      <c r="L36" s="340"/>
      <c r="M36" s="340">
        <v>0</v>
      </c>
      <c r="N36" s="341">
        <f t="shared" ref="N36:S36" si="1">H36*B36</f>
        <v>2200000</v>
      </c>
      <c r="O36" s="341">
        <f t="shared" si="1"/>
        <v>0</v>
      </c>
      <c r="P36" s="341">
        <f t="shared" si="1"/>
        <v>0</v>
      </c>
      <c r="Q36" s="341">
        <f t="shared" si="1"/>
        <v>0</v>
      </c>
      <c r="R36" s="341">
        <f t="shared" si="1"/>
        <v>0</v>
      </c>
      <c r="S36" s="341">
        <f t="shared" si="1"/>
        <v>0</v>
      </c>
      <c r="T36" s="383">
        <f>SUM(N36:S36)</f>
        <v>2200000</v>
      </c>
      <c r="U36" s="388">
        <f>N36*46%</f>
        <v>1012000</v>
      </c>
      <c r="V36" s="388">
        <f t="shared" ref="V36:Z46" si="2">O36*46%</f>
        <v>0</v>
      </c>
      <c r="W36" s="388">
        <f t="shared" si="2"/>
        <v>0</v>
      </c>
      <c r="X36" s="388">
        <f t="shared" si="2"/>
        <v>0</v>
      </c>
      <c r="Y36" s="388">
        <f t="shared" si="2"/>
        <v>0</v>
      </c>
      <c r="Z36" s="388">
        <f t="shared" si="2"/>
        <v>0</v>
      </c>
      <c r="AA36" s="389">
        <f>T36*46%</f>
        <v>1012000</v>
      </c>
      <c r="AJ36" s="311">
        <v>8700</v>
      </c>
      <c r="AL36" s="342">
        <f t="shared" ref="AL36:AL46" si="3">W36+X36+Y36</f>
        <v>0</v>
      </c>
    </row>
    <row r="37" spans="1:38" ht="15" x14ac:dyDescent="0.25">
      <c r="A37" s="377">
        <f>'Lahan sawah'!B12</f>
        <v>2022</v>
      </c>
      <c r="B37" s="405">
        <f>'[1]Kutai Timur'!$B27</f>
        <v>8160</v>
      </c>
      <c r="C37" s="406">
        <f>'[1]Kutai Timur'!$G27</f>
        <v>6907</v>
      </c>
      <c r="D37" s="378">
        <f t="shared" si="0"/>
        <v>15067</v>
      </c>
      <c r="E37" s="338">
        <f>E60</f>
        <v>913</v>
      </c>
      <c r="F37" s="339"/>
      <c r="G37" s="407">
        <f>[2]KUTIM!F28</f>
        <v>541884.66666666674</v>
      </c>
      <c r="H37" s="340">
        <v>275</v>
      </c>
      <c r="I37" s="340"/>
      <c r="J37" s="340"/>
      <c r="K37" s="340"/>
      <c r="L37" s="340"/>
      <c r="M37" s="340">
        <v>0</v>
      </c>
      <c r="N37" s="341">
        <f t="shared" ref="N37:N46" si="4">H37*B37</f>
        <v>2244000</v>
      </c>
      <c r="O37" s="341">
        <f t="shared" ref="O37:P43" si="5">I37*C37</f>
        <v>0</v>
      </c>
      <c r="P37" s="343">
        <f t="shared" si="5"/>
        <v>0</v>
      </c>
      <c r="Q37" s="341">
        <f t="shared" ref="Q37:Q46" si="6">K37*E37</f>
        <v>0</v>
      </c>
      <c r="R37" s="341">
        <f t="shared" ref="R37:S46" si="7">L37*F37</f>
        <v>0</v>
      </c>
      <c r="S37" s="341">
        <f t="shared" si="7"/>
        <v>0</v>
      </c>
      <c r="T37" s="383">
        <f t="shared" ref="T37:T46" si="8">SUM(N37:S37)</f>
        <v>2244000</v>
      </c>
      <c r="U37" s="388">
        <f t="shared" ref="U37:U46" si="9">N37*46%</f>
        <v>1032240</v>
      </c>
      <c r="V37" s="388">
        <f t="shared" si="2"/>
        <v>0</v>
      </c>
      <c r="W37" s="388">
        <f t="shared" si="2"/>
        <v>0</v>
      </c>
      <c r="X37" s="388">
        <f t="shared" si="2"/>
        <v>0</v>
      </c>
      <c r="Y37" s="388">
        <f t="shared" si="2"/>
        <v>0</v>
      </c>
      <c r="Z37" s="388">
        <f t="shared" si="2"/>
        <v>0</v>
      </c>
      <c r="AA37" s="389">
        <f t="shared" ref="AA37:AA46" si="10">T37*46%</f>
        <v>1032240</v>
      </c>
      <c r="AJ37" s="311">
        <v>8700</v>
      </c>
      <c r="AL37" s="342">
        <f t="shared" si="3"/>
        <v>0</v>
      </c>
    </row>
    <row r="38" spans="1:38" ht="15" x14ac:dyDescent="0.25">
      <c r="A38" s="377">
        <f>'Lahan sawah'!B13</f>
        <v>2023</v>
      </c>
      <c r="B38" s="405">
        <f>'[1]Kutai Timur'!$B28</f>
        <v>8323</v>
      </c>
      <c r="C38" s="406">
        <f>'[1]Kutai Timur'!$G28</f>
        <v>7046</v>
      </c>
      <c r="D38" s="378">
        <f t="shared" si="0"/>
        <v>15369</v>
      </c>
      <c r="E38" s="338">
        <f>F60</f>
        <v>931</v>
      </c>
      <c r="F38" s="339"/>
      <c r="G38" s="407">
        <f>[2]KUTIM!F29</f>
        <v>557092.77777777787</v>
      </c>
      <c r="H38" s="340">
        <v>275</v>
      </c>
      <c r="I38" s="340"/>
      <c r="J38" s="340"/>
      <c r="K38" s="340"/>
      <c r="L38" s="340"/>
      <c r="M38" s="340">
        <v>0</v>
      </c>
      <c r="N38" s="341">
        <f t="shared" si="4"/>
        <v>2288825</v>
      </c>
      <c r="O38" s="341">
        <f t="shared" si="5"/>
        <v>0</v>
      </c>
      <c r="P38" s="343">
        <f t="shared" si="5"/>
        <v>0</v>
      </c>
      <c r="Q38" s="341">
        <f t="shared" si="6"/>
        <v>0</v>
      </c>
      <c r="R38" s="341">
        <f t="shared" si="7"/>
        <v>0</v>
      </c>
      <c r="S38" s="341">
        <f t="shared" si="7"/>
        <v>0</v>
      </c>
      <c r="T38" s="383">
        <f t="shared" si="8"/>
        <v>2288825</v>
      </c>
      <c r="U38" s="388">
        <f t="shared" si="9"/>
        <v>1052859.5</v>
      </c>
      <c r="V38" s="388">
        <f t="shared" si="2"/>
        <v>0</v>
      </c>
      <c r="W38" s="388">
        <f t="shared" si="2"/>
        <v>0</v>
      </c>
      <c r="X38" s="388">
        <f t="shared" si="2"/>
        <v>0</v>
      </c>
      <c r="Y38" s="388">
        <f t="shared" si="2"/>
        <v>0</v>
      </c>
      <c r="Z38" s="388">
        <f t="shared" si="2"/>
        <v>0</v>
      </c>
      <c r="AA38" s="389">
        <f t="shared" si="10"/>
        <v>1052859.5</v>
      </c>
      <c r="AJ38" s="311">
        <v>8700</v>
      </c>
      <c r="AL38" s="342">
        <f t="shared" si="3"/>
        <v>0</v>
      </c>
    </row>
    <row r="39" spans="1:38" ht="15" x14ac:dyDescent="0.25">
      <c r="A39" s="377">
        <f>'Lahan sawah'!B14</f>
        <v>2024</v>
      </c>
      <c r="B39" s="405">
        <f>'[1]Kutai Timur'!$B29</f>
        <v>8490</v>
      </c>
      <c r="C39" s="406">
        <f>'[1]Kutai Timur'!$G29</f>
        <v>7187</v>
      </c>
      <c r="D39" s="378">
        <f t="shared" si="0"/>
        <v>15677</v>
      </c>
      <c r="E39" s="338">
        <f>G60</f>
        <v>950</v>
      </c>
      <c r="F39" s="339"/>
      <c r="G39" s="407">
        <f>[2]KUTIM!F30</f>
        <v>572300.88888888899</v>
      </c>
      <c r="H39" s="340">
        <v>275</v>
      </c>
      <c r="I39" s="340"/>
      <c r="J39" s="340"/>
      <c r="K39" s="340"/>
      <c r="L39" s="340"/>
      <c r="M39" s="340">
        <v>0</v>
      </c>
      <c r="N39" s="341">
        <f t="shared" si="4"/>
        <v>2334750</v>
      </c>
      <c r="O39" s="341">
        <f t="shared" si="5"/>
        <v>0</v>
      </c>
      <c r="P39" s="343">
        <f t="shared" si="5"/>
        <v>0</v>
      </c>
      <c r="Q39" s="341">
        <f t="shared" si="6"/>
        <v>0</v>
      </c>
      <c r="R39" s="341">
        <f t="shared" si="7"/>
        <v>0</v>
      </c>
      <c r="S39" s="341">
        <f t="shared" si="7"/>
        <v>0</v>
      </c>
      <c r="T39" s="383">
        <f t="shared" si="8"/>
        <v>2334750</v>
      </c>
      <c r="U39" s="388">
        <f t="shared" si="9"/>
        <v>1073985</v>
      </c>
      <c r="V39" s="388">
        <f t="shared" si="2"/>
        <v>0</v>
      </c>
      <c r="W39" s="388">
        <f t="shared" si="2"/>
        <v>0</v>
      </c>
      <c r="X39" s="388">
        <f t="shared" si="2"/>
        <v>0</v>
      </c>
      <c r="Y39" s="388">
        <f t="shared" si="2"/>
        <v>0</v>
      </c>
      <c r="Z39" s="388">
        <f t="shared" si="2"/>
        <v>0</v>
      </c>
      <c r="AA39" s="389">
        <f t="shared" si="10"/>
        <v>1073985</v>
      </c>
      <c r="AJ39" s="311">
        <v>8700</v>
      </c>
      <c r="AL39" s="342">
        <f t="shared" si="3"/>
        <v>0</v>
      </c>
    </row>
    <row r="40" spans="1:38" ht="15" x14ac:dyDescent="0.25">
      <c r="A40" s="377">
        <f>'Lahan sawah'!B15</f>
        <v>2025</v>
      </c>
      <c r="B40" s="405">
        <f>'[1]Kutai Timur'!$B30</f>
        <v>8659</v>
      </c>
      <c r="C40" s="406">
        <f>'[1]Kutai Timur'!$G30</f>
        <v>7330</v>
      </c>
      <c r="D40" s="378">
        <f t="shared" si="0"/>
        <v>15989</v>
      </c>
      <c r="E40" s="338">
        <f>H60</f>
        <v>968</v>
      </c>
      <c r="F40" s="339"/>
      <c r="G40" s="407">
        <f>[2]KUTIM!F31</f>
        <v>587509.00000000012</v>
      </c>
      <c r="H40" s="340">
        <v>275</v>
      </c>
      <c r="I40" s="340"/>
      <c r="J40" s="340"/>
      <c r="K40" s="340"/>
      <c r="L40" s="340"/>
      <c r="M40" s="340">
        <v>0</v>
      </c>
      <c r="N40" s="341">
        <f t="shared" si="4"/>
        <v>2381225</v>
      </c>
      <c r="O40" s="341">
        <f t="shared" si="5"/>
        <v>0</v>
      </c>
      <c r="P40" s="343">
        <f t="shared" si="5"/>
        <v>0</v>
      </c>
      <c r="Q40" s="341">
        <f t="shared" si="6"/>
        <v>0</v>
      </c>
      <c r="R40" s="341">
        <f t="shared" si="7"/>
        <v>0</v>
      </c>
      <c r="S40" s="341">
        <f t="shared" si="7"/>
        <v>0</v>
      </c>
      <c r="T40" s="383">
        <f t="shared" si="8"/>
        <v>2381225</v>
      </c>
      <c r="U40" s="388">
        <f t="shared" si="9"/>
        <v>1095363.5</v>
      </c>
      <c r="V40" s="388">
        <f t="shared" si="2"/>
        <v>0</v>
      </c>
      <c r="W40" s="388">
        <f t="shared" si="2"/>
        <v>0</v>
      </c>
      <c r="X40" s="388">
        <f t="shared" si="2"/>
        <v>0</v>
      </c>
      <c r="Y40" s="388">
        <f t="shared" si="2"/>
        <v>0</v>
      </c>
      <c r="Z40" s="388">
        <f t="shared" si="2"/>
        <v>0</v>
      </c>
      <c r="AA40" s="389">
        <f t="shared" si="10"/>
        <v>1095363.5</v>
      </c>
      <c r="AJ40" s="311">
        <v>8700</v>
      </c>
      <c r="AL40" s="342">
        <f t="shared" si="3"/>
        <v>0</v>
      </c>
    </row>
    <row r="41" spans="1:38" ht="15" x14ac:dyDescent="0.25">
      <c r="A41" s="377">
        <f>'Lahan sawah'!B16</f>
        <v>2026</v>
      </c>
      <c r="B41" s="405">
        <f>'[1]Kutai Timur'!$B31</f>
        <v>8833</v>
      </c>
      <c r="C41" s="406">
        <f>'[1]Kutai Timur'!$G31</f>
        <v>7477</v>
      </c>
      <c r="D41" s="378">
        <f t="shared" si="0"/>
        <v>16310</v>
      </c>
      <c r="E41" s="338">
        <f>I60</f>
        <v>988</v>
      </c>
      <c r="F41" s="339"/>
      <c r="G41" s="407">
        <f>[2]KUTIM!F32</f>
        <v>587509.00000000012</v>
      </c>
      <c r="H41" s="340">
        <v>275</v>
      </c>
      <c r="I41" s="340"/>
      <c r="J41" s="340"/>
      <c r="K41" s="340"/>
      <c r="L41" s="340"/>
      <c r="M41" s="340">
        <v>0</v>
      </c>
      <c r="N41" s="341">
        <f t="shared" si="4"/>
        <v>2429075</v>
      </c>
      <c r="O41" s="341">
        <f t="shared" si="5"/>
        <v>0</v>
      </c>
      <c r="P41" s="341">
        <f t="shared" si="5"/>
        <v>0</v>
      </c>
      <c r="Q41" s="341">
        <f t="shared" si="6"/>
        <v>0</v>
      </c>
      <c r="R41" s="341">
        <f t="shared" si="7"/>
        <v>0</v>
      </c>
      <c r="S41" s="341">
        <f t="shared" si="7"/>
        <v>0</v>
      </c>
      <c r="T41" s="383">
        <f t="shared" si="8"/>
        <v>2429075</v>
      </c>
      <c r="U41" s="388">
        <f t="shared" si="9"/>
        <v>1117374.5</v>
      </c>
      <c r="V41" s="388">
        <f t="shared" si="2"/>
        <v>0</v>
      </c>
      <c r="W41" s="388">
        <f t="shared" si="2"/>
        <v>0</v>
      </c>
      <c r="X41" s="388">
        <f t="shared" si="2"/>
        <v>0</v>
      </c>
      <c r="Y41" s="388">
        <f t="shared" si="2"/>
        <v>0</v>
      </c>
      <c r="Z41" s="388">
        <f t="shared" si="2"/>
        <v>0</v>
      </c>
      <c r="AA41" s="389">
        <f t="shared" si="10"/>
        <v>1117374.5</v>
      </c>
      <c r="AJ41" s="311">
        <v>8700</v>
      </c>
      <c r="AL41" s="342">
        <f t="shared" si="3"/>
        <v>0</v>
      </c>
    </row>
    <row r="42" spans="1:38" ht="15" x14ac:dyDescent="0.25">
      <c r="A42" s="377">
        <f>'Lahan sawah'!B17</f>
        <v>2027</v>
      </c>
      <c r="B42" s="405">
        <f>'[1]Kutai Timur'!$B32</f>
        <v>9009</v>
      </c>
      <c r="C42" s="406">
        <f>'[1]Kutai Timur'!$G32</f>
        <v>7626</v>
      </c>
      <c r="D42" s="378">
        <f t="shared" si="0"/>
        <v>16635</v>
      </c>
      <c r="E42" s="338">
        <f>J60</f>
        <v>1007</v>
      </c>
      <c r="F42" s="339"/>
      <c r="G42" s="407">
        <f>[2]KUTIM!F33</f>
        <v>587509.00000000012</v>
      </c>
      <c r="H42" s="340">
        <v>275</v>
      </c>
      <c r="I42" s="340"/>
      <c r="J42" s="340"/>
      <c r="K42" s="340"/>
      <c r="L42" s="340"/>
      <c r="M42" s="340">
        <v>0</v>
      </c>
      <c r="N42" s="341">
        <f t="shared" si="4"/>
        <v>2477475</v>
      </c>
      <c r="O42" s="341">
        <f t="shared" si="5"/>
        <v>0</v>
      </c>
      <c r="P42" s="341">
        <f t="shared" si="5"/>
        <v>0</v>
      </c>
      <c r="Q42" s="341">
        <f t="shared" si="6"/>
        <v>0</v>
      </c>
      <c r="R42" s="341">
        <f t="shared" si="7"/>
        <v>0</v>
      </c>
      <c r="S42" s="341">
        <f t="shared" si="7"/>
        <v>0</v>
      </c>
      <c r="T42" s="383">
        <f t="shared" si="8"/>
        <v>2477475</v>
      </c>
      <c r="U42" s="388">
        <f t="shared" si="9"/>
        <v>1139638.5</v>
      </c>
      <c r="V42" s="388">
        <f t="shared" si="2"/>
        <v>0</v>
      </c>
      <c r="W42" s="388">
        <f t="shared" si="2"/>
        <v>0</v>
      </c>
      <c r="X42" s="388">
        <f t="shared" si="2"/>
        <v>0</v>
      </c>
      <c r="Y42" s="388">
        <f t="shared" si="2"/>
        <v>0</v>
      </c>
      <c r="Z42" s="388">
        <f t="shared" si="2"/>
        <v>0</v>
      </c>
      <c r="AA42" s="389">
        <f t="shared" si="10"/>
        <v>1139638.5</v>
      </c>
      <c r="AJ42" s="311">
        <v>8700</v>
      </c>
      <c r="AL42" s="342">
        <f t="shared" si="3"/>
        <v>0</v>
      </c>
    </row>
    <row r="43" spans="1:38" ht="15" x14ac:dyDescent="0.25">
      <c r="A43" s="377">
        <f>'Lahan sawah'!B18</f>
        <v>2028</v>
      </c>
      <c r="B43" s="405">
        <f>'[1]Kutai Timur'!$B33</f>
        <v>9189</v>
      </c>
      <c r="C43" s="406">
        <f>'[1]Kutai Timur'!$G33</f>
        <v>7779</v>
      </c>
      <c r="D43" s="378">
        <f t="shared" si="0"/>
        <v>16968</v>
      </c>
      <c r="E43" s="338">
        <f>K60</f>
        <v>1028</v>
      </c>
      <c r="F43" s="339">
        <f>D64</f>
        <v>0</v>
      </c>
      <c r="G43" s="407">
        <f>[2]KUTIM!F34</f>
        <v>587509.00000000012</v>
      </c>
      <c r="H43" s="340">
        <v>275</v>
      </c>
      <c r="I43" s="340"/>
      <c r="J43" s="340"/>
      <c r="K43" s="340"/>
      <c r="L43" s="340"/>
      <c r="M43" s="340">
        <v>0</v>
      </c>
      <c r="N43" s="341">
        <f>H43*B43</f>
        <v>2526975</v>
      </c>
      <c r="O43" s="341">
        <f t="shared" si="5"/>
        <v>0</v>
      </c>
      <c r="P43" s="341">
        <f t="shared" si="5"/>
        <v>0</v>
      </c>
      <c r="Q43" s="341">
        <f t="shared" si="6"/>
        <v>0</v>
      </c>
      <c r="R43" s="341">
        <f t="shared" si="7"/>
        <v>0</v>
      </c>
      <c r="S43" s="341">
        <f t="shared" si="7"/>
        <v>0</v>
      </c>
      <c r="T43" s="383">
        <f t="shared" si="8"/>
        <v>2526975</v>
      </c>
      <c r="U43" s="388">
        <f t="shared" si="9"/>
        <v>1162408.5</v>
      </c>
      <c r="V43" s="388">
        <f t="shared" si="2"/>
        <v>0</v>
      </c>
      <c r="W43" s="388">
        <f t="shared" si="2"/>
        <v>0</v>
      </c>
      <c r="X43" s="388">
        <f t="shared" si="2"/>
        <v>0</v>
      </c>
      <c r="Y43" s="388">
        <f t="shared" si="2"/>
        <v>0</v>
      </c>
      <c r="Z43" s="388">
        <f t="shared" si="2"/>
        <v>0</v>
      </c>
      <c r="AA43" s="389">
        <f t="shared" si="10"/>
        <v>1162408.5</v>
      </c>
      <c r="AJ43" s="311">
        <v>8700</v>
      </c>
      <c r="AK43" s="344" t="e">
        <f>((46/100)*AJ43)+((21/100)*#REF!)+((15/100)*#REF!)</f>
        <v>#REF!</v>
      </c>
      <c r="AL43" s="342">
        <f t="shared" si="3"/>
        <v>0</v>
      </c>
    </row>
    <row r="44" spans="1:38" ht="15" x14ac:dyDescent="0.25">
      <c r="A44" s="377">
        <f>'Lahan sawah'!B19</f>
        <v>2029</v>
      </c>
      <c r="B44" s="405">
        <f>'[1]Kutai Timur'!$B34</f>
        <v>9373</v>
      </c>
      <c r="C44" s="406">
        <f>'[1]Kutai Timur'!$G34</f>
        <v>7934</v>
      </c>
      <c r="D44" s="378">
        <f t="shared" si="0"/>
        <v>17307</v>
      </c>
      <c r="E44" s="338">
        <f>L60</f>
        <v>1048</v>
      </c>
      <c r="F44" s="338">
        <f>E64</f>
        <v>0</v>
      </c>
      <c r="G44" s="407">
        <f>[2]KUTIM!F35</f>
        <v>587509.00000000012</v>
      </c>
      <c r="H44" s="340">
        <v>275</v>
      </c>
      <c r="I44" s="340"/>
      <c r="J44" s="340"/>
      <c r="K44" s="340"/>
      <c r="L44" s="340"/>
      <c r="M44" s="340">
        <v>0</v>
      </c>
      <c r="N44" s="341">
        <f t="shared" si="4"/>
        <v>2577575</v>
      </c>
      <c r="O44" s="341">
        <f>I44*C44</f>
        <v>0</v>
      </c>
      <c r="P44" s="341">
        <f t="shared" ref="P44:P46" si="11">J44*D44</f>
        <v>0</v>
      </c>
      <c r="Q44" s="341">
        <f t="shared" si="6"/>
        <v>0</v>
      </c>
      <c r="R44" s="341">
        <f t="shared" si="7"/>
        <v>0</v>
      </c>
      <c r="S44" s="341">
        <f t="shared" si="7"/>
        <v>0</v>
      </c>
      <c r="T44" s="383">
        <f t="shared" si="8"/>
        <v>2577575</v>
      </c>
      <c r="U44" s="388">
        <f t="shared" si="9"/>
        <v>1185684.5</v>
      </c>
      <c r="V44" s="388">
        <f t="shared" si="2"/>
        <v>0</v>
      </c>
      <c r="W44" s="388">
        <f t="shared" si="2"/>
        <v>0</v>
      </c>
      <c r="X44" s="388">
        <f t="shared" si="2"/>
        <v>0</v>
      </c>
      <c r="Y44" s="388">
        <f t="shared" si="2"/>
        <v>0</v>
      </c>
      <c r="Z44" s="388">
        <f t="shared" si="2"/>
        <v>0</v>
      </c>
      <c r="AA44" s="389">
        <f t="shared" si="10"/>
        <v>1185684.5</v>
      </c>
      <c r="AJ44" s="311">
        <v>8700</v>
      </c>
      <c r="AK44" s="344" t="e">
        <f>((46/100)*AJ44)+((21/100)*#REF!)+((15/100)*#REF!)</f>
        <v>#REF!</v>
      </c>
      <c r="AL44" s="342">
        <f t="shared" si="3"/>
        <v>0</v>
      </c>
    </row>
    <row r="45" spans="1:38" ht="15" x14ac:dyDescent="0.25">
      <c r="A45" s="377">
        <f>'Lahan sawah'!B20</f>
        <v>2030</v>
      </c>
      <c r="B45" s="405">
        <f>'[1]Kutai Timur'!$B35</f>
        <v>9561</v>
      </c>
      <c r="C45" s="406">
        <f>'[1]Kutai Timur'!$G35</f>
        <v>8093</v>
      </c>
      <c r="D45" s="378">
        <f t="shared" si="0"/>
        <v>17654</v>
      </c>
      <c r="E45" s="338">
        <f>M60</f>
        <v>1069</v>
      </c>
      <c r="F45" s="338">
        <f>F64</f>
        <v>0</v>
      </c>
      <c r="G45" s="407">
        <f>[2]KUTIM!F36</f>
        <v>587509.00000000012</v>
      </c>
      <c r="H45" s="340">
        <v>275</v>
      </c>
      <c r="I45" s="340"/>
      <c r="J45" s="340"/>
      <c r="K45" s="340"/>
      <c r="L45" s="340"/>
      <c r="M45" s="340">
        <v>0</v>
      </c>
      <c r="N45" s="341">
        <f t="shared" si="4"/>
        <v>2629275</v>
      </c>
      <c r="O45" s="341">
        <f>I45*C45</f>
        <v>0</v>
      </c>
      <c r="P45" s="341">
        <f t="shared" si="11"/>
        <v>0</v>
      </c>
      <c r="Q45" s="341">
        <f t="shared" si="6"/>
        <v>0</v>
      </c>
      <c r="R45" s="341">
        <f t="shared" si="7"/>
        <v>0</v>
      </c>
      <c r="S45" s="341">
        <f t="shared" si="7"/>
        <v>0</v>
      </c>
      <c r="T45" s="383">
        <f t="shared" si="8"/>
        <v>2629275</v>
      </c>
      <c r="U45" s="388">
        <f t="shared" si="9"/>
        <v>1209466.5</v>
      </c>
      <c r="V45" s="388">
        <f t="shared" si="2"/>
        <v>0</v>
      </c>
      <c r="W45" s="388">
        <f t="shared" si="2"/>
        <v>0</v>
      </c>
      <c r="X45" s="388">
        <f t="shared" si="2"/>
        <v>0</v>
      </c>
      <c r="Y45" s="388">
        <f t="shared" si="2"/>
        <v>0</v>
      </c>
      <c r="Z45" s="388">
        <f t="shared" si="2"/>
        <v>0</v>
      </c>
      <c r="AA45" s="389">
        <f t="shared" si="10"/>
        <v>1209466.5</v>
      </c>
      <c r="AJ45" s="311">
        <v>8700</v>
      </c>
      <c r="AK45" s="344" t="e">
        <f>((46/100)*AJ45)+((21/100)*#REF!)+((15/100)*#REF!)</f>
        <v>#REF!</v>
      </c>
      <c r="AL45" s="342">
        <f t="shared" si="3"/>
        <v>0</v>
      </c>
    </row>
    <row r="46" spans="1:38" x14ac:dyDescent="0.25">
      <c r="A46" s="377">
        <f>'Lahan sawah'!B21</f>
        <v>2031</v>
      </c>
      <c r="B46" s="345"/>
      <c r="C46" s="345"/>
      <c r="D46" s="379">
        <f t="shared" ref="D46" si="12">B46+C46</f>
        <v>0</v>
      </c>
      <c r="E46" s="346"/>
      <c r="F46" s="338">
        <f>G64</f>
        <v>0</v>
      </c>
      <c r="G46" s="347"/>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3">
        <f t="shared" si="8"/>
        <v>0</v>
      </c>
      <c r="U46" s="388">
        <f t="shared" si="9"/>
        <v>0</v>
      </c>
      <c r="V46" s="388">
        <f t="shared" si="2"/>
        <v>0</v>
      </c>
      <c r="W46" s="388">
        <f t="shared" si="2"/>
        <v>0</v>
      </c>
      <c r="X46" s="388">
        <f t="shared" si="2"/>
        <v>0</v>
      </c>
      <c r="Y46" s="388">
        <f t="shared" si="2"/>
        <v>0</v>
      </c>
      <c r="Z46" s="388">
        <f t="shared" si="2"/>
        <v>0</v>
      </c>
      <c r="AA46" s="389">
        <f t="shared" si="10"/>
        <v>0</v>
      </c>
      <c r="AJ46" s="311">
        <v>8700</v>
      </c>
      <c r="AK46" s="344" t="e">
        <f>((46/100)*AJ46)+((21/100)*#REF!)+((15/100)*#REF!)</f>
        <v>#REF!</v>
      </c>
      <c r="AL46" s="342">
        <f t="shared" si="3"/>
        <v>0</v>
      </c>
    </row>
    <row r="47" spans="1:38" x14ac:dyDescent="0.25">
      <c r="A47" s="377">
        <f>'Lahan sawah'!B22</f>
        <v>0</v>
      </c>
      <c r="B47" s="347"/>
      <c r="C47" s="347"/>
      <c r="D47" s="348"/>
      <c r="E47" s="347"/>
      <c r="F47" s="347"/>
      <c r="G47" s="347"/>
      <c r="H47" s="340"/>
      <c r="I47" s="340"/>
      <c r="J47" s="340"/>
      <c r="K47" s="340"/>
      <c r="L47" s="340"/>
      <c r="M47" s="340"/>
      <c r="N47" s="337"/>
      <c r="O47" s="337"/>
      <c r="P47" s="337"/>
      <c r="Q47" s="337"/>
      <c r="R47" s="337"/>
      <c r="S47" s="337"/>
      <c r="T47" s="337"/>
      <c r="U47" s="387"/>
      <c r="V47" s="387"/>
      <c r="W47" s="387"/>
      <c r="X47" s="387"/>
      <c r="Y47" s="387"/>
      <c r="Z47" s="387"/>
      <c r="AA47" s="387"/>
    </row>
    <row r="48" spans="1:38" x14ac:dyDescent="0.25">
      <c r="A48" s="377">
        <f>'Lahan sawah'!B23</f>
        <v>0</v>
      </c>
      <c r="B48" s="347"/>
      <c r="C48" s="347"/>
      <c r="D48" s="348"/>
      <c r="E48" s="347"/>
      <c r="F48" s="347"/>
      <c r="G48" s="347"/>
      <c r="H48" s="340"/>
      <c r="I48" s="340"/>
      <c r="J48" s="340"/>
      <c r="K48" s="340"/>
      <c r="L48" s="340"/>
      <c r="M48" s="340"/>
      <c r="N48" s="337"/>
      <c r="O48" s="337"/>
      <c r="P48" s="337"/>
      <c r="Q48" s="337"/>
      <c r="R48" s="337"/>
      <c r="S48" s="337"/>
      <c r="T48" s="337"/>
      <c r="U48" s="387"/>
      <c r="V48" s="387"/>
      <c r="W48" s="387"/>
      <c r="X48" s="387"/>
      <c r="Y48" s="387"/>
      <c r="Z48" s="387"/>
      <c r="AA48" s="387"/>
    </row>
    <row r="49" spans="1:27" x14ac:dyDescent="0.25">
      <c r="A49" s="377">
        <f>'Lahan sawah'!B24</f>
        <v>0</v>
      </c>
      <c r="B49" s="347"/>
      <c r="C49" s="347"/>
      <c r="D49" s="348"/>
      <c r="E49" s="347"/>
      <c r="F49" s="347"/>
      <c r="G49" s="347"/>
      <c r="H49" s="340"/>
      <c r="I49" s="340"/>
      <c r="J49" s="340"/>
      <c r="K49" s="340"/>
      <c r="L49" s="340"/>
      <c r="M49" s="340"/>
      <c r="N49" s="337"/>
      <c r="O49" s="337"/>
      <c r="P49" s="337"/>
      <c r="Q49" s="337"/>
      <c r="R49" s="337"/>
      <c r="S49" s="337"/>
      <c r="T49" s="337"/>
      <c r="U49" s="387"/>
      <c r="V49" s="387"/>
      <c r="W49" s="387"/>
      <c r="X49" s="387"/>
      <c r="Y49" s="387"/>
      <c r="Z49" s="387"/>
      <c r="AA49" s="387"/>
    </row>
    <row r="51" spans="1:27" ht="15" customHeight="1" x14ac:dyDescent="0.25">
      <c r="C51" s="347"/>
      <c r="D51" s="468" t="s">
        <v>410</v>
      </c>
      <c r="E51" s="468"/>
      <c r="F51" s="468"/>
      <c r="G51" s="468"/>
      <c r="H51" s="468"/>
      <c r="I51" s="468"/>
      <c r="J51" s="468"/>
      <c r="K51" s="468"/>
      <c r="L51" s="468"/>
      <c r="M51" s="468"/>
    </row>
    <row r="52" spans="1:27" x14ac:dyDescent="0.25">
      <c r="A52" s="380"/>
      <c r="C52" s="347"/>
      <c r="D52" s="349">
        <f>'Peternakan-CH4'!C26</f>
        <v>2021</v>
      </c>
      <c r="E52" s="349">
        <f>'Peternakan-CH4'!D26</f>
        <v>2022</v>
      </c>
      <c r="F52" s="349">
        <f>'Peternakan-CH4'!E26</f>
        <v>2023</v>
      </c>
      <c r="G52" s="349">
        <f>'Peternakan-CH4'!F26</f>
        <v>2024</v>
      </c>
      <c r="H52" s="349">
        <f>'Peternakan-CH4'!G26</f>
        <v>2025</v>
      </c>
      <c r="I52" s="349">
        <f>'Peternakan-CH4'!H26</f>
        <v>2026</v>
      </c>
      <c r="J52" s="349">
        <f>'Peternakan-CH4'!I26</f>
        <v>2027</v>
      </c>
      <c r="K52" s="349">
        <f>'Peternakan-CH4'!J26</f>
        <v>2028</v>
      </c>
      <c r="L52" s="349">
        <f>'Peternakan-CH4'!K26</f>
        <v>2029</v>
      </c>
      <c r="M52" s="349">
        <f>'Peternakan-CH4'!L26</f>
        <v>2030</v>
      </c>
      <c r="N52" s="311" t="s">
        <v>422</v>
      </c>
    </row>
    <row r="53" spans="1:27" ht="15" x14ac:dyDescent="0.25">
      <c r="A53" s="380"/>
      <c r="C53" s="347" t="s">
        <v>408</v>
      </c>
      <c r="D53" s="408">
        <f>'[1]Kutai Timur'!$Z$26</f>
        <v>200</v>
      </c>
      <c r="E53" s="408">
        <f>'[1]Kutai Timur'!$Z$27</f>
        <v>204</v>
      </c>
      <c r="F53" s="408">
        <f>'[1]Kutai Timur'!$Z$28</f>
        <v>208</v>
      </c>
      <c r="G53" s="408">
        <f>'[1]Kutai Timur'!$Z$29</f>
        <v>212</v>
      </c>
      <c r="H53" s="408">
        <f>'[1]Kutai Timur'!$Z$30</f>
        <v>216</v>
      </c>
      <c r="I53" s="408">
        <f>'[1]Kutai Timur'!$Z$31</f>
        <v>221</v>
      </c>
      <c r="J53" s="408">
        <f>'[1]Kutai Timur'!$Z$32</f>
        <v>225</v>
      </c>
      <c r="K53" s="408">
        <f>'[1]Kutai Timur'!$Z$33</f>
        <v>230</v>
      </c>
      <c r="L53" s="408">
        <f>'[1]Kutai Timur'!$Z$34</f>
        <v>234</v>
      </c>
      <c r="M53" s="408">
        <f>'[1]Kutai Timur'!$Z$35</f>
        <v>239</v>
      </c>
      <c r="N53" s="311" t="s">
        <v>421</v>
      </c>
    </row>
    <row r="54" spans="1:27" ht="15" x14ac:dyDescent="0.25">
      <c r="A54" s="380"/>
      <c r="C54" s="347" t="s">
        <v>409</v>
      </c>
      <c r="D54" s="408">
        <f>'[1]Kutai Timur'!$AD$26</f>
        <v>50</v>
      </c>
      <c r="E54" s="408">
        <f>'[1]Kutai Timur'!$AD$27</f>
        <v>51</v>
      </c>
      <c r="F54" s="408">
        <f>'[1]Kutai Timur'!$AD$28</f>
        <v>52</v>
      </c>
      <c r="G54" s="408">
        <f>'[1]Kutai Timur'!$AD$29</f>
        <v>53</v>
      </c>
      <c r="H54" s="408">
        <f>'[1]Kutai Timur'!$AD$30</f>
        <v>54</v>
      </c>
      <c r="I54" s="408">
        <f>'[1]Kutai Timur'!$AD$31</f>
        <v>55</v>
      </c>
      <c r="J54" s="408">
        <f>'[1]Kutai Timur'!$AD$32</f>
        <v>56</v>
      </c>
      <c r="K54" s="408">
        <f>'[1]Kutai Timur'!$AD$33</f>
        <v>57</v>
      </c>
      <c r="L54" s="408">
        <f>'[1]Kutai Timur'!$AD$34</f>
        <v>59</v>
      </c>
      <c r="M54" s="408">
        <f>'[1]Kutai Timur'!$AD$35</f>
        <v>60</v>
      </c>
    </row>
    <row r="55" spans="1:27" ht="15" x14ac:dyDescent="0.25">
      <c r="A55" s="380"/>
      <c r="C55" s="347" t="s">
        <v>412</v>
      </c>
      <c r="D55" s="408">
        <f>'[1]Kutai Timur'!$AC$26</f>
        <v>160</v>
      </c>
      <c r="E55" s="408">
        <f>'[1]Kutai Timur'!$AC$27</f>
        <v>163</v>
      </c>
      <c r="F55" s="408">
        <f>'[1]Kutai Timur'!$AC$28</f>
        <v>166</v>
      </c>
      <c r="G55" s="408">
        <f>'[1]Kutai Timur'!$AC$29</f>
        <v>170</v>
      </c>
      <c r="H55" s="408">
        <f>'[1]Kutai Timur'!$AC$30</f>
        <v>173</v>
      </c>
      <c r="I55" s="408">
        <f>'[1]Kutai Timur'!$AC$31</f>
        <v>177</v>
      </c>
      <c r="J55" s="408">
        <f>'[1]Kutai Timur'!$AC$32</f>
        <v>180</v>
      </c>
      <c r="K55" s="408">
        <f>'[1]Kutai Timur'!$AC$33</f>
        <v>184</v>
      </c>
      <c r="L55" s="408">
        <f>'[1]Kutai Timur'!$AC$34</f>
        <v>187</v>
      </c>
      <c r="M55" s="408">
        <f>'[1]Kutai Timur'!$AC$35</f>
        <v>191</v>
      </c>
    </row>
    <row r="56" spans="1:27" ht="15" x14ac:dyDescent="0.25">
      <c r="A56" s="380"/>
      <c r="C56" s="347" t="s">
        <v>413</v>
      </c>
      <c r="D56" s="408">
        <f>'[1]Kutai Timur'!$AE$26</f>
        <v>50</v>
      </c>
      <c r="E56" s="408">
        <f>'[1]Kutai Timur'!$AE$27</f>
        <v>51</v>
      </c>
      <c r="F56" s="408">
        <f>'[1]Kutai Timur'!$AE$28</f>
        <v>52</v>
      </c>
      <c r="G56" s="408">
        <f>'[1]Kutai Timur'!$AE$29</f>
        <v>53</v>
      </c>
      <c r="H56" s="408">
        <f>'[1]Kutai Timur'!$AE$30</f>
        <v>54</v>
      </c>
      <c r="I56" s="408">
        <f>'[1]Kutai Timur'!$AE$31</f>
        <v>55</v>
      </c>
      <c r="J56" s="408">
        <f>'[1]Kutai Timur'!$AE$32</f>
        <v>56</v>
      </c>
      <c r="K56" s="408">
        <f>'[1]Kutai Timur'!$AE$33</f>
        <v>57</v>
      </c>
      <c r="L56" s="408">
        <f>'[1]Kutai Timur'!$AE$34</f>
        <v>59</v>
      </c>
      <c r="M56" s="408">
        <f>'[1]Kutai Timur'!$AE$35</f>
        <v>60</v>
      </c>
    </row>
    <row r="57" spans="1:27" ht="15" x14ac:dyDescent="0.25">
      <c r="A57" s="380"/>
      <c r="C57" s="347" t="s">
        <v>411</v>
      </c>
      <c r="D57" s="408">
        <f>'[1]Kutai Timur'!$AA$26</f>
        <v>310</v>
      </c>
      <c r="E57" s="408">
        <f>'[1]Kutai Timur'!$AA$27</f>
        <v>316</v>
      </c>
      <c r="F57" s="408">
        <f>'[1]Kutai Timur'!$AA$28</f>
        <v>323</v>
      </c>
      <c r="G57" s="408">
        <f>'[1]Kutai Timur'!$AA$29</f>
        <v>329</v>
      </c>
      <c r="H57" s="408">
        <f>'[1]Kutai Timur'!$AA$30</f>
        <v>336</v>
      </c>
      <c r="I57" s="408">
        <f>'[1]Kutai Timur'!$AA$31</f>
        <v>342</v>
      </c>
      <c r="J57" s="408">
        <f>'[1]Kutai Timur'!$AA$32</f>
        <v>349</v>
      </c>
      <c r="K57" s="408">
        <f>'[1]Kutai Timur'!$AA$33</f>
        <v>356</v>
      </c>
      <c r="L57" s="408">
        <f>'[1]Kutai Timur'!$AA$34</f>
        <v>363</v>
      </c>
      <c r="M57" s="408">
        <f>'[1]Kutai Timur'!$AA$35</f>
        <v>370</v>
      </c>
    </row>
    <row r="58" spans="1:27" ht="15" x14ac:dyDescent="0.25">
      <c r="C58" s="347" t="s">
        <v>414</v>
      </c>
      <c r="D58" s="409">
        <f>'[1]Kutai Timur'!$AB$26</f>
        <v>125</v>
      </c>
      <c r="E58" s="409">
        <f>'[1]Kutai Timur'!$AB$27</f>
        <v>128</v>
      </c>
      <c r="F58" s="409">
        <f>'[1]Kutai Timur'!$AB$28</f>
        <v>130</v>
      </c>
      <c r="G58" s="409">
        <f>'[1]Kutai Timur'!$AB$29</f>
        <v>133</v>
      </c>
      <c r="H58" s="409">
        <f>'[1]Kutai Timur'!$AB$30</f>
        <v>135</v>
      </c>
      <c r="I58" s="409">
        <f>'[1]Kutai Timur'!$AB$31</f>
        <v>138</v>
      </c>
      <c r="J58" s="409">
        <f>'[1]Kutai Timur'!$AB$32</f>
        <v>141</v>
      </c>
      <c r="K58" s="409">
        <f>'[1]Kutai Timur'!$AB$33</f>
        <v>144</v>
      </c>
      <c r="L58" s="409">
        <f>'[1]Kutai Timur'!$AB$34</f>
        <v>146</v>
      </c>
      <c r="M58" s="409">
        <f>'[1]Kutai Timur'!$AB$35</f>
        <v>149</v>
      </c>
    </row>
    <row r="59" spans="1:27" x14ac:dyDescent="0.25">
      <c r="C59" s="347" t="s">
        <v>415</v>
      </c>
      <c r="D59" s="381"/>
      <c r="E59" s="381"/>
      <c r="F59" s="382"/>
      <c r="G59" s="382"/>
      <c r="H59" s="382"/>
      <c r="I59" s="382"/>
      <c r="J59" s="382"/>
      <c r="K59" s="382"/>
      <c r="L59" s="382"/>
      <c r="M59" s="382"/>
    </row>
    <row r="60" spans="1:27" s="351" customFormat="1" x14ac:dyDescent="0.25">
      <c r="A60" s="350"/>
      <c r="C60" s="352" t="s">
        <v>416</v>
      </c>
      <c r="D60" s="353">
        <f>SUM(D53:D59)</f>
        <v>895</v>
      </c>
      <c r="E60" s="353">
        <f t="shared" ref="E60:G60" si="13">SUM(E53:E59)</f>
        <v>913</v>
      </c>
      <c r="F60" s="353">
        <f t="shared" si="13"/>
        <v>931</v>
      </c>
      <c r="G60" s="353">
        <f t="shared" si="13"/>
        <v>950</v>
      </c>
      <c r="H60" s="353">
        <f t="shared" ref="H60:M60" si="14">SUM(H53:H59)</f>
        <v>968</v>
      </c>
      <c r="I60" s="353">
        <f t="shared" si="14"/>
        <v>988</v>
      </c>
      <c r="J60" s="353">
        <f t="shared" si="14"/>
        <v>1007</v>
      </c>
      <c r="K60" s="353">
        <f t="shared" si="14"/>
        <v>1028</v>
      </c>
      <c r="L60" s="353">
        <f t="shared" si="14"/>
        <v>1048</v>
      </c>
      <c r="M60" s="353">
        <f t="shared" si="14"/>
        <v>1069</v>
      </c>
    </row>
    <row r="62" spans="1:27" ht="15" customHeight="1" x14ac:dyDescent="0.25">
      <c r="C62" s="347"/>
      <c r="D62" s="468" t="s">
        <v>410</v>
      </c>
      <c r="E62" s="468"/>
      <c r="F62" s="468"/>
      <c r="G62" s="468"/>
      <c r="H62" s="468"/>
      <c r="I62" s="468"/>
      <c r="J62" s="468"/>
      <c r="K62" s="468"/>
      <c r="L62" s="468"/>
      <c r="M62" s="468"/>
    </row>
    <row r="63" spans="1:27" x14ac:dyDescent="0.25">
      <c r="C63" s="347"/>
      <c r="D63" s="349">
        <f>D52</f>
        <v>2021</v>
      </c>
      <c r="E63" s="349">
        <f t="shared" ref="E63:M63" si="15">E52</f>
        <v>2022</v>
      </c>
      <c r="F63" s="349">
        <f t="shared" si="15"/>
        <v>2023</v>
      </c>
      <c r="G63" s="349">
        <f t="shared" si="15"/>
        <v>2024</v>
      </c>
      <c r="H63" s="349">
        <f t="shared" si="15"/>
        <v>2025</v>
      </c>
      <c r="I63" s="349">
        <f t="shared" si="15"/>
        <v>2026</v>
      </c>
      <c r="J63" s="349">
        <f t="shared" si="15"/>
        <v>2027</v>
      </c>
      <c r="K63" s="349">
        <f t="shared" si="15"/>
        <v>2028</v>
      </c>
      <c r="L63" s="349">
        <f t="shared" si="15"/>
        <v>2029</v>
      </c>
      <c r="M63" s="349">
        <f t="shared" si="15"/>
        <v>2030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2017-10-17T15:09:56Z</dcterms:modified>
</cp:coreProperties>
</file>