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I135" i="12"/>
  <c r="I88" i="14" s="1"/>
  <c r="E65" i="12"/>
  <c r="G133" i="12" s="1"/>
  <c r="G87" i="14" s="1"/>
  <c r="E64" i="12"/>
  <c r="E76" i="12"/>
  <c r="H133" i="12" s="1"/>
  <c r="H87" i="14" s="1"/>
  <c r="J132" i="12"/>
  <c r="E108" i="12"/>
  <c r="E75" i="12"/>
  <c r="E66" i="12" l="1"/>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4.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<sst xmlns="http://schemas.openxmlformats.org/spreadsheetml/2006/main" count="2461" uniqueCount="519">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</sst>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52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0" fillId="0" borderId="0" xfId="0" applyAlignment="1">
      <alignment horizontal="left"/>
    </xf>
    <xf numFmtId="2" fontId="0" fillId="0" borderId="0" xfId="0" applyNumberFormat="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31" xfId="0"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166" fontId="25" fillId="6" borderId="9" xfId="0" applyNumberFormat="1" applyFont="1" applyFill="1" applyBorder="1"/>
    <xf numFmtId="0" fontId="25" fillId="6" borderId="9" xfId="0" applyFont="1" applyFill="1" applyBorder="1"/>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17" xfId="3" applyFill="1" applyBorder="1"/>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22" fillId="0" borderId="28" xfId="3" applyFont="1" applyBorder="1" applyAlignment="1">
      <alignment horizontal="center" vertical="center"/>
    </xf>
    <xf numFmtId="165" fontId="0" fillId="0" borderId="17" xfId="1" applyFont="1" applyBorder="1"/>
    <xf numFmtId="0" fontId="0" fillId="6" borderId="0" xfId="0" applyFill="1"/>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46" fillId="6" borderId="17" xfId="1" applyNumberFormat="1" applyFont="1" applyFill="1" applyBorder="1" applyAlignment="1">
      <alignment vertical="center"/>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30" fillId="6" borderId="17" xfId="1" applyNumberFormat="1" applyFont="1" applyFill="1" applyBorder="1" applyAlignment="1">
      <alignment horizontal="right" vertical="center"/>
    </xf>
    <xf numFmtId="171" fontId="1" fillId="6" borderId="17" xfId="1" applyNumberFormat="1" applyFont="1" applyFill="1" applyBorder="1"/>
    <xf numFmtId="165" fontId="31"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23" fillId="5" borderId="29"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xf numFmtId="0" fontId="22" fillId="12" borderId="0" xfId="0" applyFont="1" applyFill="1" applyAlignment="1">
      <alignment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vertical="center"/>
    </xf>
    <xf numFmtId="0" fontId="0" fillId="0" borderId="7" xfId="0" applyBorder="1" applyAlignment="1">
      <alignment vertical="center"/>
    </xf>
    <xf numFmtId="0" fontId="22" fillId="0" borderId="7" xfId="0" applyFont="1" applyBorder="1" applyAlignment="1">
      <alignment horizontal="center" vertical="center"/>
    </xf>
    <xf numFmtId="0" fontId="0" fillId="0" borderId="9" xfId="0" applyBorder="1" applyAlignment="1">
      <alignment vertical="center"/>
    </xf>
    <xf numFmtId="0" fontId="0" fillId="0" borderId="1" xfId="0" applyBorder="1" applyAlignment="1">
      <alignment vertical="center"/>
    </xf>
    <xf numFmtId="0" fontId="22" fillId="0" borderId="1" xfId="0" applyFont="1" applyBorder="1" applyAlignment="1">
      <alignment horizontal="center" vertical="center"/>
    </xf>
    <xf numFmtId="0" fontId="21" fillId="0" borderId="7" xfId="3" applyBorder="1" applyAlignment="1">
      <alignment vertical="center"/>
    </xf>
    <xf numFmtId="166" fontId="0" fillId="6" borderId="7" xfId="0" applyNumberFormat="1" applyFill="1" applyBorder="1" applyAlignment="1">
      <alignment vertical="center"/>
    </xf>
    <xf numFmtId="0" fontId="0" fillId="6" borderId="7" xfId="0" applyFill="1" applyBorder="1" applyAlignment="1">
      <alignment vertical="center"/>
    </xf>
    <xf numFmtId="0" fontId="0" fillId="0" borderId="7" xfId="0" applyFill="1" applyBorder="1" applyAlignment="1">
      <alignment vertical="center"/>
    </xf>
    <xf numFmtId="165" fontId="20" fillId="0" borderId="7" xfId="1" applyNumberFormat="1" applyFont="1" applyBorder="1" applyAlignment="1">
      <alignment vertical="center"/>
    </xf>
    <xf numFmtId="2" fontId="0" fillId="6" borderId="9" xfId="0" applyNumberFormat="1" applyFill="1" applyBorder="1" applyAlignment="1">
      <alignment vertical="center"/>
    </xf>
    <xf numFmtId="166" fontId="20" fillId="0" borderId="9" xfId="1" applyNumberFormat="1" applyFont="1" applyBorder="1" applyAlignment="1">
      <alignment vertical="center"/>
    </xf>
    <xf numFmtId="0" fontId="0" fillId="6" borderId="9" xfId="0" applyFill="1" applyBorder="1" applyAlignment="1">
      <alignment vertical="center"/>
    </xf>
    <xf numFmtId="166" fontId="20" fillId="0" borderId="1" xfId="1" applyNumberFormat="1" applyFont="1" applyBorder="1" applyAlignment="1">
      <alignment vertical="center"/>
    </xf>
    <xf numFmtId="43" fontId="0" fillId="0" borderId="7" xfId="0" applyNumberFormat="1" applyFill="1" applyBorder="1" applyAlignment="1">
      <alignment vertical="center"/>
    </xf>
    <xf numFmtId="1" fontId="0" fillId="6" borderId="31" xfId="0" applyNumberFormat="1" applyFill="1" applyBorder="1" applyAlignment="1">
      <alignment vertical="center"/>
    </xf>
    <xf numFmtId="0" fontId="0" fillId="0" borderId="56" xfId="0" applyBorder="1" applyAlignment="1">
      <alignment vertical="center"/>
    </xf>
    <xf numFmtId="0" fontId="21" fillId="0" borderId="9" xfId="3" applyBorder="1" applyAlignment="1">
      <alignment vertical="center"/>
    </xf>
    <xf numFmtId="0" fontId="0" fillId="16" borderId="9" xfId="0" applyFill="1" applyBorder="1" applyAlignment="1">
      <alignment vertical="center"/>
    </xf>
    <xf numFmtId="0" fontId="0" fillId="0" borderId="31" xfId="0" applyBorder="1" applyAlignment="1">
      <alignment vertical="center"/>
    </xf>
    <xf numFmtId="166" fontId="0" fillId="0" borderId="7" xfId="0" applyNumberFormat="1" applyBorder="1" applyAlignment="1">
      <alignment vertical="center"/>
    </xf>
    <xf numFmtId="0" fontId="21" fillId="0" borderId="9" xfId="3" applyFill="1" applyBorder="1" applyAlignment="1">
      <alignment vertical="center"/>
    </xf>
    <xf numFmtId="0" fontId="21" fillId="5" borderId="38" xfId="3" applyFill="1" applyBorder="1" applyAlignment="1">
      <alignment horizontal="center" vertical="center"/>
    </xf>
    <xf numFmtId="0" fontId="0" fillId="0" borderId="8" xfId="0" applyBorder="1" applyAlignment="1">
      <alignment vertical="center"/>
    </xf>
    <xf numFmtId="165" fontId="0" fillId="5" borderId="8" xfId="1" applyFont="1" applyFill="1" applyBorder="1" applyAlignment="1">
      <alignment vertical="center"/>
    </xf>
    <xf numFmtId="165" fontId="0" fillId="0" borderId="8" xfId="1" applyFont="1" applyFill="1" applyBorder="1" applyAlignment="1">
      <alignment vertical="center"/>
    </xf>
    <xf numFmtId="165" fontId="0" fillId="0" borderId="10" xfId="1" applyFont="1" applyFill="1" applyBorder="1" applyAlignment="1">
      <alignment vertical="center"/>
    </xf>
    <xf numFmtId="165" fontId="0" fillId="5" borderId="10" xfId="1" applyFont="1" applyFill="1" applyBorder="1" applyAlignment="1">
      <alignment vertical="center"/>
    </xf>
    <xf numFmtId="165" fontId="0" fillId="5" borderId="2" xfId="1" applyFont="1" applyFill="1" applyBorder="1" applyAlignment="1">
      <alignment vertical="center"/>
    </xf>
    <xf numFmtId="0" fontId="21" fillId="5" borderId="8" xfId="3" applyFill="1" applyBorder="1" applyAlignment="1">
      <alignment horizontal="center" vertical="center"/>
    </xf>
    <xf numFmtId="166" fontId="0" fillId="5" borderId="8" xfId="0" applyNumberFormat="1" applyFill="1" applyBorder="1" applyAlignment="1">
      <alignment vertical="center"/>
    </xf>
    <xf numFmtId="166" fontId="0" fillId="0" borderId="8" xfId="0" applyNumberFormat="1" applyFill="1" applyBorder="1" applyAlignment="1">
      <alignment vertical="center"/>
    </xf>
    <xf numFmtId="2" fontId="0" fillId="5" borderId="32" xfId="0" applyNumberFormat="1" applyFill="1" applyBorder="1" applyAlignment="1">
      <alignment vertical="center"/>
    </xf>
    <xf numFmtId="0" fontId="0" fillId="0" borderId="8" xfId="0" applyFill="1" applyBorder="1" applyAlignment="1">
      <alignment vertical="center"/>
    </xf>
    <xf numFmtId="0" fontId="0" fillId="5" borderId="8" xfId="0" applyFill="1" applyBorder="1" applyAlignment="1">
      <alignment vertical="center"/>
    </xf>
    <xf numFmtId="165" fontId="0" fillId="5" borderId="8" xfId="0" applyNumberFormat="1" applyFill="1" applyBorder="1" applyAlignment="1">
      <alignment vertical="center"/>
    </xf>
    <xf numFmtId="2" fontId="0" fillId="0" borderId="10" xfId="0" applyNumberFormat="1" applyFill="1" applyBorder="1" applyAlignment="1">
      <alignment vertical="center"/>
    </xf>
    <xf numFmtId="2" fontId="0" fillId="5" borderId="10" xfId="0" applyNumberFormat="1" applyFill="1" applyBorder="1" applyAlignment="1">
      <alignment vertical="center"/>
    </xf>
    <xf numFmtId="2" fontId="0" fillId="5" borderId="2" xfId="0" applyNumberFormat="1" applyFill="1" applyBorder="1" applyAlignment="1">
      <alignment vertical="center"/>
    </xf>
    <xf numFmtId="0" fontId="0" fillId="0" borderId="0" xfId="0" applyAlignment="1">
      <alignment horizontal="center" vertical="center" wrapText="1"/>
    </xf>
    <xf numFmtId="0" fontId="4" fillId="0" borderId="0" xfId="3" applyFont="1" applyAlignment="1">
      <alignment vertical="center"/>
    </xf>
    <xf numFmtId="0" fontId="0" fillId="0" borderId="0" xfId="0" applyAlignment="1">
      <alignment horizontal="left" vertical="center"/>
    </xf>
    <xf numFmtId="0" fontId="0" fillId="16" borderId="0" xfId="0" applyFill="1" applyAlignment="1">
      <alignment horizontal="center" vertical="center"/>
    </xf>
    <xf numFmtId="2" fontId="0" fillId="0" borderId="0" xfId="0" applyNumberFormat="1" applyAlignment="1">
      <alignment horizontal="center" vertical="center"/>
    </xf>
    <xf numFmtId="2" fontId="0" fillId="0" borderId="0" xfId="0" applyNumberFormat="1" applyAlignment="1">
      <alignment vertical="center"/>
    </xf>
    <xf numFmtId="0" fontId="0" fillId="9" borderId="17" xfId="0" applyFill="1" applyBorder="1" applyAlignment="1">
      <alignment vertical="center"/>
    </xf>
    <xf numFmtId="0" fontId="0" fillId="14" borderId="17" xfId="0" applyFill="1" applyBorder="1" applyAlignment="1">
      <alignment vertical="center"/>
    </xf>
    <xf numFmtId="0" fontId="21" fillId="0" borderId="17" xfId="3" applyBorder="1" applyAlignment="1">
      <alignment vertical="center"/>
    </xf>
    <xf numFmtId="166" fontId="32" fillId="0" borderId="17" xfId="2" applyNumberFormat="1" applyFont="1" applyBorder="1" applyAlignment="1">
      <alignment vertical="center"/>
    </xf>
    <xf numFmtId="166" fontId="21" fillId="0" borderId="17" xfId="2" applyNumberFormat="1" applyFont="1" applyBorder="1" applyAlignment="1">
      <alignment vertical="center"/>
    </xf>
    <xf numFmtId="166" fontId="21" fillId="0" borderId="45" xfId="2" applyNumberFormat="1" applyFont="1" applyBorder="1" applyAlignment="1">
      <alignment vertical="center"/>
    </xf>
    <xf numFmtId="0" fontId="21" fillId="0" borderId="17" xfId="3" applyFill="1" applyBorder="1" applyAlignment="1">
      <alignment vertical="center"/>
    </xf>
    <xf numFmtId="166" fontId="0" fillId="0" borderId="17" xfId="1" applyNumberFormat="1" applyFont="1" applyBorder="1" applyAlignment="1">
      <alignment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3938.3999999999996</c:v>
                </c:pt>
                <c:pt idx="1">
                  <c:v>4088.3999999999996</c:v>
                </c:pt>
                <c:pt idx="2">
                  <c:v>4344</c:v>
                </c:pt>
                <c:pt idx="3">
                  <c:v>3856.7999999999997</c:v>
                </c:pt>
                <c:pt idx="4">
                  <c:v>3654</c:v>
                </c:pt>
                <c:pt idx="5">
                  <c:v>4071</c:v>
                </c:pt>
                <c:pt idx="6">
                  <c:v>5100</c:v>
                </c:pt>
                <c:pt idx="7">
                  <c:v>5400</c:v>
                </c:pt>
                <c:pt idx="8">
                  <c:v>5700</c:v>
                </c:pt>
                <c:pt idx="9">
                  <c:v>6000</c:v>
                </c:pt>
              </c:numCache>
            </c:numRef>
          </c:yVal>
          <c:smooth val="0"/>
        </c:ser>
        <c:dLbls>
          <c:showLegendKey val="0"/>
          <c:showVal val="0"/>
          <c:showCatName val="0"/>
          <c:showSerName val="0"/>
          <c:showPercent val="0"/>
          <c:showBubbleSize val="0"/>
        </c:dLbls>
        <c:axId val="232278104"/>
        <c:axId val="232278496"/>
      </c:scatterChart>
      <c:valAx>
        <c:axId val="232278104"/>
        <c:scaling>
          <c:orientation val="minMax"/>
        </c:scaling>
        <c:delete val="0"/>
        <c:axPos val="b"/>
        <c:numFmt formatCode="General" sourceLinked="1"/>
        <c:majorTickMark val="out"/>
        <c:minorTickMark val="none"/>
        <c:tickLblPos val="nextTo"/>
        <c:txPr>
          <a:bodyPr/>
          <a:lstStyle/>
          <a:p>
            <a:pPr>
              <a:defRPr lang="en-US"/>
            </a:pPr>
            <a:endParaRPr lang="en-US"/>
          </a:p>
        </c:txPr>
        <c:crossAx val="232278496"/>
        <c:crosses val="autoZero"/>
        <c:crossBetween val="midCat"/>
      </c:valAx>
      <c:valAx>
        <c:axId val="23227849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322781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837449</c:v>
                </c:pt>
                <c:pt idx="1">
                  <c:v>872933</c:v>
                </c:pt>
                <c:pt idx="2">
                  <c:v>925756</c:v>
                </c:pt>
                <c:pt idx="3">
                  <c:v>1019349</c:v>
                </c:pt>
                <c:pt idx="4">
                  <c:v>1314528</c:v>
                </c:pt>
                <c:pt idx="5">
                  <c:v>1445980.8</c:v>
                </c:pt>
                <c:pt idx="6">
                  <c:v>1590578.8800000001</c:v>
                </c:pt>
                <c:pt idx="7">
                  <c:v>1749636.7680000002</c:v>
                </c:pt>
                <c:pt idx="8">
                  <c:v>1924600.4448000002</c:v>
                </c:pt>
                <c:pt idx="9">
                  <c:v>2117060.4892800003</c:v>
                </c:pt>
              </c:numCache>
            </c:numRef>
          </c:val>
        </c:ser>
        <c:dLbls>
          <c:showLegendKey val="0"/>
          <c:showVal val="0"/>
          <c:showCatName val="0"/>
          <c:showSerName val="0"/>
          <c:showPercent val="0"/>
          <c:showBubbleSize val="0"/>
        </c:dLbls>
        <c:gapWidth val="150"/>
        <c:axId val="258295888"/>
        <c:axId val="258296280"/>
      </c:barChart>
      <c:catAx>
        <c:axId val="258295888"/>
        <c:scaling>
          <c:orientation val="minMax"/>
        </c:scaling>
        <c:delete val="0"/>
        <c:axPos val="b"/>
        <c:majorTickMark val="out"/>
        <c:minorTickMark val="none"/>
        <c:tickLblPos val="nextTo"/>
        <c:txPr>
          <a:bodyPr/>
          <a:lstStyle/>
          <a:p>
            <a:pPr>
              <a:defRPr lang="en-US"/>
            </a:pPr>
            <a:endParaRPr lang="en-US"/>
          </a:p>
        </c:txPr>
        <c:crossAx val="258296280"/>
        <c:crosses val="autoZero"/>
        <c:auto val="1"/>
        <c:lblAlgn val="ctr"/>
        <c:lblOffset val="100"/>
        <c:noMultiLvlLbl val="0"/>
      </c:catAx>
      <c:valAx>
        <c:axId val="2582962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58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2050000</c:v>
                </c:pt>
                <c:pt idx="1">
                  <c:v>1993350</c:v>
                </c:pt>
                <c:pt idx="2">
                  <c:v>1831500</c:v>
                </c:pt>
                <c:pt idx="3">
                  <c:v>1967589</c:v>
                </c:pt>
                <c:pt idx="4">
                  <c:v>1967715</c:v>
                </c:pt>
                <c:pt idx="5">
                  <c:v>2164486.5</c:v>
                </c:pt>
                <c:pt idx="6">
                  <c:v>2380935.15</c:v>
                </c:pt>
                <c:pt idx="7">
                  <c:v>2619028.665</c:v>
                </c:pt>
                <c:pt idx="8">
                  <c:v>2880931.5315</c:v>
                </c:pt>
                <c:pt idx="9">
                  <c:v>3169024.6846500002</c:v>
                </c:pt>
              </c:numCache>
            </c:numRef>
          </c:val>
        </c:ser>
        <c:dLbls>
          <c:showLegendKey val="0"/>
          <c:showVal val="0"/>
          <c:showCatName val="0"/>
          <c:showSerName val="0"/>
          <c:showPercent val="0"/>
          <c:showBubbleSize val="0"/>
        </c:dLbls>
        <c:gapWidth val="150"/>
        <c:axId val="258297064"/>
        <c:axId val="258297456"/>
      </c:barChart>
      <c:catAx>
        <c:axId val="258297064"/>
        <c:scaling>
          <c:orientation val="minMax"/>
        </c:scaling>
        <c:delete val="0"/>
        <c:axPos val="b"/>
        <c:majorTickMark val="out"/>
        <c:minorTickMark val="none"/>
        <c:tickLblPos val="nextTo"/>
        <c:txPr>
          <a:bodyPr/>
          <a:lstStyle/>
          <a:p>
            <a:pPr>
              <a:defRPr lang="en-US"/>
            </a:pPr>
            <a:endParaRPr lang="en-US"/>
          </a:p>
        </c:txPr>
        <c:crossAx val="258297456"/>
        <c:crosses val="autoZero"/>
        <c:auto val="1"/>
        <c:lblAlgn val="ctr"/>
        <c:lblOffset val="100"/>
        <c:noMultiLvlLbl val="0"/>
      </c:catAx>
      <c:valAx>
        <c:axId val="2582974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70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1275</c:v>
                </c:pt>
                <c:pt idx="1">
                  <c:v>2100</c:v>
                </c:pt>
                <c:pt idx="2">
                  <c:v>3315</c:v>
                </c:pt>
                <c:pt idx="3">
                  <c:v>3466</c:v>
                </c:pt>
                <c:pt idx="4">
                  <c:v>2201</c:v>
                </c:pt>
                <c:pt idx="5">
                  <c:v>2421.1</c:v>
                </c:pt>
                <c:pt idx="6">
                  <c:v>2663.21</c:v>
                </c:pt>
                <c:pt idx="7">
                  <c:v>2929.5309999999999</c:v>
                </c:pt>
                <c:pt idx="8">
                  <c:v>3222.4841000000001</c:v>
                </c:pt>
                <c:pt idx="9">
                  <c:v>3544.7325100000003</c:v>
                </c:pt>
              </c:numCache>
            </c:numRef>
          </c:val>
        </c:ser>
        <c:dLbls>
          <c:showLegendKey val="0"/>
          <c:showVal val="0"/>
          <c:showCatName val="0"/>
          <c:showSerName val="0"/>
          <c:showPercent val="0"/>
          <c:showBubbleSize val="0"/>
        </c:dLbls>
        <c:gapWidth val="150"/>
        <c:axId val="258298240"/>
        <c:axId val="258298632"/>
      </c:barChart>
      <c:catAx>
        <c:axId val="258298240"/>
        <c:scaling>
          <c:orientation val="minMax"/>
        </c:scaling>
        <c:delete val="0"/>
        <c:axPos val="b"/>
        <c:majorTickMark val="out"/>
        <c:minorTickMark val="none"/>
        <c:tickLblPos val="nextTo"/>
        <c:txPr>
          <a:bodyPr/>
          <a:lstStyle/>
          <a:p>
            <a:pPr>
              <a:defRPr lang="en-US"/>
            </a:pPr>
            <a:endParaRPr lang="en-US"/>
          </a:p>
        </c:txPr>
        <c:crossAx val="258298632"/>
        <c:crosses val="autoZero"/>
        <c:auto val="1"/>
        <c:lblAlgn val="ctr"/>
        <c:lblOffset val="100"/>
        <c:noMultiLvlLbl val="0"/>
      </c:catAx>
      <c:valAx>
        <c:axId val="2582986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82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12890</c:v>
                </c:pt>
                <c:pt idx="1">
                  <c:v>16602</c:v>
                </c:pt>
                <c:pt idx="2">
                  <c:v>18117</c:v>
                </c:pt>
                <c:pt idx="3">
                  <c:v>35648</c:v>
                </c:pt>
                <c:pt idx="4">
                  <c:v>38896</c:v>
                </c:pt>
                <c:pt idx="5">
                  <c:v>42785.599999999999</c:v>
                </c:pt>
                <c:pt idx="6">
                  <c:v>47064.159999999996</c:v>
                </c:pt>
                <c:pt idx="7">
                  <c:v>51770.575999999994</c:v>
                </c:pt>
                <c:pt idx="8">
                  <c:v>56947.633599999994</c:v>
                </c:pt>
                <c:pt idx="9">
                  <c:v>62642.396959999991</c:v>
                </c:pt>
              </c:numCache>
            </c:numRef>
          </c:val>
        </c:ser>
        <c:dLbls>
          <c:showLegendKey val="0"/>
          <c:showVal val="0"/>
          <c:showCatName val="0"/>
          <c:showSerName val="0"/>
          <c:showPercent val="0"/>
          <c:showBubbleSize val="0"/>
        </c:dLbls>
        <c:gapWidth val="150"/>
        <c:axId val="258299416"/>
        <c:axId val="259319648"/>
      </c:barChart>
      <c:catAx>
        <c:axId val="258299416"/>
        <c:scaling>
          <c:orientation val="minMax"/>
        </c:scaling>
        <c:delete val="0"/>
        <c:axPos val="b"/>
        <c:majorTickMark val="out"/>
        <c:minorTickMark val="none"/>
        <c:tickLblPos val="nextTo"/>
        <c:txPr>
          <a:bodyPr/>
          <a:lstStyle/>
          <a:p>
            <a:pPr>
              <a:defRPr lang="en-US"/>
            </a:pPr>
            <a:endParaRPr lang="en-US"/>
          </a:p>
        </c:txPr>
        <c:crossAx val="259319648"/>
        <c:crosses val="autoZero"/>
        <c:auto val="1"/>
        <c:lblAlgn val="ctr"/>
        <c:lblOffset val="100"/>
        <c:noMultiLvlLbl val="0"/>
      </c:catAx>
      <c:valAx>
        <c:axId val="2593196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94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3938.3999999999996</c:v>
                </c:pt>
                <c:pt idx="1">
                  <c:v>4088.3999999999996</c:v>
                </c:pt>
                <c:pt idx="2">
                  <c:v>4344</c:v>
                </c:pt>
                <c:pt idx="3">
                  <c:v>3856.7999999999997</c:v>
                </c:pt>
                <c:pt idx="4">
                  <c:v>3654</c:v>
                </c:pt>
                <c:pt idx="5">
                  <c:v>4071</c:v>
                </c:pt>
                <c:pt idx="6">
                  <c:v>5100</c:v>
                </c:pt>
                <c:pt idx="7">
                  <c:v>5400</c:v>
                </c:pt>
                <c:pt idx="8">
                  <c:v>5700</c:v>
                </c:pt>
                <c:pt idx="9">
                  <c:v>6000</c:v>
                </c:pt>
              </c:numCache>
            </c:numRef>
          </c:yVal>
          <c:smooth val="0"/>
        </c:ser>
        <c:dLbls>
          <c:showLegendKey val="0"/>
          <c:showVal val="0"/>
          <c:showCatName val="0"/>
          <c:showSerName val="0"/>
          <c:showPercent val="0"/>
          <c:showBubbleSize val="0"/>
        </c:dLbls>
        <c:axId val="259320432"/>
        <c:axId val="259320824"/>
      </c:scatterChart>
      <c:valAx>
        <c:axId val="259320432"/>
        <c:scaling>
          <c:orientation val="minMax"/>
        </c:scaling>
        <c:delete val="0"/>
        <c:axPos val="b"/>
        <c:numFmt formatCode="General" sourceLinked="1"/>
        <c:majorTickMark val="out"/>
        <c:minorTickMark val="none"/>
        <c:tickLblPos val="nextTo"/>
        <c:txPr>
          <a:bodyPr/>
          <a:lstStyle/>
          <a:p>
            <a:pPr>
              <a:defRPr lang="en-US"/>
            </a:pPr>
            <a:endParaRPr lang="en-US"/>
          </a:p>
        </c:txPr>
        <c:crossAx val="259320824"/>
        <c:crosses val="autoZero"/>
        <c:crossBetween val="midCat"/>
      </c:valAx>
      <c:valAx>
        <c:axId val="2593208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320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2961</c:v>
                </c:pt>
                <c:pt idx="1">
                  <c:v>3399</c:v>
                </c:pt>
                <c:pt idx="2">
                  <c:v>3064</c:v>
                </c:pt>
                <c:pt idx="3">
                  <c:v>2595</c:v>
                </c:pt>
                <c:pt idx="4">
                  <c:v>3283</c:v>
                </c:pt>
                <c:pt idx="5">
                  <c:v>3491</c:v>
                </c:pt>
                <c:pt idx="6">
                  <c:v>3300</c:v>
                </c:pt>
                <c:pt idx="7">
                  <c:v>3500</c:v>
                </c:pt>
                <c:pt idx="8">
                  <c:v>3700</c:v>
                </c:pt>
                <c:pt idx="9">
                  <c:v>4000</c:v>
                </c:pt>
              </c:numCache>
            </c:numRef>
          </c:yVal>
          <c:smooth val="0"/>
        </c:ser>
        <c:dLbls>
          <c:showLegendKey val="0"/>
          <c:showVal val="0"/>
          <c:showCatName val="0"/>
          <c:showSerName val="0"/>
          <c:showPercent val="0"/>
          <c:showBubbleSize val="0"/>
        </c:dLbls>
        <c:axId val="259321608"/>
        <c:axId val="259322000"/>
      </c:scatterChart>
      <c:valAx>
        <c:axId val="259321608"/>
        <c:scaling>
          <c:orientation val="minMax"/>
        </c:scaling>
        <c:delete val="0"/>
        <c:axPos val="b"/>
        <c:numFmt formatCode="General" sourceLinked="1"/>
        <c:majorTickMark val="out"/>
        <c:minorTickMark val="none"/>
        <c:tickLblPos val="nextTo"/>
        <c:txPr>
          <a:bodyPr/>
          <a:lstStyle/>
          <a:p>
            <a:pPr>
              <a:defRPr lang="en-US"/>
            </a:pPr>
            <a:endParaRPr lang="en-US"/>
          </a:p>
        </c:txPr>
        <c:crossAx val="259322000"/>
        <c:crosses val="autoZero"/>
        <c:crossBetween val="midCat"/>
      </c:valAx>
      <c:valAx>
        <c:axId val="2593220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3216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767</c:v>
                </c:pt>
                <c:pt idx="1">
                  <c:v>700</c:v>
                </c:pt>
                <c:pt idx="2">
                  <c:v>735</c:v>
                </c:pt>
                <c:pt idx="3">
                  <c:v>587</c:v>
                </c:pt>
                <c:pt idx="4">
                  <c:v>613</c:v>
                </c:pt>
                <c:pt idx="5">
                  <c:v>671</c:v>
                </c:pt>
                <c:pt idx="6">
                  <c:v>779</c:v>
                </c:pt>
                <c:pt idx="7">
                  <c:v>865</c:v>
                </c:pt>
                <c:pt idx="8">
                  <c:v>818</c:v>
                </c:pt>
                <c:pt idx="9">
                  <c:v>971</c:v>
                </c:pt>
                <c:pt idx="10">
                  <c:v>0</c:v>
                </c:pt>
              </c:numCache>
            </c:numRef>
          </c:yVal>
          <c:smooth val="0"/>
        </c:ser>
        <c:dLbls>
          <c:showLegendKey val="0"/>
          <c:showVal val="0"/>
          <c:showCatName val="0"/>
          <c:showSerName val="0"/>
          <c:showPercent val="0"/>
          <c:showBubbleSize val="0"/>
        </c:dLbls>
        <c:axId val="259322784"/>
        <c:axId val="259323176"/>
      </c:scatterChart>
      <c:valAx>
        <c:axId val="259322784"/>
        <c:scaling>
          <c:orientation val="minMax"/>
        </c:scaling>
        <c:delete val="0"/>
        <c:axPos val="b"/>
        <c:numFmt formatCode="General" sourceLinked="1"/>
        <c:majorTickMark val="out"/>
        <c:minorTickMark val="none"/>
        <c:tickLblPos val="nextTo"/>
        <c:txPr>
          <a:bodyPr/>
          <a:lstStyle/>
          <a:p>
            <a:pPr>
              <a:defRPr lang="en-US"/>
            </a:pPr>
            <a:endParaRPr lang="en-US"/>
          </a:p>
        </c:txPr>
        <c:crossAx val="259323176"/>
        <c:crosses val="autoZero"/>
        <c:crossBetween val="midCat"/>
      </c:valAx>
      <c:valAx>
        <c:axId val="2593231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3227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9323960"/>
        <c:axId val="259324352"/>
      </c:scatterChart>
      <c:valAx>
        <c:axId val="259323960"/>
        <c:scaling>
          <c:orientation val="minMax"/>
        </c:scaling>
        <c:delete val="0"/>
        <c:axPos val="b"/>
        <c:numFmt formatCode="General" sourceLinked="1"/>
        <c:majorTickMark val="out"/>
        <c:minorTickMark val="none"/>
        <c:tickLblPos val="nextTo"/>
        <c:txPr>
          <a:bodyPr/>
          <a:lstStyle/>
          <a:p>
            <a:pPr>
              <a:defRPr lang="en-US"/>
            </a:pPr>
            <a:endParaRPr lang="en-US"/>
          </a:p>
        </c:txPr>
        <c:crossAx val="259324352"/>
        <c:crosses val="autoZero"/>
        <c:crossBetween val="midCat"/>
      </c:valAx>
      <c:valAx>
        <c:axId val="2593243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323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7945.0799648777929</c:v>
                </c:pt>
                <c:pt idx="1">
                  <c:v>8247.6805119861765</c:v>
                </c:pt>
                <c:pt idx="2">
                  <c:v>8763.3118442588693</c:v>
                </c:pt>
                <c:pt idx="3">
                  <c:v>7780.46526725083</c:v>
                </c:pt>
                <c:pt idx="4">
                  <c:v>7371.3493275602896</c:v>
                </c:pt>
                <c:pt idx="5">
                  <c:v>8212.5788485216053</c:v>
                </c:pt>
                <c:pt idx="6">
                  <c:v>10288.418601685134</c:v>
                </c:pt>
                <c:pt idx="7">
                  <c:v>10893.619695901907</c:v>
                </c:pt>
                <c:pt idx="8">
                  <c:v>11498.820790118678</c:v>
                </c:pt>
                <c:pt idx="9">
                  <c:v>12104.021884335452</c:v>
                </c:pt>
              </c:numCache>
            </c:numRef>
          </c:yVal>
          <c:smooth val="0"/>
        </c:ser>
        <c:dLbls>
          <c:showLegendKey val="0"/>
          <c:showVal val="0"/>
          <c:showCatName val="0"/>
          <c:showSerName val="0"/>
          <c:showPercent val="0"/>
          <c:showBubbleSize val="0"/>
        </c:dLbls>
        <c:axId val="259325136"/>
        <c:axId val="259325528"/>
      </c:scatterChart>
      <c:valAx>
        <c:axId val="259325136"/>
        <c:scaling>
          <c:orientation val="minMax"/>
        </c:scaling>
        <c:delete val="0"/>
        <c:axPos val="b"/>
        <c:numFmt formatCode="General" sourceLinked="1"/>
        <c:majorTickMark val="out"/>
        <c:minorTickMark val="none"/>
        <c:tickLblPos val="nextTo"/>
        <c:txPr>
          <a:bodyPr/>
          <a:lstStyle/>
          <a:p>
            <a:pPr>
              <a:defRPr lang="en-US"/>
            </a:pPr>
            <a:endParaRPr lang="en-US"/>
          </a:p>
        </c:txPr>
        <c:crossAx val="259325528"/>
        <c:crosses val="autoZero"/>
        <c:crossBetween val="midCat"/>
      </c:valAx>
      <c:valAx>
        <c:axId val="2593255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3251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305.39250177612007</c:v>
                </c:pt>
                <c:pt idx="1">
                  <c:v>337.34633822962286</c:v>
                </c:pt>
                <c:pt idx="2">
                  <c:v>320.26533150266283</c:v>
                </c:pt>
                <c:pt idx="3">
                  <c:v>360.94385249296005</c:v>
                </c:pt>
                <c:pt idx="4">
                  <c:v>403.16379330492583</c:v>
                </c:pt>
                <c:pt idx="5">
                  <c:v>436.33218737656125</c:v>
                </c:pt>
                <c:pt idx="6">
                  <c:v>491.62858712245514</c:v>
                </c:pt>
                <c:pt idx="7">
                  <c:v>545.27676723501611</c:v>
                </c:pt>
                <c:pt idx="8">
                  <c:v>605.15516531730646</c:v>
                </c:pt>
                <c:pt idx="9">
                  <c:v>668.12428502818909</c:v>
                </c:pt>
              </c:numCache>
            </c:numRef>
          </c:yVal>
          <c:smooth val="0"/>
        </c:ser>
        <c:dLbls>
          <c:showLegendKey val="0"/>
          <c:showVal val="0"/>
          <c:showCatName val="0"/>
          <c:showSerName val="0"/>
          <c:showPercent val="0"/>
          <c:showBubbleSize val="0"/>
        </c:dLbls>
        <c:axId val="259326312"/>
        <c:axId val="259326704"/>
      </c:scatterChart>
      <c:valAx>
        <c:axId val="259326312"/>
        <c:scaling>
          <c:orientation val="minMax"/>
        </c:scaling>
        <c:delete val="0"/>
        <c:axPos val="b"/>
        <c:numFmt formatCode="General" sourceLinked="1"/>
        <c:majorTickMark val="out"/>
        <c:minorTickMark val="none"/>
        <c:tickLblPos val="nextTo"/>
        <c:txPr>
          <a:bodyPr/>
          <a:lstStyle/>
          <a:p>
            <a:pPr>
              <a:defRPr lang="en-US"/>
            </a:pPr>
            <a:endParaRPr lang="en-US"/>
          </a:p>
        </c:txPr>
        <c:crossAx val="259326704"/>
        <c:crosses val="autoZero"/>
        <c:crossBetween val="midCat"/>
      </c:valAx>
      <c:valAx>
        <c:axId val="2593267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3263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174368.69147200437</c:v>
                </c:pt>
                <c:pt idx="1">
                  <c:v>216444.03883185674</c:v>
                </c:pt>
                <c:pt idx="2">
                  <c:v>244800.14072179771</c:v>
                </c:pt>
                <c:pt idx="3">
                  <c:v>246633.67211804667</c:v>
                </c:pt>
                <c:pt idx="4">
                  <c:v>249466.32003806526</c:v>
                </c:pt>
                <c:pt idx="5">
                  <c:v>42216.591617624355</c:v>
                </c:pt>
                <c:pt idx="6">
                  <c:v>51334.537385956799</c:v>
                </c:pt>
                <c:pt idx="7">
                  <c:v>56559.074978323995</c:v>
                </c:pt>
                <c:pt idx="8">
                  <c:v>62328.138741193121</c:v>
                </c:pt>
                <c:pt idx="9">
                  <c:v>68124.289360958908</c:v>
                </c:pt>
              </c:numCache>
            </c:numRef>
          </c:val>
          <c:smooth val="0"/>
        </c:ser>
        <c:dLbls>
          <c:showLegendKey val="0"/>
          <c:showVal val="0"/>
          <c:showCatName val="0"/>
          <c:showSerName val="0"/>
          <c:showPercent val="0"/>
          <c:showBubbleSize val="0"/>
        </c:dLbls>
        <c:smooth val="0"/>
        <c:axId val="232279280"/>
        <c:axId val="232279672"/>
      </c:lineChart>
      <c:catAx>
        <c:axId val="232279280"/>
        <c:scaling>
          <c:orientation val="minMax"/>
        </c:scaling>
        <c:delete val="0"/>
        <c:axPos val="b"/>
        <c:numFmt formatCode="General" sourceLinked="1"/>
        <c:majorTickMark val="out"/>
        <c:minorTickMark val="none"/>
        <c:tickLblPos val="nextTo"/>
        <c:txPr>
          <a:bodyPr/>
          <a:lstStyle/>
          <a:p>
            <a:pPr>
              <a:defRPr lang="en-US"/>
            </a:pPr>
            <a:endParaRPr lang="en-US"/>
          </a:p>
        </c:txPr>
        <c:crossAx val="232279672"/>
        <c:crosses val="autoZero"/>
        <c:auto val="1"/>
        <c:lblAlgn val="ctr"/>
        <c:lblOffset val="100"/>
        <c:noMultiLvlLbl val="0"/>
      </c:catAx>
      <c:valAx>
        <c:axId val="232279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227928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14705.989619999998</c:v>
                </c:pt>
                <c:pt idx="1">
                  <c:v>18427.329899999997</c:v>
                </c:pt>
                <c:pt idx="2">
                  <c:v>17105.622240000004</c:v>
                </c:pt>
                <c:pt idx="3">
                  <c:v>20584.13322</c:v>
                </c:pt>
                <c:pt idx="4">
                  <c:v>24189.913020000004</c:v>
                </c:pt>
                <c:pt idx="5">
                  <c:v>25667.996760000002</c:v>
                </c:pt>
                <c:pt idx="6">
                  <c:v>30658.055048339691</c:v>
                </c:pt>
                <c:pt idx="7">
                  <c:v>34641.600122329932</c:v>
                </c:pt>
                <c:pt idx="8">
                  <c:v>39163.441148852377</c:v>
                </c:pt>
                <c:pt idx="9">
                  <c:v>43709.278310642891</c:v>
                </c:pt>
              </c:numCache>
            </c:numRef>
          </c:yVal>
          <c:smooth val="0"/>
        </c:ser>
        <c:dLbls>
          <c:showLegendKey val="0"/>
          <c:showVal val="0"/>
          <c:showCatName val="0"/>
          <c:showSerName val="0"/>
          <c:showPercent val="0"/>
          <c:showBubbleSize val="0"/>
        </c:dLbls>
        <c:axId val="259475040"/>
        <c:axId val="259475432"/>
      </c:scatterChart>
      <c:valAx>
        <c:axId val="259475040"/>
        <c:scaling>
          <c:orientation val="minMax"/>
        </c:scaling>
        <c:delete val="0"/>
        <c:axPos val="b"/>
        <c:numFmt formatCode="General" sourceLinked="1"/>
        <c:majorTickMark val="out"/>
        <c:minorTickMark val="none"/>
        <c:tickLblPos val="nextTo"/>
        <c:txPr>
          <a:bodyPr/>
          <a:lstStyle/>
          <a:p>
            <a:pPr>
              <a:defRPr lang="en-US"/>
            </a:pPr>
            <a:endParaRPr lang="en-US"/>
          </a:p>
        </c:txPr>
        <c:crossAx val="259475432"/>
        <c:crosses val="autoZero"/>
        <c:crossBetween val="midCat"/>
      </c:valAx>
      <c:valAx>
        <c:axId val="2594754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4750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91380.677315085704</c:v>
                </c:pt>
                <c:pt idx="1">
                  <c:v>114226.98724737143</c:v>
                </c:pt>
                <c:pt idx="2">
                  <c:v>131777.7518665143</c:v>
                </c:pt>
                <c:pt idx="3">
                  <c:v>131298.0952385143</c:v>
                </c:pt>
                <c:pt idx="4">
                  <c:v>131030.17296600004</c:v>
                </c:pt>
                <c:pt idx="5">
                  <c:v>5225.1003907142849</c:v>
                </c:pt>
                <c:pt idx="6">
                  <c:v>6545.8147857142858</c:v>
                </c:pt>
                <c:pt idx="7">
                  <c:v>6930.8627142857149</c:v>
                </c:pt>
                <c:pt idx="8">
                  <c:v>7315.9106428571431</c:v>
                </c:pt>
                <c:pt idx="9">
                  <c:v>7700.9585714285722</c:v>
                </c:pt>
              </c:numCache>
            </c:numRef>
          </c:yVal>
          <c:smooth val="0"/>
        </c:ser>
        <c:dLbls>
          <c:showLegendKey val="0"/>
          <c:showVal val="0"/>
          <c:showCatName val="0"/>
          <c:showSerName val="0"/>
          <c:showPercent val="0"/>
          <c:showBubbleSize val="0"/>
        </c:dLbls>
        <c:axId val="259476216"/>
        <c:axId val="259476608"/>
      </c:scatterChart>
      <c:valAx>
        <c:axId val="259476216"/>
        <c:scaling>
          <c:orientation val="minMax"/>
        </c:scaling>
        <c:delete val="0"/>
        <c:axPos val="b"/>
        <c:numFmt formatCode="General" sourceLinked="1"/>
        <c:majorTickMark val="out"/>
        <c:minorTickMark val="none"/>
        <c:tickLblPos val="nextTo"/>
        <c:txPr>
          <a:bodyPr/>
          <a:lstStyle/>
          <a:p>
            <a:pPr>
              <a:defRPr lang="en-US"/>
            </a:pPr>
            <a:endParaRPr lang="en-US"/>
          </a:p>
        </c:txPr>
        <c:crossAx val="259476608"/>
        <c:crosses val="autoZero"/>
        <c:crossBetween val="midCat"/>
      </c:valAx>
      <c:valAx>
        <c:axId val="2594766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4762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174368.69147200437</c:v>
                </c:pt>
                <c:pt idx="1">
                  <c:v>216444.03883185674</c:v>
                </c:pt>
                <c:pt idx="2">
                  <c:v>244800.14072179771</c:v>
                </c:pt>
                <c:pt idx="3">
                  <c:v>246633.67211804667</c:v>
                </c:pt>
                <c:pt idx="4">
                  <c:v>249466.32003806526</c:v>
                </c:pt>
                <c:pt idx="5">
                  <c:v>42216.591617624355</c:v>
                </c:pt>
                <c:pt idx="6">
                  <c:v>51334.537385956799</c:v>
                </c:pt>
                <c:pt idx="7">
                  <c:v>56559.074978323995</c:v>
                </c:pt>
                <c:pt idx="8">
                  <c:v>62328.138741193121</c:v>
                </c:pt>
                <c:pt idx="9">
                  <c:v>68124.289360958908</c:v>
                </c:pt>
              </c:numCache>
            </c:numRef>
          </c:yVal>
          <c:smooth val="0"/>
        </c:ser>
        <c:dLbls>
          <c:showLegendKey val="0"/>
          <c:showVal val="0"/>
          <c:showCatName val="0"/>
          <c:showSerName val="0"/>
          <c:showPercent val="0"/>
          <c:showBubbleSize val="0"/>
        </c:dLbls>
        <c:axId val="259477392"/>
        <c:axId val="259477784"/>
      </c:scatterChart>
      <c:valAx>
        <c:axId val="259477392"/>
        <c:scaling>
          <c:orientation val="minMax"/>
        </c:scaling>
        <c:delete val="0"/>
        <c:axPos val="b"/>
        <c:numFmt formatCode="General" sourceLinked="1"/>
        <c:majorTickMark val="out"/>
        <c:minorTickMark val="none"/>
        <c:tickLblPos val="nextTo"/>
        <c:txPr>
          <a:bodyPr/>
          <a:lstStyle/>
          <a:p>
            <a:pPr>
              <a:defRPr lang="en-US"/>
            </a:pPr>
            <a:endParaRPr lang="en-US"/>
          </a:p>
        </c:txPr>
        <c:crossAx val="259477784"/>
        <c:crosses val="autoZero"/>
        <c:crossBetween val="midCat"/>
      </c:valAx>
      <c:valAx>
        <c:axId val="2594777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4773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9478960"/>
        <c:axId val="259479352"/>
      </c:scatterChart>
      <c:valAx>
        <c:axId val="259478960"/>
        <c:scaling>
          <c:orientation val="minMax"/>
        </c:scaling>
        <c:delete val="0"/>
        <c:axPos val="b"/>
        <c:numFmt formatCode="General" sourceLinked="1"/>
        <c:majorTickMark val="out"/>
        <c:minorTickMark val="none"/>
        <c:tickLblPos val="nextTo"/>
        <c:txPr>
          <a:bodyPr/>
          <a:lstStyle/>
          <a:p>
            <a:pPr>
              <a:defRPr lang="en-US"/>
            </a:pPr>
            <a:endParaRPr lang="en-US"/>
          </a:p>
        </c:txPr>
        <c:crossAx val="259479352"/>
        <c:crosses val="autoZero"/>
        <c:crossBetween val="midCat"/>
      </c:valAx>
      <c:valAx>
        <c:axId val="2594793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478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32280456"/>
        <c:axId val="23228084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174368.69147200437</c:v>
                </c:pt>
                <c:pt idx="1">
                  <c:v>216444.03883185674</c:v>
                </c:pt>
                <c:pt idx="2">
                  <c:v>244800.14072179771</c:v>
                </c:pt>
                <c:pt idx="3">
                  <c:v>246633.67211804667</c:v>
                </c:pt>
                <c:pt idx="4">
                  <c:v>249466.32003806526</c:v>
                </c:pt>
                <c:pt idx="5">
                  <c:v>42216.591617624355</c:v>
                </c:pt>
                <c:pt idx="6">
                  <c:v>51334.537385956799</c:v>
                </c:pt>
                <c:pt idx="7">
                  <c:v>56559.074978323995</c:v>
                </c:pt>
                <c:pt idx="8">
                  <c:v>62328.138741193121</c:v>
                </c:pt>
                <c:pt idx="9">
                  <c:v>68124.289360958908</c:v>
                </c:pt>
                <c:pt idx="10">
                  <c:v>0</c:v>
                </c:pt>
              </c:numCache>
            </c:numRef>
          </c:yVal>
          <c:smooth val="0"/>
        </c:ser>
        <c:dLbls>
          <c:showLegendKey val="0"/>
          <c:showVal val="0"/>
          <c:showCatName val="0"/>
          <c:showSerName val="0"/>
          <c:showPercent val="0"/>
          <c:showBubbleSize val="0"/>
        </c:dLbls>
        <c:axId val="232280456"/>
        <c:axId val="232280848"/>
      </c:scatterChart>
      <c:catAx>
        <c:axId val="232280456"/>
        <c:scaling>
          <c:orientation val="minMax"/>
        </c:scaling>
        <c:delete val="0"/>
        <c:axPos val="b"/>
        <c:majorTickMark val="out"/>
        <c:minorTickMark val="none"/>
        <c:tickLblPos val="nextTo"/>
        <c:txPr>
          <a:bodyPr/>
          <a:lstStyle/>
          <a:p>
            <a:pPr>
              <a:defRPr lang="en-US"/>
            </a:pPr>
            <a:endParaRPr lang="en-US"/>
          </a:p>
        </c:txPr>
        <c:crossAx val="232280848"/>
        <c:crosses val="autoZero"/>
        <c:auto val="1"/>
        <c:lblAlgn val="ctr"/>
        <c:lblOffset val="100"/>
        <c:noMultiLvlLbl val="0"/>
      </c:catAx>
      <c:valAx>
        <c:axId val="23228084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32280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32283200"/>
        <c:axId val="232283592"/>
      </c:barChart>
      <c:catAx>
        <c:axId val="232283200"/>
        <c:scaling>
          <c:orientation val="minMax"/>
        </c:scaling>
        <c:delete val="0"/>
        <c:axPos val="b"/>
        <c:majorTickMark val="out"/>
        <c:minorTickMark val="none"/>
        <c:tickLblPos val="nextTo"/>
        <c:txPr>
          <a:bodyPr/>
          <a:lstStyle/>
          <a:p>
            <a:pPr>
              <a:defRPr lang="en-US"/>
            </a:pPr>
            <a:endParaRPr lang="en-US"/>
          </a:p>
        </c:txPr>
        <c:crossAx val="232283592"/>
        <c:crosses val="autoZero"/>
        <c:auto val="1"/>
        <c:lblAlgn val="ctr"/>
        <c:lblOffset val="100"/>
        <c:noMultiLvlLbl val="0"/>
      </c:catAx>
      <c:valAx>
        <c:axId val="2322835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22832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12189</c:v>
                </c:pt>
                <c:pt idx="1">
                  <c:v>15398</c:v>
                </c:pt>
                <c:pt idx="2">
                  <c:v>14136</c:v>
                </c:pt>
                <c:pt idx="3">
                  <c:v>17345</c:v>
                </c:pt>
                <c:pt idx="4">
                  <c:v>20502</c:v>
                </c:pt>
                <c:pt idx="5">
                  <c:v>21659</c:v>
                </c:pt>
                <c:pt idx="6">
                  <c:v>26589.508234463978</c:v>
                </c:pt>
                <c:pt idx="7">
                  <c:v>30280.799896359073</c:v>
                </c:pt>
                <c:pt idx="8">
                  <c:v>34484.535564853562</c:v>
                </c:pt>
                <c:pt idx="9">
                  <c:v>38688.271233348103</c:v>
                </c:pt>
              </c:numCache>
            </c:numRef>
          </c:val>
        </c:ser>
        <c:dLbls>
          <c:showLegendKey val="0"/>
          <c:showVal val="0"/>
          <c:showCatName val="0"/>
          <c:showSerName val="0"/>
          <c:showPercent val="0"/>
          <c:showBubbleSize val="0"/>
        </c:dLbls>
        <c:gapWidth val="150"/>
        <c:axId val="258291968"/>
        <c:axId val="258292360"/>
      </c:barChart>
      <c:catAx>
        <c:axId val="258291968"/>
        <c:scaling>
          <c:orientation val="minMax"/>
        </c:scaling>
        <c:delete val="0"/>
        <c:axPos val="b"/>
        <c:majorTickMark val="out"/>
        <c:minorTickMark val="none"/>
        <c:tickLblPos val="nextTo"/>
        <c:txPr>
          <a:bodyPr/>
          <a:lstStyle/>
          <a:p>
            <a:pPr>
              <a:defRPr lang="en-US"/>
            </a:pPr>
            <a:endParaRPr lang="en-US"/>
          </a:p>
        </c:txPr>
        <c:crossAx val="258292360"/>
        <c:crosses val="autoZero"/>
        <c:auto val="1"/>
        <c:lblAlgn val="ctr"/>
        <c:lblOffset val="100"/>
        <c:noMultiLvlLbl val="0"/>
      </c:catAx>
      <c:valAx>
        <c:axId val="258292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1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554</c:v>
                </c:pt>
                <c:pt idx="1">
                  <c:v>560</c:v>
                </c:pt>
                <c:pt idx="2">
                  <c:v>489</c:v>
                </c:pt>
                <c:pt idx="3">
                  <c:v>528</c:v>
                </c:pt>
                <c:pt idx="4">
                  <c:v>683</c:v>
                </c:pt>
                <c:pt idx="5">
                  <c:v>756</c:v>
                </c:pt>
                <c:pt idx="6">
                  <c:v>717</c:v>
                </c:pt>
                <c:pt idx="7">
                  <c:v>752</c:v>
                </c:pt>
                <c:pt idx="8">
                  <c:v>789</c:v>
                </c:pt>
                <c:pt idx="9">
                  <c:v>828</c:v>
                </c:pt>
              </c:numCache>
            </c:numRef>
          </c:val>
        </c:ser>
        <c:dLbls>
          <c:showLegendKey val="0"/>
          <c:showVal val="0"/>
          <c:showCatName val="0"/>
          <c:showSerName val="0"/>
          <c:showPercent val="0"/>
          <c:showBubbleSize val="0"/>
        </c:dLbls>
        <c:gapWidth val="150"/>
        <c:overlap val="100"/>
        <c:axId val="258293144"/>
        <c:axId val="258293536"/>
      </c:barChart>
      <c:catAx>
        <c:axId val="258293144"/>
        <c:scaling>
          <c:orientation val="minMax"/>
        </c:scaling>
        <c:delete val="0"/>
        <c:axPos val="b"/>
        <c:majorTickMark val="out"/>
        <c:minorTickMark val="none"/>
        <c:tickLblPos val="nextTo"/>
        <c:txPr>
          <a:bodyPr/>
          <a:lstStyle/>
          <a:p>
            <a:pPr>
              <a:defRPr lang="en-US"/>
            </a:pPr>
            <a:endParaRPr lang="en-US"/>
          </a:p>
        </c:txPr>
        <c:crossAx val="258293536"/>
        <c:crosses val="autoZero"/>
        <c:auto val="1"/>
        <c:lblAlgn val="ctr"/>
        <c:lblOffset val="100"/>
        <c:noMultiLvlLbl val="0"/>
      </c:catAx>
      <c:valAx>
        <c:axId val="258293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3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58</c:v>
                </c:pt>
                <c:pt idx="1">
                  <c:v>130</c:v>
                </c:pt>
                <c:pt idx="2">
                  <c:v>125</c:v>
                </c:pt>
                <c:pt idx="3">
                  <c:v>33</c:v>
                </c:pt>
                <c:pt idx="4">
                  <c:v>48</c:v>
                </c:pt>
                <c:pt idx="5">
                  <c:v>74</c:v>
                </c:pt>
                <c:pt idx="6">
                  <c:v>57</c:v>
                </c:pt>
                <c:pt idx="7">
                  <c:v>68</c:v>
                </c:pt>
                <c:pt idx="8">
                  <c:v>81</c:v>
                </c:pt>
                <c:pt idx="9">
                  <c:v>97</c:v>
                </c:pt>
              </c:numCache>
            </c:numRef>
          </c:val>
        </c:ser>
        <c:dLbls>
          <c:showLegendKey val="0"/>
          <c:showVal val="0"/>
          <c:showCatName val="0"/>
          <c:showSerName val="0"/>
          <c:showPercent val="0"/>
          <c:showBubbleSize val="0"/>
        </c:dLbls>
        <c:gapWidth val="150"/>
        <c:axId val="258294320"/>
        <c:axId val="258294712"/>
      </c:barChart>
      <c:catAx>
        <c:axId val="258294320"/>
        <c:scaling>
          <c:orientation val="minMax"/>
        </c:scaling>
        <c:delete val="0"/>
        <c:axPos val="b"/>
        <c:majorTickMark val="out"/>
        <c:minorTickMark val="none"/>
        <c:tickLblPos val="nextTo"/>
        <c:txPr>
          <a:bodyPr/>
          <a:lstStyle/>
          <a:p>
            <a:pPr>
              <a:defRPr lang="en-US"/>
            </a:pPr>
            <a:endParaRPr lang="en-US"/>
          </a:p>
        </c:txPr>
        <c:crossAx val="258294712"/>
        <c:crosses val="autoZero"/>
        <c:auto val="1"/>
        <c:lblAlgn val="ctr"/>
        <c:lblOffset val="100"/>
        <c:noMultiLvlLbl val="0"/>
      </c:catAx>
      <c:valAx>
        <c:axId val="2582947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2943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4847</c:v>
                </c:pt>
                <c:pt idx="1">
                  <c:v>5760</c:v>
                </c:pt>
                <c:pt idx="2">
                  <c:v>5994</c:v>
                </c:pt>
                <c:pt idx="3">
                  <c:v>6469</c:v>
                </c:pt>
                <c:pt idx="4">
                  <c:v>7201</c:v>
                </c:pt>
                <c:pt idx="5">
                  <c:v>7724</c:v>
                </c:pt>
                <c:pt idx="6">
                  <c:v>7558</c:v>
                </c:pt>
                <c:pt idx="7">
                  <c:v>7935</c:v>
                </c:pt>
                <c:pt idx="8">
                  <c:v>8331</c:v>
                </c:pt>
                <c:pt idx="9">
                  <c:v>8747</c:v>
                </c:pt>
              </c:numCache>
            </c:numRef>
          </c:val>
        </c:ser>
        <c:dLbls>
          <c:showLegendKey val="0"/>
          <c:showVal val="0"/>
          <c:showCatName val="0"/>
          <c:showSerName val="0"/>
          <c:showPercent val="0"/>
          <c:showBubbleSize val="0"/>
        </c:dLbls>
        <c:gapWidth val="150"/>
        <c:axId val="232284376"/>
        <c:axId val="232282808"/>
      </c:barChart>
      <c:catAx>
        <c:axId val="232284376"/>
        <c:scaling>
          <c:orientation val="minMax"/>
        </c:scaling>
        <c:delete val="0"/>
        <c:axPos val="b"/>
        <c:majorTickMark val="out"/>
        <c:minorTickMark val="none"/>
        <c:tickLblPos val="nextTo"/>
        <c:txPr>
          <a:bodyPr/>
          <a:lstStyle/>
          <a:p>
            <a:pPr>
              <a:defRPr lang="en-US"/>
            </a:pPr>
            <a:endParaRPr lang="en-US"/>
          </a:p>
        </c:txPr>
        <c:crossAx val="232282808"/>
        <c:crosses val="autoZero"/>
        <c:auto val="1"/>
        <c:lblAlgn val="ctr"/>
        <c:lblOffset val="100"/>
        <c:noMultiLvlLbl val="0"/>
      </c:catAx>
      <c:valAx>
        <c:axId val="232282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22843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32282024"/>
        <c:axId val="232281632"/>
      </c:barChart>
      <c:catAx>
        <c:axId val="232282024"/>
        <c:scaling>
          <c:orientation val="minMax"/>
        </c:scaling>
        <c:delete val="0"/>
        <c:axPos val="b"/>
        <c:majorTickMark val="out"/>
        <c:minorTickMark val="none"/>
        <c:tickLblPos val="nextTo"/>
        <c:txPr>
          <a:bodyPr/>
          <a:lstStyle/>
          <a:p>
            <a:pPr>
              <a:defRPr lang="en-US"/>
            </a:pPr>
            <a:endParaRPr lang="en-US"/>
          </a:p>
        </c:txPr>
        <c:crossAx val="232281632"/>
        <c:crosses val="autoZero"/>
        <c:auto val="1"/>
        <c:lblAlgn val="ctr"/>
        <c:lblOffset val="100"/>
        <c:noMultiLvlLbl val="0"/>
      </c:catAx>
      <c:valAx>
        <c:axId val="2322816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22820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row r="16">
          <cell r="B16">
            <v>6564</v>
          </cell>
          <cell r="G16">
            <v>2961</v>
          </cell>
          <cell r="M16">
            <v>12189</v>
          </cell>
          <cell r="N16">
            <v>0</v>
          </cell>
          <cell r="O16">
            <v>554</v>
          </cell>
          <cell r="P16">
            <v>4847</v>
          </cell>
          <cell r="Q16">
            <v>58</v>
          </cell>
          <cell r="R16">
            <v>0</v>
          </cell>
          <cell r="S16">
            <v>0</v>
          </cell>
          <cell r="T16">
            <v>837449</v>
          </cell>
          <cell r="U16">
            <v>2050000</v>
          </cell>
          <cell r="V16">
            <v>1275</v>
          </cell>
          <cell r="W16">
            <v>12890</v>
          </cell>
          <cell r="Y16">
            <v>151</v>
          </cell>
          <cell r="Z16">
            <v>193</v>
          </cell>
          <cell r="AA16">
            <v>150</v>
          </cell>
          <cell r="AB16">
            <v>85</v>
          </cell>
          <cell r="AC16">
            <v>138</v>
          </cell>
          <cell r="AD16">
            <v>50</v>
          </cell>
        </row>
        <row r="17">
          <cell r="B17">
            <v>6814</v>
          </cell>
          <cell r="G17">
            <v>3399</v>
          </cell>
          <cell r="M17">
            <v>15398</v>
          </cell>
          <cell r="N17">
            <v>0</v>
          </cell>
          <cell r="O17">
            <v>560</v>
          </cell>
          <cell r="P17">
            <v>5760</v>
          </cell>
          <cell r="Q17">
            <v>130</v>
          </cell>
          <cell r="R17">
            <v>2575</v>
          </cell>
          <cell r="S17">
            <v>0</v>
          </cell>
          <cell r="T17">
            <v>872933</v>
          </cell>
          <cell r="U17">
            <v>1993350</v>
          </cell>
          <cell r="V17">
            <v>2100</v>
          </cell>
          <cell r="W17">
            <v>16602</v>
          </cell>
          <cell r="Y17">
            <v>310</v>
          </cell>
          <cell r="Z17">
            <v>136</v>
          </cell>
          <cell r="AA17">
            <v>80</v>
          </cell>
          <cell r="AB17">
            <v>84</v>
          </cell>
          <cell r="AC17">
            <v>77</v>
          </cell>
          <cell r="AD17">
            <v>13</v>
          </cell>
        </row>
        <row r="18">
          <cell r="B18">
            <v>7240</v>
          </cell>
          <cell r="G18">
            <v>3064</v>
          </cell>
          <cell r="M18">
            <v>14136</v>
          </cell>
          <cell r="N18">
            <v>0</v>
          </cell>
          <cell r="O18">
            <v>489</v>
          </cell>
          <cell r="P18">
            <v>5994</v>
          </cell>
          <cell r="Q18">
            <v>125</v>
          </cell>
          <cell r="R18">
            <v>2580</v>
          </cell>
          <cell r="S18">
            <v>0</v>
          </cell>
          <cell r="T18">
            <v>925756</v>
          </cell>
          <cell r="U18">
            <v>1831500</v>
          </cell>
          <cell r="V18">
            <v>3315</v>
          </cell>
          <cell r="W18">
            <v>18117</v>
          </cell>
          <cell r="Y18">
            <v>248</v>
          </cell>
          <cell r="Z18">
            <v>109</v>
          </cell>
          <cell r="AA18">
            <v>122</v>
          </cell>
          <cell r="AB18">
            <v>78</v>
          </cell>
          <cell r="AC18">
            <v>161</v>
          </cell>
          <cell r="AD18">
            <v>17</v>
          </cell>
        </row>
        <row r="19">
          <cell r="B19">
            <v>6428</v>
          </cell>
          <cell r="G19">
            <v>2595</v>
          </cell>
          <cell r="M19">
            <v>17345</v>
          </cell>
          <cell r="N19">
            <v>0</v>
          </cell>
          <cell r="O19">
            <v>528</v>
          </cell>
          <cell r="P19">
            <v>6469</v>
          </cell>
          <cell r="Q19">
            <v>33</v>
          </cell>
          <cell r="R19">
            <v>2885</v>
          </cell>
          <cell r="S19">
            <v>0</v>
          </cell>
          <cell r="T19">
            <v>1019349</v>
          </cell>
          <cell r="U19">
            <v>1967589</v>
          </cell>
          <cell r="V19">
            <v>3466</v>
          </cell>
          <cell r="W19">
            <v>35648</v>
          </cell>
          <cell r="Y19">
            <v>273</v>
          </cell>
          <cell r="Z19">
            <v>97</v>
          </cell>
          <cell r="AA19">
            <v>67</v>
          </cell>
          <cell r="AB19">
            <v>52</v>
          </cell>
          <cell r="AC19">
            <v>76</v>
          </cell>
          <cell r="AD19">
            <v>22</v>
          </cell>
        </row>
        <row r="20">
          <cell r="B20">
            <v>6090</v>
          </cell>
          <cell r="G20">
            <v>3283</v>
          </cell>
          <cell r="M20">
            <v>20502</v>
          </cell>
          <cell r="N20">
            <v>0</v>
          </cell>
          <cell r="O20">
            <v>683</v>
          </cell>
          <cell r="P20">
            <v>7201</v>
          </cell>
          <cell r="Q20">
            <v>48</v>
          </cell>
          <cell r="R20">
            <v>3071</v>
          </cell>
          <cell r="S20">
            <v>0</v>
          </cell>
          <cell r="T20">
            <v>1314528</v>
          </cell>
          <cell r="U20">
            <v>1967715</v>
          </cell>
          <cell r="V20">
            <v>2201</v>
          </cell>
          <cell r="W20">
            <v>38896</v>
          </cell>
          <cell r="Y20">
            <v>334</v>
          </cell>
          <cell r="Z20">
            <v>104</v>
          </cell>
          <cell r="AA20">
            <v>43</v>
          </cell>
          <cell r="AB20">
            <v>33</v>
          </cell>
          <cell r="AC20">
            <v>87</v>
          </cell>
          <cell r="AD20">
            <v>12</v>
          </cell>
        </row>
        <row r="21">
          <cell r="B21">
            <v>6785</v>
          </cell>
          <cell r="G21">
            <v>3491</v>
          </cell>
          <cell r="M21">
            <v>21659</v>
          </cell>
          <cell r="N21">
            <v>0</v>
          </cell>
          <cell r="O21">
            <v>756</v>
          </cell>
          <cell r="P21">
            <v>7724</v>
          </cell>
          <cell r="Q21">
            <v>74</v>
          </cell>
          <cell r="R21">
            <v>3218</v>
          </cell>
          <cell r="S21">
            <v>0</v>
          </cell>
          <cell r="T21">
            <v>1445980.8</v>
          </cell>
          <cell r="U21">
            <v>2164486.5</v>
          </cell>
          <cell r="V21">
            <v>2421.1</v>
          </cell>
          <cell r="W21">
            <v>42785.599999999999</v>
          </cell>
          <cell r="Y21">
            <v>352</v>
          </cell>
          <cell r="Z21">
            <v>55</v>
          </cell>
          <cell r="AA21">
            <v>22</v>
          </cell>
          <cell r="AB21">
            <v>55</v>
          </cell>
          <cell r="AC21">
            <v>171</v>
          </cell>
          <cell r="AD21">
            <v>16</v>
          </cell>
        </row>
        <row r="22">
          <cell r="B22">
            <v>8500</v>
          </cell>
          <cell r="G22">
            <v>3300</v>
          </cell>
          <cell r="M22">
            <v>26589.508234463978</v>
          </cell>
          <cell r="N22">
            <v>0</v>
          </cell>
          <cell r="O22">
            <v>717</v>
          </cell>
          <cell r="P22">
            <v>7558</v>
          </cell>
          <cell r="Q22">
            <v>57</v>
          </cell>
          <cell r="R22">
            <v>2821</v>
          </cell>
          <cell r="S22">
            <v>0</v>
          </cell>
          <cell r="T22">
            <v>1590578.8800000001</v>
          </cell>
          <cell r="U22">
            <v>2380935.15</v>
          </cell>
          <cell r="V22">
            <v>2663.21</v>
          </cell>
          <cell r="W22">
            <v>47064.159999999996</v>
          </cell>
          <cell r="Y22">
            <v>344</v>
          </cell>
          <cell r="Z22">
            <v>100</v>
          </cell>
          <cell r="AA22">
            <v>120</v>
          </cell>
          <cell r="AB22">
            <v>50</v>
          </cell>
          <cell r="AC22">
            <v>140</v>
          </cell>
          <cell r="AD22">
            <v>25</v>
          </cell>
        </row>
        <row r="23">
          <cell r="B23">
            <v>9000</v>
          </cell>
          <cell r="G23">
            <v>3500</v>
          </cell>
          <cell r="M23">
            <v>30280.799896359073</v>
          </cell>
          <cell r="N23">
            <v>0</v>
          </cell>
          <cell r="O23">
            <v>752</v>
          </cell>
          <cell r="P23">
            <v>7935</v>
          </cell>
          <cell r="Q23">
            <v>68</v>
          </cell>
          <cell r="R23">
            <v>2877</v>
          </cell>
          <cell r="S23">
            <v>0</v>
          </cell>
          <cell r="T23">
            <v>1749636.7680000002</v>
          </cell>
          <cell r="U23">
            <v>2619028.665</v>
          </cell>
          <cell r="V23">
            <v>2929.5309999999999</v>
          </cell>
          <cell r="W23">
            <v>51770.575999999994</v>
          </cell>
          <cell r="Y23">
            <v>354</v>
          </cell>
          <cell r="Z23">
            <v>120</v>
          </cell>
          <cell r="AA23">
            <v>130</v>
          </cell>
          <cell r="AB23">
            <v>55</v>
          </cell>
          <cell r="AC23">
            <v>176</v>
          </cell>
          <cell r="AD23">
            <v>30</v>
          </cell>
        </row>
        <row r="24">
          <cell r="B24">
            <v>9500</v>
          </cell>
          <cell r="G24">
            <v>3700</v>
          </cell>
          <cell r="M24">
            <v>34484.535564853562</v>
          </cell>
          <cell r="N24">
            <v>0</v>
          </cell>
          <cell r="O24">
            <v>789</v>
          </cell>
          <cell r="P24">
            <v>8331</v>
          </cell>
          <cell r="Q24">
            <v>81</v>
          </cell>
          <cell r="R24">
            <v>2934</v>
          </cell>
          <cell r="S24">
            <v>0</v>
          </cell>
          <cell r="T24">
            <v>1924600.4448000002</v>
          </cell>
          <cell r="U24">
            <v>2880931.5315</v>
          </cell>
          <cell r="V24">
            <v>3222.4841000000001</v>
          </cell>
          <cell r="W24">
            <v>56947.633599999994</v>
          </cell>
          <cell r="Y24">
            <v>265</v>
          </cell>
          <cell r="Z24">
            <v>140</v>
          </cell>
          <cell r="AA24">
            <v>140</v>
          </cell>
          <cell r="AB24">
            <v>60</v>
          </cell>
          <cell r="AC24">
            <v>178</v>
          </cell>
          <cell r="AD24">
            <v>35</v>
          </cell>
        </row>
        <row r="25">
          <cell r="B25">
            <v>10000</v>
          </cell>
          <cell r="G25">
            <v>4000</v>
          </cell>
          <cell r="M25">
            <v>38688.271233348103</v>
          </cell>
          <cell r="N25">
            <v>0</v>
          </cell>
          <cell r="O25">
            <v>828</v>
          </cell>
          <cell r="P25">
            <v>8747</v>
          </cell>
          <cell r="Q25">
            <v>97</v>
          </cell>
          <cell r="R25">
            <v>2994</v>
          </cell>
          <cell r="S25">
            <v>0</v>
          </cell>
          <cell r="T25">
            <v>2117060.4892800003</v>
          </cell>
          <cell r="U25">
            <v>3169024.6846500002</v>
          </cell>
          <cell r="V25">
            <v>3544.7325100000003</v>
          </cell>
          <cell r="W25">
            <v>62642.396959999991</v>
          </cell>
          <cell r="Y25">
            <v>376</v>
          </cell>
          <cell r="Z25">
            <v>160</v>
          </cell>
          <cell r="AA25">
            <v>150</v>
          </cell>
          <cell r="AB25">
            <v>65</v>
          </cell>
          <cell r="AC25">
            <v>180</v>
          </cell>
          <cell r="AD25">
            <v>40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row r="17">
          <cell r="F17">
            <v>124456</v>
          </cell>
        </row>
        <row r="18">
          <cell r="F18">
            <v>157116</v>
          </cell>
        </row>
        <row r="19">
          <cell r="F19">
            <v>181946</v>
          </cell>
        </row>
        <row r="20">
          <cell r="F20">
            <v>182156</v>
          </cell>
        </row>
        <row r="21">
          <cell r="F21">
            <v>182145</v>
          </cell>
        </row>
        <row r="22">
          <cell r="F22">
            <v>180329</v>
          </cell>
        </row>
        <row r="23">
          <cell r="F23">
            <v>185070.88888888888</v>
          </cell>
        </row>
        <row r="24">
          <cell r="F24">
            <v>189812.77777777775</v>
          </cell>
        </row>
        <row r="25">
          <cell r="F25">
            <v>194554.66666666663</v>
          </cell>
        </row>
        <row r="26">
          <cell r="F26">
            <v>199296.5555555555</v>
          </cell>
        </row>
      </sheetData>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60"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68" t="s">
        <v>324</v>
      </c>
      <c r="F3" s="383" t="s">
        <v>467</v>
      </c>
      <c r="G3" s="383"/>
      <c r="H3" s="383"/>
    </row>
    <row r="4" spans="1:8" ht="30.75" customHeight="1" thickBot="1" x14ac:dyDescent="0.3">
      <c r="A4" s="63" t="s">
        <v>59</v>
      </c>
      <c r="B4" s="64" t="s">
        <v>60</v>
      </c>
      <c r="C4" s="64" t="s">
        <v>61</v>
      </c>
      <c r="D4" s="65" t="s">
        <v>62</v>
      </c>
      <c r="F4" s="269" t="s">
        <v>60</v>
      </c>
      <c r="G4" s="270" t="s">
        <v>474</v>
      </c>
      <c r="H4" s="271" t="s">
        <v>475</v>
      </c>
    </row>
    <row r="5" spans="1:8" x14ac:dyDescent="0.25">
      <c r="A5" s="60">
        <v>1</v>
      </c>
      <c r="B5" s="61" t="s">
        <v>63</v>
      </c>
      <c r="C5" s="61">
        <v>47</v>
      </c>
      <c r="D5" s="62">
        <v>0.72</v>
      </c>
      <c r="F5" s="262" t="s">
        <v>464</v>
      </c>
      <c r="G5" s="254">
        <v>0.47</v>
      </c>
      <c r="H5" s="266">
        <v>300</v>
      </c>
    </row>
    <row r="6" spans="1:8" x14ac:dyDescent="0.25">
      <c r="A6" s="55">
        <v>2</v>
      </c>
      <c r="B6" s="54" t="s">
        <v>64</v>
      </c>
      <c r="C6" s="54">
        <v>61</v>
      </c>
      <c r="D6" s="56">
        <v>0.75</v>
      </c>
      <c r="F6" s="262" t="s">
        <v>465</v>
      </c>
      <c r="G6" s="254">
        <v>0.34</v>
      </c>
      <c r="H6" s="266">
        <v>250</v>
      </c>
    </row>
    <row r="7" spans="1:8" x14ac:dyDescent="0.25">
      <c r="A7" s="55">
        <v>3</v>
      </c>
      <c r="B7" s="54" t="s">
        <v>22</v>
      </c>
      <c r="C7" s="54">
        <v>55</v>
      </c>
      <c r="D7" s="56">
        <v>0.72</v>
      </c>
      <c r="F7" s="262" t="s">
        <v>66</v>
      </c>
      <c r="G7" s="264">
        <v>0.5</v>
      </c>
      <c r="H7" s="266">
        <v>100</v>
      </c>
    </row>
    <row r="8" spans="1:8" x14ac:dyDescent="0.25">
      <c r="A8" s="55">
        <v>4</v>
      </c>
      <c r="B8" s="54" t="s">
        <v>65</v>
      </c>
      <c r="C8" s="54">
        <v>5</v>
      </c>
      <c r="D8" s="56"/>
      <c r="F8" s="262" t="s">
        <v>468</v>
      </c>
      <c r="G8" s="254">
        <v>0.82</v>
      </c>
      <c r="H8" s="266">
        <v>2</v>
      </c>
    </row>
    <row r="9" spans="1:8" x14ac:dyDescent="0.25">
      <c r="A9" s="55">
        <v>5</v>
      </c>
      <c r="B9" s="54" t="s">
        <v>23</v>
      </c>
      <c r="C9" s="54">
        <v>5</v>
      </c>
      <c r="D9" s="56"/>
      <c r="F9" s="262" t="s">
        <v>469</v>
      </c>
      <c r="G9" s="254">
        <v>0.6</v>
      </c>
      <c r="H9" s="266">
        <v>1.5</v>
      </c>
    </row>
    <row r="10" spans="1:8" x14ac:dyDescent="0.25">
      <c r="A10" s="55">
        <v>6</v>
      </c>
      <c r="B10" s="54" t="s">
        <v>66</v>
      </c>
      <c r="C10" s="54">
        <v>1</v>
      </c>
      <c r="D10" s="56"/>
      <c r="F10" s="262" t="s">
        <v>470</v>
      </c>
      <c r="G10" s="254">
        <v>0.82</v>
      </c>
      <c r="H10" s="266">
        <v>2</v>
      </c>
    </row>
    <row r="11" spans="1:8" ht="15.75" thickBot="1" x14ac:dyDescent="0.3">
      <c r="A11" s="57">
        <v>7</v>
      </c>
      <c r="B11" s="58" t="s">
        <v>24</v>
      </c>
      <c r="C11" s="58">
        <v>18</v>
      </c>
      <c r="D11" s="59"/>
      <c r="F11" s="262" t="s">
        <v>471</v>
      </c>
      <c r="G11" s="254">
        <v>1.1000000000000001</v>
      </c>
      <c r="H11" s="266">
        <v>2</v>
      </c>
    </row>
    <row r="12" spans="1:8" x14ac:dyDescent="0.25">
      <c r="F12" s="262" t="s">
        <v>472</v>
      </c>
      <c r="G12" s="254">
        <v>0.74</v>
      </c>
      <c r="H12" s="266">
        <v>5</v>
      </c>
    </row>
    <row r="13" spans="1:8" ht="16.5" thickBot="1" x14ac:dyDescent="0.3">
      <c r="A13" s="53" t="s">
        <v>325</v>
      </c>
      <c r="F13" s="262" t="s">
        <v>473</v>
      </c>
      <c r="G13" s="254">
        <v>0.83</v>
      </c>
      <c r="H13" s="266">
        <v>2</v>
      </c>
    </row>
    <row r="14" spans="1:8" ht="15.75" thickBot="1" x14ac:dyDescent="0.3">
      <c r="A14" s="63" t="s">
        <v>59</v>
      </c>
      <c r="B14" s="64" t="s">
        <v>60</v>
      </c>
      <c r="C14" s="272" t="s">
        <v>61</v>
      </c>
      <c r="F14" s="262" t="s">
        <v>65</v>
      </c>
      <c r="G14" s="254">
        <v>1.17</v>
      </c>
      <c r="H14" s="266">
        <v>45</v>
      </c>
    </row>
    <row r="15" spans="1:8" x14ac:dyDescent="0.25">
      <c r="A15" s="60">
        <v>1</v>
      </c>
      <c r="B15" s="61" t="s">
        <v>63</v>
      </c>
      <c r="C15" s="62">
        <v>1</v>
      </c>
      <c r="F15" s="262" t="s">
        <v>23</v>
      </c>
      <c r="G15" s="254">
        <v>1.37</v>
      </c>
      <c r="H15" s="266">
        <v>40</v>
      </c>
    </row>
    <row r="16" spans="1:8" x14ac:dyDescent="0.25">
      <c r="A16" s="55">
        <v>2</v>
      </c>
      <c r="B16" s="54" t="s">
        <v>64</v>
      </c>
      <c r="C16" s="56">
        <v>31</v>
      </c>
      <c r="F16" s="262" t="s">
        <v>24</v>
      </c>
      <c r="G16" s="254">
        <v>0.46</v>
      </c>
      <c r="H16" s="266">
        <v>550</v>
      </c>
    </row>
    <row r="17" spans="1:8" ht="15.75" thickBot="1" x14ac:dyDescent="0.3">
      <c r="A17" s="55">
        <v>3</v>
      </c>
      <c r="B17" s="54" t="s">
        <v>22</v>
      </c>
      <c r="C17" s="56">
        <v>2</v>
      </c>
      <c r="F17" s="263" t="s">
        <v>22</v>
      </c>
      <c r="G17" s="265">
        <v>0.32</v>
      </c>
      <c r="H17" s="267">
        <v>300</v>
      </c>
    </row>
    <row r="18" spans="1:8" x14ac:dyDescent="0.25">
      <c r="A18" s="55">
        <v>4</v>
      </c>
      <c r="B18" s="54" t="s">
        <v>65</v>
      </c>
      <c r="C18" s="56">
        <v>0.2</v>
      </c>
      <c r="D18" s="33">
        <v>0.15</v>
      </c>
      <c r="H18" s="34"/>
    </row>
    <row r="19" spans="1:8" x14ac:dyDescent="0.25">
      <c r="A19" s="55">
        <v>5</v>
      </c>
      <c r="B19" s="54" t="s">
        <v>23</v>
      </c>
      <c r="C19" s="56">
        <v>0.22</v>
      </c>
      <c r="D19" s="33">
        <v>0.17</v>
      </c>
      <c r="H19" s="34"/>
    </row>
    <row r="20" spans="1:8" x14ac:dyDescent="0.25">
      <c r="A20" s="55">
        <v>6</v>
      </c>
      <c r="B20" s="54" t="s">
        <v>66</v>
      </c>
      <c r="C20" s="56">
        <v>7</v>
      </c>
      <c r="H20" s="34"/>
    </row>
    <row r="21" spans="1:8" x14ac:dyDescent="0.25">
      <c r="A21" s="55">
        <v>7</v>
      </c>
      <c r="B21" s="54" t="s">
        <v>24</v>
      </c>
      <c r="C21" s="56">
        <v>2.19</v>
      </c>
      <c r="D21" s="33">
        <v>1.64</v>
      </c>
      <c r="H21" s="34"/>
    </row>
    <row r="22" spans="1:8" x14ac:dyDescent="0.25">
      <c r="A22" s="55">
        <v>8</v>
      </c>
      <c r="B22" s="54" t="s">
        <v>67</v>
      </c>
      <c r="C22" s="56">
        <v>0.02</v>
      </c>
      <c r="H22" s="34"/>
    </row>
    <row r="23" spans="1:8" x14ac:dyDescent="0.25">
      <c r="A23" s="55">
        <v>9</v>
      </c>
      <c r="B23" s="54" t="s">
        <v>68</v>
      </c>
      <c r="C23" s="56">
        <v>0.02</v>
      </c>
    </row>
    <row r="24" spans="1:8" x14ac:dyDescent="0.25">
      <c r="A24" s="55">
        <v>10</v>
      </c>
      <c r="B24" s="54" t="s">
        <v>69</v>
      </c>
      <c r="C24" s="56">
        <v>0.02</v>
      </c>
    </row>
    <row r="25" spans="1:8" ht="15.75" thickBot="1" x14ac:dyDescent="0.3">
      <c r="A25" s="57">
        <v>11</v>
      </c>
      <c r="B25" s="58" t="s">
        <v>70</v>
      </c>
      <c r="C25" s="59">
        <v>0.02</v>
      </c>
    </row>
    <row r="26" spans="1:8" x14ac:dyDescent="0.25">
      <c r="A26" s="34"/>
    </row>
    <row r="27" spans="1:8" ht="16.5" thickBot="1" x14ac:dyDescent="0.3">
      <c r="A27" s="53" t="s">
        <v>326</v>
      </c>
    </row>
    <row r="28" spans="1:8" ht="45.75" thickBot="1" x14ac:dyDescent="0.3">
      <c r="A28" s="75" t="s">
        <v>59</v>
      </c>
      <c r="B28" s="76" t="s">
        <v>79</v>
      </c>
      <c r="C28" s="76" t="s">
        <v>80</v>
      </c>
      <c r="D28" s="77" t="s">
        <v>81</v>
      </c>
    </row>
    <row r="29" spans="1:8" x14ac:dyDescent="0.25">
      <c r="A29" s="72">
        <v>1</v>
      </c>
      <c r="B29" s="73" t="s">
        <v>82</v>
      </c>
      <c r="C29" s="73" t="s">
        <v>83</v>
      </c>
      <c r="D29" s="74" t="s">
        <v>83</v>
      </c>
    </row>
    <row r="30" spans="1:8" x14ac:dyDescent="0.25">
      <c r="A30" s="67">
        <v>2</v>
      </c>
      <c r="B30" s="66" t="s">
        <v>84</v>
      </c>
      <c r="C30" s="66">
        <v>0</v>
      </c>
      <c r="D30" s="68">
        <v>0.01</v>
      </c>
    </row>
    <row r="31" spans="1:8" x14ac:dyDescent="0.25">
      <c r="A31" s="67">
        <v>3</v>
      </c>
      <c r="B31" s="66" t="s">
        <v>85</v>
      </c>
      <c r="C31" s="66">
        <v>0.02</v>
      </c>
      <c r="D31" s="68">
        <v>0.01</v>
      </c>
    </row>
    <row r="32" spans="1:8" x14ac:dyDescent="0.25">
      <c r="A32" s="67">
        <v>4</v>
      </c>
      <c r="B32" s="66" t="s">
        <v>86</v>
      </c>
      <c r="C32" s="66">
        <v>0.01</v>
      </c>
      <c r="D32" s="68">
        <v>0.01</v>
      </c>
    </row>
    <row r="33" spans="1:7" ht="15.75" thickBot="1" x14ac:dyDescent="0.3">
      <c r="A33" s="69">
        <v>5</v>
      </c>
      <c r="B33" s="70" t="s">
        <v>87</v>
      </c>
      <c r="C33" s="70">
        <v>0.01</v>
      </c>
      <c r="D33" s="71">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61"/>
    </row>
    <row r="42" spans="1:7" x14ac:dyDescent="0.25">
      <c r="F42" s="261"/>
    </row>
    <row r="43" spans="1:7" x14ac:dyDescent="0.25">
      <c r="F43" s="261"/>
    </row>
    <row r="44" spans="1:7" x14ac:dyDescent="0.25">
      <c r="F44" s="261"/>
    </row>
    <row r="45" spans="1:7" x14ac:dyDescent="0.25">
      <c r="F45" s="261"/>
    </row>
    <row r="46" spans="1:7" x14ac:dyDescent="0.25">
      <c r="F46" s="261"/>
    </row>
    <row r="47" spans="1:7" x14ac:dyDescent="0.25">
      <c r="F47" s="261"/>
    </row>
    <row r="48" spans="1:7" x14ac:dyDescent="0.25">
      <c r="F48" s="261"/>
    </row>
    <row r="49" spans="6:6" x14ac:dyDescent="0.25">
      <c r="F49" s="261"/>
    </row>
    <row r="50" spans="6:6" x14ac:dyDescent="0.25">
      <c r="F50" s="261"/>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62"/>
      <c r="D3" s="460" t="s">
        <v>501</v>
      </c>
      <c r="E3" s="461" t="s">
        <v>502</v>
      </c>
      <c r="F3" s="461"/>
      <c r="G3" s="461"/>
      <c r="H3" s="461"/>
    </row>
    <row r="4" spans="3:8" x14ac:dyDescent="0.25">
      <c r="C4" s="362"/>
      <c r="D4" s="460"/>
      <c r="E4" s="363" t="s">
        <v>307</v>
      </c>
      <c r="F4" s="363" t="s">
        <v>503</v>
      </c>
      <c r="G4" s="363" t="s">
        <v>504</v>
      </c>
      <c r="H4" s="363" t="s">
        <v>505</v>
      </c>
    </row>
    <row r="5" spans="3:8" x14ac:dyDescent="0.25">
      <c r="C5" s="362"/>
      <c r="D5" s="362"/>
      <c r="E5" s="355"/>
      <c r="F5" s="355"/>
      <c r="G5" s="355"/>
      <c r="H5" s="355"/>
    </row>
    <row r="6" spans="3:8" x14ac:dyDescent="0.25">
      <c r="C6" s="364">
        <f>'Direct N2O'!A36</f>
        <v>2011</v>
      </c>
      <c r="D6" s="365">
        <f>'Direct N2O'!AA36*10^-3</f>
        <v>19264.768720000004</v>
      </c>
      <c r="E6" s="366">
        <f>(0.0075*0.3)+(0.1*0.01)</f>
        <v>3.2499999999999999E-3</v>
      </c>
      <c r="F6" s="356">
        <f>D6*E6</f>
        <v>62.610498340000007</v>
      </c>
      <c r="G6" s="356">
        <f>F6*44/28</f>
        <v>98.387925962857153</v>
      </c>
      <c r="H6" s="356">
        <f>G6*298</f>
        <v>29319.601936931431</v>
      </c>
    </row>
    <row r="7" spans="3:8" x14ac:dyDescent="0.25">
      <c r="C7" s="364">
        <f>'Direct N2O'!A37</f>
        <v>2012</v>
      </c>
      <c r="D7" s="365">
        <f>'Direct N2O'!AA37*10^-3</f>
        <v>24133.992920000001</v>
      </c>
      <c r="E7" s="366">
        <f t="shared" ref="E7:E16" si="0">(0.0075*0.3)+(0.1*0.01)</f>
        <v>3.2499999999999999E-3</v>
      </c>
      <c r="F7" s="356">
        <f t="shared" ref="F7:F16" si="1">D7*E7</f>
        <v>78.435476989999998</v>
      </c>
      <c r="G7" s="356">
        <f t="shared" ref="G7:G16" si="2">F7*44/28</f>
        <v>123.25574955571427</v>
      </c>
      <c r="H7" s="356">
        <f t="shared" ref="H7:H16" si="3">G7*298</f>
        <v>36730.213367602853</v>
      </c>
    </row>
    <row r="8" spans="3:8" x14ac:dyDescent="0.25">
      <c r="C8" s="364">
        <f>'Direct N2O'!A38</f>
        <v>2013</v>
      </c>
      <c r="D8" s="365">
        <f>'Direct N2O'!AA38*10^-3</f>
        <v>27865.701519999999</v>
      </c>
      <c r="E8" s="366">
        <f t="shared" si="0"/>
        <v>3.2499999999999999E-3</v>
      </c>
      <c r="F8" s="356">
        <f t="shared" si="1"/>
        <v>90.563529939999995</v>
      </c>
      <c r="G8" s="356">
        <f t="shared" si="2"/>
        <v>142.31411847714284</v>
      </c>
      <c r="H8" s="356">
        <f t="shared" si="3"/>
        <v>42409.607306188569</v>
      </c>
    </row>
    <row r="9" spans="3:8" x14ac:dyDescent="0.25">
      <c r="C9" s="364">
        <f>'Direct N2O'!A39</f>
        <v>2014</v>
      </c>
      <c r="D9" s="365">
        <f>'Direct N2O'!AA39*10^-3</f>
        <v>27794.088720000003</v>
      </c>
      <c r="E9" s="366">
        <f t="shared" si="0"/>
        <v>3.2499999999999999E-3</v>
      </c>
      <c r="F9" s="356">
        <f t="shared" si="1"/>
        <v>90.330788340000012</v>
      </c>
      <c r="G9" s="356">
        <f t="shared" si="2"/>
        <v>141.94838167714289</v>
      </c>
      <c r="H9" s="356">
        <f t="shared" si="3"/>
        <v>42300.617739788584</v>
      </c>
    </row>
    <row r="10" spans="3:8" x14ac:dyDescent="0.25">
      <c r="C10" s="364">
        <f>'Direct N2O'!A40</f>
        <v>2015</v>
      </c>
      <c r="D10" s="365">
        <f>'Direct N2O'!AA40*10^-3</f>
        <v>27749.702400000002</v>
      </c>
      <c r="E10" s="366">
        <f t="shared" si="0"/>
        <v>3.2499999999999999E-3</v>
      </c>
      <c r="F10" s="356">
        <f t="shared" si="1"/>
        <v>90.186532800000009</v>
      </c>
      <c r="G10" s="356">
        <f t="shared" si="2"/>
        <v>141.72169440000002</v>
      </c>
      <c r="H10" s="356">
        <f t="shared" si="3"/>
        <v>42233.064931200002</v>
      </c>
    </row>
    <row r="11" spans="3:8" x14ac:dyDescent="0.25">
      <c r="C11" s="364">
        <f>'Direct N2O'!A41</f>
        <v>2016</v>
      </c>
      <c r="D11" s="365">
        <f>'Direct N2O'!AA41*10^-3</f>
        <v>858.30250000000001</v>
      </c>
      <c r="E11" s="366">
        <f t="shared" si="0"/>
        <v>3.2499999999999999E-3</v>
      </c>
      <c r="F11" s="356">
        <f t="shared" si="1"/>
        <v>2.7894831249999998</v>
      </c>
      <c r="G11" s="356">
        <f t="shared" si="2"/>
        <v>4.3834734821428567</v>
      </c>
      <c r="H11" s="356">
        <f t="shared" si="3"/>
        <v>1306.2750976785712</v>
      </c>
    </row>
    <row r="12" spans="3:8" x14ac:dyDescent="0.25">
      <c r="C12" s="364">
        <f>'Direct N2O'!A42</f>
        <v>2017</v>
      </c>
      <c r="D12" s="365">
        <f>'Direct N2O'!AA42*10^-3</f>
        <v>1075.25</v>
      </c>
      <c r="E12" s="366">
        <f t="shared" si="0"/>
        <v>3.2499999999999999E-3</v>
      </c>
      <c r="F12" s="356">
        <f t="shared" si="1"/>
        <v>3.4945624999999998</v>
      </c>
      <c r="G12" s="356">
        <f t="shared" si="2"/>
        <v>5.4914553571428568</v>
      </c>
      <c r="H12" s="356">
        <f t="shared" si="3"/>
        <v>1636.4536964285712</v>
      </c>
    </row>
    <row r="13" spans="3:8" x14ac:dyDescent="0.25">
      <c r="C13" s="364">
        <f>'Direct N2O'!A43</f>
        <v>2018</v>
      </c>
      <c r="D13" s="365">
        <f>'Direct N2O'!AA43*10^-3</f>
        <v>1138.5</v>
      </c>
      <c r="E13" s="366">
        <f t="shared" si="0"/>
        <v>3.2499999999999999E-3</v>
      </c>
      <c r="F13" s="356">
        <f t="shared" si="1"/>
        <v>3.7001249999999999</v>
      </c>
      <c r="G13" s="356">
        <f t="shared" si="2"/>
        <v>5.8144821428571429</v>
      </c>
      <c r="H13" s="356">
        <f t="shared" si="3"/>
        <v>1732.7156785714285</v>
      </c>
    </row>
    <row r="14" spans="3:8" x14ac:dyDescent="0.25">
      <c r="C14" s="364">
        <f>'Direct N2O'!A44</f>
        <v>2019</v>
      </c>
      <c r="D14" s="365">
        <f>'Direct N2O'!AA44*10^-3</f>
        <v>1201.75</v>
      </c>
      <c r="E14" s="366">
        <f t="shared" si="0"/>
        <v>3.2499999999999999E-3</v>
      </c>
      <c r="F14" s="356">
        <f t="shared" si="1"/>
        <v>3.9056875</v>
      </c>
      <c r="G14" s="356">
        <f t="shared" si="2"/>
        <v>6.1375089285714282</v>
      </c>
      <c r="H14" s="356">
        <f t="shared" si="3"/>
        <v>1828.9776607142855</v>
      </c>
    </row>
    <row r="15" spans="3:8" x14ac:dyDescent="0.25">
      <c r="C15" s="364">
        <f>'Direct N2O'!A45</f>
        <v>2020</v>
      </c>
      <c r="D15" s="365">
        <f>'Direct N2O'!AA45*10^-3</f>
        <v>1265</v>
      </c>
      <c r="E15" s="366">
        <f t="shared" si="0"/>
        <v>3.2499999999999999E-3</v>
      </c>
      <c r="F15" s="356">
        <f t="shared" si="1"/>
        <v>4.1112500000000001</v>
      </c>
      <c r="G15" s="356">
        <f t="shared" si="2"/>
        <v>6.4605357142857143</v>
      </c>
      <c r="H15" s="356">
        <f t="shared" si="3"/>
        <v>1925.2396428571428</v>
      </c>
    </row>
    <row r="16" spans="3:8" x14ac:dyDescent="0.25">
      <c r="C16" s="364">
        <f>'Direct N2O'!A46</f>
        <v>2021</v>
      </c>
      <c r="D16" s="365">
        <f>'Direct N2O'!AA46*10^-3</f>
        <v>0</v>
      </c>
      <c r="E16" s="366">
        <f t="shared" si="0"/>
        <v>3.2499999999999999E-3</v>
      </c>
      <c r="F16" s="356">
        <f t="shared" si="1"/>
        <v>0</v>
      </c>
      <c r="G16" s="356">
        <f t="shared" si="2"/>
        <v>0</v>
      </c>
      <c r="H16" s="356">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33"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6"/>
      <c r="B4" s="66" t="s">
        <v>363</v>
      </c>
      <c r="C4" s="66" t="s">
        <v>364</v>
      </c>
      <c r="D4" s="66" t="s">
        <v>365</v>
      </c>
      <c r="E4" s="66" t="s">
        <v>366</v>
      </c>
    </row>
    <row r="5" spans="1:5" x14ac:dyDescent="0.25">
      <c r="A5" s="66" t="s">
        <v>358</v>
      </c>
      <c r="B5" s="218">
        <f>'Lahan sawah'!K11+'Lahan sawah'!K43+'Lahan sawah'!K68</f>
        <v>0.37833714118465678</v>
      </c>
      <c r="C5" s="66"/>
      <c r="D5" s="66"/>
      <c r="E5" s="219">
        <f>B5*21*10^3</f>
        <v>7945.0799648777929</v>
      </c>
    </row>
    <row r="6" spans="1:5" x14ac:dyDescent="0.25">
      <c r="A6" s="66" t="s">
        <v>395</v>
      </c>
      <c r="B6" s="218">
        <f>'Peternakan-CH4'!H23</f>
        <v>0.70028521999999993</v>
      </c>
      <c r="C6" s="66"/>
      <c r="D6" s="66"/>
      <c r="E6" s="219">
        <f>B6*21*10^3</f>
        <v>14705.989619999998</v>
      </c>
    </row>
    <row r="7" spans="1:5" x14ac:dyDescent="0.25">
      <c r="A7" s="66" t="s">
        <v>359</v>
      </c>
      <c r="B7" s="66"/>
      <c r="C7" s="218">
        <f>'Peternakan-N2O'!K23+'Peternakan-N2O'!Y23</f>
        <v>1024.8070529400002</v>
      </c>
      <c r="D7" s="66"/>
      <c r="E7" s="219">
        <f>C7*298*10^-3</f>
        <v>305.39250177612007</v>
      </c>
    </row>
    <row r="8" spans="1:5" x14ac:dyDescent="0.25">
      <c r="A8" s="66" t="s">
        <v>360</v>
      </c>
      <c r="B8" s="66"/>
      <c r="C8" s="66"/>
      <c r="D8" s="66">
        <f>'Kapur pertanian-CO2'!G15</f>
        <v>0</v>
      </c>
      <c r="E8" s="219">
        <f>D8*44/12</f>
        <v>0</v>
      </c>
    </row>
    <row r="9" spans="1:5" x14ac:dyDescent="0.25">
      <c r="A9" s="66" t="s">
        <v>361</v>
      </c>
      <c r="B9" s="66"/>
      <c r="C9" s="66"/>
      <c r="D9" s="220">
        <f>'Pupuk Urea-CO2'!E11</f>
        <v>8375.9863999999998</v>
      </c>
      <c r="E9" s="219">
        <f>D9*44/12</f>
        <v>30711.950133333332</v>
      </c>
    </row>
    <row r="10" spans="1:5" x14ac:dyDescent="0.25">
      <c r="A10" s="66" t="s">
        <v>394</v>
      </c>
      <c r="B10" s="66"/>
      <c r="C10" s="220">
        <f>'Direct N2O'!G19</f>
        <v>306646.56817142857</v>
      </c>
      <c r="D10" s="66"/>
      <c r="E10" s="221">
        <f>C10*298*10^-3</f>
        <v>91380.677315085704</v>
      </c>
    </row>
    <row r="11" spans="1:5" x14ac:dyDescent="0.25">
      <c r="A11" s="66"/>
      <c r="B11" s="66"/>
      <c r="C11" s="66"/>
      <c r="D11" s="66" t="s">
        <v>445</v>
      </c>
      <c r="E11" s="219">
        <f>SUM(E5:E10)</f>
        <v>145049.08953507294</v>
      </c>
    </row>
    <row r="12" spans="1:5" x14ac:dyDescent="0.25">
      <c r="E12" s="200"/>
    </row>
    <row r="14" spans="1:5" x14ac:dyDescent="0.25">
      <c r="A14" t="s">
        <v>509</v>
      </c>
    </row>
    <row r="15" spans="1:5" x14ac:dyDescent="0.25">
      <c r="A15" s="66"/>
      <c r="B15" s="66" t="s">
        <v>363</v>
      </c>
      <c r="C15" s="66" t="s">
        <v>364</v>
      </c>
      <c r="D15" s="66" t="s">
        <v>365</v>
      </c>
      <c r="E15" s="66" t="s">
        <v>366</v>
      </c>
    </row>
    <row r="16" spans="1:5" x14ac:dyDescent="0.25">
      <c r="A16" s="66" t="s">
        <v>358</v>
      </c>
      <c r="B16" s="218">
        <f>'Lahan sawah'!K12+'Lahan sawah'!K44+'Lahan sawah'!K69</f>
        <v>0.39274669104696081</v>
      </c>
      <c r="C16" s="66"/>
      <c r="D16" s="66"/>
      <c r="E16" s="219">
        <f>B16*21*10^3</f>
        <v>8247.6805119861765</v>
      </c>
    </row>
    <row r="17" spans="1:5" x14ac:dyDescent="0.25">
      <c r="A17" s="66" t="s">
        <v>395</v>
      </c>
      <c r="B17" s="218">
        <f>'Peternakan-CH4'!P23</f>
        <v>0.87749189999999977</v>
      </c>
      <c r="C17" s="66"/>
      <c r="D17" s="66"/>
      <c r="E17" s="219">
        <f>B17*21*10^3</f>
        <v>18427.329899999997</v>
      </c>
    </row>
    <row r="18" spans="1:5" x14ac:dyDescent="0.25">
      <c r="A18" s="66" t="s">
        <v>359</v>
      </c>
      <c r="B18" s="66"/>
      <c r="C18" s="218">
        <f>'Peternakan-N2O'!AK23+'Peternakan-N2O'!AY23</f>
        <v>1132.0346920457143</v>
      </c>
      <c r="D18" s="66"/>
      <c r="E18" s="219">
        <f>C18*298*10^-3</f>
        <v>337.34633822962286</v>
      </c>
    </row>
    <row r="19" spans="1:5" x14ac:dyDescent="0.25">
      <c r="A19" s="66" t="s">
        <v>360</v>
      </c>
      <c r="B19" s="66"/>
      <c r="C19" s="66"/>
      <c r="D19" s="66">
        <f>'Kapur pertanian-CO2'!G26</f>
        <v>0</v>
      </c>
      <c r="E19" s="219">
        <f>D19*44/12</f>
        <v>0</v>
      </c>
    </row>
    <row r="20" spans="1:5" x14ac:dyDescent="0.25">
      <c r="A20" s="66" t="s">
        <v>361</v>
      </c>
      <c r="B20" s="66"/>
      <c r="C20" s="66"/>
      <c r="D20" s="220">
        <f>'Pupuk Urea-CO2'!E12</f>
        <v>10493.0404</v>
      </c>
      <c r="E20" s="219">
        <f>D20*44/12</f>
        <v>38474.481466666664</v>
      </c>
    </row>
    <row r="21" spans="1:5" x14ac:dyDescent="0.25">
      <c r="A21" s="66" t="s">
        <v>394</v>
      </c>
      <c r="B21" s="66"/>
      <c r="C21" s="220">
        <f>'Direct N2O'!J19</f>
        <v>383312.03774285718</v>
      </c>
      <c r="D21" s="66"/>
      <c r="E21" s="221">
        <f>C21*298*10^-3</f>
        <v>114226.98724737143</v>
      </c>
    </row>
    <row r="22" spans="1:5" x14ac:dyDescent="0.25">
      <c r="A22" s="66"/>
      <c r="B22" s="66"/>
      <c r="C22" s="66"/>
      <c r="D22" s="66" t="s">
        <v>446</v>
      </c>
      <c r="E22" s="219">
        <f>SUM(E16:E21)</f>
        <v>179713.8254642539</v>
      </c>
    </row>
    <row r="25" spans="1:5" x14ac:dyDescent="0.25">
      <c r="A25" t="s">
        <v>510</v>
      </c>
    </row>
    <row r="26" spans="1:5" x14ac:dyDescent="0.25">
      <c r="A26" s="66"/>
      <c r="B26" s="66" t="s">
        <v>363</v>
      </c>
      <c r="C26" s="66" t="s">
        <v>364</v>
      </c>
      <c r="D26" s="66" t="s">
        <v>365</v>
      </c>
      <c r="E26" s="66" t="s">
        <v>366</v>
      </c>
    </row>
    <row r="27" spans="1:5" x14ac:dyDescent="0.25">
      <c r="A27" s="66" t="s">
        <v>358</v>
      </c>
      <c r="B27" s="218">
        <f>'Lahan sawah'!K13+'Lahan sawah'!K45+'Lahan sawah'!K70</f>
        <v>0.41730056401232707</v>
      </c>
      <c r="C27" s="66"/>
      <c r="D27" s="66"/>
      <c r="E27" s="219">
        <f>B27*21*10^3</f>
        <v>8763.3118442588693</v>
      </c>
    </row>
    <row r="28" spans="1:5" x14ac:dyDescent="0.25">
      <c r="A28" s="66" t="s">
        <v>395</v>
      </c>
      <c r="B28" s="218">
        <f>'Peternakan-CH4'!X23</f>
        <v>0.81455344000000007</v>
      </c>
      <c r="C28" s="66"/>
      <c r="D28" s="66"/>
      <c r="E28" s="219">
        <f>B28*21*10^3</f>
        <v>17105.622240000004</v>
      </c>
    </row>
    <row r="29" spans="1:5" x14ac:dyDescent="0.25">
      <c r="A29" s="66" t="s">
        <v>359</v>
      </c>
      <c r="B29" s="66"/>
      <c r="C29" s="218">
        <f>'Peternakan-N2O'!BK23+'Peternakan-N2O'!BY23</f>
        <v>1074.7158775257142</v>
      </c>
      <c r="D29" s="66"/>
      <c r="E29" s="219">
        <f>C29*298*10^-3</f>
        <v>320.26533150266283</v>
      </c>
    </row>
    <row r="30" spans="1:5" x14ac:dyDescent="0.25">
      <c r="A30" s="66" t="s">
        <v>360</v>
      </c>
      <c r="B30" s="66"/>
      <c r="C30" s="66"/>
      <c r="D30" s="66">
        <f>'Kapur pertanian-CO2'!G37</f>
        <v>0</v>
      </c>
      <c r="E30" s="219">
        <f>D30*44/12</f>
        <v>0</v>
      </c>
    </row>
    <row r="31" spans="1:5" x14ac:dyDescent="0.25">
      <c r="A31" s="66" t="s">
        <v>361</v>
      </c>
      <c r="B31" s="66"/>
      <c r="C31" s="66"/>
      <c r="D31" s="220">
        <f>'Pupuk Urea-CO2'!E13</f>
        <v>12115.522400000002</v>
      </c>
      <c r="E31" s="219">
        <f>D31*44/12</f>
        <v>44423.582133333337</v>
      </c>
    </row>
    <row r="32" spans="1:5" x14ac:dyDescent="0.25">
      <c r="A32" s="66" t="s">
        <v>394</v>
      </c>
      <c r="B32" s="66"/>
      <c r="C32" s="220">
        <f>'Direct N2O'!M19</f>
        <v>442207.22102857148</v>
      </c>
      <c r="D32" s="66"/>
      <c r="E32" s="221">
        <f>C32*298*10^-3</f>
        <v>131777.7518665143</v>
      </c>
    </row>
    <row r="33" spans="1:5" x14ac:dyDescent="0.25">
      <c r="A33" s="66"/>
      <c r="B33" s="66"/>
      <c r="C33" s="66"/>
      <c r="D33" s="66" t="s">
        <v>447</v>
      </c>
      <c r="E33" s="219">
        <f>SUM(E27:E32)</f>
        <v>202390.53341560916</v>
      </c>
    </row>
    <row r="36" spans="1:5" x14ac:dyDescent="0.25">
      <c r="A36" t="s">
        <v>511</v>
      </c>
    </row>
    <row r="37" spans="1:5" x14ac:dyDescent="0.25">
      <c r="A37" s="66"/>
      <c r="B37" s="66" t="s">
        <v>363</v>
      </c>
      <c r="C37" s="66" t="s">
        <v>364</v>
      </c>
      <c r="D37" s="66" t="s">
        <v>365</v>
      </c>
      <c r="E37" s="66" t="s">
        <v>366</v>
      </c>
    </row>
    <row r="38" spans="1:5" x14ac:dyDescent="0.25">
      <c r="A38" s="66" t="s">
        <v>358</v>
      </c>
      <c r="B38" s="218">
        <f>'Lahan sawah'!K14+'Lahan sawah'!K46+'Lahan sawah'!K71</f>
        <v>0.37049834605956333</v>
      </c>
      <c r="C38" s="66"/>
      <c r="D38" s="66"/>
      <c r="E38" s="219">
        <f>B38*21*10^3</f>
        <v>7780.46526725083</v>
      </c>
    </row>
    <row r="39" spans="1:5" x14ac:dyDescent="0.25">
      <c r="A39" s="66" t="s">
        <v>395</v>
      </c>
      <c r="B39" s="218">
        <f>'Peternakan-CH4'!AF23</f>
        <v>0.98019681999999997</v>
      </c>
      <c r="C39" s="66"/>
      <c r="D39" s="66"/>
      <c r="E39" s="219">
        <f>B39*21*10^3</f>
        <v>20584.13322</v>
      </c>
    </row>
    <row r="40" spans="1:5" x14ac:dyDescent="0.25">
      <c r="A40" s="66" t="s">
        <v>359</v>
      </c>
      <c r="B40" s="66"/>
      <c r="C40" s="218">
        <f>'Peternakan-N2O'!CK23+'Peternakan-N2O'!CY23</f>
        <v>1211.2209815200001</v>
      </c>
      <c r="D40" s="66"/>
      <c r="E40" s="219">
        <f>C40*298*10^-3</f>
        <v>360.94385249296005</v>
      </c>
    </row>
    <row r="41" spans="1:5" x14ac:dyDescent="0.25">
      <c r="A41" s="66" t="s">
        <v>360</v>
      </c>
      <c r="B41" s="66"/>
      <c r="C41" s="66"/>
      <c r="D41" s="66">
        <f>'Kapur pertanian-CO2'!G48</f>
        <v>0</v>
      </c>
      <c r="E41" s="219">
        <f>D41*44/12</f>
        <v>0</v>
      </c>
    </row>
    <row r="42" spans="1:5" x14ac:dyDescent="0.25">
      <c r="A42" s="66" t="s">
        <v>361</v>
      </c>
      <c r="B42" s="66"/>
      <c r="C42" s="66"/>
      <c r="D42" s="220">
        <f>'Pupuk Urea-CO2'!E14</f>
        <v>12084.386400000001</v>
      </c>
      <c r="E42" s="219">
        <f>D42*44/12</f>
        <v>44309.416800000006</v>
      </c>
    </row>
    <row r="43" spans="1:5" x14ac:dyDescent="0.25">
      <c r="A43" s="66" t="s">
        <v>394</v>
      </c>
      <c r="B43" s="66"/>
      <c r="C43" s="220">
        <f>'Direct N2O'!P19</f>
        <v>440597.63502857147</v>
      </c>
      <c r="D43" s="66"/>
      <c r="E43" s="221">
        <f>C43*298*10^-3</f>
        <v>131298.0952385143</v>
      </c>
    </row>
    <row r="44" spans="1:5" x14ac:dyDescent="0.25">
      <c r="A44" s="66"/>
      <c r="B44" s="66"/>
      <c r="C44" s="66"/>
      <c r="D44" s="66" t="s">
        <v>448</v>
      </c>
      <c r="E44" s="219">
        <f>SUM(E38:E43)</f>
        <v>204333.05437825809</v>
      </c>
    </row>
    <row r="47" spans="1:5" x14ac:dyDescent="0.25">
      <c r="A47" t="s">
        <v>512</v>
      </c>
    </row>
    <row r="48" spans="1:5" x14ac:dyDescent="0.25">
      <c r="A48" s="66"/>
      <c r="B48" s="66" t="s">
        <v>363</v>
      </c>
      <c r="C48" s="66" t="s">
        <v>364</v>
      </c>
      <c r="D48" s="66" t="s">
        <v>365</v>
      </c>
      <c r="E48" s="66" t="s">
        <v>366</v>
      </c>
    </row>
    <row r="49" spans="1:5" x14ac:dyDescent="0.25">
      <c r="A49" s="66" t="s">
        <v>358</v>
      </c>
      <c r="B49" s="218">
        <f>'Lahan sawah'!K15+'Lahan sawah'!K47+'Lahan sawah'!K72</f>
        <v>0.35101663464572808</v>
      </c>
      <c r="C49" s="66"/>
      <c r="D49" s="66"/>
      <c r="E49" s="219">
        <f>B49*21*10^3</f>
        <v>7371.3493275602896</v>
      </c>
    </row>
    <row r="50" spans="1:5" x14ac:dyDescent="0.25">
      <c r="A50" s="66" t="s">
        <v>395</v>
      </c>
      <c r="B50" s="218">
        <f>'Peternakan-CH4'!AN23</f>
        <v>1.1519006200000002</v>
      </c>
      <c r="C50" s="66"/>
      <c r="D50" s="66"/>
      <c r="E50" s="219">
        <f>B50*21*10^3</f>
        <v>24189.913020000004</v>
      </c>
    </row>
    <row r="51" spans="1:5" x14ac:dyDescent="0.25">
      <c r="A51" s="66" t="s">
        <v>359</v>
      </c>
      <c r="B51" s="66"/>
      <c r="C51" s="218">
        <f>'Peternakan-N2O'!DK23+'Peternakan-N2O'!DY23</f>
        <v>1352.8986352514289</v>
      </c>
      <c r="D51" s="66"/>
      <c r="E51" s="219">
        <f>C51*298*10^-3</f>
        <v>403.16379330492583</v>
      </c>
    </row>
    <row r="52" spans="1:5" x14ac:dyDescent="0.25">
      <c r="A52" s="66" t="s">
        <v>360</v>
      </c>
      <c r="B52" s="66"/>
      <c r="C52" s="66"/>
      <c r="D52" s="66">
        <f>'Kapur pertanian-CO2'!G59</f>
        <v>0</v>
      </c>
      <c r="E52" s="219">
        <f>D52*44/12</f>
        <v>0</v>
      </c>
    </row>
    <row r="53" spans="1:5" x14ac:dyDescent="0.25">
      <c r="A53" s="66" t="s">
        <v>361</v>
      </c>
      <c r="B53" s="66"/>
      <c r="C53" s="66"/>
      <c r="D53" s="220">
        <f>'Pupuk Urea-CO2'!E15</f>
        <v>12065.088000000002</v>
      </c>
      <c r="E53" s="219">
        <f>D53*44/12</f>
        <v>44238.65600000001</v>
      </c>
    </row>
    <row r="54" spans="1:5" x14ac:dyDescent="0.25">
      <c r="A54" s="66" t="s">
        <v>394</v>
      </c>
      <c r="B54" s="66"/>
      <c r="C54" s="220">
        <f>'Direct N2O'!S19</f>
        <v>439698.5670000001</v>
      </c>
      <c r="D54" s="66"/>
      <c r="E54" s="221">
        <f>C54*298*10^-3</f>
        <v>131030.17296600004</v>
      </c>
    </row>
    <row r="55" spans="1:5" x14ac:dyDescent="0.25">
      <c r="A55" s="66"/>
      <c r="B55" s="66"/>
      <c r="C55" s="66"/>
      <c r="D55" s="66" t="s">
        <v>449</v>
      </c>
      <c r="E55" s="219">
        <f>SUM(E49:E54)</f>
        <v>207233.25510686525</v>
      </c>
    </row>
    <row r="58" spans="1:5" x14ac:dyDescent="0.25">
      <c r="A58" t="s">
        <v>513</v>
      </c>
    </row>
    <row r="59" spans="1:5" x14ac:dyDescent="0.25">
      <c r="A59" s="66"/>
      <c r="B59" s="66" t="s">
        <v>363</v>
      </c>
      <c r="C59" s="66" t="s">
        <v>364</v>
      </c>
      <c r="D59" s="66" t="s">
        <v>365</v>
      </c>
      <c r="E59" s="66" t="s">
        <v>366</v>
      </c>
    </row>
    <row r="60" spans="1:5" x14ac:dyDescent="0.25">
      <c r="A60" s="66" t="s">
        <v>358</v>
      </c>
      <c r="B60" s="218">
        <f>'Lahan sawah'!K16+'Lahan sawah'!K48+'Lahan sawah'!K73</f>
        <v>0.39107518326293356</v>
      </c>
      <c r="C60" s="66"/>
      <c r="D60" s="66"/>
      <c r="E60" s="219">
        <f>B60*21*10^3</f>
        <v>8212.5788485216053</v>
      </c>
    </row>
    <row r="61" spans="1:5" x14ac:dyDescent="0.25">
      <c r="A61" s="66" t="s">
        <v>395</v>
      </c>
      <c r="B61" s="218">
        <f>'Peternakan-CH4'!AV23</f>
        <v>1.22228556</v>
      </c>
      <c r="C61" s="66"/>
      <c r="D61" s="66"/>
      <c r="E61" s="219">
        <f>B61*21*10^3</f>
        <v>25667.996760000002</v>
      </c>
    </row>
    <row r="62" spans="1:5" x14ac:dyDescent="0.25">
      <c r="A62" s="66" t="s">
        <v>359</v>
      </c>
      <c r="B62" s="66"/>
      <c r="C62" s="273">
        <f>'Peternakan-N2O'!EK23+'Peternakan-N2O'!EY23</f>
        <v>1464.201971062286</v>
      </c>
      <c r="D62" s="66"/>
      <c r="E62" s="219">
        <f>C62*298*10^-3</f>
        <v>436.33218737656125</v>
      </c>
    </row>
    <row r="63" spans="1:5" x14ac:dyDescent="0.25">
      <c r="A63" s="66" t="s">
        <v>360</v>
      </c>
      <c r="B63" s="66"/>
      <c r="C63" s="66"/>
      <c r="D63" s="66">
        <f>'Kapur pertanian-CO2'!G70</f>
        <v>0</v>
      </c>
      <c r="E63" s="219">
        <f>D63*44/12</f>
        <v>0</v>
      </c>
    </row>
    <row r="64" spans="1:5" x14ac:dyDescent="0.25">
      <c r="A64" s="66" t="s">
        <v>361</v>
      </c>
      <c r="B64" s="66"/>
      <c r="C64" s="66"/>
      <c r="D64" s="220">
        <f>'Pupuk Urea-CO2'!E16</f>
        <v>373.17500000000001</v>
      </c>
      <c r="E64" s="219">
        <f>D64*44/12</f>
        <v>1368.3083333333334</v>
      </c>
    </row>
    <row r="65" spans="1:5" x14ac:dyDescent="0.25">
      <c r="A65" s="66" t="s">
        <v>394</v>
      </c>
      <c r="B65" s="66"/>
      <c r="C65" s="220">
        <f>'Direct N2O'!V19</f>
        <v>17533.893928571426</v>
      </c>
      <c r="D65" s="66"/>
      <c r="E65" s="221">
        <f>C65*298*10^-3</f>
        <v>5225.1003907142849</v>
      </c>
    </row>
    <row r="66" spans="1:5" x14ac:dyDescent="0.25">
      <c r="A66" s="66"/>
      <c r="B66" s="66"/>
      <c r="C66" s="66"/>
      <c r="D66" s="66" t="s">
        <v>450</v>
      </c>
      <c r="E66" s="219">
        <f>SUM(E60:E65)</f>
        <v>40910.316519945787</v>
      </c>
    </row>
    <row r="69" spans="1:5" x14ac:dyDescent="0.25">
      <c r="A69" t="s">
        <v>514</v>
      </c>
    </row>
    <row r="70" spans="1:5" x14ac:dyDescent="0.25">
      <c r="A70" s="66"/>
      <c r="B70" s="66" t="s">
        <v>363</v>
      </c>
      <c r="C70" s="66" t="s">
        <v>364</v>
      </c>
      <c r="D70" s="66" t="s">
        <v>365</v>
      </c>
      <c r="E70" s="66" t="s">
        <v>366</v>
      </c>
    </row>
    <row r="71" spans="1:5" x14ac:dyDescent="0.25">
      <c r="A71" s="66" t="s">
        <v>358</v>
      </c>
      <c r="B71" s="218">
        <f>'Lahan sawah'!K17+'Lahan sawah'!K49+'Lahan sawah'!K74</f>
        <v>0.48992469531833971</v>
      </c>
      <c r="C71" s="66"/>
      <c r="D71" s="66"/>
      <c r="E71" s="219">
        <f>B71*21*10^3</f>
        <v>10288.418601685134</v>
      </c>
    </row>
    <row r="72" spans="1:5" x14ac:dyDescent="0.25">
      <c r="A72" s="66" t="s">
        <v>395</v>
      </c>
      <c r="B72" s="218">
        <f>'Peternakan-CH4'!BD23</f>
        <v>1.4599073832542711</v>
      </c>
      <c r="C72" s="66"/>
      <c r="D72" s="66"/>
      <c r="E72" s="219">
        <f>B72*21*10^3</f>
        <v>30658.055048339691</v>
      </c>
    </row>
    <row r="73" spans="1:5" x14ac:dyDescent="0.25">
      <c r="A73" s="66" t="s">
        <v>359</v>
      </c>
      <c r="B73" s="66"/>
      <c r="C73" s="273">
        <f>'Peternakan-N2O'!FK23+'Peternakan-N2O'!FY23</f>
        <v>1649.760359471326</v>
      </c>
      <c r="D73" s="66"/>
      <c r="E73" s="219">
        <f>C73*298*10^-3</f>
        <v>491.62858712245514</v>
      </c>
    </row>
    <row r="74" spans="1:5" x14ac:dyDescent="0.25">
      <c r="A74" s="66" t="s">
        <v>360</v>
      </c>
      <c r="B74" s="66"/>
      <c r="C74" s="66"/>
      <c r="D74" s="66">
        <f>'Kapur pertanian-CO2'!G81</f>
        <v>0</v>
      </c>
      <c r="E74" s="219">
        <f>D74*44/12</f>
        <v>0</v>
      </c>
    </row>
    <row r="75" spans="1:5" x14ac:dyDescent="0.25">
      <c r="A75" s="66" t="s">
        <v>361</v>
      </c>
      <c r="B75" s="66"/>
      <c r="C75" s="66"/>
      <c r="D75" s="220">
        <f>'Pupuk Urea-CO2'!E17</f>
        <v>467.5</v>
      </c>
      <c r="E75" s="219">
        <f>D75*44/12</f>
        <v>1714.1666666666667</v>
      </c>
    </row>
    <row r="76" spans="1:5" x14ac:dyDescent="0.25">
      <c r="A76" s="66" t="s">
        <v>394</v>
      </c>
      <c r="B76" s="66"/>
      <c r="C76" s="220">
        <f>'Direct N2O'!Y19</f>
        <v>21965.821428571428</v>
      </c>
      <c r="D76" s="66"/>
      <c r="E76" s="221">
        <f>C76*298*10^-3</f>
        <v>6545.8147857142858</v>
      </c>
    </row>
    <row r="77" spans="1:5" x14ac:dyDescent="0.25">
      <c r="A77" s="66"/>
      <c r="B77" s="66"/>
      <c r="C77" s="66"/>
      <c r="D77" s="66" t="s">
        <v>451</v>
      </c>
      <c r="E77" s="219">
        <f>SUM(E71:E76)</f>
        <v>49698.083689528226</v>
      </c>
    </row>
    <row r="80" spans="1:5" x14ac:dyDescent="0.25">
      <c r="A80" t="s">
        <v>515</v>
      </c>
    </row>
    <row r="81" spans="1:5" x14ac:dyDescent="0.25">
      <c r="A81" s="66"/>
      <c r="B81" s="66" t="s">
        <v>363</v>
      </c>
      <c r="C81" s="66" t="s">
        <v>364</v>
      </c>
      <c r="D81" s="66" t="s">
        <v>365</v>
      </c>
      <c r="E81" s="66" t="s">
        <v>366</v>
      </c>
    </row>
    <row r="82" spans="1:5" x14ac:dyDescent="0.25">
      <c r="A82" s="66" t="s">
        <v>358</v>
      </c>
      <c r="B82" s="218">
        <f>'Lahan sawah'!K18+'Lahan sawah'!K50+'Lahan sawah'!K75</f>
        <v>0.51874379504294799</v>
      </c>
      <c r="C82" s="66"/>
      <c r="D82" s="66"/>
      <c r="E82" s="219">
        <f>B82*21*10^3</f>
        <v>10893.619695901907</v>
      </c>
    </row>
    <row r="83" spans="1:5" x14ac:dyDescent="0.25">
      <c r="A83" s="66" t="s">
        <v>395</v>
      </c>
      <c r="B83" s="218">
        <f>'Peternakan-CH4'!BL23</f>
        <v>1.6496000058252349</v>
      </c>
      <c r="C83" s="66"/>
      <c r="D83" s="66"/>
      <c r="E83" s="219">
        <f>B83*21*10^3</f>
        <v>34641.600122329932</v>
      </c>
    </row>
    <row r="84" spans="1:5" x14ac:dyDescent="0.25">
      <c r="A84" s="66" t="s">
        <v>359</v>
      </c>
      <c r="B84" s="66"/>
      <c r="C84" s="218">
        <f>'Peternakan-N2O'!GK23+'Peternakan-N2O'!GY23</f>
        <v>1829.7878095134768</v>
      </c>
      <c r="D84" s="66"/>
      <c r="E84" s="219">
        <f>C84*298*10^-3</f>
        <v>545.27676723501611</v>
      </c>
    </row>
    <row r="85" spans="1:5" x14ac:dyDescent="0.25">
      <c r="A85" s="66" t="s">
        <v>360</v>
      </c>
      <c r="B85" s="66"/>
      <c r="C85" s="66"/>
      <c r="D85" s="66">
        <f>'Kapur pertanian-CO2'!G92</f>
        <v>0</v>
      </c>
      <c r="E85" s="219">
        <f>D85*44/12</f>
        <v>0</v>
      </c>
    </row>
    <row r="86" spans="1:5" x14ac:dyDescent="0.25">
      <c r="A86" s="66" t="s">
        <v>361</v>
      </c>
      <c r="B86" s="66"/>
      <c r="C86" s="66"/>
      <c r="D86" s="220">
        <f>'Pupuk Urea-CO2'!E18</f>
        <v>495</v>
      </c>
      <c r="E86" s="219">
        <f>D86*44/12</f>
        <v>1815</v>
      </c>
    </row>
    <row r="87" spans="1:5" x14ac:dyDescent="0.25">
      <c r="A87" s="66" t="s">
        <v>394</v>
      </c>
      <c r="B87" s="66"/>
      <c r="C87" s="220">
        <f>'Direct N2O'!AB19</f>
        <v>23257.928571428572</v>
      </c>
      <c r="D87" s="66"/>
      <c r="E87" s="221">
        <f>C87*298*10^-3</f>
        <v>6930.8627142857149</v>
      </c>
    </row>
    <row r="88" spans="1:5" x14ac:dyDescent="0.25">
      <c r="A88" s="66"/>
      <c r="B88" s="66"/>
      <c r="C88" s="66"/>
      <c r="D88" s="66" t="s">
        <v>452</v>
      </c>
      <c r="E88" s="219">
        <f>SUM(E82:E87)</f>
        <v>54826.35929975257</v>
      </c>
    </row>
    <row r="91" spans="1:5" x14ac:dyDescent="0.25">
      <c r="A91" t="s">
        <v>516</v>
      </c>
    </row>
    <row r="92" spans="1:5" x14ac:dyDescent="0.25">
      <c r="A92" s="66"/>
      <c r="B92" s="66" t="s">
        <v>363</v>
      </c>
      <c r="C92" s="66" t="s">
        <v>364</v>
      </c>
      <c r="D92" s="66" t="s">
        <v>365</v>
      </c>
      <c r="E92" s="66" t="s">
        <v>366</v>
      </c>
    </row>
    <row r="93" spans="1:5" x14ac:dyDescent="0.25">
      <c r="A93" s="66" t="s">
        <v>358</v>
      </c>
      <c r="B93" s="218">
        <f>'Lahan sawah'!K19+'Lahan sawah'!K51+'Lahan sawah'!K76</f>
        <v>0.54756289476755615</v>
      </c>
      <c r="C93" s="66"/>
      <c r="D93" s="66"/>
      <c r="E93" s="219">
        <f>B93*21*10^3</f>
        <v>11498.820790118678</v>
      </c>
    </row>
    <row r="94" spans="1:5" x14ac:dyDescent="0.25">
      <c r="A94" s="66" t="s">
        <v>395</v>
      </c>
      <c r="B94" s="218">
        <f>'Peternakan-CH4'!BT23</f>
        <v>1.8649257689929704</v>
      </c>
      <c r="C94" s="66"/>
      <c r="D94" s="66"/>
      <c r="E94" s="219">
        <f>B94*21*10^3</f>
        <v>39163.441148852377</v>
      </c>
    </row>
    <row r="95" spans="1:5" x14ac:dyDescent="0.25">
      <c r="A95" s="66" t="s">
        <v>359</v>
      </c>
      <c r="B95" s="66"/>
      <c r="C95" s="218">
        <f>'Peternakan-N2O'!HK23+'Peternakan-N2O'!HY23</f>
        <v>2030.7220312661289</v>
      </c>
      <c r="D95" s="66"/>
      <c r="E95" s="219">
        <f>C95*298*10^-3</f>
        <v>605.15516531730646</v>
      </c>
    </row>
    <row r="96" spans="1:5" x14ac:dyDescent="0.25">
      <c r="A96" s="66" t="s">
        <v>360</v>
      </c>
      <c r="B96" s="66"/>
      <c r="C96" s="66"/>
      <c r="D96" s="66">
        <f>'Kapur pertanian-CO2'!G103</f>
        <v>0</v>
      </c>
      <c r="E96" s="219">
        <f>D96*44/12</f>
        <v>0</v>
      </c>
    </row>
    <row r="97" spans="1:5" x14ac:dyDescent="0.25">
      <c r="A97" s="66" t="s">
        <v>361</v>
      </c>
      <c r="B97" s="66"/>
      <c r="C97" s="66"/>
      <c r="D97" s="220">
        <f>'Pupuk Urea-CO2'!E19</f>
        <v>522.5</v>
      </c>
      <c r="E97" s="219">
        <f>D97*44/12</f>
        <v>1915.8333333333333</v>
      </c>
    </row>
    <row r="98" spans="1:5" x14ac:dyDescent="0.25">
      <c r="A98" s="66" t="s">
        <v>394</v>
      </c>
      <c r="B98" s="66"/>
      <c r="C98" s="220">
        <f>'Direct N2O'!AE19</f>
        <v>24550.035714285714</v>
      </c>
      <c r="D98" s="66"/>
      <c r="E98" s="221">
        <f>C98*298*10^-3</f>
        <v>7315.9106428571431</v>
      </c>
    </row>
    <row r="99" spans="1:5" x14ac:dyDescent="0.25">
      <c r="A99" s="66"/>
      <c r="B99" s="66"/>
      <c r="C99" s="66"/>
      <c r="D99" s="66" t="s">
        <v>453</v>
      </c>
      <c r="E99" s="219">
        <f>SUM(E93:E98)</f>
        <v>60499.161080478836</v>
      </c>
    </row>
    <row r="102" spans="1:5" x14ac:dyDescent="0.25">
      <c r="A102" t="s">
        <v>517</v>
      </c>
    </row>
    <row r="103" spans="1:5" x14ac:dyDescent="0.25">
      <c r="A103" s="66"/>
      <c r="B103" s="66" t="s">
        <v>363</v>
      </c>
      <c r="C103" s="66" t="s">
        <v>364</v>
      </c>
      <c r="D103" s="66" t="s">
        <v>365</v>
      </c>
      <c r="E103" s="66" t="s">
        <v>366</v>
      </c>
    </row>
    <row r="104" spans="1:5" x14ac:dyDescent="0.25">
      <c r="A104" s="66" t="s">
        <v>358</v>
      </c>
      <c r="B104" s="218">
        <f>'Lahan sawah'!K20+'Lahan sawah'!K52+'Lahan sawah'!K77</f>
        <v>0.57638199449216443</v>
      </c>
      <c r="C104" s="66"/>
      <c r="D104" s="66"/>
      <c r="E104" s="219">
        <f>B104*21*10^3</f>
        <v>12104.021884335452</v>
      </c>
    </row>
    <row r="105" spans="1:5" x14ac:dyDescent="0.25">
      <c r="A105" s="66" t="s">
        <v>395</v>
      </c>
      <c r="B105" s="218">
        <f>'Peternakan-CH4'!CB23</f>
        <v>2.0813942052687091</v>
      </c>
      <c r="C105" s="66"/>
      <c r="D105" s="66"/>
      <c r="E105" s="219">
        <f>B105*21*10^3</f>
        <v>43709.278310642891</v>
      </c>
    </row>
    <row r="106" spans="1:5" x14ac:dyDescent="0.25">
      <c r="A106" s="66" t="s">
        <v>359</v>
      </c>
      <c r="B106" s="66"/>
      <c r="C106" s="218">
        <f>'Peternakan-N2O'!IK23+'Peternakan-N2O'!IY23</f>
        <v>2242.0278021080171</v>
      </c>
      <c r="D106" s="66"/>
      <c r="E106" s="219">
        <f>C106*298*10^-3</f>
        <v>668.12428502818909</v>
      </c>
    </row>
    <row r="107" spans="1:5" x14ac:dyDescent="0.25">
      <c r="A107" s="66" t="s">
        <v>360</v>
      </c>
      <c r="B107" s="66"/>
      <c r="C107" s="66"/>
      <c r="D107" s="66">
        <f>'Kapur pertanian-CO2'!G114</f>
        <v>0</v>
      </c>
      <c r="E107" s="219">
        <f>D107*44/12</f>
        <v>0</v>
      </c>
    </row>
    <row r="108" spans="1:5" x14ac:dyDescent="0.25">
      <c r="A108" s="66" t="s">
        <v>361</v>
      </c>
      <c r="B108" s="66"/>
      <c r="C108" s="66"/>
      <c r="D108" s="220">
        <f>'Pupuk Urea-CO2'!E20</f>
        <v>550</v>
      </c>
      <c r="E108" s="219">
        <f>D108*44/12</f>
        <v>2016.6666666666667</v>
      </c>
    </row>
    <row r="109" spans="1:5" x14ac:dyDescent="0.25">
      <c r="A109" s="66" t="s">
        <v>394</v>
      </c>
      <c r="B109" s="66"/>
      <c r="C109" s="220">
        <f>'Direct N2O'!AH19</f>
        <v>25842.142857142859</v>
      </c>
      <c r="D109" s="66"/>
      <c r="E109" s="221">
        <f>C109*298*10^-3</f>
        <v>7700.9585714285722</v>
      </c>
    </row>
    <row r="110" spans="1:5" x14ac:dyDescent="0.25">
      <c r="A110" s="66"/>
      <c r="B110" s="66"/>
      <c r="C110" s="66"/>
      <c r="D110" s="66" t="s">
        <v>454</v>
      </c>
      <c r="E110" s="219">
        <f>SUM(E104:E109)</f>
        <v>66199.049718101771</v>
      </c>
    </row>
    <row r="113" spans="1:22" x14ac:dyDescent="0.25">
      <c r="A113" t="s">
        <v>444</v>
      </c>
    </row>
    <row r="114" spans="1:22" x14ac:dyDescent="0.25">
      <c r="A114" s="66"/>
      <c r="B114" s="66" t="s">
        <v>363</v>
      </c>
      <c r="C114" s="66" t="s">
        <v>364</v>
      </c>
      <c r="D114" s="66" t="s">
        <v>365</v>
      </c>
      <c r="E114" s="66" t="s">
        <v>366</v>
      </c>
    </row>
    <row r="115" spans="1:22" x14ac:dyDescent="0.25">
      <c r="A115" s="66" t="s">
        <v>358</v>
      </c>
      <c r="B115" s="218">
        <f>'Lahan sawah'!K21+'Lahan sawah'!K53+'Lahan sawah'!K78</f>
        <v>0</v>
      </c>
      <c r="C115" s="66"/>
      <c r="D115" s="66"/>
      <c r="E115" s="219">
        <f>B115*21*10^3</f>
        <v>0</v>
      </c>
    </row>
    <row r="116" spans="1:22" x14ac:dyDescent="0.25">
      <c r="A116" s="66" t="s">
        <v>395</v>
      </c>
      <c r="B116" s="218">
        <f>'Peternakan-CH4'!CJ23</f>
        <v>0</v>
      </c>
      <c r="C116" s="66"/>
      <c r="D116" s="66"/>
      <c r="E116" s="219">
        <f>B116*21*10^3</f>
        <v>0</v>
      </c>
    </row>
    <row r="117" spans="1:22" x14ac:dyDescent="0.25">
      <c r="A117" s="66" t="s">
        <v>359</v>
      </c>
      <c r="B117" s="66"/>
      <c r="C117" s="218">
        <f>'Peternakan-N2O'!JK23+'Peternakan-N2O'!JY23</f>
        <v>0</v>
      </c>
      <c r="D117" s="66"/>
      <c r="E117" s="219">
        <f>C117*298*10^-3</f>
        <v>0</v>
      </c>
    </row>
    <row r="118" spans="1:22" x14ac:dyDescent="0.25">
      <c r="A118" s="66" t="s">
        <v>360</v>
      </c>
      <c r="B118" s="66"/>
      <c r="C118" s="66"/>
      <c r="D118" s="66">
        <f>'Kapur pertanian-CO2'!G125</f>
        <v>0</v>
      </c>
      <c r="E118" s="219">
        <f>D118*44/12</f>
        <v>0</v>
      </c>
    </row>
    <row r="119" spans="1:22" x14ac:dyDescent="0.25">
      <c r="A119" s="66" t="s">
        <v>361</v>
      </c>
      <c r="B119" s="66"/>
      <c r="C119" s="66"/>
      <c r="D119" s="220">
        <f>'Pupuk Urea-CO2'!E21</f>
        <v>0</v>
      </c>
      <c r="E119" s="219">
        <f>D119*44/12</f>
        <v>0</v>
      </c>
    </row>
    <row r="120" spans="1:22" x14ac:dyDescent="0.25">
      <c r="A120" s="66" t="s">
        <v>394</v>
      </c>
      <c r="B120" s="66"/>
      <c r="C120" s="220">
        <f>'Direct N2O'!CG19</f>
        <v>0</v>
      </c>
      <c r="D120" s="66"/>
      <c r="E120" s="221">
        <f>C120*298*10^-3</f>
        <v>0</v>
      </c>
    </row>
    <row r="121" spans="1:22" x14ac:dyDescent="0.25">
      <c r="A121" s="66"/>
      <c r="B121" s="66"/>
      <c r="C121" s="66"/>
      <c r="D121" s="66" t="s">
        <v>455</v>
      </c>
      <c r="E121" s="219">
        <f>SUM(E115:E120)</f>
        <v>0</v>
      </c>
    </row>
    <row r="124" spans="1:22" x14ac:dyDescent="0.25">
      <c r="A124" s="463" t="s">
        <v>518</v>
      </c>
      <c r="B124" s="463"/>
      <c r="C124" s="463"/>
      <c r="D124" s="463"/>
      <c r="E124" s="463"/>
      <c r="F124" s="463"/>
      <c r="G124" s="463"/>
      <c r="H124" s="463"/>
      <c r="I124" s="463"/>
      <c r="J124" s="463"/>
      <c r="K124" s="463"/>
      <c r="L124" s="463"/>
    </row>
    <row r="125" spans="1:22" x14ac:dyDescent="0.25">
      <c r="A125" s="166"/>
    </row>
    <row r="126" spans="1:22" x14ac:dyDescent="0.25">
      <c r="A126" s="229"/>
      <c r="B126" s="462" t="s">
        <v>434</v>
      </c>
      <c r="C126" s="462"/>
      <c r="D126" s="462"/>
      <c r="E126" s="462"/>
      <c r="F126" s="462"/>
      <c r="G126" s="462"/>
      <c r="H126" s="462"/>
      <c r="I126" s="462"/>
      <c r="J126" s="462"/>
      <c r="K126" s="462"/>
      <c r="L126" s="462"/>
    </row>
    <row r="127" spans="1:22" x14ac:dyDescent="0.25">
      <c r="A127" s="229" t="s">
        <v>424</v>
      </c>
      <c r="B127" s="230">
        <f>'Direct N2O'!D52</f>
        <v>2011</v>
      </c>
      <c r="C127" s="367">
        <f>'Direct N2O'!E52</f>
        <v>2012</v>
      </c>
      <c r="D127" s="367">
        <f>'Direct N2O'!F52</f>
        <v>2013</v>
      </c>
      <c r="E127" s="367">
        <f>'Direct N2O'!G52</f>
        <v>2014</v>
      </c>
      <c r="F127" s="367">
        <f>'Direct N2O'!H52</f>
        <v>2015</v>
      </c>
      <c r="G127" s="367">
        <f>'Direct N2O'!I52</f>
        <v>2016</v>
      </c>
      <c r="H127" s="367">
        <f>'Direct N2O'!J52</f>
        <v>2017</v>
      </c>
      <c r="I127" s="367">
        <f>'Direct N2O'!K52</f>
        <v>2018</v>
      </c>
      <c r="J127" s="367">
        <f>'Direct N2O'!L52</f>
        <v>2019</v>
      </c>
      <c r="K127" s="367">
        <f>'Direct N2O'!M52</f>
        <v>2020</v>
      </c>
      <c r="L127" s="367"/>
      <c r="M127" s="236"/>
      <c r="N127" s="236"/>
      <c r="O127" s="236"/>
      <c r="P127" s="236"/>
      <c r="Q127" s="236"/>
      <c r="R127" s="236"/>
      <c r="S127" s="236"/>
      <c r="T127" s="236"/>
      <c r="U127" s="236"/>
      <c r="V127" s="236"/>
    </row>
    <row r="128" spans="1:22" x14ac:dyDescent="0.25">
      <c r="A128" s="66" t="s">
        <v>358</v>
      </c>
      <c r="B128" s="360">
        <f>E5</f>
        <v>7945.0799648777929</v>
      </c>
      <c r="C128" s="360">
        <f t="shared" ref="C128:C133" si="0">E16</f>
        <v>8247.6805119861765</v>
      </c>
      <c r="D128" s="360">
        <f t="shared" ref="D128:D132" si="1">E27</f>
        <v>8763.3118442588693</v>
      </c>
      <c r="E128" s="360">
        <f>E38</f>
        <v>7780.46526725083</v>
      </c>
      <c r="F128" s="360">
        <f>E49</f>
        <v>7371.3493275602896</v>
      </c>
      <c r="G128" s="360">
        <f>E60</f>
        <v>8212.5788485216053</v>
      </c>
      <c r="H128" s="360">
        <f>E71</f>
        <v>10288.418601685134</v>
      </c>
      <c r="I128" s="360">
        <f>E82</f>
        <v>10893.619695901907</v>
      </c>
      <c r="J128" s="360">
        <f>E93</f>
        <v>11498.820790118678</v>
      </c>
      <c r="K128" s="360">
        <f>E104</f>
        <v>12104.021884335452</v>
      </c>
      <c r="L128" s="360">
        <f t="shared" ref="L128:L133" si="2">E115</f>
        <v>0</v>
      </c>
    </row>
    <row r="129" spans="1:12" x14ac:dyDescent="0.25">
      <c r="A129" s="66" t="s">
        <v>395</v>
      </c>
      <c r="B129" s="360">
        <f t="shared" ref="B129:B133" si="3">E6</f>
        <v>14705.989619999998</v>
      </c>
      <c r="C129" s="360">
        <f t="shared" si="0"/>
        <v>18427.329899999997</v>
      </c>
      <c r="D129" s="360">
        <f t="shared" si="1"/>
        <v>17105.622240000004</v>
      </c>
      <c r="E129" s="360">
        <f t="shared" ref="E129:E133" si="4">E39</f>
        <v>20584.13322</v>
      </c>
      <c r="F129" s="360">
        <f t="shared" ref="F129:F133" si="5">E50</f>
        <v>24189.913020000004</v>
      </c>
      <c r="G129" s="360">
        <f t="shared" ref="G129:G133" si="6">E61</f>
        <v>25667.996760000002</v>
      </c>
      <c r="H129" s="360">
        <f t="shared" ref="H129:H133" si="7">E72</f>
        <v>30658.055048339691</v>
      </c>
      <c r="I129" s="360">
        <f t="shared" ref="I129:I133" si="8">E83</f>
        <v>34641.600122329932</v>
      </c>
      <c r="J129" s="360">
        <f t="shared" ref="J129:J133" si="9">E94</f>
        <v>39163.441148852377</v>
      </c>
      <c r="K129" s="360">
        <f t="shared" ref="K129:K133" si="10">E105</f>
        <v>43709.278310642891</v>
      </c>
      <c r="L129" s="360">
        <f t="shared" si="2"/>
        <v>0</v>
      </c>
    </row>
    <row r="130" spans="1:12" x14ac:dyDescent="0.25">
      <c r="A130" s="66" t="s">
        <v>359</v>
      </c>
      <c r="B130" s="360">
        <f t="shared" si="3"/>
        <v>305.39250177612007</v>
      </c>
      <c r="C130" s="360">
        <f t="shared" si="0"/>
        <v>337.34633822962286</v>
      </c>
      <c r="D130" s="360">
        <f t="shared" si="1"/>
        <v>320.26533150266283</v>
      </c>
      <c r="E130" s="360">
        <f t="shared" si="4"/>
        <v>360.94385249296005</v>
      </c>
      <c r="F130" s="360">
        <f t="shared" si="5"/>
        <v>403.16379330492583</v>
      </c>
      <c r="G130" s="360">
        <f t="shared" si="6"/>
        <v>436.33218737656125</v>
      </c>
      <c r="H130" s="360">
        <f t="shared" si="7"/>
        <v>491.62858712245514</v>
      </c>
      <c r="I130" s="360">
        <f t="shared" si="8"/>
        <v>545.27676723501611</v>
      </c>
      <c r="J130" s="360">
        <f t="shared" si="9"/>
        <v>605.15516531730646</v>
      </c>
      <c r="K130" s="360">
        <f t="shared" si="10"/>
        <v>668.12428502818909</v>
      </c>
      <c r="L130" s="360">
        <f t="shared" si="2"/>
        <v>0</v>
      </c>
    </row>
    <row r="131" spans="1:12" x14ac:dyDescent="0.25">
      <c r="A131" s="66" t="s">
        <v>360</v>
      </c>
      <c r="B131" s="360">
        <f t="shared" si="3"/>
        <v>0</v>
      </c>
      <c r="C131" s="360">
        <f t="shared" si="0"/>
        <v>0</v>
      </c>
      <c r="D131" s="360">
        <f t="shared" si="1"/>
        <v>0</v>
      </c>
      <c r="E131" s="360">
        <f t="shared" si="4"/>
        <v>0</v>
      </c>
      <c r="F131" s="360">
        <f t="shared" si="5"/>
        <v>0</v>
      </c>
      <c r="G131" s="360">
        <f t="shared" si="6"/>
        <v>0</v>
      </c>
      <c r="H131" s="360">
        <f t="shared" si="7"/>
        <v>0</v>
      </c>
      <c r="I131" s="360">
        <f t="shared" si="8"/>
        <v>0</v>
      </c>
      <c r="J131" s="360">
        <f t="shared" si="9"/>
        <v>0</v>
      </c>
      <c r="K131" s="360">
        <f t="shared" si="10"/>
        <v>0</v>
      </c>
      <c r="L131" s="360">
        <f t="shared" si="2"/>
        <v>0</v>
      </c>
    </row>
    <row r="132" spans="1:12" x14ac:dyDescent="0.25">
      <c r="A132" s="66" t="s">
        <v>361</v>
      </c>
      <c r="B132" s="360">
        <f t="shared" si="3"/>
        <v>30711.950133333332</v>
      </c>
      <c r="C132" s="360">
        <f t="shared" si="0"/>
        <v>38474.481466666664</v>
      </c>
      <c r="D132" s="360">
        <f t="shared" si="1"/>
        <v>44423.582133333337</v>
      </c>
      <c r="E132" s="360">
        <f t="shared" si="4"/>
        <v>44309.416800000006</v>
      </c>
      <c r="F132" s="360">
        <f t="shared" si="5"/>
        <v>44238.65600000001</v>
      </c>
      <c r="G132" s="360">
        <f t="shared" si="6"/>
        <v>1368.3083333333334</v>
      </c>
      <c r="H132" s="360">
        <f t="shared" si="7"/>
        <v>1714.1666666666667</v>
      </c>
      <c r="I132" s="360">
        <f t="shared" si="8"/>
        <v>1815</v>
      </c>
      <c r="J132" s="360">
        <f t="shared" si="9"/>
        <v>1915.8333333333333</v>
      </c>
      <c r="K132" s="360">
        <f t="shared" si="10"/>
        <v>2016.6666666666667</v>
      </c>
      <c r="L132" s="360">
        <f t="shared" si="2"/>
        <v>0</v>
      </c>
    </row>
    <row r="133" spans="1:12" x14ac:dyDescent="0.25">
      <c r="A133" s="66" t="s">
        <v>394</v>
      </c>
      <c r="B133" s="360">
        <f t="shared" si="3"/>
        <v>91380.677315085704</v>
      </c>
      <c r="C133" s="360">
        <f t="shared" si="0"/>
        <v>114226.98724737143</v>
      </c>
      <c r="D133" s="360">
        <f>E32</f>
        <v>131777.7518665143</v>
      </c>
      <c r="E133" s="360">
        <f t="shared" si="4"/>
        <v>131298.0952385143</v>
      </c>
      <c r="F133" s="360">
        <f t="shared" si="5"/>
        <v>131030.17296600004</v>
      </c>
      <c r="G133" s="360">
        <f t="shared" si="6"/>
        <v>5225.1003907142849</v>
      </c>
      <c r="H133" s="360">
        <f t="shared" si="7"/>
        <v>6545.8147857142858</v>
      </c>
      <c r="I133" s="360">
        <f t="shared" si="8"/>
        <v>6930.8627142857149</v>
      </c>
      <c r="J133" s="360">
        <f t="shared" si="9"/>
        <v>7315.9106428571431</v>
      </c>
      <c r="K133" s="360">
        <f t="shared" si="10"/>
        <v>7700.9585714285722</v>
      </c>
      <c r="L133" s="360">
        <f t="shared" si="2"/>
        <v>0</v>
      </c>
    </row>
    <row r="134" spans="1:12" x14ac:dyDescent="0.25">
      <c r="A134" s="66" t="s">
        <v>506</v>
      </c>
      <c r="B134" s="360">
        <f>'Un-Direct N2O'!H6</f>
        <v>29319.601936931431</v>
      </c>
      <c r="C134" s="360">
        <f>'Un-Direct N2O'!H7</f>
        <v>36730.213367602853</v>
      </c>
      <c r="D134" s="360">
        <f>'Un-Direct N2O'!H8</f>
        <v>42409.607306188569</v>
      </c>
      <c r="E134" s="360">
        <f>'Un-Direct N2O'!H9</f>
        <v>42300.617739788584</v>
      </c>
      <c r="F134" s="360">
        <f>'Un-Direct N2O'!H10</f>
        <v>42233.064931200002</v>
      </c>
      <c r="G134" s="360">
        <f>'Un-Direct N2O'!H11</f>
        <v>1306.2750976785712</v>
      </c>
      <c r="H134" s="360">
        <f>'Un-Direct N2O'!H12</f>
        <v>1636.4536964285712</v>
      </c>
      <c r="I134" s="360">
        <f>'Un-Direct N2O'!H13</f>
        <v>1732.7156785714285</v>
      </c>
      <c r="J134" s="360">
        <f>'Un-Direct N2O'!H14</f>
        <v>1828.9776607142855</v>
      </c>
      <c r="K134" s="360">
        <f>'Un-Direct N2O'!H15</f>
        <v>1925.2396428571428</v>
      </c>
      <c r="L134" s="360">
        <f>'Un-Direct N2O'!H16</f>
        <v>0</v>
      </c>
    </row>
    <row r="135" spans="1:12" x14ac:dyDescent="0.25">
      <c r="A135" s="231" t="s">
        <v>435</v>
      </c>
      <c r="B135" s="361">
        <f>SUM(B128:B134)</f>
        <v>174368.69147200437</v>
      </c>
      <c r="C135" s="361">
        <f t="shared" ref="C135:L135" si="11">SUM(C128:C134)</f>
        <v>216444.03883185674</v>
      </c>
      <c r="D135" s="361">
        <f t="shared" si="11"/>
        <v>244800.14072179771</v>
      </c>
      <c r="E135" s="361">
        <f t="shared" si="11"/>
        <v>246633.67211804667</v>
      </c>
      <c r="F135" s="361">
        <f t="shared" si="11"/>
        <v>249466.32003806526</v>
      </c>
      <c r="G135" s="361">
        <f t="shared" si="11"/>
        <v>42216.591617624355</v>
      </c>
      <c r="H135" s="361">
        <f t="shared" si="11"/>
        <v>51334.537385956799</v>
      </c>
      <c r="I135" s="361">
        <f t="shared" si="11"/>
        <v>56559.074978323995</v>
      </c>
      <c r="J135" s="361">
        <f t="shared" si="11"/>
        <v>62328.138741193121</v>
      </c>
      <c r="K135" s="361">
        <f t="shared" si="11"/>
        <v>68124.289360958908</v>
      </c>
      <c r="L135" s="361">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13"/>
      <c r="B3" s="464" t="s">
        <v>456</v>
      </c>
      <c r="C3" s="388"/>
      <c r="D3" s="388"/>
      <c r="E3" s="388"/>
      <c r="F3" s="388"/>
      <c r="G3" s="388"/>
      <c r="H3" s="388"/>
      <c r="I3" s="388"/>
      <c r="J3" s="388"/>
      <c r="K3" s="388"/>
      <c r="L3" s="389"/>
    </row>
    <row r="4" spans="1:12" x14ac:dyDescent="0.25">
      <c r="A4" s="214" t="s">
        <v>12</v>
      </c>
      <c r="B4" s="214">
        <v>2011</v>
      </c>
      <c r="C4" s="215">
        <v>2012</v>
      </c>
      <c r="D4" s="214">
        <v>2013</v>
      </c>
      <c r="E4" s="215">
        <v>2014</v>
      </c>
      <c r="F4" s="215">
        <v>2015</v>
      </c>
      <c r="G4" s="214">
        <v>2016</v>
      </c>
      <c r="H4" s="215">
        <v>2017</v>
      </c>
      <c r="I4" s="215">
        <v>2018</v>
      </c>
      <c r="J4" s="214">
        <v>2019</v>
      </c>
      <c r="K4" s="215">
        <v>2020</v>
      </c>
      <c r="L4" s="214">
        <v>2021</v>
      </c>
    </row>
    <row r="5" spans="1:12" x14ac:dyDescent="0.25">
      <c r="A5" s="54" t="s">
        <v>64</v>
      </c>
      <c r="B5" s="216">
        <f>'Peternakan-CH4'!C27</f>
        <v>0</v>
      </c>
      <c r="C5" s="216">
        <f>'Peternakan-CH4'!D27</f>
        <v>0</v>
      </c>
      <c r="D5" s="216">
        <f>'Peternakan-CH4'!E27</f>
        <v>0</v>
      </c>
      <c r="E5" s="216">
        <f>'Peternakan-CH4'!F27</f>
        <v>0</v>
      </c>
      <c r="F5" s="216">
        <f>'Peternakan-CH4'!G27</f>
        <v>0</v>
      </c>
      <c r="G5" s="216">
        <f>'Peternakan-CH4'!H27</f>
        <v>0</v>
      </c>
      <c r="H5" s="216">
        <f>'Peternakan-CH4'!I27</f>
        <v>0</v>
      </c>
      <c r="I5" s="216">
        <f>'Peternakan-CH4'!J27</f>
        <v>0</v>
      </c>
      <c r="J5" s="216">
        <f>'Peternakan-CH4'!K27</f>
        <v>0</v>
      </c>
      <c r="K5" s="216">
        <f>'Peternakan-CH4'!L27</f>
        <v>0</v>
      </c>
      <c r="L5" s="212"/>
    </row>
    <row r="6" spans="1:12" x14ac:dyDescent="0.25">
      <c r="A6" s="54" t="s">
        <v>71</v>
      </c>
      <c r="B6" s="216">
        <f>'Peternakan-CH4'!C28</f>
        <v>12189</v>
      </c>
      <c r="C6" s="216">
        <f>'Peternakan-CH4'!D28</f>
        <v>15398</v>
      </c>
      <c r="D6" s="216">
        <f>'Peternakan-CH4'!E28</f>
        <v>14136</v>
      </c>
      <c r="E6" s="216">
        <f>'Peternakan-CH4'!F28</f>
        <v>17345</v>
      </c>
      <c r="F6" s="216">
        <f>'Peternakan-CH4'!G28</f>
        <v>20502</v>
      </c>
      <c r="G6" s="216">
        <f>'Peternakan-CH4'!H28</f>
        <v>21659</v>
      </c>
      <c r="H6" s="216">
        <f>'Peternakan-CH4'!I28</f>
        <v>26589.508234463978</v>
      </c>
      <c r="I6" s="216">
        <f>'Peternakan-CH4'!J28</f>
        <v>30280.799896359073</v>
      </c>
      <c r="J6" s="216">
        <f>'Peternakan-CH4'!K28</f>
        <v>34484.535564853562</v>
      </c>
      <c r="K6" s="216">
        <f>'Peternakan-CH4'!L28</f>
        <v>38688.271233348103</v>
      </c>
      <c r="L6" s="212"/>
    </row>
    <row r="7" spans="1:12" x14ac:dyDescent="0.25">
      <c r="A7" s="54" t="s">
        <v>22</v>
      </c>
      <c r="B7" s="216">
        <f>'Peternakan-CH4'!C29</f>
        <v>554</v>
      </c>
      <c r="C7" s="216">
        <f>'Peternakan-CH4'!D29</f>
        <v>560</v>
      </c>
      <c r="D7" s="216">
        <f>'Peternakan-CH4'!E29</f>
        <v>489</v>
      </c>
      <c r="E7" s="216">
        <f>'Peternakan-CH4'!F29</f>
        <v>528</v>
      </c>
      <c r="F7" s="216">
        <f>'Peternakan-CH4'!G29</f>
        <v>683</v>
      </c>
      <c r="G7" s="216">
        <f>'Peternakan-CH4'!H29</f>
        <v>756</v>
      </c>
      <c r="H7" s="216">
        <f>'Peternakan-CH4'!I29</f>
        <v>717</v>
      </c>
      <c r="I7" s="216">
        <f>'Peternakan-CH4'!J29</f>
        <v>752</v>
      </c>
      <c r="J7" s="216">
        <f>'Peternakan-CH4'!K29</f>
        <v>789</v>
      </c>
      <c r="K7" s="216">
        <f>'Peternakan-CH4'!L29</f>
        <v>828</v>
      </c>
      <c r="L7" s="212"/>
    </row>
    <row r="8" spans="1:12" x14ac:dyDescent="0.25">
      <c r="A8" s="54" t="s">
        <v>65</v>
      </c>
      <c r="B8" s="216">
        <f>'Peternakan-CH4'!C30</f>
        <v>58</v>
      </c>
      <c r="C8" s="216">
        <f>'Peternakan-CH4'!D30</f>
        <v>130</v>
      </c>
      <c r="D8" s="216">
        <f>'Peternakan-CH4'!E30</f>
        <v>125</v>
      </c>
      <c r="E8" s="216">
        <f>'Peternakan-CH4'!F30</f>
        <v>33</v>
      </c>
      <c r="F8" s="216">
        <f>'Peternakan-CH4'!G30</f>
        <v>48</v>
      </c>
      <c r="G8" s="216">
        <f>'Peternakan-CH4'!H30</f>
        <v>74</v>
      </c>
      <c r="H8" s="216">
        <f>'Peternakan-CH4'!I30</f>
        <v>57</v>
      </c>
      <c r="I8" s="216">
        <f>'Peternakan-CH4'!J30</f>
        <v>68</v>
      </c>
      <c r="J8" s="216">
        <f>'Peternakan-CH4'!K30</f>
        <v>81</v>
      </c>
      <c r="K8" s="216">
        <f>'Peternakan-CH4'!L30</f>
        <v>97</v>
      </c>
      <c r="L8" s="212"/>
    </row>
    <row r="9" spans="1:12" x14ac:dyDescent="0.25">
      <c r="A9" s="54" t="s">
        <v>23</v>
      </c>
      <c r="B9" s="216">
        <f>'Peternakan-CH4'!C31</f>
        <v>4847</v>
      </c>
      <c r="C9" s="216">
        <f>'Peternakan-CH4'!D31</f>
        <v>5760</v>
      </c>
      <c r="D9" s="216">
        <f>'Peternakan-CH4'!E31</f>
        <v>5994</v>
      </c>
      <c r="E9" s="216">
        <f>'Peternakan-CH4'!F31</f>
        <v>6469</v>
      </c>
      <c r="F9" s="216">
        <f>'Peternakan-CH4'!G31</f>
        <v>7201</v>
      </c>
      <c r="G9" s="216">
        <f>'Peternakan-CH4'!H31</f>
        <v>7724</v>
      </c>
      <c r="H9" s="216">
        <f>'Peternakan-CH4'!I31</f>
        <v>7558</v>
      </c>
      <c r="I9" s="216">
        <f>'Peternakan-CH4'!J31</f>
        <v>7935</v>
      </c>
      <c r="J9" s="216">
        <f>'Peternakan-CH4'!K31</f>
        <v>8331</v>
      </c>
      <c r="K9" s="216">
        <f>'Peternakan-CH4'!L31</f>
        <v>8747</v>
      </c>
      <c r="L9" s="212"/>
    </row>
    <row r="10" spans="1:12" x14ac:dyDescent="0.25">
      <c r="A10" s="54" t="s">
        <v>24</v>
      </c>
      <c r="B10" s="216">
        <f>'Peternakan-CH4'!C32</f>
        <v>0</v>
      </c>
      <c r="C10" s="216">
        <f>'Peternakan-CH4'!D32</f>
        <v>0</v>
      </c>
      <c r="D10" s="216">
        <f>'Peternakan-CH4'!E32</f>
        <v>0</v>
      </c>
      <c r="E10" s="216">
        <f>'Peternakan-CH4'!F32</f>
        <v>0</v>
      </c>
      <c r="F10" s="216">
        <f>'Peternakan-CH4'!G32</f>
        <v>0</v>
      </c>
      <c r="G10" s="216">
        <f>'Peternakan-CH4'!H32</f>
        <v>0</v>
      </c>
      <c r="H10" s="216">
        <f>'Peternakan-CH4'!I32</f>
        <v>0</v>
      </c>
      <c r="I10" s="216">
        <f>'Peternakan-CH4'!J32</f>
        <v>0</v>
      </c>
      <c r="J10" s="216">
        <f>'Peternakan-CH4'!K32</f>
        <v>0</v>
      </c>
      <c r="K10" s="216">
        <f>'Peternakan-CH4'!L32</f>
        <v>0</v>
      </c>
      <c r="L10" s="212"/>
    </row>
    <row r="11" spans="1:12" x14ac:dyDescent="0.25">
      <c r="A11" s="54" t="s">
        <v>72</v>
      </c>
      <c r="B11" s="216">
        <f>'Peternakan-CH4'!C33</f>
        <v>837449</v>
      </c>
      <c r="C11" s="216">
        <f>'Peternakan-CH4'!D33</f>
        <v>872933</v>
      </c>
      <c r="D11" s="216">
        <f>'Peternakan-CH4'!E33</f>
        <v>925756</v>
      </c>
      <c r="E11" s="216">
        <f>'Peternakan-CH4'!F33</f>
        <v>1019349</v>
      </c>
      <c r="F11" s="216">
        <f>'Peternakan-CH4'!G33</f>
        <v>1314528</v>
      </c>
      <c r="G11" s="216">
        <f>'Peternakan-CH4'!H33</f>
        <v>1445980.8</v>
      </c>
      <c r="H11" s="216">
        <f>'Peternakan-CH4'!I33</f>
        <v>1590578.8800000001</v>
      </c>
      <c r="I11" s="216">
        <f>'Peternakan-CH4'!J33</f>
        <v>1749636.7680000002</v>
      </c>
      <c r="J11" s="216">
        <f>'Peternakan-CH4'!K33</f>
        <v>1924600.4448000002</v>
      </c>
      <c r="K11" s="216">
        <f>'Peternakan-CH4'!L33</f>
        <v>2117060.4892800003</v>
      </c>
      <c r="L11" s="212"/>
    </row>
    <row r="12" spans="1:12" x14ac:dyDescent="0.25">
      <c r="A12" s="54" t="s">
        <v>73</v>
      </c>
      <c r="B12" s="216">
        <f>'Peternakan-CH4'!C34</f>
        <v>2050000</v>
      </c>
      <c r="C12" s="216">
        <f>'Peternakan-CH4'!D34</f>
        <v>1993350</v>
      </c>
      <c r="D12" s="216">
        <f>'Peternakan-CH4'!E34</f>
        <v>1831500</v>
      </c>
      <c r="E12" s="216">
        <f>'Peternakan-CH4'!F34</f>
        <v>1967589</v>
      </c>
      <c r="F12" s="216">
        <f>'Peternakan-CH4'!G34</f>
        <v>1967715</v>
      </c>
      <c r="G12" s="216">
        <f>'Peternakan-CH4'!H34</f>
        <v>2164486.5</v>
      </c>
      <c r="H12" s="216">
        <f>'Peternakan-CH4'!I34</f>
        <v>2380935.15</v>
      </c>
      <c r="I12" s="216">
        <f>'Peternakan-CH4'!J34</f>
        <v>2619028.665</v>
      </c>
      <c r="J12" s="216">
        <f>'Peternakan-CH4'!K34</f>
        <v>2880931.5315</v>
      </c>
      <c r="K12" s="216">
        <f>'Peternakan-CH4'!L34</f>
        <v>3169024.6846500002</v>
      </c>
      <c r="L12" s="212"/>
    </row>
    <row r="13" spans="1:12" x14ac:dyDescent="0.25">
      <c r="A13" s="54" t="s">
        <v>74</v>
      </c>
      <c r="B13" s="216">
        <f>'Peternakan-CH4'!C35</f>
        <v>1275</v>
      </c>
      <c r="C13" s="216">
        <f>'Peternakan-CH4'!D35</f>
        <v>2100</v>
      </c>
      <c r="D13" s="216">
        <f>'Peternakan-CH4'!E35</f>
        <v>3315</v>
      </c>
      <c r="E13" s="216">
        <f>'Peternakan-CH4'!F35</f>
        <v>3466</v>
      </c>
      <c r="F13" s="216">
        <f>'Peternakan-CH4'!G35</f>
        <v>2201</v>
      </c>
      <c r="G13" s="216">
        <f>'Peternakan-CH4'!H35</f>
        <v>2421.1</v>
      </c>
      <c r="H13" s="216">
        <f>'Peternakan-CH4'!I35</f>
        <v>2663.21</v>
      </c>
      <c r="I13" s="216">
        <f>'Peternakan-CH4'!J35</f>
        <v>2929.5309999999999</v>
      </c>
      <c r="J13" s="216">
        <f>'Peternakan-CH4'!K35</f>
        <v>3222.4841000000001</v>
      </c>
      <c r="K13" s="216">
        <f>'Peternakan-CH4'!L35</f>
        <v>3544.7325100000003</v>
      </c>
      <c r="L13" s="212"/>
    </row>
    <row r="14" spans="1:12" x14ac:dyDescent="0.25">
      <c r="A14" s="54" t="s">
        <v>75</v>
      </c>
      <c r="B14" s="216">
        <f>'Peternakan-CH4'!C36</f>
        <v>12890</v>
      </c>
      <c r="C14" s="216">
        <f>'Peternakan-CH4'!D36</f>
        <v>16602</v>
      </c>
      <c r="D14" s="216">
        <f>'Peternakan-CH4'!E36</f>
        <v>18117</v>
      </c>
      <c r="E14" s="216">
        <f>'Peternakan-CH4'!F36</f>
        <v>35648</v>
      </c>
      <c r="F14" s="216">
        <f>'Peternakan-CH4'!G36</f>
        <v>38896</v>
      </c>
      <c r="G14" s="216">
        <f>'Peternakan-CH4'!H36</f>
        <v>42785.599999999999</v>
      </c>
      <c r="H14" s="216">
        <f>'Peternakan-CH4'!I36</f>
        <v>47064.159999999996</v>
      </c>
      <c r="I14" s="216">
        <f>'Peternakan-CH4'!J36</f>
        <v>51770.575999999994</v>
      </c>
      <c r="J14" s="216">
        <f>'Peternakan-CH4'!K36</f>
        <v>56947.633599999994</v>
      </c>
      <c r="K14" s="216">
        <f>'Peternakan-CH4'!L36</f>
        <v>62642.396959999991</v>
      </c>
      <c r="L14" s="212"/>
    </row>
    <row r="17" spans="1:2" x14ac:dyDescent="0.25">
      <c r="A17" s="222" t="s">
        <v>426</v>
      </c>
    </row>
    <row r="18" spans="1:2" s="223" customFormat="1" x14ac:dyDescent="0.25">
      <c r="A18" s="224" t="s">
        <v>396</v>
      </c>
      <c r="B18" s="225" t="s">
        <v>427</v>
      </c>
    </row>
    <row r="19" spans="1:2" x14ac:dyDescent="0.25">
      <c r="A19" s="214">
        <v>2011</v>
      </c>
      <c r="B19" s="227">
        <f>'Lahan sawah'!D11</f>
        <v>3938.3999999999996</v>
      </c>
    </row>
    <row r="20" spans="1:2" x14ac:dyDescent="0.25">
      <c r="A20" s="215">
        <v>2012</v>
      </c>
      <c r="B20" s="227">
        <f>'Lahan sawah'!D12</f>
        <v>4088.3999999999996</v>
      </c>
    </row>
    <row r="21" spans="1:2" x14ac:dyDescent="0.25">
      <c r="A21" s="214">
        <v>2013</v>
      </c>
      <c r="B21" s="227">
        <f>'Lahan sawah'!D13</f>
        <v>4344</v>
      </c>
    </row>
    <row r="22" spans="1:2" x14ac:dyDescent="0.25">
      <c r="A22" s="215">
        <v>2014</v>
      </c>
      <c r="B22" s="227">
        <f>'Lahan sawah'!D14</f>
        <v>3856.7999999999997</v>
      </c>
    </row>
    <row r="23" spans="1:2" x14ac:dyDescent="0.25">
      <c r="A23" s="215">
        <v>2015</v>
      </c>
      <c r="B23" s="227">
        <f>'Lahan sawah'!D15</f>
        <v>3654</v>
      </c>
    </row>
    <row r="24" spans="1:2" x14ac:dyDescent="0.25">
      <c r="A24" s="214">
        <v>2016</v>
      </c>
      <c r="B24" s="227">
        <f>'Lahan sawah'!D16</f>
        <v>4071</v>
      </c>
    </row>
    <row r="25" spans="1:2" x14ac:dyDescent="0.25">
      <c r="A25" s="215">
        <v>2017</v>
      </c>
      <c r="B25" s="227">
        <f>'Lahan sawah'!D17</f>
        <v>5100</v>
      </c>
    </row>
    <row r="26" spans="1:2" x14ac:dyDescent="0.25">
      <c r="A26" s="215">
        <v>2018</v>
      </c>
      <c r="B26" s="227">
        <f>'Lahan sawah'!D18</f>
        <v>5400</v>
      </c>
    </row>
    <row r="27" spans="1:2" x14ac:dyDescent="0.25">
      <c r="A27" s="214">
        <v>2019</v>
      </c>
      <c r="B27" s="227">
        <f>'Lahan sawah'!D19</f>
        <v>5700</v>
      </c>
    </row>
    <row r="28" spans="1:2" x14ac:dyDescent="0.25">
      <c r="A28" s="215">
        <v>2020</v>
      </c>
      <c r="B28" s="227">
        <f>'Lahan sawah'!D20</f>
        <v>6000</v>
      </c>
    </row>
    <row r="29" spans="1:2" x14ac:dyDescent="0.25">
      <c r="A29" s="226">
        <v>2021</v>
      </c>
      <c r="B29" s="227">
        <f>'Lahan sawah'!D21</f>
        <v>0</v>
      </c>
    </row>
    <row r="32" spans="1:2" x14ac:dyDescent="0.25">
      <c r="A32" s="222" t="s">
        <v>428</v>
      </c>
    </row>
    <row r="33" spans="1:2" ht="30" x14ac:dyDescent="0.25">
      <c r="A33" s="224" t="s">
        <v>396</v>
      </c>
      <c r="B33" s="225" t="s">
        <v>429</v>
      </c>
    </row>
    <row r="34" spans="1:2" x14ac:dyDescent="0.25">
      <c r="A34" s="214">
        <v>2011</v>
      </c>
      <c r="B34" s="227">
        <f>'Direct N2O'!C36</f>
        <v>2961</v>
      </c>
    </row>
    <row r="35" spans="1:2" x14ac:dyDescent="0.25">
      <c r="A35" s="215">
        <v>2012</v>
      </c>
      <c r="B35" s="227">
        <f>'Direct N2O'!C37</f>
        <v>3399</v>
      </c>
    </row>
    <row r="36" spans="1:2" x14ac:dyDescent="0.25">
      <c r="A36" s="214">
        <v>2013</v>
      </c>
      <c r="B36" s="227">
        <f>'Direct N2O'!C38</f>
        <v>3064</v>
      </c>
    </row>
    <row r="37" spans="1:2" x14ac:dyDescent="0.25">
      <c r="A37" s="215">
        <v>2014</v>
      </c>
      <c r="B37" s="227">
        <f>'Direct N2O'!C39</f>
        <v>2595</v>
      </c>
    </row>
    <row r="38" spans="1:2" x14ac:dyDescent="0.25">
      <c r="A38" s="215">
        <v>2015</v>
      </c>
      <c r="B38" s="227">
        <f>'Direct N2O'!C40</f>
        <v>3283</v>
      </c>
    </row>
    <row r="39" spans="1:2" x14ac:dyDescent="0.25">
      <c r="A39" s="214">
        <v>2016</v>
      </c>
      <c r="B39" s="227">
        <f>'Direct N2O'!C41</f>
        <v>3491</v>
      </c>
    </row>
    <row r="40" spans="1:2" x14ac:dyDescent="0.25">
      <c r="A40" s="215">
        <v>2017</v>
      </c>
      <c r="B40" s="227">
        <f>'Direct N2O'!C42</f>
        <v>3300</v>
      </c>
    </row>
    <row r="41" spans="1:2" x14ac:dyDescent="0.25">
      <c r="A41" s="215">
        <v>2018</v>
      </c>
      <c r="B41" s="227">
        <f>'Direct N2O'!C43</f>
        <v>3500</v>
      </c>
    </row>
    <row r="42" spans="1:2" x14ac:dyDescent="0.25">
      <c r="A42" s="214">
        <v>2019</v>
      </c>
      <c r="B42" s="227">
        <f>'Direct N2O'!C44</f>
        <v>3700</v>
      </c>
    </row>
    <row r="43" spans="1:2" x14ac:dyDescent="0.25">
      <c r="A43" s="215">
        <v>2020</v>
      </c>
      <c r="B43" s="227">
        <f>'Direct N2O'!C45</f>
        <v>4000</v>
      </c>
    </row>
    <row r="44" spans="1:2" x14ac:dyDescent="0.25">
      <c r="A44" s="226">
        <v>2021</v>
      </c>
      <c r="B44" s="227">
        <f>'Direct N2O'!C46</f>
        <v>0</v>
      </c>
    </row>
    <row r="47" spans="1:2" x14ac:dyDescent="0.25">
      <c r="A47" s="222" t="s">
        <v>430</v>
      </c>
    </row>
    <row r="48" spans="1:2" ht="30" x14ac:dyDescent="0.25">
      <c r="A48" s="224" t="s">
        <v>396</v>
      </c>
      <c r="B48" s="225" t="s">
        <v>431</v>
      </c>
    </row>
    <row r="49" spans="1:2" x14ac:dyDescent="0.25">
      <c r="A49" s="214">
        <v>2011</v>
      </c>
      <c r="B49" s="227">
        <f>'Direct N2O'!E36</f>
        <v>767</v>
      </c>
    </row>
    <row r="50" spans="1:2" x14ac:dyDescent="0.25">
      <c r="A50" s="215">
        <v>2012</v>
      </c>
      <c r="B50" s="227">
        <f>'Direct N2O'!E37</f>
        <v>700</v>
      </c>
    </row>
    <row r="51" spans="1:2" x14ac:dyDescent="0.25">
      <c r="A51" s="214">
        <v>2013</v>
      </c>
      <c r="B51" s="227">
        <f>'Direct N2O'!E38</f>
        <v>735</v>
      </c>
    </row>
    <row r="52" spans="1:2" x14ac:dyDescent="0.25">
      <c r="A52" s="215">
        <v>2014</v>
      </c>
      <c r="B52" s="227">
        <f>'Direct N2O'!E39</f>
        <v>587</v>
      </c>
    </row>
    <row r="53" spans="1:2" x14ac:dyDescent="0.25">
      <c r="A53" s="215">
        <v>2015</v>
      </c>
      <c r="B53" s="227">
        <f>'Direct N2O'!E40</f>
        <v>613</v>
      </c>
    </row>
    <row r="54" spans="1:2" x14ac:dyDescent="0.25">
      <c r="A54" s="214">
        <v>2016</v>
      </c>
      <c r="B54" s="227">
        <f>'Direct N2O'!E41</f>
        <v>671</v>
      </c>
    </row>
    <row r="55" spans="1:2" x14ac:dyDescent="0.25">
      <c r="A55" s="215">
        <v>2017</v>
      </c>
      <c r="B55" s="227">
        <f>'Direct N2O'!E42</f>
        <v>779</v>
      </c>
    </row>
    <row r="56" spans="1:2" x14ac:dyDescent="0.25">
      <c r="A56" s="215">
        <v>2018</v>
      </c>
      <c r="B56" s="227">
        <f>'Direct N2O'!E43</f>
        <v>865</v>
      </c>
    </row>
    <row r="57" spans="1:2" x14ac:dyDescent="0.25">
      <c r="A57" s="214">
        <v>2019</v>
      </c>
      <c r="B57" s="227">
        <f>'Direct N2O'!E44</f>
        <v>818</v>
      </c>
    </row>
    <row r="58" spans="1:2" x14ac:dyDescent="0.25">
      <c r="A58" s="215">
        <v>2020</v>
      </c>
      <c r="B58" s="227">
        <f>'Direct N2O'!E45</f>
        <v>971</v>
      </c>
    </row>
    <row r="59" spans="1:2" x14ac:dyDescent="0.25">
      <c r="A59" s="226">
        <v>2021</v>
      </c>
      <c r="B59" s="227">
        <f>'Direct N2O'!E46</f>
        <v>0</v>
      </c>
    </row>
    <row r="62" spans="1:2" x14ac:dyDescent="0.25">
      <c r="A62" s="222" t="s">
        <v>432</v>
      </c>
    </row>
    <row r="63" spans="1:2" ht="45" x14ac:dyDescent="0.25">
      <c r="A63" s="224" t="s">
        <v>396</v>
      </c>
      <c r="B63" s="225" t="s">
        <v>433</v>
      </c>
    </row>
    <row r="64" spans="1:2" x14ac:dyDescent="0.25">
      <c r="A64" s="214">
        <v>2011</v>
      </c>
      <c r="B64" s="227">
        <f>'Direct N2O'!F36</f>
        <v>0</v>
      </c>
    </row>
    <row r="65" spans="1:12" x14ac:dyDescent="0.25">
      <c r="A65" s="215">
        <v>2012</v>
      </c>
      <c r="B65" s="227">
        <f>'Direct N2O'!F37</f>
        <v>0</v>
      </c>
    </row>
    <row r="66" spans="1:12" x14ac:dyDescent="0.25">
      <c r="A66" s="214">
        <v>2013</v>
      </c>
      <c r="B66" s="227">
        <f>'Direct N2O'!F38</f>
        <v>0</v>
      </c>
    </row>
    <row r="67" spans="1:12" x14ac:dyDescent="0.25">
      <c r="A67" s="215">
        <v>2014</v>
      </c>
      <c r="B67" s="227">
        <f>'Direct N2O'!F39</f>
        <v>0</v>
      </c>
    </row>
    <row r="68" spans="1:12" x14ac:dyDescent="0.25">
      <c r="A68" s="215">
        <v>2015</v>
      </c>
      <c r="B68" s="227">
        <f>'Direct N2O'!F40</f>
        <v>0</v>
      </c>
    </row>
    <row r="69" spans="1:12" x14ac:dyDescent="0.25">
      <c r="A69" s="214">
        <v>2016</v>
      </c>
      <c r="B69" s="227">
        <f>'Direct N2O'!F41</f>
        <v>0</v>
      </c>
    </row>
    <row r="70" spans="1:12" x14ac:dyDescent="0.25">
      <c r="A70" s="215">
        <v>2017</v>
      </c>
      <c r="B70" s="227">
        <f>'Direct N2O'!F42</f>
        <v>0</v>
      </c>
    </row>
    <row r="71" spans="1:12" x14ac:dyDescent="0.25">
      <c r="A71" s="215">
        <v>2018</v>
      </c>
      <c r="B71" s="227">
        <f>'Direct N2O'!F43</f>
        <v>0</v>
      </c>
    </row>
    <row r="72" spans="1:12" x14ac:dyDescent="0.25">
      <c r="A72" s="214">
        <v>2019</v>
      </c>
      <c r="B72" s="227">
        <f>'Direct N2O'!F44</f>
        <v>0</v>
      </c>
    </row>
    <row r="73" spans="1:12" x14ac:dyDescent="0.25">
      <c r="A73" s="215">
        <v>2020</v>
      </c>
      <c r="B73" s="227">
        <f>'Direct N2O'!F45</f>
        <v>0</v>
      </c>
    </row>
    <row r="74" spans="1:12" x14ac:dyDescent="0.25">
      <c r="A74" s="226">
        <v>2021</v>
      </c>
      <c r="B74" s="227">
        <f>'Direct N2O'!F46</f>
        <v>0</v>
      </c>
    </row>
    <row r="78" spans="1:12" x14ac:dyDescent="0.25">
      <c r="A78" s="463" t="s">
        <v>443</v>
      </c>
      <c r="B78" s="463"/>
      <c r="C78" s="463"/>
      <c r="D78" s="463"/>
      <c r="E78" s="463"/>
      <c r="F78" s="463"/>
      <c r="G78" s="463"/>
      <c r="H78" s="463"/>
      <c r="I78" s="463"/>
      <c r="J78" s="463"/>
      <c r="K78" s="463"/>
      <c r="L78" s="463"/>
    </row>
    <row r="79" spans="1:12" x14ac:dyDescent="0.25">
      <c r="A79" s="166"/>
    </row>
    <row r="80" spans="1:12" x14ac:dyDescent="0.25">
      <c r="A80" s="233"/>
      <c r="B80" s="465" t="s">
        <v>434</v>
      </c>
      <c r="C80" s="465"/>
      <c r="D80" s="465"/>
      <c r="E80" s="465"/>
      <c r="F80" s="465"/>
      <c r="G80" s="465"/>
      <c r="H80" s="465"/>
      <c r="I80" s="465"/>
      <c r="J80" s="465"/>
      <c r="K80" s="465"/>
      <c r="L80" s="465"/>
    </row>
    <row r="81" spans="1:12" x14ac:dyDescent="0.25">
      <c r="A81" s="233" t="s">
        <v>424</v>
      </c>
      <c r="B81" s="241">
        <v>2011</v>
      </c>
      <c r="C81" s="242">
        <v>2012</v>
      </c>
      <c r="D81" s="241">
        <v>2013</v>
      </c>
      <c r="E81" s="242">
        <v>2014</v>
      </c>
      <c r="F81" s="242">
        <v>2015</v>
      </c>
      <c r="G81" s="241">
        <v>2016</v>
      </c>
      <c r="H81" s="242">
        <v>2017</v>
      </c>
      <c r="I81" s="242">
        <v>2018</v>
      </c>
      <c r="J81" s="241">
        <v>2019</v>
      </c>
      <c r="K81" s="242">
        <v>2020</v>
      </c>
      <c r="L81" s="241">
        <v>2021</v>
      </c>
    </row>
    <row r="82" spans="1:12" ht="69.75" customHeight="1" x14ac:dyDescent="0.25">
      <c r="A82" s="228" t="s">
        <v>442</v>
      </c>
      <c r="B82" s="234">
        <f>'Perhitungan ke CO2-eq'!B128</f>
        <v>7945.0799648777929</v>
      </c>
      <c r="C82" s="234">
        <f>'Perhitungan ke CO2-eq'!C128</f>
        <v>8247.6805119861765</v>
      </c>
      <c r="D82" s="234">
        <f>'Perhitungan ke CO2-eq'!D128</f>
        <v>8763.3118442588693</v>
      </c>
      <c r="E82" s="234">
        <f>'Perhitungan ke CO2-eq'!E128</f>
        <v>7780.46526725083</v>
      </c>
      <c r="F82" s="234">
        <f>'Perhitungan ke CO2-eq'!F128</f>
        <v>7371.3493275602896</v>
      </c>
      <c r="G82" s="234">
        <f>'Perhitungan ke CO2-eq'!G128</f>
        <v>8212.5788485216053</v>
      </c>
      <c r="H82" s="234">
        <f>'Perhitungan ke CO2-eq'!H128</f>
        <v>10288.418601685134</v>
      </c>
      <c r="I82" s="234">
        <f>'Perhitungan ke CO2-eq'!I128</f>
        <v>10893.619695901907</v>
      </c>
      <c r="J82" s="234">
        <f>'Perhitungan ke CO2-eq'!J128</f>
        <v>11498.820790118678</v>
      </c>
      <c r="K82" s="234">
        <f>'Perhitungan ke CO2-eq'!K128</f>
        <v>12104.021884335452</v>
      </c>
      <c r="L82" s="234">
        <f>'Perhitungan ke CO2-eq'!L128</f>
        <v>0</v>
      </c>
    </row>
    <row r="83" spans="1:12" ht="60" x14ac:dyDescent="0.25">
      <c r="A83" s="228" t="s">
        <v>436</v>
      </c>
      <c r="B83" s="234">
        <f>'Perhitungan ke CO2-eq'!B129</f>
        <v>14705.989619999998</v>
      </c>
      <c r="C83" s="234">
        <f>'Perhitungan ke CO2-eq'!C129</f>
        <v>18427.329899999997</v>
      </c>
      <c r="D83" s="234">
        <f>'Perhitungan ke CO2-eq'!D129</f>
        <v>17105.622240000004</v>
      </c>
      <c r="E83" s="234">
        <f>'Perhitungan ke CO2-eq'!E129</f>
        <v>20584.13322</v>
      </c>
      <c r="F83" s="234">
        <f>'Perhitungan ke CO2-eq'!F129</f>
        <v>24189.913020000004</v>
      </c>
      <c r="G83" s="234">
        <f>'Perhitungan ke CO2-eq'!G129</f>
        <v>25667.996760000002</v>
      </c>
      <c r="H83" s="234">
        <f>'Perhitungan ke CO2-eq'!H129</f>
        <v>30658.055048339691</v>
      </c>
      <c r="I83" s="234">
        <f>'Perhitungan ke CO2-eq'!I129</f>
        <v>34641.600122329932</v>
      </c>
      <c r="J83" s="234">
        <f>'Perhitungan ke CO2-eq'!J129</f>
        <v>39163.441148852377</v>
      </c>
      <c r="K83" s="234">
        <f>'Perhitungan ke CO2-eq'!K129</f>
        <v>43709.278310642891</v>
      </c>
      <c r="L83" s="234">
        <f>'Perhitungan ke CO2-eq'!L129</f>
        <v>0</v>
      </c>
    </row>
    <row r="84" spans="1:12" ht="60" x14ac:dyDescent="0.25">
      <c r="A84" s="228" t="s">
        <v>437</v>
      </c>
      <c r="B84" s="234">
        <f>'Perhitungan ke CO2-eq'!B130</f>
        <v>305.39250177612007</v>
      </c>
      <c r="C84" s="234">
        <f>'Perhitungan ke CO2-eq'!C130</f>
        <v>337.34633822962286</v>
      </c>
      <c r="D84" s="234">
        <f>'Perhitungan ke CO2-eq'!D130</f>
        <v>320.26533150266283</v>
      </c>
      <c r="E84" s="234">
        <f>'Perhitungan ke CO2-eq'!E130</f>
        <v>360.94385249296005</v>
      </c>
      <c r="F84" s="234">
        <f>'Perhitungan ke CO2-eq'!F130</f>
        <v>403.16379330492583</v>
      </c>
      <c r="G84" s="234">
        <f>'Perhitungan ke CO2-eq'!G130</f>
        <v>436.33218737656125</v>
      </c>
      <c r="H84" s="234">
        <f>'Perhitungan ke CO2-eq'!H130</f>
        <v>491.62858712245514</v>
      </c>
      <c r="I84" s="234">
        <f>'Perhitungan ke CO2-eq'!I130</f>
        <v>545.27676723501611</v>
      </c>
      <c r="J84" s="234">
        <f>'Perhitungan ke CO2-eq'!J130</f>
        <v>605.15516531730646</v>
      </c>
      <c r="K84" s="234">
        <f>'Perhitungan ke CO2-eq'!K130</f>
        <v>668.12428502818909</v>
      </c>
      <c r="L84" s="234">
        <f>'Perhitungan ke CO2-eq'!L130</f>
        <v>0</v>
      </c>
    </row>
    <row r="85" spans="1:12" ht="60" x14ac:dyDescent="0.25">
      <c r="A85" s="228" t="s">
        <v>438</v>
      </c>
      <c r="B85" s="234">
        <f>'Perhitungan ke CO2-eq'!B131</f>
        <v>0</v>
      </c>
      <c r="C85" s="234">
        <f>'Perhitungan ke CO2-eq'!C131</f>
        <v>0</v>
      </c>
      <c r="D85" s="234">
        <f>'Perhitungan ke CO2-eq'!D131</f>
        <v>0</v>
      </c>
      <c r="E85" s="234">
        <f>'Perhitungan ke CO2-eq'!E131</f>
        <v>0</v>
      </c>
      <c r="F85" s="234">
        <f>'Perhitungan ke CO2-eq'!F131</f>
        <v>0</v>
      </c>
      <c r="G85" s="234">
        <f>'Perhitungan ke CO2-eq'!G131</f>
        <v>0</v>
      </c>
      <c r="H85" s="234">
        <f>'Perhitungan ke CO2-eq'!H131</f>
        <v>0</v>
      </c>
      <c r="I85" s="234">
        <f>'Perhitungan ke CO2-eq'!I131</f>
        <v>0</v>
      </c>
      <c r="J85" s="234">
        <f>'Perhitungan ke CO2-eq'!J131</f>
        <v>0</v>
      </c>
      <c r="K85" s="234">
        <f>'Perhitungan ke CO2-eq'!K131</f>
        <v>0</v>
      </c>
      <c r="L85" s="234">
        <f>'Perhitungan ke CO2-eq'!L131</f>
        <v>0</v>
      </c>
    </row>
    <row r="86" spans="1:12" ht="45" x14ac:dyDescent="0.25">
      <c r="A86" s="228" t="s">
        <v>439</v>
      </c>
      <c r="B86" s="234">
        <f>'Perhitungan ke CO2-eq'!B132</f>
        <v>30711.950133333332</v>
      </c>
      <c r="C86" s="234">
        <f>'Perhitungan ke CO2-eq'!C132</f>
        <v>38474.481466666664</v>
      </c>
      <c r="D86" s="234">
        <f>'Perhitungan ke CO2-eq'!D132</f>
        <v>44423.582133333337</v>
      </c>
      <c r="E86" s="234">
        <f>'Perhitungan ke CO2-eq'!E132</f>
        <v>44309.416800000006</v>
      </c>
      <c r="F86" s="234">
        <f>'Perhitungan ke CO2-eq'!F132</f>
        <v>44238.65600000001</v>
      </c>
      <c r="G86" s="234">
        <f>'Perhitungan ke CO2-eq'!G132</f>
        <v>1368.3083333333334</v>
      </c>
      <c r="H86" s="234">
        <f>'Perhitungan ke CO2-eq'!H132</f>
        <v>1714.1666666666667</v>
      </c>
      <c r="I86" s="234">
        <f>'Perhitungan ke CO2-eq'!I132</f>
        <v>1815</v>
      </c>
      <c r="J86" s="234">
        <f>'Perhitungan ke CO2-eq'!J132</f>
        <v>1915.8333333333333</v>
      </c>
      <c r="K86" s="234">
        <f>'Perhitungan ke CO2-eq'!K132</f>
        <v>2016.6666666666667</v>
      </c>
      <c r="L86" s="234">
        <f>'Perhitungan ke CO2-eq'!L132</f>
        <v>0</v>
      </c>
    </row>
    <row r="87" spans="1:12" ht="45" x14ac:dyDescent="0.25">
      <c r="A87" s="228" t="s">
        <v>440</v>
      </c>
      <c r="B87" s="234">
        <f>'Perhitungan ke CO2-eq'!B133</f>
        <v>91380.677315085704</v>
      </c>
      <c r="C87" s="234">
        <f>'Perhitungan ke CO2-eq'!C133</f>
        <v>114226.98724737143</v>
      </c>
      <c r="D87" s="234">
        <f>'Perhitungan ke CO2-eq'!D133</f>
        <v>131777.7518665143</v>
      </c>
      <c r="E87" s="234">
        <f>'Perhitungan ke CO2-eq'!E133</f>
        <v>131298.0952385143</v>
      </c>
      <c r="F87" s="234">
        <f>'Perhitungan ke CO2-eq'!F133</f>
        <v>131030.17296600004</v>
      </c>
      <c r="G87" s="234">
        <f>'Perhitungan ke CO2-eq'!G133</f>
        <v>5225.1003907142849</v>
      </c>
      <c r="H87" s="234">
        <f>'Perhitungan ke CO2-eq'!H133</f>
        <v>6545.8147857142858</v>
      </c>
      <c r="I87" s="234">
        <f>'Perhitungan ke CO2-eq'!I133</f>
        <v>6930.8627142857149</v>
      </c>
      <c r="J87" s="234">
        <f>'Perhitungan ke CO2-eq'!J133</f>
        <v>7315.9106428571431</v>
      </c>
      <c r="K87" s="234">
        <f>'Perhitungan ke CO2-eq'!K133</f>
        <v>7700.9585714285722</v>
      </c>
      <c r="L87" s="234">
        <f>'Perhitungan ke CO2-eq'!L133</f>
        <v>0</v>
      </c>
    </row>
    <row r="88" spans="1:12" s="166" customFormat="1" ht="45" x14ac:dyDescent="0.25">
      <c r="A88" s="232" t="s">
        <v>441</v>
      </c>
      <c r="B88" s="235">
        <f>'Perhitungan ke CO2-eq'!B135</f>
        <v>174368.69147200437</v>
      </c>
      <c r="C88" s="235">
        <f>'Perhitungan ke CO2-eq'!C135</f>
        <v>216444.03883185674</v>
      </c>
      <c r="D88" s="235">
        <f>'Perhitungan ke CO2-eq'!D135</f>
        <v>244800.14072179771</v>
      </c>
      <c r="E88" s="235">
        <f>'Perhitungan ke CO2-eq'!E135</f>
        <v>246633.67211804667</v>
      </c>
      <c r="F88" s="235">
        <f>'Perhitungan ke CO2-eq'!F135</f>
        <v>249466.32003806526</v>
      </c>
      <c r="G88" s="235">
        <f>'Perhitungan ke CO2-eq'!G135</f>
        <v>42216.591617624355</v>
      </c>
      <c r="H88" s="235">
        <f>'Perhitungan ke CO2-eq'!H135</f>
        <v>51334.537385956799</v>
      </c>
      <c r="I88" s="235">
        <f>'Perhitungan ke CO2-eq'!I135</f>
        <v>56559.074978323995</v>
      </c>
      <c r="J88" s="235">
        <f>'Perhitungan ke CO2-eq'!J135</f>
        <v>62328.138741193121</v>
      </c>
      <c r="K88" s="235">
        <f>'Perhitungan ke CO2-eq'!K135</f>
        <v>68124.289360958908</v>
      </c>
      <c r="L88" s="235">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17" t="s">
        <v>396</v>
      </c>
      <c r="C1" s="217">
        <v>2011</v>
      </c>
      <c r="J1" s="217" t="s">
        <v>396</v>
      </c>
      <c r="K1" s="217">
        <v>2012</v>
      </c>
      <c r="R1" s="217" t="s">
        <v>396</v>
      </c>
      <c r="S1" s="217">
        <v>2013</v>
      </c>
      <c r="Z1" s="217" t="s">
        <v>396</v>
      </c>
      <c r="AA1" s="217">
        <v>2014</v>
      </c>
      <c r="AH1" s="217" t="s">
        <v>396</v>
      </c>
      <c r="AI1" s="217">
        <v>2015</v>
      </c>
      <c r="AP1" s="217" t="s">
        <v>396</v>
      </c>
      <c r="AQ1" s="217">
        <v>2016</v>
      </c>
      <c r="AX1" s="217" t="s">
        <v>396</v>
      </c>
      <c r="AY1" s="217">
        <v>2017</v>
      </c>
      <c r="BF1" s="217" t="s">
        <v>396</v>
      </c>
      <c r="BG1" s="217">
        <v>2018</v>
      </c>
      <c r="BN1" s="217" t="s">
        <v>396</v>
      </c>
      <c r="BO1" s="217">
        <v>2019</v>
      </c>
      <c r="BV1" s="217" t="s">
        <v>396</v>
      </c>
      <c r="BW1" s="217">
        <v>2020</v>
      </c>
      <c r="CD1" s="217" t="s">
        <v>396</v>
      </c>
      <c r="CE1" s="217">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7" t="s">
        <v>3</v>
      </c>
      <c r="C6" s="384" t="s">
        <v>4</v>
      </c>
      <c r="D6" s="386"/>
      <c r="E6" s="48" t="s">
        <v>9</v>
      </c>
      <c r="F6" s="384" t="s">
        <v>17</v>
      </c>
      <c r="G6" s="385"/>
      <c r="H6" s="195"/>
      <c r="J6" s="47" t="s">
        <v>3</v>
      </c>
      <c r="K6" s="384" t="s">
        <v>4</v>
      </c>
      <c r="L6" s="386"/>
      <c r="M6" s="48" t="s">
        <v>9</v>
      </c>
      <c r="N6" s="384" t="s">
        <v>17</v>
      </c>
      <c r="O6" s="385"/>
      <c r="P6" s="195"/>
      <c r="R6" s="47" t="s">
        <v>3</v>
      </c>
      <c r="S6" s="384" t="s">
        <v>4</v>
      </c>
      <c r="T6" s="386"/>
      <c r="U6" s="48" t="s">
        <v>9</v>
      </c>
      <c r="V6" s="384" t="s">
        <v>17</v>
      </c>
      <c r="W6" s="385"/>
      <c r="X6" s="195"/>
      <c r="Z6" s="47" t="s">
        <v>3</v>
      </c>
      <c r="AA6" s="384" t="s">
        <v>4</v>
      </c>
      <c r="AB6" s="386"/>
      <c r="AC6" s="48" t="s">
        <v>9</v>
      </c>
      <c r="AD6" s="384" t="s">
        <v>17</v>
      </c>
      <c r="AE6" s="385"/>
      <c r="AF6" s="195"/>
      <c r="AH6" s="47" t="s">
        <v>3</v>
      </c>
      <c r="AI6" s="384" t="s">
        <v>4</v>
      </c>
      <c r="AJ6" s="386"/>
      <c r="AK6" s="48" t="s">
        <v>9</v>
      </c>
      <c r="AL6" s="384" t="s">
        <v>17</v>
      </c>
      <c r="AM6" s="385"/>
      <c r="AN6" s="195"/>
      <c r="AP6" s="47" t="s">
        <v>3</v>
      </c>
      <c r="AQ6" s="384" t="s">
        <v>4</v>
      </c>
      <c r="AR6" s="386"/>
      <c r="AS6" s="48" t="s">
        <v>9</v>
      </c>
      <c r="AT6" s="384" t="s">
        <v>17</v>
      </c>
      <c r="AU6" s="385"/>
      <c r="AV6" s="195"/>
      <c r="AX6" s="47" t="s">
        <v>3</v>
      </c>
      <c r="AY6" s="384" t="s">
        <v>4</v>
      </c>
      <c r="AZ6" s="386"/>
      <c r="BA6" s="48" t="s">
        <v>9</v>
      </c>
      <c r="BB6" s="384" t="s">
        <v>17</v>
      </c>
      <c r="BC6" s="385"/>
      <c r="BD6" s="195"/>
      <c r="BF6" s="47" t="s">
        <v>3</v>
      </c>
      <c r="BG6" s="384" t="s">
        <v>4</v>
      </c>
      <c r="BH6" s="386"/>
      <c r="BI6" s="48" t="s">
        <v>9</v>
      </c>
      <c r="BJ6" s="384" t="s">
        <v>17</v>
      </c>
      <c r="BK6" s="385"/>
      <c r="BL6" s="195"/>
      <c r="BN6" s="47" t="s">
        <v>3</v>
      </c>
      <c r="BO6" s="384" t="s">
        <v>4</v>
      </c>
      <c r="BP6" s="386"/>
      <c r="BQ6" s="48" t="s">
        <v>9</v>
      </c>
      <c r="BR6" s="384" t="s">
        <v>17</v>
      </c>
      <c r="BS6" s="385"/>
      <c r="BT6" s="195"/>
      <c r="BV6" s="47" t="s">
        <v>3</v>
      </c>
      <c r="BW6" s="384" t="s">
        <v>4</v>
      </c>
      <c r="BX6" s="386"/>
      <c r="BY6" s="48" t="s">
        <v>9</v>
      </c>
      <c r="BZ6" s="384" t="s">
        <v>17</v>
      </c>
      <c r="CA6" s="385"/>
      <c r="CB6" s="195"/>
      <c r="CD6" s="47" t="s">
        <v>3</v>
      </c>
      <c r="CE6" s="384" t="s">
        <v>4</v>
      </c>
      <c r="CF6" s="386"/>
      <c r="CG6" s="48" t="s">
        <v>9</v>
      </c>
      <c r="CH6" s="384" t="s">
        <v>17</v>
      </c>
      <c r="CI6" s="385"/>
      <c r="CJ6" s="195"/>
    </row>
    <row r="7" spans="2:88" s="19" customFormat="1" ht="33" x14ac:dyDescent="0.25">
      <c r="B7" s="207" t="s">
        <v>12</v>
      </c>
      <c r="C7" s="25" t="s">
        <v>5</v>
      </c>
      <c r="D7" s="25" t="s">
        <v>7</v>
      </c>
      <c r="E7" s="24" t="s">
        <v>16</v>
      </c>
      <c r="F7" s="24" t="s">
        <v>57</v>
      </c>
      <c r="G7" s="21" t="s">
        <v>18</v>
      </c>
      <c r="H7" s="196" t="s">
        <v>362</v>
      </c>
      <c r="J7" s="207" t="s">
        <v>12</v>
      </c>
      <c r="K7" s="25" t="s">
        <v>5</v>
      </c>
      <c r="L7" s="25" t="s">
        <v>7</v>
      </c>
      <c r="M7" s="24" t="s">
        <v>16</v>
      </c>
      <c r="N7" s="24" t="s">
        <v>57</v>
      </c>
      <c r="O7" s="21" t="s">
        <v>18</v>
      </c>
      <c r="P7" s="196" t="s">
        <v>362</v>
      </c>
      <c r="R7" s="207" t="s">
        <v>12</v>
      </c>
      <c r="S7" s="25" t="s">
        <v>5</v>
      </c>
      <c r="T7" s="25" t="s">
        <v>7</v>
      </c>
      <c r="U7" s="24" t="s">
        <v>16</v>
      </c>
      <c r="V7" s="24" t="s">
        <v>57</v>
      </c>
      <c r="W7" s="21" t="s">
        <v>18</v>
      </c>
      <c r="X7" s="196" t="s">
        <v>362</v>
      </c>
      <c r="Z7" s="207" t="s">
        <v>12</v>
      </c>
      <c r="AA7" s="25" t="s">
        <v>5</v>
      </c>
      <c r="AB7" s="25" t="s">
        <v>7</v>
      </c>
      <c r="AC7" s="24" t="s">
        <v>16</v>
      </c>
      <c r="AD7" s="24" t="s">
        <v>57</v>
      </c>
      <c r="AE7" s="21" t="s">
        <v>18</v>
      </c>
      <c r="AF7" s="196" t="s">
        <v>362</v>
      </c>
      <c r="AH7" s="207" t="s">
        <v>12</v>
      </c>
      <c r="AI7" s="25" t="s">
        <v>5</v>
      </c>
      <c r="AJ7" s="25" t="s">
        <v>7</v>
      </c>
      <c r="AK7" s="24" t="s">
        <v>16</v>
      </c>
      <c r="AL7" s="24" t="s">
        <v>57</v>
      </c>
      <c r="AM7" s="21" t="s">
        <v>18</v>
      </c>
      <c r="AN7" s="196" t="s">
        <v>362</v>
      </c>
      <c r="AP7" s="207" t="s">
        <v>12</v>
      </c>
      <c r="AQ7" s="25" t="s">
        <v>5</v>
      </c>
      <c r="AR7" s="25" t="s">
        <v>7</v>
      </c>
      <c r="AS7" s="24" t="s">
        <v>16</v>
      </c>
      <c r="AT7" s="24" t="s">
        <v>57</v>
      </c>
      <c r="AU7" s="21" t="s">
        <v>18</v>
      </c>
      <c r="AV7" s="196" t="s">
        <v>362</v>
      </c>
      <c r="AX7" s="207" t="s">
        <v>12</v>
      </c>
      <c r="AY7" s="25" t="s">
        <v>5</v>
      </c>
      <c r="AZ7" s="25" t="s">
        <v>7</v>
      </c>
      <c r="BA7" s="24" t="s">
        <v>16</v>
      </c>
      <c r="BB7" s="24" t="s">
        <v>57</v>
      </c>
      <c r="BC7" s="21" t="s">
        <v>18</v>
      </c>
      <c r="BD7" s="196" t="s">
        <v>362</v>
      </c>
      <c r="BF7" s="207" t="s">
        <v>12</v>
      </c>
      <c r="BG7" s="25" t="s">
        <v>5</v>
      </c>
      <c r="BH7" s="25" t="s">
        <v>7</v>
      </c>
      <c r="BI7" s="24" t="s">
        <v>16</v>
      </c>
      <c r="BJ7" s="24" t="s">
        <v>57</v>
      </c>
      <c r="BK7" s="21" t="s">
        <v>18</v>
      </c>
      <c r="BL7" s="196" t="s">
        <v>362</v>
      </c>
      <c r="BN7" s="207" t="s">
        <v>12</v>
      </c>
      <c r="BO7" s="25" t="s">
        <v>5</v>
      </c>
      <c r="BP7" s="25" t="s">
        <v>7</v>
      </c>
      <c r="BQ7" s="24" t="s">
        <v>16</v>
      </c>
      <c r="BR7" s="24" t="s">
        <v>57</v>
      </c>
      <c r="BS7" s="21" t="s">
        <v>18</v>
      </c>
      <c r="BT7" s="196" t="s">
        <v>362</v>
      </c>
      <c r="BV7" s="207" t="s">
        <v>12</v>
      </c>
      <c r="BW7" s="25" t="s">
        <v>5</v>
      </c>
      <c r="BX7" s="25" t="s">
        <v>7</v>
      </c>
      <c r="BY7" s="24" t="s">
        <v>16</v>
      </c>
      <c r="BZ7" s="24" t="s">
        <v>57</v>
      </c>
      <c r="CA7" s="21" t="s">
        <v>18</v>
      </c>
      <c r="CB7" s="196" t="s">
        <v>362</v>
      </c>
      <c r="CD7" s="207" t="s">
        <v>12</v>
      </c>
      <c r="CE7" s="25" t="s">
        <v>5</v>
      </c>
      <c r="CF7" s="25" t="s">
        <v>7</v>
      </c>
      <c r="CG7" s="24" t="s">
        <v>16</v>
      </c>
      <c r="CH7" s="24" t="s">
        <v>57</v>
      </c>
      <c r="CI7" s="21" t="s">
        <v>18</v>
      </c>
      <c r="CJ7" s="196"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85" t="s">
        <v>116</v>
      </c>
      <c r="E11" s="12"/>
      <c r="F11" s="85" t="s">
        <v>117</v>
      </c>
      <c r="G11" s="2"/>
      <c r="H11" s="3"/>
      <c r="J11" s="6"/>
      <c r="K11" s="9"/>
      <c r="L11" s="85" t="s">
        <v>116</v>
      </c>
      <c r="M11" s="12"/>
      <c r="N11" s="85" t="s">
        <v>117</v>
      </c>
      <c r="O11" s="2"/>
      <c r="P11" s="3"/>
      <c r="R11" s="6"/>
      <c r="S11" s="9"/>
      <c r="T11" s="85" t="s">
        <v>116</v>
      </c>
      <c r="U11" s="12"/>
      <c r="V11" s="85" t="s">
        <v>117</v>
      </c>
      <c r="W11" s="2"/>
      <c r="X11" s="3"/>
      <c r="Z11" s="6"/>
      <c r="AA11" s="9"/>
      <c r="AB11" s="85" t="s">
        <v>116</v>
      </c>
      <c r="AC11" s="12"/>
      <c r="AD11" s="85" t="s">
        <v>117</v>
      </c>
      <c r="AE11" s="2"/>
      <c r="AF11" s="3"/>
      <c r="AH11" s="6"/>
      <c r="AI11" s="9"/>
      <c r="AJ11" s="85" t="s">
        <v>116</v>
      </c>
      <c r="AK11" s="12"/>
      <c r="AL11" s="85" t="s">
        <v>117</v>
      </c>
      <c r="AM11" s="2"/>
      <c r="AN11" s="3"/>
      <c r="AP11" s="6"/>
      <c r="AQ11" s="9"/>
      <c r="AR11" s="85" t="s">
        <v>116</v>
      </c>
      <c r="AS11" s="12"/>
      <c r="AT11" s="85" t="s">
        <v>117</v>
      </c>
      <c r="AU11" s="2"/>
      <c r="AV11" s="3"/>
      <c r="AX11" s="6"/>
      <c r="AY11" s="9"/>
      <c r="AZ11" s="85" t="s">
        <v>116</v>
      </c>
      <c r="BA11" s="12"/>
      <c r="BB11" s="85" t="s">
        <v>117</v>
      </c>
      <c r="BC11" s="2"/>
      <c r="BD11" s="3"/>
      <c r="BF11" s="6"/>
      <c r="BG11" s="9"/>
      <c r="BH11" s="85" t="s">
        <v>116</v>
      </c>
      <c r="BI11" s="12"/>
      <c r="BJ11" s="85" t="s">
        <v>117</v>
      </c>
      <c r="BK11" s="2"/>
      <c r="BL11" s="3"/>
      <c r="BN11" s="6"/>
      <c r="BO11" s="9"/>
      <c r="BP11" s="85" t="s">
        <v>116</v>
      </c>
      <c r="BQ11" s="12"/>
      <c r="BR11" s="85" t="s">
        <v>117</v>
      </c>
      <c r="BS11" s="2"/>
      <c r="BT11" s="3"/>
      <c r="BV11" s="6"/>
      <c r="BW11" s="9"/>
      <c r="BX11" s="85" t="s">
        <v>116</v>
      </c>
      <c r="BY11" s="12"/>
      <c r="BZ11" s="85" t="s">
        <v>117</v>
      </c>
      <c r="CA11" s="2"/>
      <c r="CB11" s="3"/>
      <c r="CD11" s="6"/>
      <c r="CE11" s="9"/>
      <c r="CF11" s="85" t="s">
        <v>116</v>
      </c>
      <c r="CG11" s="12"/>
      <c r="CH11" s="85" t="s">
        <v>117</v>
      </c>
      <c r="CI11" s="2"/>
      <c r="CJ11" s="3"/>
    </row>
    <row r="12" spans="2:88" x14ac:dyDescent="0.25">
      <c r="B12" s="45" t="s">
        <v>64</v>
      </c>
      <c r="C12" s="81">
        <f>C27</f>
        <v>0</v>
      </c>
      <c r="D12" s="82">
        <f>'EF peternakan'!$C$6</f>
        <v>61</v>
      </c>
      <c r="E12" s="42">
        <f>C12*D12*10^-6</f>
        <v>0</v>
      </c>
      <c r="F12" s="83">
        <f>'EF peternakan'!$C$16</f>
        <v>31</v>
      </c>
      <c r="G12" s="190">
        <f>C12*F12*10^-6</f>
        <v>0</v>
      </c>
      <c r="H12" s="163">
        <f>E12+G12</f>
        <v>0</v>
      </c>
      <c r="J12" s="45" t="s">
        <v>64</v>
      </c>
      <c r="K12" s="81">
        <f>D27</f>
        <v>0</v>
      </c>
      <c r="L12" s="82">
        <f>'EF peternakan'!$C$6</f>
        <v>61</v>
      </c>
      <c r="M12" s="42">
        <f t="shared" ref="M12:M17" si="0">K12*L12*10^-6</f>
        <v>0</v>
      </c>
      <c r="N12" s="83">
        <f>'EF peternakan'!$C$16</f>
        <v>31</v>
      </c>
      <c r="O12" s="190">
        <f t="shared" ref="O12:O18" si="1">K12*N12*10^-6</f>
        <v>0</v>
      </c>
      <c r="P12" s="163">
        <f>M12+O12</f>
        <v>0</v>
      </c>
      <c r="R12" s="45" t="s">
        <v>64</v>
      </c>
      <c r="S12" s="81">
        <f>E27</f>
        <v>0</v>
      </c>
      <c r="T12" s="82">
        <f>'EF peternakan'!$C$6</f>
        <v>61</v>
      </c>
      <c r="U12" s="42">
        <f t="shared" ref="U12:U18" si="2">S12*T12*10^-6</f>
        <v>0</v>
      </c>
      <c r="V12" s="83">
        <f>'EF peternakan'!$C$16</f>
        <v>31</v>
      </c>
      <c r="W12" s="190">
        <f t="shared" ref="W12:W18" si="3">S12*V12*10^-6</f>
        <v>0</v>
      </c>
      <c r="X12" s="163">
        <f>U12+W12</f>
        <v>0</v>
      </c>
      <c r="Z12" s="45" t="s">
        <v>64</v>
      </c>
      <c r="AA12" s="81">
        <f>F27</f>
        <v>0</v>
      </c>
      <c r="AB12" s="82">
        <f>'EF peternakan'!$C$6</f>
        <v>61</v>
      </c>
      <c r="AC12" s="42">
        <f t="shared" ref="AC12:AC18" si="4">AA12*AB12*10^-6</f>
        <v>0</v>
      </c>
      <c r="AD12" s="83">
        <f>'EF peternakan'!$C$16</f>
        <v>31</v>
      </c>
      <c r="AE12" s="190">
        <f t="shared" ref="AE12:AE18" si="5">AA12*AD12*10^-6</f>
        <v>0</v>
      </c>
      <c r="AF12" s="163">
        <f>AC12+AE12</f>
        <v>0</v>
      </c>
      <c r="AH12" s="45" t="s">
        <v>64</v>
      </c>
      <c r="AI12" s="81">
        <f>G27</f>
        <v>0</v>
      </c>
      <c r="AJ12" s="82">
        <f>'EF peternakan'!$C$6</f>
        <v>61</v>
      </c>
      <c r="AK12" s="42">
        <f t="shared" ref="AK12:AK18" si="6">AI12*AJ12*10^-6</f>
        <v>0</v>
      </c>
      <c r="AL12" s="83">
        <f>'EF peternakan'!$C$16</f>
        <v>31</v>
      </c>
      <c r="AM12" s="190">
        <f t="shared" ref="AM12:AM17" si="7">AI12*AL12*10^-6</f>
        <v>0</v>
      </c>
      <c r="AN12" s="163">
        <f>AK12+AM12</f>
        <v>0</v>
      </c>
      <c r="AP12" s="45" t="s">
        <v>64</v>
      </c>
      <c r="AQ12" s="81">
        <f>H27</f>
        <v>0</v>
      </c>
      <c r="AR12" s="82">
        <f>'EF peternakan'!$C$6</f>
        <v>61</v>
      </c>
      <c r="AS12" s="42">
        <f t="shared" ref="AS12:AS18" si="8">AQ12*AR12*10^-6</f>
        <v>0</v>
      </c>
      <c r="AT12" s="83">
        <f>'EF peternakan'!$C$16</f>
        <v>31</v>
      </c>
      <c r="AU12" s="190">
        <f t="shared" ref="AU12:AU18" si="9">AQ12*AT12*10^-6</f>
        <v>0</v>
      </c>
      <c r="AV12" s="163">
        <f>AS12+AU12</f>
        <v>0</v>
      </c>
      <c r="AX12" s="45" t="s">
        <v>64</v>
      </c>
      <c r="AY12" s="81">
        <f>I27</f>
        <v>0</v>
      </c>
      <c r="AZ12" s="82">
        <f>'EF peternakan'!$C$6</f>
        <v>61</v>
      </c>
      <c r="BA12" s="42">
        <f t="shared" ref="BA12:BA18" si="10">AY12*AZ12*10^-6</f>
        <v>0</v>
      </c>
      <c r="BB12" s="83">
        <f>'EF peternakan'!$C$16</f>
        <v>31</v>
      </c>
      <c r="BC12" s="190">
        <f t="shared" ref="BC12:BC18" si="11">AY12*BB12*10^-6</f>
        <v>0</v>
      </c>
      <c r="BD12" s="163">
        <f>BA12+BC12</f>
        <v>0</v>
      </c>
      <c r="BF12" s="45" t="s">
        <v>64</v>
      </c>
      <c r="BG12" s="81">
        <f>J27</f>
        <v>0</v>
      </c>
      <c r="BH12" s="82">
        <f>'EF peternakan'!$C$6</f>
        <v>61</v>
      </c>
      <c r="BI12" s="42">
        <f t="shared" ref="BI12:BI18" si="12">BG12*BH12*10^-6</f>
        <v>0</v>
      </c>
      <c r="BJ12" s="83">
        <f>'EF peternakan'!$C$16</f>
        <v>31</v>
      </c>
      <c r="BK12" s="190">
        <f t="shared" ref="BK12:BK18" si="13">BG12*BJ12*10^-6</f>
        <v>0</v>
      </c>
      <c r="BL12" s="163">
        <f>BI12+BK12</f>
        <v>0</v>
      </c>
      <c r="BN12" s="45" t="s">
        <v>64</v>
      </c>
      <c r="BO12" s="81">
        <f>K27</f>
        <v>0</v>
      </c>
      <c r="BP12" s="82">
        <f>'EF peternakan'!$C$6</f>
        <v>61</v>
      </c>
      <c r="BQ12" s="42">
        <f t="shared" ref="BQ12:BQ18" si="14">BO12*BP12*10^-6</f>
        <v>0</v>
      </c>
      <c r="BR12" s="83">
        <f>'EF peternakan'!$C$16</f>
        <v>31</v>
      </c>
      <c r="BS12" s="190">
        <f t="shared" ref="BS12:BS18" si="15">BO12*BR12*10^-6</f>
        <v>0</v>
      </c>
      <c r="BT12" s="163">
        <f>BQ12+BS12</f>
        <v>0</v>
      </c>
      <c r="BV12" s="45" t="s">
        <v>64</v>
      </c>
      <c r="BW12" s="81">
        <f>L27</f>
        <v>0</v>
      </c>
      <c r="BX12" s="82">
        <f>'EF peternakan'!$C$6</f>
        <v>61</v>
      </c>
      <c r="BY12" s="42">
        <f t="shared" ref="BY12:BY18" si="16">BW12*BX12*10^-6</f>
        <v>0</v>
      </c>
      <c r="BZ12" s="83">
        <f>'EF peternakan'!$C$16</f>
        <v>31</v>
      </c>
      <c r="CA12" s="190">
        <f t="shared" ref="CA12:CA18" si="17">BW12*BZ12*10^-6</f>
        <v>0</v>
      </c>
      <c r="CB12" s="163">
        <f>BY12+CA12</f>
        <v>0</v>
      </c>
      <c r="CD12" s="45" t="s">
        <v>64</v>
      </c>
      <c r="CE12" s="81">
        <f>M27</f>
        <v>0</v>
      </c>
      <c r="CF12" s="82">
        <f>'EF peternakan'!$C$6</f>
        <v>61</v>
      </c>
      <c r="CG12" s="42">
        <f t="shared" ref="CG12:CG18" si="18">CE12*CF12*10^-6</f>
        <v>0</v>
      </c>
      <c r="CH12" s="83">
        <f>'EF peternakan'!$C$16</f>
        <v>31</v>
      </c>
      <c r="CI12" s="190">
        <f t="shared" ref="CI12:CI18" si="19">CE12*CH12*10^-6</f>
        <v>0</v>
      </c>
      <c r="CJ12" s="163">
        <f>CG12+CI12</f>
        <v>0</v>
      </c>
    </row>
    <row r="13" spans="2:88" x14ac:dyDescent="0.25">
      <c r="B13" s="45" t="s">
        <v>71</v>
      </c>
      <c r="C13" s="81">
        <f>C28</f>
        <v>12189</v>
      </c>
      <c r="D13" s="82">
        <f>'EF peternakan'!$C$5</f>
        <v>47</v>
      </c>
      <c r="E13" s="42">
        <f t="shared" ref="E13:E18" si="20">C13*D13*10^-6</f>
        <v>0.57288299999999992</v>
      </c>
      <c r="F13" s="83">
        <f>'EF peternakan'!$C$15</f>
        <v>1</v>
      </c>
      <c r="G13" s="190">
        <f t="shared" ref="G13:G18" si="21">C13*F13*10^-6</f>
        <v>1.2189E-2</v>
      </c>
      <c r="H13" s="163">
        <f t="shared" ref="H13:H18" si="22">E13+G13</f>
        <v>0.58507199999999993</v>
      </c>
      <c r="J13" s="45" t="s">
        <v>71</v>
      </c>
      <c r="K13" s="81">
        <f t="shared" ref="K13:K17" si="23">D28</f>
        <v>15398</v>
      </c>
      <c r="L13" s="82">
        <f>'EF peternakan'!$C$5</f>
        <v>47</v>
      </c>
      <c r="M13" s="42">
        <f t="shared" si="0"/>
        <v>0.72370599999999996</v>
      </c>
      <c r="N13" s="83">
        <f>'EF peternakan'!$C$15</f>
        <v>1</v>
      </c>
      <c r="O13" s="190">
        <f t="shared" si="1"/>
        <v>1.5397999999999998E-2</v>
      </c>
      <c r="P13" s="163">
        <f t="shared" ref="P13:P18" si="24">M13+O13</f>
        <v>0.73910399999999998</v>
      </c>
      <c r="R13" s="45" t="s">
        <v>71</v>
      </c>
      <c r="S13" s="81">
        <f t="shared" ref="S13:S17" si="25">E28</f>
        <v>14136</v>
      </c>
      <c r="T13" s="82">
        <f>'EF peternakan'!$C$5</f>
        <v>47</v>
      </c>
      <c r="U13" s="42">
        <f t="shared" si="2"/>
        <v>0.66439199999999998</v>
      </c>
      <c r="V13" s="83">
        <f>'EF peternakan'!$C$15</f>
        <v>1</v>
      </c>
      <c r="W13" s="190">
        <f t="shared" si="3"/>
        <v>1.4135999999999999E-2</v>
      </c>
      <c r="X13" s="163">
        <f t="shared" ref="X13:X18" si="26">U13+W13</f>
        <v>0.67852800000000002</v>
      </c>
      <c r="Z13" s="45" t="s">
        <v>71</v>
      </c>
      <c r="AA13" s="81">
        <f t="shared" ref="AA13:AA17" si="27">F28</f>
        <v>17345</v>
      </c>
      <c r="AB13" s="82">
        <f>'EF peternakan'!$C$5</f>
        <v>47</v>
      </c>
      <c r="AC13" s="42">
        <f t="shared" si="4"/>
        <v>0.81521499999999991</v>
      </c>
      <c r="AD13" s="83">
        <f>'EF peternakan'!$C$15</f>
        <v>1</v>
      </c>
      <c r="AE13" s="190">
        <f t="shared" si="5"/>
        <v>1.7344999999999999E-2</v>
      </c>
      <c r="AF13" s="163">
        <f t="shared" ref="AF13:AF18" si="28">AC13+AE13</f>
        <v>0.83255999999999997</v>
      </c>
      <c r="AH13" s="45" t="s">
        <v>71</v>
      </c>
      <c r="AI13" s="81">
        <f t="shared" ref="AI13:AI17" si="29">G28</f>
        <v>20502</v>
      </c>
      <c r="AJ13" s="82">
        <f>'EF peternakan'!$C$5</f>
        <v>47</v>
      </c>
      <c r="AK13" s="42">
        <f t="shared" si="6"/>
        <v>0.96359399999999995</v>
      </c>
      <c r="AL13" s="83">
        <f>'EF peternakan'!$C$15</f>
        <v>1</v>
      </c>
      <c r="AM13" s="190">
        <f t="shared" si="7"/>
        <v>2.0501999999999999E-2</v>
      </c>
      <c r="AN13" s="163">
        <f t="shared" ref="AN13:AN18" si="30">AK13+AM13</f>
        <v>0.98409599999999997</v>
      </c>
      <c r="AP13" s="45" t="s">
        <v>71</v>
      </c>
      <c r="AQ13" s="81">
        <f t="shared" ref="AQ13:AQ17" si="31">H28</f>
        <v>21659</v>
      </c>
      <c r="AR13" s="82">
        <f>'EF peternakan'!$C$5</f>
        <v>47</v>
      </c>
      <c r="AS13" s="42">
        <f t="shared" si="8"/>
        <v>1.017973</v>
      </c>
      <c r="AT13" s="83">
        <f>'EF peternakan'!$C$15</f>
        <v>1</v>
      </c>
      <c r="AU13" s="190">
        <f t="shared" si="9"/>
        <v>2.1658999999999998E-2</v>
      </c>
      <c r="AV13" s="163">
        <f t="shared" ref="AV13:AV18" si="32">AS13+AU13</f>
        <v>1.0396320000000001</v>
      </c>
      <c r="AX13" s="45" t="s">
        <v>71</v>
      </c>
      <c r="AY13" s="81">
        <f t="shared" ref="AY13:AY17" si="33">I28</f>
        <v>26589.508234463978</v>
      </c>
      <c r="AZ13" s="82">
        <f>'EF peternakan'!$C$5</f>
        <v>47</v>
      </c>
      <c r="BA13" s="42">
        <f t="shared" si="10"/>
        <v>1.2497068870198069</v>
      </c>
      <c r="BB13" s="83">
        <f>'EF peternakan'!$C$15</f>
        <v>1</v>
      </c>
      <c r="BC13" s="190">
        <f t="shared" si="11"/>
        <v>2.6589508234463977E-2</v>
      </c>
      <c r="BD13" s="163">
        <f t="shared" ref="BD13:BD18" si="34">BA13+BC13</f>
        <v>1.276296395254271</v>
      </c>
      <c r="BF13" s="45" t="s">
        <v>71</v>
      </c>
      <c r="BG13" s="81">
        <f t="shared" ref="BG13:BG17" si="35">J28</f>
        <v>30280.799896359073</v>
      </c>
      <c r="BH13" s="82">
        <f>'EF peternakan'!$C$5</f>
        <v>47</v>
      </c>
      <c r="BI13" s="42">
        <f t="shared" si="12"/>
        <v>1.4231975951288762</v>
      </c>
      <c r="BJ13" s="83">
        <f>'EF peternakan'!$C$15</f>
        <v>1</v>
      </c>
      <c r="BK13" s="190">
        <f t="shared" si="13"/>
        <v>3.0280799896359071E-2</v>
      </c>
      <c r="BL13" s="163">
        <f t="shared" ref="BL13:BL18" si="36">BI13+BK13</f>
        <v>1.4534783950252352</v>
      </c>
      <c r="BN13" s="45" t="s">
        <v>71</v>
      </c>
      <c r="BO13" s="81">
        <f t="shared" ref="BO13:BO17" si="37">K28</f>
        <v>34484.535564853562</v>
      </c>
      <c r="BP13" s="82">
        <f>'EF peternakan'!$C$5</f>
        <v>47</v>
      </c>
      <c r="BQ13" s="42">
        <f t="shared" si="14"/>
        <v>1.6207731715481173</v>
      </c>
      <c r="BR13" s="83">
        <f>'EF peternakan'!$C$15</f>
        <v>1</v>
      </c>
      <c r="BS13" s="190">
        <f t="shared" si="15"/>
        <v>3.4484535564853563E-2</v>
      </c>
      <c r="BT13" s="163">
        <f t="shared" ref="BT13:BT18" si="38">BQ13+BS13</f>
        <v>1.6552577071129708</v>
      </c>
      <c r="BV13" s="45" t="s">
        <v>71</v>
      </c>
      <c r="BW13" s="81">
        <f t="shared" ref="BW13:BW17" si="39">L28</f>
        <v>38688.271233348103</v>
      </c>
      <c r="BX13" s="82">
        <f>'EF peternakan'!$C$5</f>
        <v>47</v>
      </c>
      <c r="BY13" s="42">
        <f t="shared" si="16"/>
        <v>1.8183487479673608</v>
      </c>
      <c r="BZ13" s="83">
        <f>'EF peternakan'!$C$15</f>
        <v>1</v>
      </c>
      <c r="CA13" s="190">
        <f t="shared" si="17"/>
        <v>3.8688271233348101E-2</v>
      </c>
      <c r="CB13" s="163">
        <f t="shared" ref="CB13:CB18" si="40">BY13+CA13</f>
        <v>1.8570370192007088</v>
      </c>
      <c r="CD13" s="45" t="s">
        <v>71</v>
      </c>
      <c r="CE13" s="81">
        <f t="shared" ref="CE13:CE17" si="41">M28</f>
        <v>0</v>
      </c>
      <c r="CF13" s="82">
        <f>'EF peternakan'!$C$5</f>
        <v>47</v>
      </c>
      <c r="CG13" s="42">
        <f t="shared" si="18"/>
        <v>0</v>
      </c>
      <c r="CH13" s="83">
        <f>'EF peternakan'!$C$15</f>
        <v>1</v>
      </c>
      <c r="CI13" s="190">
        <f t="shared" si="19"/>
        <v>0</v>
      </c>
      <c r="CJ13" s="163">
        <f t="shared" ref="CJ13:CJ18" si="42">CG13+CI13</f>
        <v>0</v>
      </c>
    </row>
    <row r="14" spans="2:88" x14ac:dyDescent="0.25">
      <c r="B14" s="45" t="s">
        <v>22</v>
      </c>
      <c r="C14" s="81">
        <f t="shared" ref="C14:C17" si="43">C29</f>
        <v>554</v>
      </c>
      <c r="D14" s="82">
        <f>'EF peternakan'!$C$7</f>
        <v>55</v>
      </c>
      <c r="E14" s="42">
        <f t="shared" si="20"/>
        <v>3.0469999999999997E-2</v>
      </c>
      <c r="F14" s="83">
        <f>'EF peternakan'!$C$17</f>
        <v>2</v>
      </c>
      <c r="G14" s="190">
        <f t="shared" si="21"/>
        <v>1.108E-3</v>
      </c>
      <c r="H14" s="163">
        <f t="shared" si="22"/>
        <v>3.1577999999999995E-2</v>
      </c>
      <c r="J14" s="45" t="s">
        <v>22</v>
      </c>
      <c r="K14" s="81">
        <f t="shared" si="23"/>
        <v>560</v>
      </c>
      <c r="L14" s="82">
        <f>'EF peternakan'!$C$7</f>
        <v>55</v>
      </c>
      <c r="M14" s="42">
        <f t="shared" si="0"/>
        <v>3.0799999999999998E-2</v>
      </c>
      <c r="N14" s="83">
        <f>'EF peternakan'!$C$17</f>
        <v>2</v>
      </c>
      <c r="O14" s="190">
        <f t="shared" si="1"/>
        <v>1.1199999999999999E-3</v>
      </c>
      <c r="P14" s="163">
        <f t="shared" si="24"/>
        <v>3.1919999999999997E-2</v>
      </c>
      <c r="R14" s="45" t="s">
        <v>22</v>
      </c>
      <c r="S14" s="81">
        <f t="shared" si="25"/>
        <v>489</v>
      </c>
      <c r="T14" s="82">
        <f>'EF peternakan'!$C$7</f>
        <v>55</v>
      </c>
      <c r="U14" s="42">
        <f t="shared" si="2"/>
        <v>2.6894999999999999E-2</v>
      </c>
      <c r="V14" s="83">
        <f>'EF peternakan'!$C$17</f>
        <v>2</v>
      </c>
      <c r="W14" s="190">
        <f t="shared" si="3"/>
        <v>9.7799999999999992E-4</v>
      </c>
      <c r="X14" s="163">
        <f t="shared" si="26"/>
        <v>2.7872999999999998E-2</v>
      </c>
      <c r="Z14" s="45" t="s">
        <v>22</v>
      </c>
      <c r="AA14" s="81">
        <f t="shared" si="27"/>
        <v>528</v>
      </c>
      <c r="AB14" s="82">
        <f>'EF peternakan'!$C$7</f>
        <v>55</v>
      </c>
      <c r="AC14" s="42">
        <f t="shared" si="4"/>
        <v>2.904E-2</v>
      </c>
      <c r="AD14" s="83">
        <f>'EF peternakan'!$C$17</f>
        <v>2</v>
      </c>
      <c r="AE14" s="190">
        <f t="shared" si="5"/>
        <v>1.0559999999999999E-3</v>
      </c>
      <c r="AF14" s="163">
        <f t="shared" si="28"/>
        <v>3.0096000000000001E-2</v>
      </c>
      <c r="AH14" s="45" t="s">
        <v>22</v>
      </c>
      <c r="AI14" s="81">
        <f t="shared" si="29"/>
        <v>683</v>
      </c>
      <c r="AJ14" s="82">
        <f>'EF peternakan'!$C$7</f>
        <v>55</v>
      </c>
      <c r="AK14" s="42">
        <f t="shared" si="6"/>
        <v>3.7565000000000001E-2</v>
      </c>
      <c r="AL14" s="83">
        <f>'EF peternakan'!$C$17</f>
        <v>2</v>
      </c>
      <c r="AM14" s="190">
        <f t="shared" si="7"/>
        <v>1.366E-3</v>
      </c>
      <c r="AN14" s="163">
        <f t="shared" si="30"/>
        <v>3.8931E-2</v>
      </c>
      <c r="AP14" s="45" t="s">
        <v>22</v>
      </c>
      <c r="AQ14" s="81">
        <f t="shared" si="31"/>
        <v>756</v>
      </c>
      <c r="AR14" s="82">
        <f>'EF peternakan'!$C$7</f>
        <v>55</v>
      </c>
      <c r="AS14" s="42">
        <f t="shared" si="8"/>
        <v>4.1579999999999999E-2</v>
      </c>
      <c r="AT14" s="83">
        <f>'EF peternakan'!$C$17</f>
        <v>2</v>
      </c>
      <c r="AU14" s="190">
        <f t="shared" si="9"/>
        <v>1.5119999999999999E-3</v>
      </c>
      <c r="AV14" s="163">
        <f t="shared" si="32"/>
        <v>4.3091999999999998E-2</v>
      </c>
      <c r="AX14" s="45" t="s">
        <v>22</v>
      </c>
      <c r="AY14" s="81">
        <f t="shared" si="33"/>
        <v>717</v>
      </c>
      <c r="AZ14" s="82">
        <f>'EF peternakan'!$C$7</f>
        <v>55</v>
      </c>
      <c r="BA14" s="42">
        <f t="shared" si="10"/>
        <v>3.9434999999999998E-2</v>
      </c>
      <c r="BB14" s="83">
        <f>'EF peternakan'!$C$17</f>
        <v>2</v>
      </c>
      <c r="BC14" s="190">
        <f t="shared" si="11"/>
        <v>1.4339999999999999E-3</v>
      </c>
      <c r="BD14" s="163">
        <f t="shared" si="34"/>
        <v>4.0868999999999996E-2</v>
      </c>
      <c r="BF14" s="45" t="s">
        <v>22</v>
      </c>
      <c r="BG14" s="81">
        <f t="shared" si="35"/>
        <v>752</v>
      </c>
      <c r="BH14" s="82">
        <f>'EF peternakan'!$C$7</f>
        <v>55</v>
      </c>
      <c r="BI14" s="42">
        <f t="shared" si="12"/>
        <v>4.1360000000000001E-2</v>
      </c>
      <c r="BJ14" s="83">
        <f>'EF peternakan'!$C$17</f>
        <v>2</v>
      </c>
      <c r="BK14" s="190">
        <f t="shared" si="13"/>
        <v>1.5039999999999999E-3</v>
      </c>
      <c r="BL14" s="163">
        <f t="shared" si="36"/>
        <v>4.2863999999999999E-2</v>
      </c>
      <c r="BN14" s="45" t="s">
        <v>22</v>
      </c>
      <c r="BO14" s="81">
        <f t="shared" si="37"/>
        <v>789</v>
      </c>
      <c r="BP14" s="82">
        <f>'EF peternakan'!$C$7</f>
        <v>55</v>
      </c>
      <c r="BQ14" s="42">
        <f t="shared" si="14"/>
        <v>4.3394999999999996E-2</v>
      </c>
      <c r="BR14" s="83">
        <f>'EF peternakan'!$C$17</f>
        <v>2</v>
      </c>
      <c r="BS14" s="190">
        <f t="shared" si="15"/>
        <v>1.578E-3</v>
      </c>
      <c r="BT14" s="163">
        <f t="shared" si="38"/>
        <v>4.4972999999999999E-2</v>
      </c>
      <c r="BV14" s="45" t="s">
        <v>22</v>
      </c>
      <c r="BW14" s="81">
        <f t="shared" si="39"/>
        <v>828</v>
      </c>
      <c r="BX14" s="82">
        <f>'EF peternakan'!$C$7</f>
        <v>55</v>
      </c>
      <c r="BY14" s="42">
        <f t="shared" si="16"/>
        <v>4.5539999999999997E-2</v>
      </c>
      <c r="BZ14" s="83">
        <f>'EF peternakan'!$C$17</f>
        <v>2</v>
      </c>
      <c r="CA14" s="190">
        <f t="shared" si="17"/>
        <v>1.6559999999999999E-3</v>
      </c>
      <c r="CB14" s="163">
        <f t="shared" si="40"/>
        <v>4.7195999999999995E-2</v>
      </c>
      <c r="CD14" s="45" t="s">
        <v>22</v>
      </c>
      <c r="CE14" s="81">
        <f t="shared" si="41"/>
        <v>0</v>
      </c>
      <c r="CF14" s="82">
        <f>'EF peternakan'!$C$7</f>
        <v>55</v>
      </c>
      <c r="CG14" s="42">
        <f t="shared" si="18"/>
        <v>0</v>
      </c>
      <c r="CH14" s="83">
        <f>'EF peternakan'!$C$17</f>
        <v>2</v>
      </c>
      <c r="CI14" s="190">
        <f t="shared" si="19"/>
        <v>0</v>
      </c>
      <c r="CJ14" s="163">
        <f t="shared" si="42"/>
        <v>0</v>
      </c>
    </row>
    <row r="15" spans="2:88" x14ac:dyDescent="0.25">
      <c r="B15" s="45" t="s">
        <v>65</v>
      </c>
      <c r="C15" s="81">
        <f t="shared" si="43"/>
        <v>58</v>
      </c>
      <c r="D15" s="82">
        <f>'EF peternakan'!$C$8</f>
        <v>5</v>
      </c>
      <c r="E15" s="42">
        <f t="shared" si="20"/>
        <v>2.9E-4</v>
      </c>
      <c r="F15" s="83">
        <f>'EF peternakan'!$C$18</f>
        <v>0.2</v>
      </c>
      <c r="G15" s="190">
        <f t="shared" si="21"/>
        <v>1.1600000000000001E-5</v>
      </c>
      <c r="H15" s="163">
        <f t="shared" si="22"/>
        <v>3.0160000000000001E-4</v>
      </c>
      <c r="J15" s="45" t="s">
        <v>65</v>
      </c>
      <c r="K15" s="81">
        <f t="shared" si="23"/>
        <v>130</v>
      </c>
      <c r="L15" s="82">
        <f>'EF peternakan'!$C$8</f>
        <v>5</v>
      </c>
      <c r="M15" s="42">
        <f t="shared" si="0"/>
        <v>6.4999999999999997E-4</v>
      </c>
      <c r="N15" s="83">
        <f>'EF peternakan'!$C$18</f>
        <v>0.2</v>
      </c>
      <c r="O15" s="190">
        <f t="shared" si="1"/>
        <v>2.5999999999999998E-5</v>
      </c>
      <c r="P15" s="163">
        <f t="shared" si="24"/>
        <v>6.7599999999999995E-4</v>
      </c>
      <c r="R15" s="45" t="s">
        <v>65</v>
      </c>
      <c r="S15" s="81">
        <f t="shared" si="25"/>
        <v>125</v>
      </c>
      <c r="T15" s="82">
        <f>'EF peternakan'!$C$8</f>
        <v>5</v>
      </c>
      <c r="U15" s="42">
        <f t="shared" si="2"/>
        <v>6.2500000000000001E-4</v>
      </c>
      <c r="V15" s="83">
        <f>'EF peternakan'!$C$18</f>
        <v>0.2</v>
      </c>
      <c r="W15" s="190">
        <f t="shared" si="3"/>
        <v>2.4999999999999998E-5</v>
      </c>
      <c r="X15" s="163">
        <f t="shared" si="26"/>
        <v>6.4999999999999997E-4</v>
      </c>
      <c r="Z15" s="45" t="s">
        <v>65</v>
      </c>
      <c r="AA15" s="81">
        <f t="shared" si="27"/>
        <v>33</v>
      </c>
      <c r="AB15" s="82">
        <f>'EF peternakan'!$C$8</f>
        <v>5</v>
      </c>
      <c r="AC15" s="42">
        <f t="shared" si="4"/>
        <v>1.65E-4</v>
      </c>
      <c r="AD15" s="83">
        <f>'EF peternakan'!$C$18</f>
        <v>0.2</v>
      </c>
      <c r="AE15" s="190">
        <f t="shared" si="5"/>
        <v>6.6000000000000003E-6</v>
      </c>
      <c r="AF15" s="163">
        <f t="shared" si="28"/>
        <v>1.716E-4</v>
      </c>
      <c r="AH15" s="45" t="s">
        <v>65</v>
      </c>
      <c r="AI15" s="81">
        <f t="shared" si="29"/>
        <v>48</v>
      </c>
      <c r="AJ15" s="82">
        <f>'EF peternakan'!$C$8</f>
        <v>5</v>
      </c>
      <c r="AK15" s="42">
        <f t="shared" si="6"/>
        <v>2.3999999999999998E-4</v>
      </c>
      <c r="AL15" s="83">
        <f>'EF peternakan'!$C$18</f>
        <v>0.2</v>
      </c>
      <c r="AM15" s="190">
        <f t="shared" si="7"/>
        <v>9.6000000000000013E-6</v>
      </c>
      <c r="AN15" s="163">
        <f t="shared" si="30"/>
        <v>2.496E-4</v>
      </c>
      <c r="AP15" s="45" t="s">
        <v>65</v>
      </c>
      <c r="AQ15" s="81">
        <f t="shared" si="31"/>
        <v>74</v>
      </c>
      <c r="AR15" s="82">
        <f>'EF peternakan'!$C$8</f>
        <v>5</v>
      </c>
      <c r="AS15" s="42">
        <f t="shared" si="8"/>
        <v>3.6999999999999999E-4</v>
      </c>
      <c r="AT15" s="83">
        <f>'EF peternakan'!$C$18</f>
        <v>0.2</v>
      </c>
      <c r="AU15" s="190">
        <f t="shared" si="9"/>
        <v>1.4800000000000001E-5</v>
      </c>
      <c r="AV15" s="163">
        <f t="shared" si="32"/>
        <v>3.8479999999999997E-4</v>
      </c>
      <c r="AX15" s="45" t="s">
        <v>65</v>
      </c>
      <c r="AY15" s="81">
        <f t="shared" si="33"/>
        <v>57</v>
      </c>
      <c r="AZ15" s="82">
        <f>'EF peternakan'!$C$8</f>
        <v>5</v>
      </c>
      <c r="BA15" s="42">
        <f t="shared" si="10"/>
        <v>2.8499999999999999E-4</v>
      </c>
      <c r="BB15" s="83">
        <f>'EF peternakan'!$C$18</f>
        <v>0.2</v>
      </c>
      <c r="BC15" s="190">
        <f t="shared" si="11"/>
        <v>1.1399999999999999E-5</v>
      </c>
      <c r="BD15" s="163">
        <f t="shared" si="34"/>
        <v>2.9639999999999999E-4</v>
      </c>
      <c r="BF15" s="45" t="s">
        <v>65</v>
      </c>
      <c r="BG15" s="81">
        <f t="shared" si="35"/>
        <v>68</v>
      </c>
      <c r="BH15" s="82">
        <f>'EF peternakan'!$C$8</f>
        <v>5</v>
      </c>
      <c r="BI15" s="42">
        <f t="shared" si="12"/>
        <v>3.3999999999999997E-4</v>
      </c>
      <c r="BJ15" s="83">
        <f>'EF peternakan'!$C$18</f>
        <v>0.2</v>
      </c>
      <c r="BK15" s="190">
        <f t="shared" si="13"/>
        <v>1.36E-5</v>
      </c>
      <c r="BL15" s="163">
        <f t="shared" si="36"/>
        <v>3.5359999999999998E-4</v>
      </c>
      <c r="BN15" s="45" t="s">
        <v>65</v>
      </c>
      <c r="BO15" s="81">
        <f t="shared" si="37"/>
        <v>81</v>
      </c>
      <c r="BP15" s="82">
        <f>'EF peternakan'!$C$8</f>
        <v>5</v>
      </c>
      <c r="BQ15" s="42">
        <f t="shared" si="14"/>
        <v>4.0499999999999998E-4</v>
      </c>
      <c r="BR15" s="83">
        <f>'EF peternakan'!$C$18</f>
        <v>0.2</v>
      </c>
      <c r="BS15" s="190">
        <f t="shared" si="15"/>
        <v>1.6199999999999997E-5</v>
      </c>
      <c r="BT15" s="163">
        <f t="shared" si="38"/>
        <v>4.2119999999999999E-4</v>
      </c>
      <c r="BV15" s="45" t="s">
        <v>65</v>
      </c>
      <c r="BW15" s="81">
        <f t="shared" si="39"/>
        <v>97</v>
      </c>
      <c r="BX15" s="82">
        <f>'EF peternakan'!$C$8</f>
        <v>5</v>
      </c>
      <c r="BY15" s="42">
        <f t="shared" si="16"/>
        <v>4.8499999999999997E-4</v>
      </c>
      <c r="BZ15" s="83">
        <f>'EF peternakan'!$C$18</f>
        <v>0.2</v>
      </c>
      <c r="CA15" s="190">
        <f t="shared" si="17"/>
        <v>1.9400000000000001E-5</v>
      </c>
      <c r="CB15" s="163">
        <f t="shared" si="40"/>
        <v>5.0440000000000001E-4</v>
      </c>
      <c r="CD15" s="45" t="s">
        <v>65</v>
      </c>
      <c r="CE15" s="81">
        <f t="shared" si="41"/>
        <v>0</v>
      </c>
      <c r="CF15" s="82">
        <f>'EF peternakan'!$C$8</f>
        <v>5</v>
      </c>
      <c r="CG15" s="42">
        <f t="shared" si="18"/>
        <v>0</v>
      </c>
      <c r="CH15" s="83">
        <f>'EF peternakan'!$C$18</f>
        <v>0.2</v>
      </c>
      <c r="CI15" s="190">
        <f t="shared" si="19"/>
        <v>0</v>
      </c>
      <c r="CJ15" s="163">
        <f t="shared" si="42"/>
        <v>0</v>
      </c>
    </row>
    <row r="16" spans="2:88" x14ac:dyDescent="0.25">
      <c r="B16" s="45" t="s">
        <v>23</v>
      </c>
      <c r="C16" s="81">
        <f t="shared" si="43"/>
        <v>4847</v>
      </c>
      <c r="D16" s="82">
        <f>'EF peternakan'!$C$9</f>
        <v>5</v>
      </c>
      <c r="E16" s="42">
        <f t="shared" si="20"/>
        <v>2.4235E-2</v>
      </c>
      <c r="F16" s="83">
        <f>'EF peternakan'!$C$19</f>
        <v>0.22</v>
      </c>
      <c r="G16" s="190">
        <f t="shared" si="21"/>
        <v>1.0663399999999998E-3</v>
      </c>
      <c r="H16" s="163">
        <f t="shared" si="22"/>
        <v>2.5301339999999999E-2</v>
      </c>
      <c r="J16" s="45" t="s">
        <v>23</v>
      </c>
      <c r="K16" s="81">
        <f t="shared" si="23"/>
        <v>5760</v>
      </c>
      <c r="L16" s="82">
        <f>'EF peternakan'!$C$9</f>
        <v>5</v>
      </c>
      <c r="M16" s="42">
        <f t="shared" si="0"/>
        <v>2.8799999999999999E-2</v>
      </c>
      <c r="N16" s="83">
        <f>'EF peternakan'!$C$19</f>
        <v>0.22</v>
      </c>
      <c r="O16" s="190">
        <f t="shared" si="1"/>
        <v>1.2672E-3</v>
      </c>
      <c r="P16" s="163">
        <f t="shared" si="24"/>
        <v>3.0067199999999999E-2</v>
      </c>
      <c r="R16" s="45" t="s">
        <v>23</v>
      </c>
      <c r="S16" s="81">
        <f t="shared" si="25"/>
        <v>5994</v>
      </c>
      <c r="T16" s="82">
        <f>'EF peternakan'!$C$9</f>
        <v>5</v>
      </c>
      <c r="U16" s="42">
        <f t="shared" si="2"/>
        <v>2.997E-2</v>
      </c>
      <c r="V16" s="83">
        <f>'EF peternakan'!$C$19</f>
        <v>0.22</v>
      </c>
      <c r="W16" s="190">
        <f t="shared" si="3"/>
        <v>1.31868E-3</v>
      </c>
      <c r="X16" s="163">
        <f t="shared" si="26"/>
        <v>3.1288679999999999E-2</v>
      </c>
      <c r="Z16" s="45" t="s">
        <v>23</v>
      </c>
      <c r="AA16" s="81">
        <f t="shared" si="27"/>
        <v>6469</v>
      </c>
      <c r="AB16" s="82">
        <f>'EF peternakan'!$C$9</f>
        <v>5</v>
      </c>
      <c r="AC16" s="42">
        <f t="shared" si="4"/>
        <v>3.2344999999999999E-2</v>
      </c>
      <c r="AD16" s="83">
        <f>'EF peternakan'!$C$19</f>
        <v>0.22</v>
      </c>
      <c r="AE16" s="190">
        <f t="shared" si="5"/>
        <v>1.42318E-3</v>
      </c>
      <c r="AF16" s="163">
        <f t="shared" si="28"/>
        <v>3.3768180000000002E-2</v>
      </c>
      <c r="AH16" s="45" t="s">
        <v>23</v>
      </c>
      <c r="AI16" s="81">
        <f t="shared" si="29"/>
        <v>7201</v>
      </c>
      <c r="AJ16" s="82">
        <f>'EF peternakan'!$C$9</f>
        <v>5</v>
      </c>
      <c r="AK16" s="42">
        <f t="shared" si="6"/>
        <v>3.6004999999999995E-2</v>
      </c>
      <c r="AL16" s="83">
        <f>'EF peternakan'!$C$19</f>
        <v>0.22</v>
      </c>
      <c r="AM16" s="190">
        <f t="shared" si="7"/>
        <v>1.5842199999999999E-3</v>
      </c>
      <c r="AN16" s="163">
        <f t="shared" si="30"/>
        <v>3.7589219999999993E-2</v>
      </c>
      <c r="AP16" s="45" t="s">
        <v>23</v>
      </c>
      <c r="AQ16" s="81">
        <f t="shared" si="31"/>
        <v>7724</v>
      </c>
      <c r="AR16" s="82">
        <f>'EF peternakan'!$C$9</f>
        <v>5</v>
      </c>
      <c r="AS16" s="42">
        <f t="shared" si="8"/>
        <v>3.8620000000000002E-2</v>
      </c>
      <c r="AT16" s="83">
        <f>'EF peternakan'!$C$19</f>
        <v>0.22</v>
      </c>
      <c r="AU16" s="190">
        <f t="shared" si="9"/>
        <v>1.6992799999999998E-3</v>
      </c>
      <c r="AV16" s="163">
        <f t="shared" si="32"/>
        <v>4.0319279999999999E-2</v>
      </c>
      <c r="AX16" s="45" t="s">
        <v>23</v>
      </c>
      <c r="AY16" s="81">
        <f t="shared" si="33"/>
        <v>7558</v>
      </c>
      <c r="AZ16" s="82">
        <f>'EF peternakan'!$C$9</f>
        <v>5</v>
      </c>
      <c r="BA16" s="42">
        <f t="shared" si="10"/>
        <v>3.7789999999999997E-2</v>
      </c>
      <c r="BB16" s="83">
        <f>'EF peternakan'!$C$19</f>
        <v>0.22</v>
      </c>
      <c r="BC16" s="190">
        <f t="shared" si="11"/>
        <v>1.6627599999999999E-3</v>
      </c>
      <c r="BD16" s="163">
        <f t="shared" si="34"/>
        <v>3.9452759999999996E-2</v>
      </c>
      <c r="BF16" s="45" t="s">
        <v>23</v>
      </c>
      <c r="BG16" s="81">
        <f t="shared" si="35"/>
        <v>7935</v>
      </c>
      <c r="BH16" s="82">
        <f>'EF peternakan'!$C$9</f>
        <v>5</v>
      </c>
      <c r="BI16" s="42">
        <f t="shared" si="12"/>
        <v>3.9674999999999995E-2</v>
      </c>
      <c r="BJ16" s="83">
        <f>'EF peternakan'!$C$19</f>
        <v>0.22</v>
      </c>
      <c r="BK16" s="190">
        <f t="shared" si="13"/>
        <v>1.7457E-3</v>
      </c>
      <c r="BL16" s="163">
        <f t="shared" si="36"/>
        <v>4.1420699999999998E-2</v>
      </c>
      <c r="BN16" s="45" t="s">
        <v>23</v>
      </c>
      <c r="BO16" s="81">
        <f t="shared" si="37"/>
        <v>8331</v>
      </c>
      <c r="BP16" s="82">
        <f>'EF peternakan'!$C$9</f>
        <v>5</v>
      </c>
      <c r="BQ16" s="42">
        <f t="shared" si="14"/>
        <v>4.1654999999999998E-2</v>
      </c>
      <c r="BR16" s="83">
        <f>'EF peternakan'!$C$19</f>
        <v>0.22</v>
      </c>
      <c r="BS16" s="190">
        <f t="shared" si="15"/>
        <v>1.8328199999999998E-3</v>
      </c>
      <c r="BT16" s="163">
        <f t="shared" si="38"/>
        <v>4.3487819999999996E-2</v>
      </c>
      <c r="BV16" s="45" t="s">
        <v>23</v>
      </c>
      <c r="BW16" s="81">
        <f t="shared" si="39"/>
        <v>8747</v>
      </c>
      <c r="BX16" s="82">
        <f>'EF peternakan'!$C$9</f>
        <v>5</v>
      </c>
      <c r="BY16" s="42">
        <f t="shared" si="16"/>
        <v>4.3734999999999996E-2</v>
      </c>
      <c r="BZ16" s="83">
        <f>'EF peternakan'!$C$19</f>
        <v>0.22</v>
      </c>
      <c r="CA16" s="190">
        <f t="shared" si="17"/>
        <v>1.9243399999999999E-3</v>
      </c>
      <c r="CB16" s="163">
        <f t="shared" si="40"/>
        <v>4.5659339999999993E-2</v>
      </c>
      <c r="CD16" s="45" t="s">
        <v>23</v>
      </c>
      <c r="CE16" s="81">
        <f t="shared" si="41"/>
        <v>0</v>
      </c>
      <c r="CF16" s="82">
        <f>'EF peternakan'!$C$9</f>
        <v>5</v>
      </c>
      <c r="CG16" s="42">
        <f t="shared" si="18"/>
        <v>0</v>
      </c>
      <c r="CH16" s="83">
        <f>'EF peternakan'!$C$19</f>
        <v>0.22</v>
      </c>
      <c r="CI16" s="190">
        <f t="shared" si="19"/>
        <v>0</v>
      </c>
      <c r="CJ16" s="163">
        <f t="shared" si="42"/>
        <v>0</v>
      </c>
    </row>
    <row r="17" spans="2:88" x14ac:dyDescent="0.25">
      <c r="B17" s="45" t="s">
        <v>24</v>
      </c>
      <c r="C17" s="81">
        <f t="shared" si="43"/>
        <v>0</v>
      </c>
      <c r="D17" s="82">
        <f>'EF peternakan'!$C$11</f>
        <v>18</v>
      </c>
      <c r="E17" s="42">
        <f t="shared" si="20"/>
        <v>0</v>
      </c>
      <c r="F17" s="83">
        <f>'EF peternakan'!$C$21</f>
        <v>2.19</v>
      </c>
      <c r="G17" s="190">
        <f t="shared" si="21"/>
        <v>0</v>
      </c>
      <c r="H17" s="163">
        <f t="shared" si="22"/>
        <v>0</v>
      </c>
      <c r="J17" s="45" t="s">
        <v>24</v>
      </c>
      <c r="K17" s="81">
        <f t="shared" si="23"/>
        <v>0</v>
      </c>
      <c r="L17" s="82">
        <f>'EF peternakan'!$C$11</f>
        <v>18</v>
      </c>
      <c r="M17" s="42">
        <f t="shared" si="0"/>
        <v>0</v>
      </c>
      <c r="N17" s="83">
        <f>'EF peternakan'!$C$21</f>
        <v>2.19</v>
      </c>
      <c r="O17" s="190">
        <f t="shared" si="1"/>
        <v>0</v>
      </c>
      <c r="P17" s="163">
        <f t="shared" si="24"/>
        <v>0</v>
      </c>
      <c r="R17" s="45" t="s">
        <v>24</v>
      </c>
      <c r="S17" s="81">
        <f t="shared" si="25"/>
        <v>0</v>
      </c>
      <c r="T17" s="82">
        <f>'EF peternakan'!$C$11</f>
        <v>18</v>
      </c>
      <c r="U17" s="42">
        <f t="shared" si="2"/>
        <v>0</v>
      </c>
      <c r="V17" s="83">
        <f>'EF peternakan'!$C$21</f>
        <v>2.19</v>
      </c>
      <c r="W17" s="190">
        <f t="shared" si="3"/>
        <v>0</v>
      </c>
      <c r="X17" s="163">
        <f t="shared" si="26"/>
        <v>0</v>
      </c>
      <c r="Z17" s="45" t="s">
        <v>24</v>
      </c>
      <c r="AA17" s="81">
        <f t="shared" si="27"/>
        <v>0</v>
      </c>
      <c r="AB17" s="82">
        <f>'EF peternakan'!$C$11</f>
        <v>18</v>
      </c>
      <c r="AC17" s="42">
        <f t="shared" si="4"/>
        <v>0</v>
      </c>
      <c r="AD17" s="83">
        <f>'EF peternakan'!$C$21</f>
        <v>2.19</v>
      </c>
      <c r="AE17" s="190">
        <f t="shared" si="5"/>
        <v>0</v>
      </c>
      <c r="AF17" s="163">
        <f t="shared" si="28"/>
        <v>0</v>
      </c>
      <c r="AH17" s="45" t="s">
        <v>24</v>
      </c>
      <c r="AI17" s="81">
        <f t="shared" si="29"/>
        <v>0</v>
      </c>
      <c r="AJ17" s="82">
        <f>'EF peternakan'!$C$11</f>
        <v>18</v>
      </c>
      <c r="AK17" s="42">
        <f t="shared" si="6"/>
        <v>0</v>
      </c>
      <c r="AL17" s="83">
        <f>'EF peternakan'!$C$21</f>
        <v>2.19</v>
      </c>
      <c r="AM17" s="190">
        <f t="shared" si="7"/>
        <v>0</v>
      </c>
      <c r="AN17" s="163">
        <f t="shared" si="30"/>
        <v>0</v>
      </c>
      <c r="AP17" s="45" t="s">
        <v>24</v>
      </c>
      <c r="AQ17" s="81">
        <f t="shared" si="31"/>
        <v>0</v>
      </c>
      <c r="AR17" s="82">
        <f>'EF peternakan'!$C$11</f>
        <v>18</v>
      </c>
      <c r="AS17" s="42">
        <f t="shared" si="8"/>
        <v>0</v>
      </c>
      <c r="AT17" s="83">
        <f>'EF peternakan'!$C$21</f>
        <v>2.19</v>
      </c>
      <c r="AU17" s="190">
        <f t="shared" si="9"/>
        <v>0</v>
      </c>
      <c r="AV17" s="163">
        <f t="shared" si="32"/>
        <v>0</v>
      </c>
      <c r="AX17" s="45" t="s">
        <v>24</v>
      </c>
      <c r="AY17" s="81">
        <f t="shared" si="33"/>
        <v>0</v>
      </c>
      <c r="AZ17" s="82">
        <f>'EF peternakan'!$C$11</f>
        <v>18</v>
      </c>
      <c r="BA17" s="42">
        <f t="shared" si="10"/>
        <v>0</v>
      </c>
      <c r="BB17" s="83">
        <f>'EF peternakan'!$C$21</f>
        <v>2.19</v>
      </c>
      <c r="BC17" s="190">
        <f t="shared" si="11"/>
        <v>0</v>
      </c>
      <c r="BD17" s="163">
        <f t="shared" si="34"/>
        <v>0</v>
      </c>
      <c r="BF17" s="45" t="s">
        <v>24</v>
      </c>
      <c r="BG17" s="81">
        <f t="shared" si="35"/>
        <v>0</v>
      </c>
      <c r="BH17" s="82">
        <f>'EF peternakan'!$C$11</f>
        <v>18</v>
      </c>
      <c r="BI17" s="42">
        <f t="shared" si="12"/>
        <v>0</v>
      </c>
      <c r="BJ17" s="83">
        <f>'EF peternakan'!$C$21</f>
        <v>2.19</v>
      </c>
      <c r="BK17" s="190">
        <f t="shared" si="13"/>
        <v>0</v>
      </c>
      <c r="BL17" s="163">
        <f t="shared" si="36"/>
        <v>0</v>
      </c>
      <c r="BN17" s="45" t="s">
        <v>24</v>
      </c>
      <c r="BO17" s="81">
        <f t="shared" si="37"/>
        <v>0</v>
      </c>
      <c r="BP17" s="82">
        <f>'EF peternakan'!$C$11</f>
        <v>18</v>
      </c>
      <c r="BQ17" s="42">
        <f t="shared" si="14"/>
        <v>0</v>
      </c>
      <c r="BR17" s="83">
        <f>'EF peternakan'!$C$21</f>
        <v>2.19</v>
      </c>
      <c r="BS17" s="190">
        <f t="shared" si="15"/>
        <v>0</v>
      </c>
      <c r="BT17" s="163">
        <f t="shared" si="38"/>
        <v>0</v>
      </c>
      <c r="BV17" s="45" t="s">
        <v>24</v>
      </c>
      <c r="BW17" s="81">
        <f t="shared" si="39"/>
        <v>0</v>
      </c>
      <c r="BX17" s="82">
        <f>'EF peternakan'!$C$11</f>
        <v>18</v>
      </c>
      <c r="BY17" s="42">
        <f t="shared" si="16"/>
        <v>0</v>
      </c>
      <c r="BZ17" s="83">
        <f>'EF peternakan'!$C$21</f>
        <v>2.19</v>
      </c>
      <c r="CA17" s="190">
        <f t="shared" si="17"/>
        <v>0</v>
      </c>
      <c r="CB17" s="163">
        <f t="shared" si="40"/>
        <v>0</v>
      </c>
      <c r="CD17" s="45" t="s">
        <v>24</v>
      </c>
      <c r="CE17" s="81">
        <f t="shared" si="41"/>
        <v>0</v>
      </c>
      <c r="CF17" s="82">
        <f>'EF peternakan'!$C$11</f>
        <v>18</v>
      </c>
      <c r="CG17" s="42">
        <f t="shared" si="18"/>
        <v>0</v>
      </c>
      <c r="CH17" s="83">
        <f>'EF peternakan'!$C$21</f>
        <v>2.19</v>
      </c>
      <c r="CI17" s="190">
        <f t="shared" si="19"/>
        <v>0</v>
      </c>
      <c r="CJ17" s="163">
        <f t="shared" si="42"/>
        <v>0</v>
      </c>
    </row>
    <row r="18" spans="2:88" x14ac:dyDescent="0.25">
      <c r="B18" s="255" t="s">
        <v>461</v>
      </c>
      <c r="C18" s="81">
        <f>$C$37</f>
        <v>0</v>
      </c>
      <c r="D18" s="82">
        <f>'EF peternakan'!$C$10</f>
        <v>1</v>
      </c>
      <c r="E18" s="42">
        <f t="shared" si="20"/>
        <v>0</v>
      </c>
      <c r="F18" s="83">
        <f>'EF peternakan'!$C$20</f>
        <v>7</v>
      </c>
      <c r="G18" s="190">
        <f t="shared" si="21"/>
        <v>0</v>
      </c>
      <c r="H18" s="163">
        <f t="shared" si="22"/>
        <v>0</v>
      </c>
      <c r="J18" s="255" t="s">
        <v>66</v>
      </c>
      <c r="K18" s="81">
        <f>$D37</f>
        <v>2575</v>
      </c>
      <c r="L18" s="82">
        <f>'EF peternakan'!$C$10</f>
        <v>1</v>
      </c>
      <c r="M18" s="42"/>
      <c r="N18" s="83">
        <f>'EF peternakan'!$C$20</f>
        <v>7</v>
      </c>
      <c r="O18" s="190">
        <f t="shared" si="1"/>
        <v>1.8024999999999999E-2</v>
      </c>
      <c r="P18" s="163">
        <f t="shared" si="24"/>
        <v>1.8024999999999999E-2</v>
      </c>
      <c r="R18" s="255" t="s">
        <v>66</v>
      </c>
      <c r="S18" s="81">
        <f>E37</f>
        <v>2580</v>
      </c>
      <c r="T18" s="82">
        <f>'EF peternakan'!$C$10</f>
        <v>1</v>
      </c>
      <c r="U18" s="42">
        <f t="shared" si="2"/>
        <v>2.5799999999999998E-3</v>
      </c>
      <c r="V18" s="83">
        <f>'EF peternakan'!$C$20</f>
        <v>7</v>
      </c>
      <c r="W18" s="190">
        <f t="shared" si="3"/>
        <v>1.806E-2</v>
      </c>
      <c r="X18" s="163">
        <f t="shared" si="26"/>
        <v>2.0639999999999999E-2</v>
      </c>
      <c r="Z18" s="255" t="s">
        <v>66</v>
      </c>
      <c r="AA18" s="81">
        <f>F37</f>
        <v>2885</v>
      </c>
      <c r="AB18" s="82">
        <f>'EF peternakan'!$C$10</f>
        <v>1</v>
      </c>
      <c r="AC18" s="42">
        <f t="shared" si="4"/>
        <v>2.885E-3</v>
      </c>
      <c r="AD18" s="83">
        <f>'EF peternakan'!$C$20</f>
        <v>7</v>
      </c>
      <c r="AE18" s="190">
        <f t="shared" si="5"/>
        <v>2.0194999999999998E-2</v>
      </c>
      <c r="AF18" s="163">
        <f t="shared" si="28"/>
        <v>2.3079999999999996E-2</v>
      </c>
      <c r="AH18" s="255" t="s">
        <v>66</v>
      </c>
      <c r="AI18" s="81">
        <f>G37</f>
        <v>3071</v>
      </c>
      <c r="AJ18" s="82">
        <f>'EF peternakan'!$C$10</f>
        <v>1</v>
      </c>
      <c r="AK18" s="42">
        <f t="shared" si="6"/>
        <v>3.0709999999999999E-3</v>
      </c>
      <c r="AL18" s="83">
        <f>'EF peternakan'!$C$20</f>
        <v>7</v>
      </c>
      <c r="AM18" s="190">
        <f>AI18*AL18*10^-6</f>
        <v>2.1496999999999999E-2</v>
      </c>
      <c r="AN18" s="163">
        <f t="shared" si="30"/>
        <v>2.4568E-2</v>
      </c>
      <c r="AP18" s="255" t="s">
        <v>66</v>
      </c>
      <c r="AQ18" s="81">
        <f>H37</f>
        <v>3218</v>
      </c>
      <c r="AR18" s="82">
        <f>'EF peternakan'!$C$10</f>
        <v>1</v>
      </c>
      <c r="AS18" s="42">
        <f t="shared" si="8"/>
        <v>3.2179999999999999E-3</v>
      </c>
      <c r="AT18" s="83">
        <f>'EF peternakan'!$C$20</f>
        <v>7</v>
      </c>
      <c r="AU18" s="190">
        <f t="shared" si="9"/>
        <v>2.2525999999999997E-2</v>
      </c>
      <c r="AV18" s="163">
        <f t="shared" si="32"/>
        <v>2.5743999999999996E-2</v>
      </c>
      <c r="AX18" s="255" t="s">
        <v>66</v>
      </c>
      <c r="AY18" s="81">
        <f>I37</f>
        <v>2821</v>
      </c>
      <c r="AZ18" s="82">
        <f>'EF peternakan'!$C$10</f>
        <v>1</v>
      </c>
      <c r="BA18" s="42">
        <f t="shared" si="10"/>
        <v>2.8209999999999997E-3</v>
      </c>
      <c r="BB18" s="83">
        <f>'EF peternakan'!$C$20</f>
        <v>7</v>
      </c>
      <c r="BC18" s="190">
        <f t="shared" si="11"/>
        <v>1.9747000000000001E-2</v>
      </c>
      <c r="BD18" s="163">
        <f t="shared" si="34"/>
        <v>2.2568000000000001E-2</v>
      </c>
      <c r="BF18" s="255" t="s">
        <v>66</v>
      </c>
      <c r="BG18" s="81">
        <f>J37</f>
        <v>2877</v>
      </c>
      <c r="BH18" s="82">
        <f>'EF peternakan'!$C$10</f>
        <v>1</v>
      </c>
      <c r="BI18" s="42">
        <f t="shared" si="12"/>
        <v>2.8769999999999998E-3</v>
      </c>
      <c r="BJ18" s="83">
        <f>'EF peternakan'!$C$20</f>
        <v>7</v>
      </c>
      <c r="BK18" s="190">
        <f t="shared" si="13"/>
        <v>2.0139000000000001E-2</v>
      </c>
      <c r="BL18" s="163">
        <f t="shared" si="36"/>
        <v>2.3016000000000002E-2</v>
      </c>
      <c r="BN18" s="255" t="s">
        <v>461</v>
      </c>
      <c r="BO18" s="81">
        <f>K37</f>
        <v>2934</v>
      </c>
      <c r="BP18" s="82">
        <f>'EF peternakan'!$C$10</f>
        <v>1</v>
      </c>
      <c r="BQ18" s="42">
        <f t="shared" si="14"/>
        <v>2.934E-3</v>
      </c>
      <c r="BR18" s="83">
        <f>'EF peternakan'!$C$20</f>
        <v>7</v>
      </c>
      <c r="BS18" s="190">
        <f t="shared" si="15"/>
        <v>2.0538000000000001E-2</v>
      </c>
      <c r="BT18" s="163">
        <f t="shared" si="38"/>
        <v>2.3472E-2</v>
      </c>
      <c r="BV18" s="255" t="s">
        <v>461</v>
      </c>
      <c r="BW18" s="81">
        <f>L37</f>
        <v>2994</v>
      </c>
      <c r="BX18" s="82">
        <f>'EF peternakan'!$C$10</f>
        <v>1</v>
      </c>
      <c r="BY18" s="42">
        <f t="shared" si="16"/>
        <v>2.9939999999999997E-3</v>
      </c>
      <c r="BZ18" s="83">
        <f>'EF peternakan'!$C$20</f>
        <v>7</v>
      </c>
      <c r="CA18" s="190">
        <f t="shared" si="17"/>
        <v>2.0957999999999997E-2</v>
      </c>
      <c r="CB18" s="163">
        <f t="shared" si="40"/>
        <v>2.3951999999999998E-2</v>
      </c>
      <c r="CD18" s="255" t="s">
        <v>461</v>
      </c>
      <c r="CE18" s="81">
        <f>M37</f>
        <v>0</v>
      </c>
      <c r="CF18" s="82">
        <f>'EF peternakan'!$C$10</f>
        <v>1</v>
      </c>
      <c r="CG18" s="42">
        <f t="shared" si="18"/>
        <v>0</v>
      </c>
      <c r="CH18" s="83">
        <f>'EF peternakan'!$C$20</f>
        <v>7</v>
      </c>
      <c r="CI18" s="190">
        <f t="shared" si="19"/>
        <v>0</v>
      </c>
      <c r="CJ18" s="163">
        <f t="shared" si="42"/>
        <v>0</v>
      </c>
    </row>
    <row r="19" spans="2:88" x14ac:dyDescent="0.25">
      <c r="B19" s="45" t="s">
        <v>67</v>
      </c>
      <c r="C19" s="43">
        <f>C33</f>
        <v>837449</v>
      </c>
      <c r="D19" s="9"/>
      <c r="E19" s="12"/>
      <c r="F19" s="83">
        <f>'EF peternakan'!$C$22</f>
        <v>0.02</v>
      </c>
      <c r="G19" s="190">
        <f t="shared" ref="G19:G22" si="44">C19*F19*10^-6</f>
        <v>1.674898E-2</v>
      </c>
      <c r="H19" s="163">
        <f t="shared" ref="H19:H22" si="45">E19+G19</f>
        <v>1.674898E-2</v>
      </c>
      <c r="J19" s="45" t="s">
        <v>67</v>
      </c>
      <c r="K19" s="43">
        <f>D33</f>
        <v>872933</v>
      </c>
      <c r="L19" s="9"/>
      <c r="M19" s="12"/>
      <c r="N19" s="83">
        <f>'EF peternakan'!$C$22</f>
        <v>0.02</v>
      </c>
      <c r="O19" s="190">
        <f t="shared" ref="O19:O22" si="46">K19*N19*10^-6</f>
        <v>1.7458659999999997E-2</v>
      </c>
      <c r="P19" s="163">
        <f t="shared" ref="P19:P22" si="47">M19+O19</f>
        <v>1.7458659999999997E-2</v>
      </c>
      <c r="R19" s="45" t="s">
        <v>67</v>
      </c>
      <c r="S19" s="43">
        <f>E33</f>
        <v>925756</v>
      </c>
      <c r="T19" s="9"/>
      <c r="U19" s="12"/>
      <c r="V19" s="83">
        <f>'EF peternakan'!$C$22</f>
        <v>0.02</v>
      </c>
      <c r="W19" s="190">
        <f t="shared" ref="W19:W22" si="48">S19*V19*10^-6</f>
        <v>1.8515119999999999E-2</v>
      </c>
      <c r="X19" s="163">
        <f t="shared" ref="X19:X22" si="49">U19+W19</f>
        <v>1.8515119999999999E-2</v>
      </c>
      <c r="Z19" s="45" t="s">
        <v>67</v>
      </c>
      <c r="AA19" s="43">
        <f>F33</f>
        <v>1019349</v>
      </c>
      <c r="AB19" s="9"/>
      <c r="AC19" s="12"/>
      <c r="AD19" s="83">
        <f>'EF peternakan'!$C$22</f>
        <v>0.02</v>
      </c>
      <c r="AE19" s="190">
        <f t="shared" ref="AE19:AE22" si="50">AA19*AD19*10^-6</f>
        <v>2.0386979999999999E-2</v>
      </c>
      <c r="AF19" s="163">
        <f t="shared" ref="AF19:AF22" si="51">AC19+AE19</f>
        <v>2.0386979999999999E-2</v>
      </c>
      <c r="AH19" s="45" t="s">
        <v>67</v>
      </c>
      <c r="AI19" s="43">
        <f>G33</f>
        <v>1314528</v>
      </c>
      <c r="AJ19" s="9"/>
      <c r="AK19" s="12"/>
      <c r="AL19" s="83">
        <f>'EF peternakan'!$C$22</f>
        <v>0.02</v>
      </c>
      <c r="AM19" s="190">
        <f t="shared" ref="AM19:AM22" si="52">AI19*AL19*10^-6</f>
        <v>2.6290560000000001E-2</v>
      </c>
      <c r="AN19" s="163">
        <f t="shared" ref="AN19:AN22" si="53">AK19+AM19</f>
        <v>2.6290560000000001E-2</v>
      </c>
      <c r="AP19" s="45" t="s">
        <v>67</v>
      </c>
      <c r="AQ19" s="43">
        <f>H33</f>
        <v>1445980.8</v>
      </c>
      <c r="AR19" s="9"/>
      <c r="AS19" s="12"/>
      <c r="AT19" s="83">
        <f>'EF peternakan'!$C$22</f>
        <v>0.02</v>
      </c>
      <c r="AU19" s="190">
        <f t="shared" ref="AU19:AU21" si="54">AQ19*AT19*10^-6</f>
        <v>2.8919616000000002E-2</v>
      </c>
      <c r="AV19" s="163">
        <f t="shared" ref="AV19:AV21" si="55">AS19+AU19</f>
        <v>2.8919616000000002E-2</v>
      </c>
      <c r="AX19" s="45" t="s">
        <v>67</v>
      </c>
      <c r="AY19" s="43">
        <f>I33</f>
        <v>1590578.8800000001</v>
      </c>
      <c r="AZ19" s="9"/>
      <c r="BA19" s="12"/>
      <c r="BB19" s="83">
        <f>'EF peternakan'!$C$22</f>
        <v>0.02</v>
      </c>
      <c r="BC19" s="190">
        <f t="shared" ref="BC19:BC22" si="56">AY19*BB19*10^-6</f>
        <v>3.1811577600000002E-2</v>
      </c>
      <c r="BD19" s="163">
        <f t="shared" ref="BD19:BD22" si="57">BA19+BC19</f>
        <v>3.1811577600000002E-2</v>
      </c>
      <c r="BF19" s="45" t="s">
        <v>67</v>
      </c>
      <c r="BG19" s="43">
        <f>J33</f>
        <v>1749636.7680000002</v>
      </c>
      <c r="BH19" s="9"/>
      <c r="BI19" s="12"/>
      <c r="BJ19" s="83">
        <f>'EF peternakan'!$C$22</f>
        <v>0.02</v>
      </c>
      <c r="BK19" s="190">
        <f t="shared" ref="BK19:BK22" si="58">BG19*BJ19*10^-6</f>
        <v>3.4992735360000006E-2</v>
      </c>
      <c r="BL19" s="163">
        <f t="shared" ref="BL19:BL22" si="59">BI19+BK19</f>
        <v>3.4992735360000006E-2</v>
      </c>
      <c r="BN19" s="45" t="s">
        <v>67</v>
      </c>
      <c r="BO19" s="43">
        <f>K33</f>
        <v>1924600.4448000002</v>
      </c>
      <c r="BP19" s="9"/>
      <c r="BQ19" s="12"/>
      <c r="BR19" s="83">
        <f>'EF peternakan'!$C$22</f>
        <v>0.02</v>
      </c>
      <c r="BS19" s="190">
        <f t="shared" ref="BS19:BS22" si="60">BO19*BR19*10^-6</f>
        <v>3.8492008896000005E-2</v>
      </c>
      <c r="BT19" s="163">
        <f t="shared" ref="BT19:BT22" si="61">BQ19+BS19</f>
        <v>3.8492008896000005E-2</v>
      </c>
      <c r="BV19" s="45" t="s">
        <v>67</v>
      </c>
      <c r="BW19" s="43">
        <f>L33</f>
        <v>2117060.4892800003</v>
      </c>
      <c r="BX19" s="9"/>
      <c r="BY19" s="12"/>
      <c r="BZ19" s="83">
        <f>'EF peternakan'!$C$22</f>
        <v>0.02</v>
      </c>
      <c r="CA19" s="190">
        <f t="shared" ref="CA19:CA22" si="62">BW19*BZ19*10^-6</f>
        <v>4.2341209785600006E-2</v>
      </c>
      <c r="CB19" s="163">
        <f t="shared" ref="CB19:CB22" si="63">BY19+CA19</f>
        <v>4.2341209785600006E-2</v>
      </c>
      <c r="CD19" s="45" t="s">
        <v>67</v>
      </c>
      <c r="CE19" s="43">
        <f>M33</f>
        <v>0</v>
      </c>
      <c r="CF19" s="9"/>
      <c r="CG19" s="12"/>
      <c r="CH19" s="83">
        <f>'EF peternakan'!$C$22</f>
        <v>0.02</v>
      </c>
      <c r="CI19" s="190">
        <f t="shared" ref="CI19:CI22" si="64">CE19*CH19*10^-6</f>
        <v>0</v>
      </c>
      <c r="CJ19" s="163">
        <f t="shared" ref="CJ19:CJ22" si="65">CG19+CI19</f>
        <v>0</v>
      </c>
    </row>
    <row r="20" spans="2:88" x14ac:dyDescent="0.25">
      <c r="B20" s="45" t="s">
        <v>68</v>
      </c>
      <c r="C20" s="43">
        <f t="shared" ref="C20:C21" si="66">C34</f>
        <v>2050000</v>
      </c>
      <c r="D20" s="9"/>
      <c r="E20" s="12"/>
      <c r="F20" s="83">
        <f>'EF peternakan'!$C$23</f>
        <v>0.02</v>
      </c>
      <c r="G20" s="190">
        <f t="shared" si="44"/>
        <v>4.0999999999999995E-2</v>
      </c>
      <c r="H20" s="163">
        <f t="shared" si="45"/>
        <v>4.0999999999999995E-2</v>
      </c>
      <c r="J20" s="45" t="s">
        <v>68</v>
      </c>
      <c r="K20" s="43">
        <f t="shared" ref="K20:K21" si="67">D34</f>
        <v>1993350</v>
      </c>
      <c r="L20" s="9"/>
      <c r="M20" s="12"/>
      <c r="N20" s="83">
        <f>'EF peternakan'!$C$23</f>
        <v>0.02</v>
      </c>
      <c r="O20" s="190">
        <f t="shared" si="46"/>
        <v>3.9867E-2</v>
      </c>
      <c r="P20" s="163">
        <f t="shared" si="47"/>
        <v>3.9867E-2</v>
      </c>
      <c r="R20" s="45" t="s">
        <v>68</v>
      </c>
      <c r="S20" s="43">
        <f t="shared" ref="S20:S21" si="68">E34</f>
        <v>1831500</v>
      </c>
      <c r="T20" s="9"/>
      <c r="U20" s="12"/>
      <c r="V20" s="83">
        <f>'EF peternakan'!$C$23</f>
        <v>0.02</v>
      </c>
      <c r="W20" s="190">
        <f t="shared" si="48"/>
        <v>3.6629999999999996E-2</v>
      </c>
      <c r="X20" s="163">
        <f t="shared" si="49"/>
        <v>3.6629999999999996E-2</v>
      </c>
      <c r="Z20" s="45" t="s">
        <v>68</v>
      </c>
      <c r="AA20" s="43">
        <f t="shared" ref="AA20:AA21" si="69">F34</f>
        <v>1967589</v>
      </c>
      <c r="AB20" s="9"/>
      <c r="AC20" s="12"/>
      <c r="AD20" s="83">
        <f>'EF peternakan'!$C$23</f>
        <v>0.02</v>
      </c>
      <c r="AE20" s="190">
        <f t="shared" si="50"/>
        <v>3.9351779999999996E-2</v>
      </c>
      <c r="AF20" s="163">
        <f t="shared" si="51"/>
        <v>3.9351779999999996E-2</v>
      </c>
      <c r="AH20" s="45" t="s">
        <v>68</v>
      </c>
      <c r="AI20" s="43">
        <f>G34</f>
        <v>1967715</v>
      </c>
      <c r="AJ20" s="9"/>
      <c r="AK20" s="12"/>
      <c r="AL20" s="83">
        <f>'EF peternakan'!$C$23</f>
        <v>0.02</v>
      </c>
      <c r="AM20" s="190">
        <f t="shared" si="52"/>
        <v>3.9354300000000002E-2</v>
      </c>
      <c r="AN20" s="163">
        <f t="shared" si="53"/>
        <v>3.9354300000000002E-2</v>
      </c>
      <c r="AP20" s="45" t="s">
        <v>68</v>
      </c>
      <c r="AQ20" s="43">
        <f>H34</f>
        <v>2164486.5</v>
      </c>
      <c r="AR20" s="9"/>
      <c r="AS20" s="12"/>
      <c r="AT20" s="83">
        <f>'EF peternakan'!$C$23</f>
        <v>0.02</v>
      </c>
      <c r="AU20" s="190">
        <f t="shared" si="54"/>
        <v>4.3289729999999998E-2</v>
      </c>
      <c r="AV20" s="163">
        <f t="shared" si="55"/>
        <v>4.3289729999999998E-2</v>
      </c>
      <c r="AX20" s="45" t="s">
        <v>68</v>
      </c>
      <c r="AY20" s="43">
        <f>I34</f>
        <v>2380935.15</v>
      </c>
      <c r="AZ20" s="9"/>
      <c r="BA20" s="12"/>
      <c r="BB20" s="83">
        <f>'EF peternakan'!$C$23</f>
        <v>0.02</v>
      </c>
      <c r="BC20" s="190">
        <f t="shared" si="56"/>
        <v>4.7618702999999998E-2</v>
      </c>
      <c r="BD20" s="163">
        <f t="shared" si="57"/>
        <v>4.7618702999999998E-2</v>
      </c>
      <c r="BF20" s="45" t="s">
        <v>68</v>
      </c>
      <c r="BG20" s="43">
        <f>J34</f>
        <v>2619028.665</v>
      </c>
      <c r="BH20" s="9"/>
      <c r="BI20" s="12"/>
      <c r="BJ20" s="83">
        <f>'EF peternakan'!$C$23</f>
        <v>0.02</v>
      </c>
      <c r="BK20" s="190">
        <f t="shared" si="58"/>
        <v>5.2380573300000004E-2</v>
      </c>
      <c r="BL20" s="163">
        <f t="shared" si="59"/>
        <v>5.2380573300000004E-2</v>
      </c>
      <c r="BN20" s="45" t="s">
        <v>68</v>
      </c>
      <c r="BO20" s="43">
        <f>K34</f>
        <v>2880931.5315</v>
      </c>
      <c r="BP20" s="9"/>
      <c r="BQ20" s="12"/>
      <c r="BR20" s="83">
        <f>'EF peternakan'!$C$23</f>
        <v>0.02</v>
      </c>
      <c r="BS20" s="190">
        <f t="shared" si="60"/>
        <v>5.7618630629999994E-2</v>
      </c>
      <c r="BT20" s="163">
        <f t="shared" si="61"/>
        <v>5.7618630629999994E-2</v>
      </c>
      <c r="BV20" s="45" t="s">
        <v>68</v>
      </c>
      <c r="BW20" s="43">
        <f>L34</f>
        <v>3169024.6846500002</v>
      </c>
      <c r="BX20" s="9"/>
      <c r="BY20" s="12"/>
      <c r="BZ20" s="83">
        <f>'EF peternakan'!$C$23</f>
        <v>0.02</v>
      </c>
      <c r="CA20" s="190">
        <f t="shared" si="62"/>
        <v>6.3380493693000001E-2</v>
      </c>
      <c r="CB20" s="163">
        <f t="shared" si="63"/>
        <v>6.3380493693000001E-2</v>
      </c>
      <c r="CD20" s="45" t="s">
        <v>68</v>
      </c>
      <c r="CE20" s="43">
        <f>M34</f>
        <v>0</v>
      </c>
      <c r="CF20" s="9"/>
      <c r="CG20" s="12"/>
      <c r="CH20" s="83">
        <f>'EF peternakan'!$C$23</f>
        <v>0.02</v>
      </c>
      <c r="CI20" s="190">
        <f t="shared" si="64"/>
        <v>0</v>
      </c>
      <c r="CJ20" s="163">
        <f t="shared" si="65"/>
        <v>0</v>
      </c>
    </row>
    <row r="21" spans="2:88" x14ac:dyDescent="0.25">
      <c r="B21" s="45" t="s">
        <v>69</v>
      </c>
      <c r="C21" s="43">
        <f t="shared" si="66"/>
        <v>1275</v>
      </c>
      <c r="D21" s="9"/>
      <c r="E21" s="12"/>
      <c r="F21" s="83">
        <f>'EF peternakan'!$C$24</f>
        <v>0.02</v>
      </c>
      <c r="G21" s="190">
        <f t="shared" si="44"/>
        <v>2.55E-5</v>
      </c>
      <c r="H21" s="163">
        <f t="shared" si="45"/>
        <v>2.55E-5</v>
      </c>
      <c r="J21" s="45" t="s">
        <v>69</v>
      </c>
      <c r="K21" s="43">
        <f t="shared" si="67"/>
        <v>2100</v>
      </c>
      <c r="L21" s="9"/>
      <c r="M21" s="12"/>
      <c r="N21" s="83">
        <f>'EF peternakan'!$C$24</f>
        <v>0.02</v>
      </c>
      <c r="O21" s="190">
        <f t="shared" si="46"/>
        <v>4.1999999999999998E-5</v>
      </c>
      <c r="P21" s="163">
        <f t="shared" si="47"/>
        <v>4.1999999999999998E-5</v>
      </c>
      <c r="R21" s="45" t="s">
        <v>69</v>
      </c>
      <c r="S21" s="43">
        <f t="shared" si="68"/>
        <v>3315</v>
      </c>
      <c r="T21" s="9"/>
      <c r="U21" s="12"/>
      <c r="V21" s="83">
        <f>'EF peternakan'!$C$24</f>
        <v>0.02</v>
      </c>
      <c r="W21" s="190">
        <f t="shared" si="48"/>
        <v>6.6299999999999999E-5</v>
      </c>
      <c r="X21" s="163">
        <f t="shared" si="49"/>
        <v>6.6299999999999999E-5</v>
      </c>
      <c r="Z21" s="45" t="s">
        <v>69</v>
      </c>
      <c r="AA21" s="43">
        <f t="shared" si="69"/>
        <v>3466</v>
      </c>
      <c r="AB21" s="9"/>
      <c r="AC21" s="12"/>
      <c r="AD21" s="83">
        <f>'EF peternakan'!$C$24</f>
        <v>0.02</v>
      </c>
      <c r="AE21" s="190">
        <f t="shared" si="50"/>
        <v>6.9320000000000007E-5</v>
      </c>
      <c r="AF21" s="163">
        <f t="shared" si="51"/>
        <v>6.9320000000000007E-5</v>
      </c>
      <c r="AH21" s="45" t="s">
        <v>69</v>
      </c>
      <c r="AI21" s="43">
        <f>G35</f>
        <v>2201</v>
      </c>
      <c r="AJ21" s="9"/>
      <c r="AK21" s="12"/>
      <c r="AL21" s="83">
        <f>'EF peternakan'!$C$24</f>
        <v>0.02</v>
      </c>
      <c r="AM21" s="190">
        <f t="shared" si="52"/>
        <v>4.4020000000000002E-5</v>
      </c>
      <c r="AN21" s="163">
        <f t="shared" si="53"/>
        <v>4.4020000000000002E-5</v>
      </c>
      <c r="AP21" s="45" t="s">
        <v>69</v>
      </c>
      <c r="AQ21" s="43">
        <f>H35</f>
        <v>2421.1</v>
      </c>
      <c r="AR21" s="9"/>
      <c r="AS21" s="12"/>
      <c r="AT21" s="83">
        <f>'EF peternakan'!$C$24</f>
        <v>0.02</v>
      </c>
      <c r="AU21" s="190">
        <f t="shared" si="54"/>
        <v>4.8421999999999998E-5</v>
      </c>
      <c r="AV21" s="163">
        <f t="shared" si="55"/>
        <v>4.8421999999999998E-5</v>
      </c>
      <c r="AX21" s="45" t="s">
        <v>69</v>
      </c>
      <c r="AY21" s="43">
        <f>I35</f>
        <v>2663.21</v>
      </c>
      <c r="AZ21" s="9"/>
      <c r="BA21" s="12"/>
      <c r="BB21" s="83">
        <f>'EF peternakan'!$C$24</f>
        <v>0.02</v>
      </c>
      <c r="BC21" s="190">
        <f t="shared" si="56"/>
        <v>5.3264199999999997E-5</v>
      </c>
      <c r="BD21" s="163">
        <f t="shared" si="57"/>
        <v>5.3264199999999997E-5</v>
      </c>
      <c r="BF21" s="45" t="s">
        <v>69</v>
      </c>
      <c r="BG21" s="43">
        <f>J35</f>
        <v>2929.5309999999999</v>
      </c>
      <c r="BH21" s="9"/>
      <c r="BI21" s="12"/>
      <c r="BJ21" s="83">
        <f>'EF peternakan'!$C$24</f>
        <v>0.02</v>
      </c>
      <c r="BK21" s="190">
        <f t="shared" si="58"/>
        <v>5.8590619999999996E-5</v>
      </c>
      <c r="BL21" s="163">
        <f t="shared" si="59"/>
        <v>5.8590619999999996E-5</v>
      </c>
      <c r="BN21" s="45" t="s">
        <v>69</v>
      </c>
      <c r="BO21" s="43">
        <f>K35</f>
        <v>3222.4841000000001</v>
      </c>
      <c r="BP21" s="9"/>
      <c r="BQ21" s="12"/>
      <c r="BR21" s="83">
        <f>'EF peternakan'!$C$24</f>
        <v>0.02</v>
      </c>
      <c r="BS21" s="190">
        <f t="shared" si="60"/>
        <v>6.4449682000000005E-5</v>
      </c>
      <c r="BT21" s="163">
        <f t="shared" si="61"/>
        <v>6.4449682000000005E-5</v>
      </c>
      <c r="BV21" s="45" t="s">
        <v>69</v>
      </c>
      <c r="BW21" s="43">
        <f>L35</f>
        <v>3544.7325100000003</v>
      </c>
      <c r="BX21" s="9"/>
      <c r="BY21" s="12"/>
      <c r="BZ21" s="83">
        <f>'EF peternakan'!$C$24</f>
        <v>0.02</v>
      </c>
      <c r="CA21" s="190">
        <f t="shared" si="62"/>
        <v>7.0894650200000004E-5</v>
      </c>
      <c r="CB21" s="163">
        <f t="shared" si="63"/>
        <v>7.0894650200000004E-5</v>
      </c>
      <c r="CD21" s="45" t="s">
        <v>69</v>
      </c>
      <c r="CE21" s="43">
        <f>M35</f>
        <v>0</v>
      </c>
      <c r="CF21" s="9"/>
      <c r="CG21" s="12"/>
      <c r="CH21" s="83">
        <f>'EF peternakan'!$C$24</f>
        <v>0.02</v>
      </c>
      <c r="CI21" s="190">
        <f t="shared" si="64"/>
        <v>0</v>
      </c>
      <c r="CJ21" s="163">
        <f t="shared" si="65"/>
        <v>0</v>
      </c>
    </row>
    <row r="22" spans="2:88" x14ac:dyDescent="0.25">
      <c r="B22" s="255" t="s">
        <v>462</v>
      </c>
      <c r="C22" s="43">
        <f>C36</f>
        <v>12890</v>
      </c>
      <c r="D22" s="9"/>
      <c r="E22" s="12"/>
      <c r="F22" s="83">
        <f>'EF peternakan'!$C$25</f>
        <v>0.02</v>
      </c>
      <c r="G22" s="190">
        <f t="shared" si="44"/>
        <v>2.5779999999999998E-4</v>
      </c>
      <c r="H22" s="163">
        <f t="shared" si="45"/>
        <v>2.5779999999999998E-4</v>
      </c>
      <c r="J22" s="255" t="s">
        <v>462</v>
      </c>
      <c r="K22" s="43">
        <f>D36</f>
        <v>16602</v>
      </c>
      <c r="L22" s="9"/>
      <c r="M22" s="12"/>
      <c r="N22" s="83">
        <f>'EF peternakan'!$C$25</f>
        <v>0.02</v>
      </c>
      <c r="O22" s="190">
        <f t="shared" si="46"/>
        <v>3.3204000000000003E-4</v>
      </c>
      <c r="P22" s="163">
        <f t="shared" si="47"/>
        <v>3.3204000000000003E-4</v>
      </c>
      <c r="R22" s="255" t="s">
        <v>462</v>
      </c>
      <c r="S22" s="43">
        <f>E36</f>
        <v>18117</v>
      </c>
      <c r="T22" s="9"/>
      <c r="U22" s="12"/>
      <c r="V22" s="83">
        <f>'EF peternakan'!$C$25</f>
        <v>0.02</v>
      </c>
      <c r="W22" s="190">
        <f t="shared" si="48"/>
        <v>3.6234E-4</v>
      </c>
      <c r="X22" s="163">
        <f t="shared" si="49"/>
        <v>3.6234E-4</v>
      </c>
      <c r="Z22" s="255" t="s">
        <v>462</v>
      </c>
      <c r="AA22" s="43">
        <f>F36</f>
        <v>35648</v>
      </c>
      <c r="AB22" s="9"/>
      <c r="AC22" s="12"/>
      <c r="AD22" s="83">
        <f>'EF peternakan'!$C$25</f>
        <v>0.02</v>
      </c>
      <c r="AE22" s="190">
        <f t="shared" si="50"/>
        <v>7.1296E-4</v>
      </c>
      <c r="AF22" s="163">
        <f t="shared" si="51"/>
        <v>7.1296E-4</v>
      </c>
      <c r="AH22" s="255" t="s">
        <v>462</v>
      </c>
      <c r="AI22" s="43">
        <f>G36</f>
        <v>38896</v>
      </c>
      <c r="AJ22" s="9"/>
      <c r="AK22" s="12"/>
      <c r="AL22" s="83">
        <f>'EF peternakan'!$C$25</f>
        <v>0.02</v>
      </c>
      <c r="AM22" s="190">
        <f t="shared" si="52"/>
        <v>7.7792000000000009E-4</v>
      </c>
      <c r="AN22" s="163">
        <f t="shared" si="53"/>
        <v>7.7792000000000009E-4</v>
      </c>
      <c r="AP22" s="255" t="s">
        <v>462</v>
      </c>
      <c r="AQ22" s="43">
        <f>H36</f>
        <v>42785.599999999999</v>
      </c>
      <c r="AR22" s="9"/>
      <c r="AS22" s="12"/>
      <c r="AT22" s="83">
        <f>'EF peternakan'!$C$25</f>
        <v>0.02</v>
      </c>
      <c r="AU22" s="190">
        <f t="shared" ref="AU22" si="70">AQ22*AT22*10^-6</f>
        <v>8.557119999999999E-4</v>
      </c>
      <c r="AV22" s="163">
        <f t="shared" ref="AV22" si="71">AS22+AU22</f>
        <v>8.557119999999999E-4</v>
      </c>
      <c r="AX22" s="255" t="s">
        <v>462</v>
      </c>
      <c r="AY22" s="43">
        <f>I36</f>
        <v>47064.159999999996</v>
      </c>
      <c r="AZ22" s="9"/>
      <c r="BA22" s="12"/>
      <c r="BB22" s="83">
        <f>'EF peternakan'!$C$25</f>
        <v>0.02</v>
      </c>
      <c r="BC22" s="190">
        <f t="shared" si="56"/>
        <v>9.4128319999999997E-4</v>
      </c>
      <c r="BD22" s="163">
        <f t="shared" si="57"/>
        <v>9.4128319999999997E-4</v>
      </c>
      <c r="BF22" s="255" t="s">
        <v>462</v>
      </c>
      <c r="BG22" s="43">
        <f>J36</f>
        <v>51770.575999999994</v>
      </c>
      <c r="BH22" s="9"/>
      <c r="BI22" s="12"/>
      <c r="BJ22" s="83">
        <f>'EF peternakan'!$C$25</f>
        <v>0.02</v>
      </c>
      <c r="BK22" s="190">
        <f t="shared" si="58"/>
        <v>1.0354115199999998E-3</v>
      </c>
      <c r="BL22" s="163">
        <f t="shared" si="59"/>
        <v>1.0354115199999998E-3</v>
      </c>
      <c r="BN22" s="255" t="s">
        <v>462</v>
      </c>
      <c r="BO22" s="43">
        <f>K36</f>
        <v>56947.633599999994</v>
      </c>
      <c r="BP22" s="9"/>
      <c r="BQ22" s="12"/>
      <c r="BR22" s="83">
        <f>'EF peternakan'!$C$25</f>
        <v>0.02</v>
      </c>
      <c r="BS22" s="190">
        <f t="shared" si="60"/>
        <v>1.1389526719999999E-3</v>
      </c>
      <c r="BT22" s="163">
        <f t="shared" si="61"/>
        <v>1.1389526719999999E-3</v>
      </c>
      <c r="BV22" s="255" t="s">
        <v>462</v>
      </c>
      <c r="BW22" s="43">
        <f>L36</f>
        <v>62642.396959999991</v>
      </c>
      <c r="BX22" s="9"/>
      <c r="BY22" s="12"/>
      <c r="BZ22" s="83">
        <f>'EF peternakan'!$C$25</f>
        <v>0.02</v>
      </c>
      <c r="CA22" s="190">
        <f t="shared" si="62"/>
        <v>1.2528479392E-3</v>
      </c>
      <c r="CB22" s="163">
        <f t="shared" si="63"/>
        <v>1.2528479392E-3</v>
      </c>
      <c r="CD22" s="255" t="s">
        <v>462</v>
      </c>
      <c r="CE22" s="43">
        <f>M36</f>
        <v>0</v>
      </c>
      <c r="CF22" s="9"/>
      <c r="CG22" s="12"/>
      <c r="CH22" s="83">
        <f>'EF peternakan'!$C$25</f>
        <v>0.02</v>
      </c>
      <c r="CI22" s="190">
        <f t="shared" si="64"/>
        <v>0</v>
      </c>
      <c r="CJ22" s="163">
        <f t="shared" si="65"/>
        <v>0</v>
      </c>
    </row>
    <row r="23" spans="2:88" ht="15.75" thickBot="1" x14ac:dyDescent="0.3">
      <c r="B23" s="46" t="s">
        <v>76</v>
      </c>
      <c r="C23" s="44">
        <f>SUM(C12:C22)</f>
        <v>2919262</v>
      </c>
      <c r="D23" s="49"/>
      <c r="E23" s="51">
        <f>SUM(E12:E21)</f>
        <v>0.62787799999999994</v>
      </c>
      <c r="F23" s="50"/>
      <c r="G23" s="191">
        <f>SUM(G12:G22)</f>
        <v>7.2407219999999994E-2</v>
      </c>
      <c r="H23" s="197">
        <f>SUM(H12:H22)</f>
        <v>0.70028521999999993</v>
      </c>
      <c r="J23" s="46" t="s">
        <v>76</v>
      </c>
      <c r="K23" s="44">
        <f>SUM(K12:K22)</f>
        <v>2909408</v>
      </c>
      <c r="L23" s="49"/>
      <c r="M23" s="51">
        <f>SUM(M12:M22)</f>
        <v>0.7839560000000001</v>
      </c>
      <c r="N23" s="50"/>
      <c r="O23" s="191">
        <f>SUM(O12:O22)</f>
        <v>9.3535900000000005E-2</v>
      </c>
      <c r="P23" s="197">
        <f>SUM(P12:P22)</f>
        <v>0.87749189999999977</v>
      </c>
      <c r="R23" s="46" t="s">
        <v>76</v>
      </c>
      <c r="S23" s="44">
        <f>SUM(S12:S22)</f>
        <v>2802012</v>
      </c>
      <c r="T23" s="49"/>
      <c r="U23" s="51">
        <f>SUM(U12:U22)</f>
        <v>0.72446200000000005</v>
      </c>
      <c r="V23" s="50"/>
      <c r="W23" s="191">
        <f>SUM(W12:W22)</f>
        <v>9.0091439999999995E-2</v>
      </c>
      <c r="X23" s="197">
        <f>SUM(X12:X22)</f>
        <v>0.81455344000000007</v>
      </c>
      <c r="Z23" s="46" t="s">
        <v>76</v>
      </c>
      <c r="AA23" s="44">
        <f>SUM(AA12:AA22)</f>
        <v>3053312</v>
      </c>
      <c r="AB23" s="49"/>
      <c r="AC23" s="51">
        <f>SUM(AC12:AC22)</f>
        <v>0.87964999999999982</v>
      </c>
      <c r="AD23" s="50"/>
      <c r="AE23" s="191">
        <f>SUM(AE12:AE22)</f>
        <v>0.10054681999999998</v>
      </c>
      <c r="AF23" s="197">
        <f>SUM(AF12:AF22)</f>
        <v>0.98019681999999997</v>
      </c>
      <c r="AH23" s="46" t="s">
        <v>76</v>
      </c>
      <c r="AI23" s="44">
        <f>SUM(AI12:AI22)</f>
        <v>3354845</v>
      </c>
      <c r="AJ23" s="49"/>
      <c r="AK23" s="51">
        <f>SUM(AK12:AK22)</f>
        <v>1.040475</v>
      </c>
      <c r="AL23" s="50"/>
      <c r="AM23" s="191">
        <f>SUM(AM12:AM22)</f>
        <v>0.11142562000000002</v>
      </c>
      <c r="AN23" s="197">
        <f>SUM(AN12:AN22)</f>
        <v>1.1519006200000002</v>
      </c>
      <c r="AP23" s="46" t="s">
        <v>76</v>
      </c>
      <c r="AQ23" s="44">
        <f>SUM(AQ12:AQ22)</f>
        <v>3689105</v>
      </c>
      <c r="AR23" s="49"/>
      <c r="AS23" s="51">
        <f>SUM(AS12:AS22)</f>
        <v>1.101761</v>
      </c>
      <c r="AT23" s="50"/>
      <c r="AU23" s="191">
        <f>SUM(AU12:AU22)</f>
        <v>0.12052456</v>
      </c>
      <c r="AV23" s="197">
        <f>SUM(AV12:AV22)</f>
        <v>1.22228556</v>
      </c>
      <c r="AX23" s="46" t="s">
        <v>76</v>
      </c>
      <c r="AY23" s="44">
        <f>SUM(AY12:AY22)</f>
        <v>4058983.908234464</v>
      </c>
      <c r="AZ23" s="49"/>
      <c r="BA23" s="51">
        <f>SUM(BA12:BA22)</f>
        <v>1.3300378870198069</v>
      </c>
      <c r="BB23" s="50"/>
      <c r="BC23" s="191">
        <f>SUM(BC12:BC22)</f>
        <v>0.129869496234464</v>
      </c>
      <c r="BD23" s="197">
        <f>SUM(BD12:BD22)</f>
        <v>1.4599073832542711</v>
      </c>
      <c r="BF23" s="46" t="s">
        <v>76</v>
      </c>
      <c r="BG23" s="44">
        <f>SUM(BG12:BG22)</f>
        <v>4465278.3398963604</v>
      </c>
      <c r="BH23" s="49"/>
      <c r="BI23" s="51">
        <f>SUM(BI12:BI22)</f>
        <v>1.5074495951288762</v>
      </c>
      <c r="BJ23" s="50"/>
      <c r="BK23" s="191">
        <f>SUM(BK12:BK22)</f>
        <v>0.14215041069635909</v>
      </c>
      <c r="BL23" s="197">
        <f>SUM(BL12:BL22)</f>
        <v>1.6496000058252349</v>
      </c>
      <c r="BN23" s="46" t="s">
        <v>76</v>
      </c>
      <c r="BO23" s="44">
        <f>SUM(BO12:BO22)</f>
        <v>4912321.6295648543</v>
      </c>
      <c r="BP23" s="49"/>
      <c r="BQ23" s="51">
        <f>SUM(BQ12:BQ22)</f>
        <v>1.7091621715481173</v>
      </c>
      <c r="BR23" s="50"/>
      <c r="BS23" s="191">
        <f>SUM(BS12:BS22)</f>
        <v>0.15576359744485357</v>
      </c>
      <c r="BT23" s="197">
        <f>SUM(BT12:BT22)</f>
        <v>1.8649257689929704</v>
      </c>
      <c r="BV23" s="46" t="s">
        <v>76</v>
      </c>
      <c r="BW23" s="44">
        <f>SUM(BW12:BW22)</f>
        <v>5403626.5746333478</v>
      </c>
      <c r="BX23" s="49"/>
      <c r="BY23" s="51">
        <f>SUM(BY12:BY22)</f>
        <v>1.9111027479673608</v>
      </c>
      <c r="BZ23" s="50"/>
      <c r="CA23" s="191">
        <f>SUM(CA12:CA22)</f>
        <v>0.17029145730134809</v>
      </c>
      <c r="CB23" s="197">
        <f>SUM(CB12:CB22)</f>
        <v>2.0813942052687091</v>
      </c>
      <c r="CD23" s="46" t="s">
        <v>76</v>
      </c>
      <c r="CE23" s="44">
        <f>SUM(CE12:CE22)</f>
        <v>0</v>
      </c>
      <c r="CF23" s="49"/>
      <c r="CG23" s="51">
        <f>SUM(CG12:CG22)</f>
        <v>0</v>
      </c>
      <c r="CH23" s="50"/>
      <c r="CI23" s="191">
        <f>SUM(CI12:CI22)</f>
        <v>0</v>
      </c>
      <c r="CJ23" s="197">
        <f>SUM(CJ12:CJ22)</f>
        <v>0</v>
      </c>
    </row>
    <row r="25" spans="2:88" x14ac:dyDescent="0.25">
      <c r="B25" s="213"/>
      <c r="C25" s="387" t="s">
        <v>456</v>
      </c>
      <c r="D25" s="388"/>
      <c r="E25" s="388"/>
      <c r="F25" s="388"/>
      <c r="G25" s="388"/>
      <c r="H25" s="388"/>
      <c r="I25" s="388"/>
      <c r="J25" s="388"/>
      <c r="K25" s="388"/>
      <c r="L25" s="388"/>
      <c r="M25" s="389"/>
    </row>
    <row r="26" spans="2:88" x14ac:dyDescent="0.25">
      <c r="B26" s="214" t="s">
        <v>12</v>
      </c>
      <c r="C26" s="247">
        <v>2011</v>
      </c>
      <c r="D26" s="248">
        <v>2012</v>
      </c>
      <c r="E26" s="247">
        <v>2013</v>
      </c>
      <c r="F26" s="248">
        <v>2014</v>
      </c>
      <c r="G26" s="248">
        <v>2015</v>
      </c>
      <c r="H26" s="247">
        <v>2016</v>
      </c>
      <c r="I26" s="248">
        <v>2017</v>
      </c>
      <c r="J26" s="248">
        <v>2018</v>
      </c>
      <c r="K26" s="247">
        <v>2019</v>
      </c>
      <c r="L26" s="248">
        <v>2020</v>
      </c>
      <c r="M26" s="248">
        <v>2021</v>
      </c>
    </row>
    <row r="27" spans="2:88" x14ac:dyDescent="0.25">
      <c r="B27" s="54" t="s">
        <v>64</v>
      </c>
      <c r="C27" s="372">
        <f>[1]Paser!$N$16</f>
        <v>0</v>
      </c>
      <c r="D27" s="372">
        <f>[1]Paser!$N$17</f>
        <v>0</v>
      </c>
      <c r="E27" s="372">
        <f>[1]Paser!$N$18</f>
        <v>0</v>
      </c>
      <c r="F27" s="372">
        <f>[1]Paser!$N$19</f>
        <v>0</v>
      </c>
      <c r="G27" s="372">
        <f>[1]Paser!$N$20</f>
        <v>0</v>
      </c>
      <c r="H27" s="372">
        <f>[1]Paser!$N$21</f>
        <v>0</v>
      </c>
      <c r="I27" s="372">
        <f>[1]Paser!$N$22</f>
        <v>0</v>
      </c>
      <c r="J27" s="372">
        <f>[1]Paser!$N$23</f>
        <v>0</v>
      </c>
      <c r="K27" s="372">
        <f>[1]Paser!$N$24</f>
        <v>0</v>
      </c>
      <c r="L27" s="372">
        <f>[1]Paser!$N$25</f>
        <v>0</v>
      </c>
      <c r="M27" s="216"/>
    </row>
    <row r="28" spans="2:88" x14ac:dyDescent="0.25">
      <c r="B28" s="54" t="s">
        <v>71</v>
      </c>
      <c r="C28" s="372">
        <f>[1]Paser!$M$16</f>
        <v>12189</v>
      </c>
      <c r="D28" s="372">
        <f>[1]Paser!$M$17</f>
        <v>15398</v>
      </c>
      <c r="E28" s="372">
        <f>[1]Paser!$M$18</f>
        <v>14136</v>
      </c>
      <c r="F28" s="372">
        <f>[1]Paser!$M$19</f>
        <v>17345</v>
      </c>
      <c r="G28" s="372">
        <f>[1]Paser!$M$20</f>
        <v>20502</v>
      </c>
      <c r="H28" s="372">
        <f>[1]Paser!$M$21</f>
        <v>21659</v>
      </c>
      <c r="I28" s="372">
        <f>[1]Paser!$M$22</f>
        <v>26589.508234463978</v>
      </c>
      <c r="J28" s="372">
        <f>[1]Paser!$M$23</f>
        <v>30280.799896359073</v>
      </c>
      <c r="K28" s="372">
        <f>[1]Paser!$M$24</f>
        <v>34484.535564853562</v>
      </c>
      <c r="L28" s="372">
        <f>[1]Paser!$M$25</f>
        <v>38688.271233348103</v>
      </c>
      <c r="M28" s="216"/>
      <c r="N28" s="216"/>
    </row>
    <row r="29" spans="2:88" x14ac:dyDescent="0.25">
      <c r="B29" s="54" t="s">
        <v>22</v>
      </c>
      <c r="C29" s="372">
        <f>[1]Paser!$O$16</f>
        <v>554</v>
      </c>
      <c r="D29" s="372">
        <f>[1]Paser!$O$17</f>
        <v>560</v>
      </c>
      <c r="E29" s="372">
        <f>[1]Paser!$O$18</f>
        <v>489</v>
      </c>
      <c r="F29" s="372">
        <f>[1]Paser!$O$19</f>
        <v>528</v>
      </c>
      <c r="G29" s="372">
        <f>[1]Paser!$O$20</f>
        <v>683</v>
      </c>
      <c r="H29" s="372">
        <f>[1]Paser!$O$21</f>
        <v>756</v>
      </c>
      <c r="I29" s="372">
        <f>[1]Paser!$O$22</f>
        <v>717</v>
      </c>
      <c r="J29" s="372">
        <f>[1]Paser!$O$23</f>
        <v>752</v>
      </c>
      <c r="K29" s="372">
        <f>[1]Paser!$O$24</f>
        <v>789</v>
      </c>
      <c r="L29" s="372">
        <f>[1]Paser!$O$25</f>
        <v>828</v>
      </c>
      <c r="M29" s="216"/>
    </row>
    <row r="30" spans="2:88" x14ac:dyDescent="0.25">
      <c r="B30" s="54" t="s">
        <v>65</v>
      </c>
      <c r="C30" s="372">
        <f>[1]Paser!$Q$16</f>
        <v>58</v>
      </c>
      <c r="D30" s="372">
        <f>[1]Paser!$Q$17</f>
        <v>130</v>
      </c>
      <c r="E30" s="372">
        <f>[1]Paser!$Q$18</f>
        <v>125</v>
      </c>
      <c r="F30" s="372">
        <f>[1]Paser!$Q$19</f>
        <v>33</v>
      </c>
      <c r="G30" s="372">
        <f>[1]Paser!$Q$20</f>
        <v>48</v>
      </c>
      <c r="H30" s="372">
        <f>[1]Paser!$Q$21</f>
        <v>74</v>
      </c>
      <c r="I30" s="372">
        <f>[1]Paser!$Q$22</f>
        <v>57</v>
      </c>
      <c r="J30" s="372">
        <f>[1]Paser!$Q$23</f>
        <v>68</v>
      </c>
      <c r="K30" s="372">
        <f>[1]Paser!$Q$24</f>
        <v>81</v>
      </c>
      <c r="L30" s="372">
        <f>[1]Paser!$Q$25</f>
        <v>97</v>
      </c>
      <c r="M30" s="212"/>
    </row>
    <row r="31" spans="2:88" x14ac:dyDescent="0.25">
      <c r="B31" s="54" t="s">
        <v>23</v>
      </c>
      <c r="C31" s="372">
        <f>[1]Paser!$P$16</f>
        <v>4847</v>
      </c>
      <c r="D31" s="372">
        <f>[1]Paser!$P$17</f>
        <v>5760</v>
      </c>
      <c r="E31" s="372">
        <f>[1]Paser!$P$18</f>
        <v>5994</v>
      </c>
      <c r="F31" s="372">
        <f>[1]Paser!$P$19</f>
        <v>6469</v>
      </c>
      <c r="G31" s="372">
        <f>[1]Paser!$P$20</f>
        <v>7201</v>
      </c>
      <c r="H31" s="372">
        <f>[1]Paser!$P$21</f>
        <v>7724</v>
      </c>
      <c r="I31" s="372">
        <f>[1]Paser!$P$22</f>
        <v>7558</v>
      </c>
      <c r="J31" s="372">
        <f>[1]Paser!$P$23</f>
        <v>7935</v>
      </c>
      <c r="K31" s="372">
        <f>[1]Paser!$P$24</f>
        <v>8331</v>
      </c>
      <c r="L31" s="372">
        <f>[1]Paser!$P$25</f>
        <v>8747</v>
      </c>
      <c r="M31" s="216"/>
    </row>
    <row r="32" spans="2:88" x14ac:dyDescent="0.25">
      <c r="B32" s="54" t="s">
        <v>24</v>
      </c>
      <c r="C32" s="372">
        <f>[1]Paser!$S$16</f>
        <v>0</v>
      </c>
      <c r="D32" s="372">
        <f>[1]Paser!$S$17</f>
        <v>0</v>
      </c>
      <c r="E32" s="372">
        <f>[1]Paser!$S$18</f>
        <v>0</v>
      </c>
      <c r="F32" s="372">
        <f>[1]Paser!$S$19</f>
        <v>0</v>
      </c>
      <c r="G32" s="372">
        <f>[1]Paser!$S$20</f>
        <v>0</v>
      </c>
      <c r="H32" s="372">
        <f>[1]Paser!$S$21</f>
        <v>0</v>
      </c>
      <c r="I32" s="372">
        <f>[1]Paser!$S$22</f>
        <v>0</v>
      </c>
      <c r="J32" s="372">
        <f>[1]Paser!$S$23</f>
        <v>0</v>
      </c>
      <c r="K32" s="372">
        <f>[1]Paser!$S$24</f>
        <v>0</v>
      </c>
      <c r="L32" s="372">
        <f>[1]Paser!$S$25</f>
        <v>0</v>
      </c>
      <c r="M32" s="216"/>
    </row>
    <row r="33" spans="2:13" x14ac:dyDescent="0.25">
      <c r="B33" s="54" t="s">
        <v>72</v>
      </c>
      <c r="C33" s="372">
        <f>[1]Paser!$T$16</f>
        <v>837449</v>
      </c>
      <c r="D33" s="372">
        <f>[1]Paser!$T$17</f>
        <v>872933</v>
      </c>
      <c r="E33" s="372">
        <f>[1]Paser!$T$18</f>
        <v>925756</v>
      </c>
      <c r="F33" s="372">
        <f>[1]Paser!$T$19</f>
        <v>1019349</v>
      </c>
      <c r="G33" s="372">
        <f>[1]Paser!$T$20</f>
        <v>1314528</v>
      </c>
      <c r="H33" s="372">
        <f>[1]Paser!$T$21</f>
        <v>1445980.8</v>
      </c>
      <c r="I33" s="372">
        <f>[1]Paser!$T$22</f>
        <v>1590578.8800000001</v>
      </c>
      <c r="J33" s="372">
        <f>[1]Paser!$T$23</f>
        <v>1749636.7680000002</v>
      </c>
      <c r="K33" s="372">
        <f>[1]Paser!$T$24</f>
        <v>1924600.4448000002</v>
      </c>
      <c r="L33" s="372">
        <f>[1]Paser!$T$25</f>
        <v>2117060.4892800003</v>
      </c>
      <c r="M33" s="216"/>
    </row>
    <row r="34" spans="2:13" x14ac:dyDescent="0.25">
      <c r="B34" s="54" t="s">
        <v>73</v>
      </c>
      <c r="C34" s="372">
        <f>[1]Paser!$U$16</f>
        <v>2050000</v>
      </c>
      <c r="D34" s="372">
        <f>[1]Paser!$U$17</f>
        <v>1993350</v>
      </c>
      <c r="E34" s="372">
        <f>[1]Paser!$U$18</f>
        <v>1831500</v>
      </c>
      <c r="F34" s="372">
        <f>[1]Paser!$U$19</f>
        <v>1967589</v>
      </c>
      <c r="G34" s="372">
        <f>[1]Paser!$U$20</f>
        <v>1967715</v>
      </c>
      <c r="H34" s="372">
        <f>[1]Paser!$U$21</f>
        <v>2164486.5</v>
      </c>
      <c r="I34" s="372">
        <f>[1]Paser!$U$22</f>
        <v>2380935.15</v>
      </c>
      <c r="J34" s="372">
        <f>[1]Paser!$U$23</f>
        <v>2619028.665</v>
      </c>
      <c r="K34" s="372">
        <f>[1]Paser!$U$24</f>
        <v>2880931.5315</v>
      </c>
      <c r="L34" s="372">
        <f>[1]Paser!$U$25</f>
        <v>3169024.6846500002</v>
      </c>
      <c r="M34" s="216"/>
    </row>
    <row r="35" spans="2:13" x14ac:dyDescent="0.25">
      <c r="B35" s="54" t="s">
        <v>74</v>
      </c>
      <c r="C35" s="372">
        <f>[1]Paser!$V$16</f>
        <v>1275</v>
      </c>
      <c r="D35" s="372">
        <f>[1]Paser!$V$17</f>
        <v>2100</v>
      </c>
      <c r="E35" s="372">
        <f>[1]Paser!$V$18</f>
        <v>3315</v>
      </c>
      <c r="F35" s="372">
        <f>[1]Paser!$V$19</f>
        <v>3466</v>
      </c>
      <c r="G35" s="372">
        <f>[1]Paser!$V$20</f>
        <v>2201</v>
      </c>
      <c r="H35" s="372">
        <f>[1]Paser!$V$21</f>
        <v>2421.1</v>
      </c>
      <c r="I35" s="372">
        <f>[1]Paser!$V$22</f>
        <v>2663.21</v>
      </c>
      <c r="J35" s="372">
        <f>[1]Paser!$V$23</f>
        <v>2929.5309999999999</v>
      </c>
      <c r="K35" s="372">
        <f>[1]Paser!$V$24</f>
        <v>3222.4841000000001</v>
      </c>
      <c r="L35" s="372">
        <f>[1]Paser!$V$25</f>
        <v>3544.7325100000003</v>
      </c>
      <c r="M35" s="212"/>
    </row>
    <row r="36" spans="2:13" x14ac:dyDescent="0.25">
      <c r="B36" s="54" t="s">
        <v>75</v>
      </c>
      <c r="C36" s="372">
        <f>[1]Paser!$W$16</f>
        <v>12890</v>
      </c>
      <c r="D36" s="372">
        <f>[1]Paser!$W$17</f>
        <v>16602</v>
      </c>
      <c r="E36" s="372">
        <f>[1]Paser!$W$18</f>
        <v>18117</v>
      </c>
      <c r="F36" s="372">
        <f>[1]Paser!$W$19</f>
        <v>35648</v>
      </c>
      <c r="G36" s="372">
        <f>[1]Paser!$W$20</f>
        <v>38896</v>
      </c>
      <c r="H36" s="372">
        <f>[1]Paser!$W$21</f>
        <v>42785.599999999999</v>
      </c>
      <c r="I36" s="372">
        <f>[1]Paser!$W$22</f>
        <v>47064.159999999996</v>
      </c>
      <c r="J36" s="372">
        <f>[1]Paser!$W$23</f>
        <v>51770.575999999994</v>
      </c>
      <c r="K36" s="372">
        <f>[1]Paser!$W$24</f>
        <v>56947.633599999994</v>
      </c>
      <c r="L36" s="372">
        <f>[1]Paser!$W$25</f>
        <v>62642.396959999991</v>
      </c>
      <c r="M36" s="212"/>
    </row>
    <row r="37" spans="2:13" x14ac:dyDescent="0.25">
      <c r="B37" s="256" t="s">
        <v>66</v>
      </c>
      <c r="C37" s="373">
        <f>[1]Paser!$R$16</f>
        <v>0</v>
      </c>
      <c r="D37" s="373">
        <f>[1]Paser!$R$17</f>
        <v>2575</v>
      </c>
      <c r="E37" s="373">
        <f>[1]Paser!$R$18</f>
        <v>2580</v>
      </c>
      <c r="F37" s="373">
        <f>[1]Paser!$R$19</f>
        <v>2885</v>
      </c>
      <c r="G37" s="373">
        <f>[1]Paser!$R$20</f>
        <v>3071</v>
      </c>
      <c r="H37" s="373">
        <f>[1]Paser!$R$21</f>
        <v>3218</v>
      </c>
      <c r="I37" s="373">
        <f>[1]Paser!$R$22</f>
        <v>2821</v>
      </c>
      <c r="J37" s="373">
        <f>[1]Paser!$R$23</f>
        <v>2877</v>
      </c>
      <c r="K37" s="373">
        <f>[1]Paser!$R$24</f>
        <v>2934</v>
      </c>
      <c r="L37" s="373">
        <f>[1]Paser!$R$25</f>
        <v>2994</v>
      </c>
      <c r="M37" s="66"/>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C2" activePane="bottomRight" state="frozen"/>
      <selection pane="topRight" activeCell="C1" sqref="C1"/>
      <selection pane="bottomLeft" activeCell="A2" sqref="A2"/>
      <selection pane="bottomRight" activeCell="D7" sqref="D7"/>
    </sheetView>
  </sheetViews>
  <sheetFormatPr defaultRowHeight="15" x14ac:dyDescent="0.25"/>
  <cols>
    <col min="1" max="1" width="1.7109375" style="239" customWidth="1"/>
    <col min="2" max="2" width="15.85546875" style="239" customWidth="1"/>
    <col min="3" max="3" width="15.28515625" style="239" customWidth="1"/>
    <col min="4" max="4" width="19.28515625" style="239" customWidth="1"/>
    <col min="5" max="5" width="18.85546875" style="239" bestFit="1" customWidth="1"/>
    <col min="6" max="6" width="12.5703125" style="239" bestFit="1" customWidth="1"/>
    <col min="7" max="7" width="16.140625" style="239" customWidth="1"/>
    <col min="8" max="8" width="15.85546875" style="239" customWidth="1"/>
    <col min="9" max="9" width="16.28515625" style="239" customWidth="1"/>
    <col min="10" max="10" width="18.28515625" style="239" customWidth="1"/>
    <col min="11" max="11" width="22.140625" style="239" customWidth="1"/>
    <col min="12" max="12" width="14.42578125" style="239" bestFit="1" customWidth="1"/>
    <col min="13" max="13" width="2.5703125" style="239" hidden="1" customWidth="1"/>
    <col min="14" max="18" width="1.7109375" style="239" hidden="1" customWidth="1"/>
    <col min="19" max="19" width="19.28515625" style="239" customWidth="1"/>
    <col min="20" max="20" width="17.28515625" style="239" customWidth="1"/>
    <col min="21" max="21" width="17.42578125" style="239" customWidth="1"/>
    <col min="22" max="22" width="20.7109375" style="239" customWidth="1"/>
    <col min="23" max="23" width="20" style="239" customWidth="1"/>
    <col min="24" max="24" width="16.42578125" style="239" customWidth="1"/>
    <col min="25" max="25" width="23.140625" style="239" customWidth="1"/>
    <col min="26" max="26" width="9.42578125" style="239" customWidth="1"/>
    <col min="27" max="27" width="2.42578125" style="239" customWidth="1"/>
    <col min="28" max="28" width="16.7109375" style="239" customWidth="1"/>
    <col min="29" max="29" width="16.42578125" style="239" customWidth="1"/>
    <col min="30" max="30" width="14.85546875" style="239" customWidth="1"/>
    <col min="31" max="31" width="20.5703125" style="239" customWidth="1"/>
    <col min="32" max="32" width="13.28515625" style="239" customWidth="1"/>
    <col min="33" max="33" width="16.5703125" style="239" customWidth="1"/>
    <col min="34" max="34" width="14.7109375" style="239" customWidth="1"/>
    <col min="35" max="35" width="17.5703125" style="239" customWidth="1"/>
    <col min="36" max="36" width="18" style="239" customWidth="1"/>
    <col min="37" max="37" width="16.140625" style="239" customWidth="1"/>
    <col min="38" max="38" width="9.140625" style="239"/>
    <col min="39" max="44" width="1.28515625" style="239" hidden="1" customWidth="1"/>
    <col min="45" max="45" width="16.7109375" style="239" customWidth="1"/>
    <col min="46" max="46" width="17.7109375" style="239" customWidth="1"/>
    <col min="47" max="47" width="16.85546875" style="239" customWidth="1"/>
    <col min="48" max="48" width="21.7109375" style="239" customWidth="1"/>
    <col min="49" max="49" width="16.7109375" style="239" customWidth="1"/>
    <col min="50" max="50" width="19.85546875" style="239" customWidth="1"/>
    <col min="51" max="51" width="23" style="239" customWidth="1"/>
    <col min="52" max="52" width="9.140625" style="239"/>
    <col min="53" max="53" width="0" style="239" hidden="1" customWidth="1"/>
    <col min="54" max="54" width="19.85546875" style="239" customWidth="1"/>
    <col min="55" max="55" width="17.5703125" style="239" customWidth="1"/>
    <col min="56" max="56" width="14.5703125" style="239" bestFit="1" customWidth="1"/>
    <col min="57" max="57" width="19.28515625" style="239" customWidth="1"/>
    <col min="58" max="58" width="12.7109375" style="239" customWidth="1"/>
    <col min="59" max="59" width="17.85546875" style="239" customWidth="1"/>
    <col min="60" max="60" width="15.5703125" style="239" customWidth="1"/>
    <col min="61" max="61" width="18.5703125" style="239" customWidth="1"/>
    <col min="62" max="62" width="14.140625" style="239" customWidth="1"/>
    <col min="63" max="63" width="23.85546875" style="239" customWidth="1"/>
    <col min="64" max="64" width="9.140625" style="239"/>
    <col min="65" max="70" width="1.5703125" style="239" hidden="1" customWidth="1"/>
    <col min="71" max="71" width="16.42578125" style="239" customWidth="1"/>
    <col min="72" max="72" width="14.85546875" style="239" customWidth="1"/>
    <col min="73" max="73" width="14.28515625" style="239" customWidth="1"/>
    <col min="74" max="77" width="18.5703125" style="239" customWidth="1"/>
    <col min="78" max="78" width="9.140625" style="239"/>
    <col min="79" max="79" width="4" style="239" customWidth="1"/>
    <col min="80" max="80" width="17.5703125" style="239" customWidth="1"/>
    <col min="81" max="81" width="15.85546875" style="239" customWidth="1"/>
    <col min="82" max="82" width="12.28515625" style="239" customWidth="1"/>
    <col min="83" max="83" width="18" style="239" bestFit="1" customWidth="1"/>
    <col min="84" max="84" width="10.5703125" style="239" bestFit="1" customWidth="1"/>
    <col min="85" max="85" width="22" style="239" bestFit="1" customWidth="1"/>
    <col min="86" max="86" width="29.42578125" style="239" bestFit="1" customWidth="1"/>
    <col min="87" max="87" width="16.7109375" style="239" bestFit="1" customWidth="1"/>
    <col min="88" max="88" width="14.5703125" style="239" bestFit="1" customWidth="1"/>
    <col min="89" max="89" width="20.85546875" style="239" bestFit="1" customWidth="1"/>
    <col min="90" max="90" width="9.140625" style="239"/>
    <col min="91" max="96" width="1.85546875" style="239" hidden="1" customWidth="1"/>
    <col min="97" max="97" width="17" style="239" customWidth="1"/>
    <col min="98" max="98" width="15.85546875" style="239" customWidth="1"/>
    <col min="99" max="99" width="14.5703125" style="239" bestFit="1" customWidth="1"/>
    <col min="100" max="100" width="17.5703125" style="239" bestFit="1" customWidth="1"/>
    <col min="101" max="101" width="24.85546875" style="239" customWidth="1"/>
    <col min="102" max="102" width="16.7109375" style="239" bestFit="1" customWidth="1"/>
    <col min="103" max="103" width="20.42578125" style="239" bestFit="1" customWidth="1"/>
    <col min="104" max="104" width="9.140625" style="239"/>
    <col min="105" max="105" width="0" style="239" hidden="1" customWidth="1"/>
    <col min="106" max="106" width="17.5703125" style="239" customWidth="1"/>
    <col min="107" max="107" width="15.5703125" style="239" customWidth="1"/>
    <col min="108" max="108" width="14.5703125" style="239" bestFit="1" customWidth="1"/>
    <col min="109" max="109" width="18" style="239" bestFit="1" customWidth="1"/>
    <col min="110" max="110" width="10.5703125" style="239" bestFit="1" customWidth="1"/>
    <col min="111" max="111" width="22" style="239" bestFit="1" customWidth="1"/>
    <col min="112" max="112" width="21.140625" style="239" customWidth="1"/>
    <col min="113" max="113" width="16.7109375" style="239" bestFit="1" customWidth="1"/>
    <col min="114" max="114" width="14.5703125" style="239" bestFit="1" customWidth="1"/>
    <col min="115" max="115" width="20.85546875" style="239" bestFit="1" customWidth="1"/>
    <col min="116" max="116" width="9.140625" style="239"/>
    <col min="117" max="122" width="1.85546875" style="239" hidden="1" customWidth="1"/>
    <col min="123" max="123" width="15" style="239" customWidth="1"/>
    <col min="124" max="124" width="15.140625" style="239" customWidth="1"/>
    <col min="125" max="125" width="14.5703125" style="239" bestFit="1" customWidth="1"/>
    <col min="126" max="126" width="17.5703125" style="239" bestFit="1" customWidth="1"/>
    <col min="127" max="127" width="25.140625" style="239" customWidth="1"/>
    <col min="128" max="128" width="16.7109375" style="239" bestFit="1" customWidth="1"/>
    <col min="129" max="129" width="20.42578125" style="239" bestFit="1" customWidth="1"/>
    <col min="130" max="130" width="9.140625" style="239"/>
    <col min="131" max="131" width="0" style="239" hidden="1" customWidth="1"/>
    <col min="132" max="133" width="17" style="239" customWidth="1"/>
    <col min="134" max="134" width="14.5703125" style="239" bestFit="1" customWidth="1"/>
    <col min="135" max="135" width="18" style="239" bestFit="1" customWidth="1"/>
    <col min="136" max="136" width="10.5703125" style="239" bestFit="1" customWidth="1"/>
    <col min="137" max="137" width="22" style="239" bestFit="1" customWidth="1"/>
    <col min="138" max="138" width="17.5703125" style="239" customWidth="1"/>
    <col min="139" max="139" width="16.7109375" style="239" bestFit="1" customWidth="1"/>
    <col min="140" max="140" width="14.5703125" style="239" bestFit="1" customWidth="1"/>
    <col min="141" max="141" width="20.85546875" style="239" bestFit="1" customWidth="1"/>
    <col min="142" max="142" width="9.140625" style="239"/>
    <col min="143" max="147" width="1.28515625" style="239" hidden="1" customWidth="1"/>
    <col min="148" max="148" width="1.28515625" style="239" customWidth="1"/>
    <col min="149" max="149" width="14.7109375" style="239" customWidth="1"/>
    <col min="150" max="150" width="15.5703125" style="239" customWidth="1"/>
    <col min="151" max="151" width="14.5703125" style="239" bestFit="1" customWidth="1"/>
    <col min="152" max="152" width="17.5703125" style="239" bestFit="1" customWidth="1"/>
    <col min="153" max="153" width="28.85546875" style="239" customWidth="1"/>
    <col min="154" max="154" width="16.7109375" style="239" bestFit="1" customWidth="1"/>
    <col min="155" max="155" width="20.42578125" style="239" bestFit="1" customWidth="1"/>
    <col min="156" max="158" width="9.140625" style="239"/>
    <col min="159" max="159" width="15.85546875" style="239" customWidth="1"/>
    <col min="160" max="160" width="14.5703125" style="239" bestFit="1" customWidth="1"/>
    <col min="161" max="161" width="18" style="239" bestFit="1" customWidth="1"/>
    <col min="162" max="162" width="10.5703125" style="239" bestFit="1" customWidth="1"/>
    <col min="163" max="163" width="22" style="239" bestFit="1" customWidth="1"/>
    <col min="164" max="164" width="29.42578125" style="239" bestFit="1" customWidth="1"/>
    <col min="165" max="165" width="16.7109375" style="239" bestFit="1" customWidth="1"/>
    <col min="166" max="166" width="14.5703125" style="239" bestFit="1" customWidth="1"/>
    <col min="167" max="167" width="20.85546875" style="239" bestFit="1" customWidth="1"/>
    <col min="168" max="168" width="9.140625" style="239"/>
    <col min="169" max="174" width="1.28515625" style="239" hidden="1" customWidth="1"/>
    <col min="175" max="175" width="13.7109375" style="239" customWidth="1"/>
    <col min="176" max="176" width="16.5703125" style="239" customWidth="1"/>
    <col min="177" max="177" width="14.5703125" style="239" bestFit="1" customWidth="1"/>
    <col min="178" max="178" width="17.5703125" style="239" bestFit="1" customWidth="1"/>
    <col min="179" max="179" width="15.5703125" style="239" customWidth="1"/>
    <col min="180" max="180" width="16.7109375" style="239" bestFit="1" customWidth="1"/>
    <col min="181" max="181" width="20.42578125" style="239" bestFit="1" customWidth="1"/>
    <col min="182" max="184" width="9.140625" style="239"/>
    <col min="185" max="185" width="16" style="239" customWidth="1"/>
    <col min="186" max="186" width="14.5703125" style="239" bestFit="1" customWidth="1"/>
    <col min="187" max="187" width="18" style="239" bestFit="1" customWidth="1"/>
    <col min="188" max="188" width="10.5703125" style="239" bestFit="1" customWidth="1"/>
    <col min="189" max="189" width="22" style="239" bestFit="1" customWidth="1"/>
    <col min="190" max="190" width="29.42578125" style="239" bestFit="1" customWidth="1"/>
    <col min="191" max="191" width="16.7109375" style="239" bestFit="1" customWidth="1"/>
    <col min="192" max="192" width="14.5703125" style="239" bestFit="1" customWidth="1"/>
    <col min="193" max="193" width="20.85546875" style="239" bestFit="1" customWidth="1"/>
    <col min="194" max="194" width="9.140625" style="239"/>
    <col min="195" max="199" width="1.85546875" style="239" hidden="1" customWidth="1"/>
    <col min="200" max="200" width="1.85546875" style="239" customWidth="1"/>
    <col min="201" max="201" width="15.85546875" style="239" customWidth="1"/>
    <col min="202" max="202" width="16.7109375" style="239" customWidth="1"/>
    <col min="203" max="203" width="14.5703125" style="239" bestFit="1" customWidth="1"/>
    <col min="204" max="204" width="17.5703125" style="239" bestFit="1" customWidth="1"/>
    <col min="205" max="205" width="22.140625" style="239" customWidth="1"/>
    <col min="206" max="206" width="16.7109375" style="239" bestFit="1" customWidth="1"/>
    <col min="207" max="207" width="20.42578125" style="239" bestFit="1" customWidth="1"/>
    <col min="208" max="210" width="9.140625" style="239"/>
    <col min="211" max="211" width="16.42578125" style="239" customWidth="1"/>
    <col min="212" max="212" width="14.5703125" style="239" bestFit="1" customWidth="1"/>
    <col min="213" max="213" width="18" style="239" bestFit="1" customWidth="1"/>
    <col min="214" max="214" width="10.5703125" style="239" bestFit="1" customWidth="1"/>
    <col min="215" max="215" width="22" style="239" bestFit="1" customWidth="1"/>
    <col min="216" max="216" width="18" style="239" customWidth="1"/>
    <col min="217" max="217" width="16.7109375" style="239" bestFit="1" customWidth="1"/>
    <col min="218" max="218" width="14.5703125" style="239" bestFit="1" customWidth="1"/>
    <col min="219" max="219" width="20.85546875" style="239" bestFit="1" customWidth="1"/>
    <col min="220" max="220" width="9.140625" style="239"/>
    <col min="221" max="225" width="1.28515625" style="239" hidden="1" customWidth="1"/>
    <col min="226" max="226" width="0" style="239" hidden="1" customWidth="1"/>
    <col min="227" max="227" width="9.140625" style="239"/>
    <col min="228" max="228" width="15.28515625" style="239" customWidth="1"/>
    <col min="229" max="229" width="14.5703125" style="239" bestFit="1" customWidth="1"/>
    <col min="230" max="230" width="17.5703125" style="239" bestFit="1" customWidth="1"/>
    <col min="231" max="231" width="20" style="239" customWidth="1"/>
    <col min="232" max="232" width="16.7109375" style="239" bestFit="1" customWidth="1"/>
    <col min="233" max="233" width="20.42578125" style="239" bestFit="1" customWidth="1"/>
    <col min="234" max="236" width="9.140625" style="239"/>
    <col min="237" max="237" width="16.5703125" style="239" customWidth="1"/>
    <col min="238" max="238" width="14.5703125" style="239" bestFit="1" customWidth="1"/>
    <col min="239" max="239" width="18" style="239" bestFit="1" customWidth="1"/>
    <col min="240" max="240" width="10.5703125" style="239" bestFit="1" customWidth="1"/>
    <col min="241" max="241" width="22" style="239" bestFit="1" customWidth="1"/>
    <col min="242" max="242" width="16" style="239" customWidth="1"/>
    <col min="243" max="243" width="16.7109375" style="239" bestFit="1" customWidth="1"/>
    <col min="244" max="244" width="14.5703125" style="239" bestFit="1" customWidth="1"/>
    <col min="245" max="245" width="20.85546875" style="239" bestFit="1" customWidth="1"/>
    <col min="246" max="246" width="9.140625" style="239"/>
    <col min="247" max="251" width="2.140625" style="239" hidden="1" customWidth="1"/>
    <col min="252" max="252" width="0" style="239" hidden="1" customWidth="1"/>
    <col min="253" max="253" width="9.140625" style="239"/>
    <col min="254" max="254" width="15.7109375" style="239" customWidth="1"/>
    <col min="255" max="255" width="9.140625" style="239"/>
    <col min="256" max="256" width="17.5703125" style="239" bestFit="1" customWidth="1"/>
    <col min="257" max="257" width="17.28515625" style="239" customWidth="1"/>
    <col min="258" max="258" width="16.7109375" style="239" bestFit="1" customWidth="1"/>
    <col min="259" max="259" width="20.42578125" style="239" bestFit="1" customWidth="1"/>
    <col min="260" max="262" width="9.140625" style="239"/>
    <col min="263" max="263" width="15.5703125" style="239" customWidth="1"/>
    <col min="264" max="264" width="9.140625" style="239"/>
    <col min="265" max="265" width="18" style="239" bestFit="1" customWidth="1"/>
    <col min="266" max="266" width="10.5703125" style="239" bestFit="1" customWidth="1"/>
    <col min="267" max="267" width="22" style="239" bestFit="1" customWidth="1"/>
    <col min="268" max="268" width="19" style="239" customWidth="1"/>
    <col min="269" max="269" width="16.7109375" style="239" bestFit="1" customWidth="1"/>
    <col min="270" max="270" width="14.5703125" style="239" bestFit="1" customWidth="1"/>
    <col min="271" max="271" width="20.85546875" style="239" bestFit="1" customWidth="1"/>
    <col min="272" max="272" width="9.140625" style="239"/>
    <col min="273" max="277" width="2.140625" style="239" hidden="1" customWidth="1"/>
    <col min="278" max="278" width="2.7109375" style="239" hidden="1" customWidth="1"/>
    <col min="279" max="279" width="17.28515625" style="239" customWidth="1"/>
    <col min="280" max="280" width="15.85546875" style="239" customWidth="1"/>
    <col min="281" max="281" width="14.85546875" style="239" customWidth="1"/>
    <col min="282" max="282" width="15.28515625" style="239" customWidth="1"/>
    <col min="283" max="283" width="17.7109375" style="239" customWidth="1"/>
    <col min="284" max="284" width="16.7109375" style="239" bestFit="1" customWidth="1"/>
    <col min="285" max="285" width="20.42578125" style="239" bestFit="1" customWidth="1"/>
    <col min="286" max="16384" width="9.140625" style="239"/>
  </cols>
  <sheetData>
    <row r="1" spans="1:285" x14ac:dyDescent="0.25">
      <c r="B1" s="466" t="s">
        <v>396</v>
      </c>
      <c r="C1" s="466">
        <v>2021</v>
      </c>
      <c r="AB1" s="466" t="s">
        <v>396</v>
      </c>
      <c r="AC1" s="466">
        <v>2022</v>
      </c>
      <c r="BB1" s="466" t="s">
        <v>396</v>
      </c>
      <c r="BC1" s="466">
        <v>2023</v>
      </c>
      <c r="CB1" s="466" t="s">
        <v>396</v>
      </c>
      <c r="CC1" s="466">
        <v>2024</v>
      </c>
      <c r="DB1" s="466" t="s">
        <v>396</v>
      </c>
      <c r="DC1" s="466">
        <v>2025</v>
      </c>
      <c r="EB1" s="466" t="s">
        <v>396</v>
      </c>
      <c r="EC1" s="466">
        <v>2026</v>
      </c>
      <c r="FB1" s="466" t="s">
        <v>396</v>
      </c>
      <c r="FC1" s="466">
        <v>2027</v>
      </c>
      <c r="GB1" s="466" t="s">
        <v>396</v>
      </c>
      <c r="GC1" s="466">
        <v>2028</v>
      </c>
      <c r="HB1" s="466" t="s">
        <v>396</v>
      </c>
      <c r="HC1" s="466">
        <v>2029</v>
      </c>
      <c r="IB1" s="466" t="s">
        <v>396</v>
      </c>
      <c r="IC1" s="466">
        <v>2030</v>
      </c>
      <c r="JB1" s="466" t="s">
        <v>396</v>
      </c>
      <c r="JC1" s="466">
        <v>2031</v>
      </c>
    </row>
    <row r="2" spans="1:285" x14ac:dyDescent="0.25">
      <c r="B2" s="239" t="s">
        <v>0</v>
      </c>
      <c r="C2" s="239" t="s">
        <v>2</v>
      </c>
      <c r="S2" s="239" t="s">
        <v>0</v>
      </c>
      <c r="T2" s="239" t="s">
        <v>2</v>
      </c>
      <c r="AB2" s="239" t="s">
        <v>0</v>
      </c>
      <c r="AC2" s="239" t="s">
        <v>2</v>
      </c>
      <c r="AS2" s="239" t="s">
        <v>0</v>
      </c>
      <c r="AT2" s="239" t="s">
        <v>2</v>
      </c>
      <c r="BB2" s="239" t="s">
        <v>0</v>
      </c>
      <c r="BC2" s="239" t="s">
        <v>2</v>
      </c>
      <c r="BS2" s="239" t="s">
        <v>0</v>
      </c>
      <c r="BT2" s="239" t="s">
        <v>2</v>
      </c>
      <c r="CB2" s="239" t="s">
        <v>0</v>
      </c>
      <c r="CC2" s="239" t="s">
        <v>2</v>
      </c>
      <c r="CS2" s="239" t="s">
        <v>0</v>
      </c>
      <c r="CT2" s="239" t="s">
        <v>2</v>
      </c>
      <c r="DB2" s="239" t="s">
        <v>0</v>
      </c>
      <c r="DC2" s="239" t="s">
        <v>2</v>
      </c>
      <c r="DS2" s="239" t="s">
        <v>0</v>
      </c>
      <c r="DT2" s="239" t="s">
        <v>2</v>
      </c>
      <c r="EB2" s="239" t="s">
        <v>0</v>
      </c>
      <c r="EC2" s="239" t="s">
        <v>2</v>
      </c>
      <c r="ES2" s="239" t="s">
        <v>0</v>
      </c>
      <c r="ET2" s="239" t="s">
        <v>2</v>
      </c>
      <c r="FB2" s="239" t="s">
        <v>0</v>
      </c>
      <c r="FC2" s="239" t="s">
        <v>2</v>
      </c>
      <c r="FS2" s="239" t="s">
        <v>0</v>
      </c>
      <c r="FT2" s="239" t="s">
        <v>2</v>
      </c>
      <c r="GB2" s="239" t="s">
        <v>0</v>
      </c>
      <c r="GC2" s="239" t="s">
        <v>2</v>
      </c>
      <c r="GS2" s="239" t="s">
        <v>0</v>
      </c>
      <c r="GT2" s="239" t="s">
        <v>2</v>
      </c>
      <c r="HB2" s="239" t="s">
        <v>0</v>
      </c>
      <c r="HC2" s="239" t="s">
        <v>2</v>
      </c>
      <c r="HS2" s="239" t="s">
        <v>0</v>
      </c>
      <c r="HT2" s="239" t="s">
        <v>2</v>
      </c>
      <c r="IB2" s="239" t="s">
        <v>0</v>
      </c>
      <c r="IC2" s="239" t="s">
        <v>2</v>
      </c>
      <c r="IS2" s="239" t="s">
        <v>0</v>
      </c>
      <c r="IT2" s="239" t="s">
        <v>2</v>
      </c>
      <c r="JB2" s="239" t="s">
        <v>0</v>
      </c>
      <c r="JC2" s="239" t="s">
        <v>2</v>
      </c>
      <c r="JS2" s="239" t="s">
        <v>0</v>
      </c>
      <c r="JT2" s="239" t="s">
        <v>2</v>
      </c>
    </row>
    <row r="3" spans="1:285" x14ac:dyDescent="0.25">
      <c r="B3" s="239" t="s">
        <v>1</v>
      </c>
      <c r="C3" s="239" t="s">
        <v>132</v>
      </c>
      <c r="S3" s="239" t="s">
        <v>1</v>
      </c>
      <c r="T3" s="239" t="s">
        <v>131</v>
      </c>
      <c r="AB3" s="239" t="s">
        <v>1</v>
      </c>
      <c r="AC3" s="239" t="s">
        <v>132</v>
      </c>
      <c r="AS3" s="239" t="s">
        <v>1</v>
      </c>
      <c r="AT3" s="239" t="s">
        <v>131</v>
      </c>
      <c r="BB3" s="239" t="s">
        <v>1</v>
      </c>
      <c r="BC3" s="239" t="s">
        <v>132</v>
      </c>
      <c r="BS3" s="239" t="s">
        <v>1</v>
      </c>
      <c r="BT3" s="239" t="s">
        <v>131</v>
      </c>
      <c r="CB3" s="239" t="s">
        <v>1</v>
      </c>
      <c r="CC3" s="239" t="s">
        <v>132</v>
      </c>
      <c r="CS3" s="239" t="s">
        <v>1</v>
      </c>
      <c r="CT3" s="239" t="s">
        <v>131</v>
      </c>
      <c r="DB3" s="239" t="s">
        <v>1</v>
      </c>
      <c r="DC3" s="239" t="s">
        <v>132</v>
      </c>
      <c r="DS3" s="239" t="s">
        <v>1</v>
      </c>
      <c r="DT3" s="239" t="s">
        <v>131</v>
      </c>
      <c r="EB3" s="239" t="s">
        <v>1</v>
      </c>
      <c r="EC3" s="239" t="s">
        <v>132</v>
      </c>
      <c r="ES3" s="239" t="s">
        <v>1</v>
      </c>
      <c r="ET3" s="239" t="s">
        <v>131</v>
      </c>
      <c r="FB3" s="239" t="s">
        <v>1</v>
      </c>
      <c r="FC3" s="239" t="s">
        <v>132</v>
      </c>
      <c r="FS3" s="239" t="s">
        <v>1</v>
      </c>
      <c r="FT3" s="239" t="s">
        <v>131</v>
      </c>
      <c r="GB3" s="239" t="s">
        <v>1</v>
      </c>
      <c r="GC3" s="239" t="s">
        <v>132</v>
      </c>
      <c r="GS3" s="239" t="s">
        <v>1</v>
      </c>
      <c r="GT3" s="239" t="s">
        <v>131</v>
      </c>
      <c r="HB3" s="239" t="s">
        <v>1</v>
      </c>
      <c r="HC3" s="239" t="s">
        <v>132</v>
      </c>
      <c r="HS3" s="239" t="s">
        <v>1</v>
      </c>
      <c r="HT3" s="239" t="s">
        <v>131</v>
      </c>
      <c r="IB3" s="239" t="s">
        <v>1</v>
      </c>
      <c r="IC3" s="239" t="s">
        <v>132</v>
      </c>
      <c r="IS3" s="239" t="s">
        <v>1</v>
      </c>
      <c r="IT3" s="239" t="s">
        <v>131</v>
      </c>
      <c r="JB3" s="239" t="s">
        <v>1</v>
      </c>
      <c r="JC3" s="239" t="s">
        <v>132</v>
      </c>
      <c r="JS3" s="239" t="s">
        <v>1</v>
      </c>
      <c r="JT3" s="239" t="s">
        <v>131</v>
      </c>
    </row>
    <row r="4" spans="1:285" ht="19.5" customHeight="1" thickBot="1" x14ac:dyDescent="0.3"/>
    <row r="5" spans="1:285" ht="19.5" customHeight="1" x14ac:dyDescent="0.25">
      <c r="B5" s="390" t="s">
        <v>102</v>
      </c>
      <c r="C5" s="380" t="s">
        <v>3</v>
      </c>
      <c r="D5" s="379" t="s">
        <v>89</v>
      </c>
      <c r="E5" s="393" t="s">
        <v>98</v>
      </c>
      <c r="F5" s="394"/>
      <c r="G5" s="396"/>
      <c r="H5" s="393" t="s">
        <v>89</v>
      </c>
      <c r="I5" s="394"/>
      <c r="J5" s="394"/>
      <c r="K5" s="395"/>
      <c r="S5" s="390" t="s">
        <v>102</v>
      </c>
      <c r="T5" s="380" t="s">
        <v>3</v>
      </c>
      <c r="U5" s="379" t="s">
        <v>89</v>
      </c>
      <c r="V5" s="393" t="s">
        <v>145</v>
      </c>
      <c r="W5" s="394"/>
      <c r="X5" s="393" t="s">
        <v>146</v>
      </c>
      <c r="Y5" s="395"/>
      <c r="AB5" s="390" t="s">
        <v>102</v>
      </c>
      <c r="AC5" s="380" t="s">
        <v>3</v>
      </c>
      <c r="AD5" s="379" t="s">
        <v>89</v>
      </c>
      <c r="AE5" s="393" t="s">
        <v>98</v>
      </c>
      <c r="AF5" s="394"/>
      <c r="AG5" s="396"/>
      <c r="AH5" s="393" t="s">
        <v>89</v>
      </c>
      <c r="AI5" s="394"/>
      <c r="AJ5" s="394"/>
      <c r="AK5" s="395"/>
      <c r="AS5" s="390" t="s">
        <v>102</v>
      </c>
      <c r="AT5" s="380" t="s">
        <v>3</v>
      </c>
      <c r="AU5" s="379" t="s">
        <v>89</v>
      </c>
      <c r="AV5" s="393" t="s">
        <v>145</v>
      </c>
      <c r="AW5" s="394"/>
      <c r="AX5" s="393" t="s">
        <v>146</v>
      </c>
      <c r="AY5" s="395"/>
      <c r="BB5" s="390" t="s">
        <v>102</v>
      </c>
      <c r="BC5" s="380" t="s">
        <v>3</v>
      </c>
      <c r="BD5" s="379" t="s">
        <v>89</v>
      </c>
      <c r="BE5" s="393" t="s">
        <v>98</v>
      </c>
      <c r="BF5" s="394"/>
      <c r="BG5" s="396"/>
      <c r="BH5" s="393" t="s">
        <v>89</v>
      </c>
      <c r="BI5" s="394"/>
      <c r="BJ5" s="394"/>
      <c r="BK5" s="395"/>
      <c r="BS5" s="390" t="s">
        <v>102</v>
      </c>
      <c r="BT5" s="380" t="s">
        <v>3</v>
      </c>
      <c r="BU5" s="379" t="s">
        <v>89</v>
      </c>
      <c r="BV5" s="393" t="s">
        <v>145</v>
      </c>
      <c r="BW5" s="394"/>
      <c r="BX5" s="393" t="s">
        <v>146</v>
      </c>
      <c r="BY5" s="395"/>
      <c r="CB5" s="390" t="s">
        <v>102</v>
      </c>
      <c r="CC5" s="380" t="s">
        <v>3</v>
      </c>
      <c r="CD5" s="379" t="s">
        <v>89</v>
      </c>
      <c r="CE5" s="393" t="s">
        <v>98</v>
      </c>
      <c r="CF5" s="394"/>
      <c r="CG5" s="396"/>
      <c r="CH5" s="393" t="s">
        <v>89</v>
      </c>
      <c r="CI5" s="394"/>
      <c r="CJ5" s="394"/>
      <c r="CK5" s="395"/>
      <c r="CS5" s="390" t="s">
        <v>102</v>
      </c>
      <c r="CT5" s="380" t="s">
        <v>3</v>
      </c>
      <c r="CU5" s="379" t="s">
        <v>89</v>
      </c>
      <c r="CV5" s="393" t="s">
        <v>145</v>
      </c>
      <c r="CW5" s="394"/>
      <c r="CX5" s="393" t="s">
        <v>146</v>
      </c>
      <c r="CY5" s="395"/>
      <c r="DB5" s="390" t="s">
        <v>102</v>
      </c>
      <c r="DC5" s="380" t="s">
        <v>3</v>
      </c>
      <c r="DD5" s="379" t="s">
        <v>89</v>
      </c>
      <c r="DE5" s="393" t="s">
        <v>98</v>
      </c>
      <c r="DF5" s="394"/>
      <c r="DG5" s="396"/>
      <c r="DH5" s="393" t="s">
        <v>89</v>
      </c>
      <c r="DI5" s="394"/>
      <c r="DJ5" s="394"/>
      <c r="DK5" s="395"/>
      <c r="DS5" s="390" t="s">
        <v>102</v>
      </c>
      <c r="DT5" s="380" t="s">
        <v>3</v>
      </c>
      <c r="DU5" s="379" t="s">
        <v>89</v>
      </c>
      <c r="DV5" s="393" t="s">
        <v>145</v>
      </c>
      <c r="DW5" s="394"/>
      <c r="DX5" s="393" t="s">
        <v>146</v>
      </c>
      <c r="DY5" s="395"/>
      <c r="EB5" s="390" t="s">
        <v>102</v>
      </c>
      <c r="EC5" s="380" t="s">
        <v>3</v>
      </c>
      <c r="ED5" s="379" t="s">
        <v>89</v>
      </c>
      <c r="EE5" s="393" t="s">
        <v>98</v>
      </c>
      <c r="EF5" s="394"/>
      <c r="EG5" s="396"/>
      <c r="EH5" s="393" t="s">
        <v>89</v>
      </c>
      <c r="EI5" s="394"/>
      <c r="EJ5" s="394"/>
      <c r="EK5" s="395"/>
      <c r="ES5" s="390" t="s">
        <v>102</v>
      </c>
      <c r="ET5" s="380" t="s">
        <v>3</v>
      </c>
      <c r="EU5" s="379" t="s">
        <v>89</v>
      </c>
      <c r="EV5" s="393" t="s">
        <v>145</v>
      </c>
      <c r="EW5" s="394"/>
      <c r="EX5" s="393" t="s">
        <v>146</v>
      </c>
      <c r="EY5" s="395"/>
      <c r="FB5" s="390" t="s">
        <v>102</v>
      </c>
      <c r="FC5" s="380" t="s">
        <v>3</v>
      </c>
      <c r="FD5" s="379" t="s">
        <v>89</v>
      </c>
      <c r="FE5" s="393" t="s">
        <v>98</v>
      </c>
      <c r="FF5" s="394"/>
      <c r="FG5" s="396"/>
      <c r="FH5" s="393" t="s">
        <v>89</v>
      </c>
      <c r="FI5" s="394"/>
      <c r="FJ5" s="394"/>
      <c r="FK5" s="395"/>
      <c r="FS5" s="390" t="s">
        <v>102</v>
      </c>
      <c r="FT5" s="380" t="s">
        <v>3</v>
      </c>
      <c r="FU5" s="379" t="s">
        <v>89</v>
      </c>
      <c r="FV5" s="393" t="s">
        <v>145</v>
      </c>
      <c r="FW5" s="394"/>
      <c r="FX5" s="393" t="s">
        <v>146</v>
      </c>
      <c r="FY5" s="395"/>
      <c r="GB5" s="390" t="s">
        <v>102</v>
      </c>
      <c r="GC5" s="380" t="s">
        <v>3</v>
      </c>
      <c r="GD5" s="379" t="s">
        <v>89</v>
      </c>
      <c r="GE5" s="393" t="s">
        <v>98</v>
      </c>
      <c r="GF5" s="394"/>
      <c r="GG5" s="396"/>
      <c r="GH5" s="393" t="s">
        <v>89</v>
      </c>
      <c r="GI5" s="394"/>
      <c r="GJ5" s="394"/>
      <c r="GK5" s="395"/>
      <c r="GS5" s="390" t="s">
        <v>102</v>
      </c>
      <c r="GT5" s="380" t="s">
        <v>3</v>
      </c>
      <c r="GU5" s="379" t="s">
        <v>89</v>
      </c>
      <c r="GV5" s="393" t="s">
        <v>145</v>
      </c>
      <c r="GW5" s="394"/>
      <c r="GX5" s="393" t="s">
        <v>146</v>
      </c>
      <c r="GY5" s="395"/>
      <c r="HB5" s="390" t="s">
        <v>102</v>
      </c>
      <c r="HC5" s="380" t="s">
        <v>3</v>
      </c>
      <c r="HD5" s="379" t="s">
        <v>89</v>
      </c>
      <c r="HE5" s="393" t="s">
        <v>98</v>
      </c>
      <c r="HF5" s="394"/>
      <c r="HG5" s="396"/>
      <c r="HH5" s="393" t="s">
        <v>89</v>
      </c>
      <c r="HI5" s="394"/>
      <c r="HJ5" s="394"/>
      <c r="HK5" s="395"/>
      <c r="HS5" s="390" t="s">
        <v>102</v>
      </c>
      <c r="HT5" s="380" t="s">
        <v>3</v>
      </c>
      <c r="HU5" s="379" t="s">
        <v>89</v>
      </c>
      <c r="HV5" s="393" t="s">
        <v>145</v>
      </c>
      <c r="HW5" s="394"/>
      <c r="HX5" s="393" t="s">
        <v>146</v>
      </c>
      <c r="HY5" s="395"/>
      <c r="IB5" s="390" t="s">
        <v>102</v>
      </c>
      <c r="IC5" s="380" t="s">
        <v>3</v>
      </c>
      <c r="ID5" s="379" t="s">
        <v>89</v>
      </c>
      <c r="IE5" s="393" t="s">
        <v>98</v>
      </c>
      <c r="IF5" s="394"/>
      <c r="IG5" s="396"/>
      <c r="IH5" s="393" t="s">
        <v>89</v>
      </c>
      <c r="II5" s="394"/>
      <c r="IJ5" s="394"/>
      <c r="IK5" s="395"/>
      <c r="IS5" s="390" t="s">
        <v>102</v>
      </c>
      <c r="IT5" s="380" t="s">
        <v>3</v>
      </c>
      <c r="IU5" s="379" t="s">
        <v>89</v>
      </c>
      <c r="IV5" s="393" t="s">
        <v>145</v>
      </c>
      <c r="IW5" s="394"/>
      <c r="IX5" s="393" t="s">
        <v>146</v>
      </c>
      <c r="IY5" s="395"/>
      <c r="JB5" s="390" t="s">
        <v>102</v>
      </c>
      <c r="JC5" s="380" t="s">
        <v>3</v>
      </c>
      <c r="JD5" s="379" t="s">
        <v>89</v>
      </c>
      <c r="JE5" s="393" t="s">
        <v>98</v>
      </c>
      <c r="JF5" s="394"/>
      <c r="JG5" s="396"/>
      <c r="JH5" s="393" t="s">
        <v>89</v>
      </c>
      <c r="JI5" s="394"/>
      <c r="JJ5" s="394"/>
      <c r="JK5" s="395"/>
      <c r="JS5" s="390" t="s">
        <v>102</v>
      </c>
      <c r="JT5" s="380" t="s">
        <v>3</v>
      </c>
      <c r="JU5" s="379" t="s">
        <v>89</v>
      </c>
      <c r="JV5" s="393" t="s">
        <v>145</v>
      </c>
      <c r="JW5" s="394"/>
      <c r="JX5" s="393" t="s">
        <v>146</v>
      </c>
      <c r="JY5" s="395"/>
    </row>
    <row r="6" spans="1:285" ht="93" x14ac:dyDescent="0.25">
      <c r="B6" s="391"/>
      <c r="C6" s="392" t="s">
        <v>12</v>
      </c>
      <c r="D6" s="25" t="s">
        <v>5</v>
      </c>
      <c r="E6" s="25" t="s">
        <v>88</v>
      </c>
      <c r="F6" s="25" t="s">
        <v>93</v>
      </c>
      <c r="G6" s="25" t="s">
        <v>96</v>
      </c>
      <c r="H6" s="392" t="s">
        <v>349</v>
      </c>
      <c r="I6" s="189" t="s">
        <v>110</v>
      </c>
      <c r="J6" s="381" t="s">
        <v>106</v>
      </c>
      <c r="K6" s="21" t="s">
        <v>133</v>
      </c>
      <c r="S6" s="391"/>
      <c r="T6" s="397" t="s">
        <v>12</v>
      </c>
      <c r="U6" s="25" t="s">
        <v>121</v>
      </c>
      <c r="V6" s="392" t="s">
        <v>130</v>
      </c>
      <c r="W6" s="25" t="s">
        <v>124</v>
      </c>
      <c r="X6" s="25" t="s">
        <v>126</v>
      </c>
      <c r="Y6" s="145" t="s">
        <v>129</v>
      </c>
      <c r="AB6" s="391"/>
      <c r="AC6" s="392" t="s">
        <v>12</v>
      </c>
      <c r="AD6" s="25" t="s">
        <v>5</v>
      </c>
      <c r="AE6" s="25" t="s">
        <v>88</v>
      </c>
      <c r="AF6" s="25" t="s">
        <v>93</v>
      </c>
      <c r="AG6" s="25" t="s">
        <v>96</v>
      </c>
      <c r="AH6" s="392" t="s">
        <v>349</v>
      </c>
      <c r="AI6" s="189" t="s">
        <v>110</v>
      </c>
      <c r="AJ6" s="381" t="s">
        <v>106</v>
      </c>
      <c r="AK6" s="21" t="s">
        <v>133</v>
      </c>
      <c r="AS6" s="391"/>
      <c r="AT6" s="397" t="s">
        <v>12</v>
      </c>
      <c r="AU6" s="25" t="s">
        <v>121</v>
      </c>
      <c r="AV6" s="392" t="s">
        <v>130</v>
      </c>
      <c r="AW6" s="25" t="s">
        <v>124</v>
      </c>
      <c r="AX6" s="25" t="s">
        <v>126</v>
      </c>
      <c r="AY6" s="145" t="s">
        <v>129</v>
      </c>
      <c r="BB6" s="391"/>
      <c r="BC6" s="392" t="s">
        <v>12</v>
      </c>
      <c r="BD6" s="25" t="s">
        <v>5</v>
      </c>
      <c r="BE6" s="25" t="s">
        <v>88</v>
      </c>
      <c r="BF6" s="25" t="s">
        <v>93</v>
      </c>
      <c r="BG6" s="25" t="s">
        <v>96</v>
      </c>
      <c r="BH6" s="392" t="s">
        <v>349</v>
      </c>
      <c r="BI6" s="189" t="s">
        <v>110</v>
      </c>
      <c r="BJ6" s="381" t="s">
        <v>106</v>
      </c>
      <c r="BK6" s="21" t="s">
        <v>133</v>
      </c>
      <c r="BS6" s="391"/>
      <c r="BT6" s="397" t="s">
        <v>12</v>
      </c>
      <c r="BU6" s="25" t="s">
        <v>121</v>
      </c>
      <c r="BV6" s="392" t="s">
        <v>130</v>
      </c>
      <c r="BW6" s="25" t="s">
        <v>124</v>
      </c>
      <c r="BX6" s="25" t="s">
        <v>126</v>
      </c>
      <c r="BY6" s="145" t="s">
        <v>129</v>
      </c>
      <c r="CB6" s="391"/>
      <c r="CC6" s="392" t="s">
        <v>12</v>
      </c>
      <c r="CD6" s="25" t="s">
        <v>5</v>
      </c>
      <c r="CE6" s="25" t="s">
        <v>88</v>
      </c>
      <c r="CF6" s="25" t="s">
        <v>93</v>
      </c>
      <c r="CG6" s="25" t="s">
        <v>96</v>
      </c>
      <c r="CH6" s="392" t="s">
        <v>349</v>
      </c>
      <c r="CI6" s="189" t="s">
        <v>110</v>
      </c>
      <c r="CJ6" s="381" t="s">
        <v>106</v>
      </c>
      <c r="CK6" s="21" t="s">
        <v>133</v>
      </c>
      <c r="CS6" s="391"/>
      <c r="CT6" s="397" t="s">
        <v>12</v>
      </c>
      <c r="CU6" s="25" t="s">
        <v>121</v>
      </c>
      <c r="CV6" s="392" t="s">
        <v>130</v>
      </c>
      <c r="CW6" s="25" t="s">
        <v>124</v>
      </c>
      <c r="CX6" s="25" t="s">
        <v>126</v>
      </c>
      <c r="CY6" s="145" t="s">
        <v>129</v>
      </c>
      <c r="DB6" s="391"/>
      <c r="DC6" s="392" t="s">
        <v>12</v>
      </c>
      <c r="DD6" s="25" t="s">
        <v>5</v>
      </c>
      <c r="DE6" s="25" t="s">
        <v>88</v>
      </c>
      <c r="DF6" s="25" t="s">
        <v>93</v>
      </c>
      <c r="DG6" s="25" t="s">
        <v>96</v>
      </c>
      <c r="DH6" s="392" t="s">
        <v>349</v>
      </c>
      <c r="DI6" s="189" t="s">
        <v>110</v>
      </c>
      <c r="DJ6" s="381" t="s">
        <v>106</v>
      </c>
      <c r="DK6" s="21" t="s">
        <v>133</v>
      </c>
      <c r="DS6" s="391"/>
      <c r="DT6" s="397" t="s">
        <v>12</v>
      </c>
      <c r="DU6" s="25" t="s">
        <v>121</v>
      </c>
      <c r="DV6" s="392" t="s">
        <v>130</v>
      </c>
      <c r="DW6" s="25" t="s">
        <v>124</v>
      </c>
      <c r="DX6" s="25" t="s">
        <v>126</v>
      </c>
      <c r="DY6" s="145" t="s">
        <v>129</v>
      </c>
      <c r="EB6" s="391"/>
      <c r="EC6" s="392" t="s">
        <v>12</v>
      </c>
      <c r="ED6" s="25" t="s">
        <v>5</v>
      </c>
      <c r="EE6" s="25" t="s">
        <v>88</v>
      </c>
      <c r="EF6" s="25" t="s">
        <v>93</v>
      </c>
      <c r="EG6" s="25" t="s">
        <v>96</v>
      </c>
      <c r="EH6" s="392" t="s">
        <v>349</v>
      </c>
      <c r="EI6" s="189" t="s">
        <v>110</v>
      </c>
      <c r="EJ6" s="381" t="s">
        <v>106</v>
      </c>
      <c r="EK6" s="21" t="s">
        <v>133</v>
      </c>
      <c r="ES6" s="391"/>
      <c r="ET6" s="397" t="s">
        <v>12</v>
      </c>
      <c r="EU6" s="25" t="s">
        <v>121</v>
      </c>
      <c r="EV6" s="392" t="s">
        <v>130</v>
      </c>
      <c r="EW6" s="25" t="s">
        <v>124</v>
      </c>
      <c r="EX6" s="25" t="s">
        <v>126</v>
      </c>
      <c r="EY6" s="145" t="s">
        <v>129</v>
      </c>
      <c r="FB6" s="391"/>
      <c r="FC6" s="392" t="s">
        <v>12</v>
      </c>
      <c r="FD6" s="25" t="s">
        <v>5</v>
      </c>
      <c r="FE6" s="25" t="s">
        <v>88</v>
      </c>
      <c r="FF6" s="25" t="s">
        <v>93</v>
      </c>
      <c r="FG6" s="25" t="s">
        <v>96</v>
      </c>
      <c r="FH6" s="392" t="s">
        <v>349</v>
      </c>
      <c r="FI6" s="189" t="s">
        <v>110</v>
      </c>
      <c r="FJ6" s="381" t="s">
        <v>106</v>
      </c>
      <c r="FK6" s="21" t="s">
        <v>133</v>
      </c>
      <c r="FS6" s="391"/>
      <c r="FT6" s="397" t="s">
        <v>12</v>
      </c>
      <c r="FU6" s="25" t="s">
        <v>121</v>
      </c>
      <c r="FV6" s="392" t="s">
        <v>130</v>
      </c>
      <c r="FW6" s="25" t="s">
        <v>124</v>
      </c>
      <c r="FX6" s="25" t="s">
        <v>126</v>
      </c>
      <c r="FY6" s="145" t="s">
        <v>129</v>
      </c>
      <c r="GB6" s="391"/>
      <c r="GC6" s="392" t="s">
        <v>12</v>
      </c>
      <c r="GD6" s="25" t="s">
        <v>5</v>
      </c>
      <c r="GE6" s="25" t="s">
        <v>88</v>
      </c>
      <c r="GF6" s="25" t="s">
        <v>93</v>
      </c>
      <c r="GG6" s="25" t="s">
        <v>96</v>
      </c>
      <c r="GH6" s="392" t="s">
        <v>349</v>
      </c>
      <c r="GI6" s="189" t="s">
        <v>110</v>
      </c>
      <c r="GJ6" s="381" t="s">
        <v>106</v>
      </c>
      <c r="GK6" s="21" t="s">
        <v>133</v>
      </c>
      <c r="GS6" s="391"/>
      <c r="GT6" s="397" t="s">
        <v>12</v>
      </c>
      <c r="GU6" s="25" t="s">
        <v>121</v>
      </c>
      <c r="GV6" s="392" t="s">
        <v>130</v>
      </c>
      <c r="GW6" s="25" t="s">
        <v>124</v>
      </c>
      <c r="GX6" s="25" t="s">
        <v>126</v>
      </c>
      <c r="GY6" s="145" t="s">
        <v>129</v>
      </c>
      <c r="HB6" s="391"/>
      <c r="HC6" s="392" t="s">
        <v>12</v>
      </c>
      <c r="HD6" s="25" t="s">
        <v>5</v>
      </c>
      <c r="HE6" s="25" t="s">
        <v>88</v>
      </c>
      <c r="HF6" s="25" t="s">
        <v>93</v>
      </c>
      <c r="HG6" s="25" t="s">
        <v>96</v>
      </c>
      <c r="HH6" s="392" t="s">
        <v>349</v>
      </c>
      <c r="HI6" s="189" t="s">
        <v>110</v>
      </c>
      <c r="HJ6" s="381" t="s">
        <v>106</v>
      </c>
      <c r="HK6" s="21" t="s">
        <v>133</v>
      </c>
      <c r="HS6" s="391"/>
      <c r="HT6" s="397" t="s">
        <v>12</v>
      </c>
      <c r="HU6" s="25" t="s">
        <v>121</v>
      </c>
      <c r="HV6" s="392" t="s">
        <v>130</v>
      </c>
      <c r="HW6" s="25" t="s">
        <v>124</v>
      </c>
      <c r="HX6" s="25" t="s">
        <v>126</v>
      </c>
      <c r="HY6" s="145" t="s">
        <v>129</v>
      </c>
      <c r="IB6" s="391"/>
      <c r="IC6" s="392" t="s">
        <v>12</v>
      </c>
      <c r="ID6" s="25" t="s">
        <v>5</v>
      </c>
      <c r="IE6" s="25" t="s">
        <v>88</v>
      </c>
      <c r="IF6" s="25" t="s">
        <v>93</v>
      </c>
      <c r="IG6" s="25" t="s">
        <v>96</v>
      </c>
      <c r="IH6" s="392" t="s">
        <v>349</v>
      </c>
      <c r="II6" s="189" t="s">
        <v>110</v>
      </c>
      <c r="IJ6" s="381" t="s">
        <v>106</v>
      </c>
      <c r="IK6" s="21" t="s">
        <v>133</v>
      </c>
      <c r="IS6" s="391"/>
      <c r="IT6" s="397" t="s">
        <v>12</v>
      </c>
      <c r="IU6" s="25" t="s">
        <v>121</v>
      </c>
      <c r="IV6" s="392" t="s">
        <v>130</v>
      </c>
      <c r="IW6" s="25" t="s">
        <v>124</v>
      </c>
      <c r="IX6" s="25" t="s">
        <v>126</v>
      </c>
      <c r="IY6" s="145" t="s">
        <v>129</v>
      </c>
      <c r="JB6" s="391"/>
      <c r="JC6" s="392" t="s">
        <v>12</v>
      </c>
      <c r="JD6" s="25" t="s">
        <v>5</v>
      </c>
      <c r="JE6" s="25" t="s">
        <v>88</v>
      </c>
      <c r="JF6" s="25" t="s">
        <v>93</v>
      </c>
      <c r="JG6" s="25" t="s">
        <v>96</v>
      </c>
      <c r="JH6" s="392" t="s">
        <v>349</v>
      </c>
      <c r="JI6" s="189" t="s">
        <v>110</v>
      </c>
      <c r="JJ6" s="381" t="s">
        <v>106</v>
      </c>
      <c r="JK6" s="21" t="s">
        <v>133</v>
      </c>
      <c r="JS6" s="391"/>
      <c r="JT6" s="397" t="s">
        <v>12</v>
      </c>
      <c r="JU6" s="25" t="s">
        <v>121</v>
      </c>
      <c r="JV6" s="392" t="s">
        <v>130</v>
      </c>
      <c r="JW6" s="25" t="s">
        <v>124</v>
      </c>
      <c r="JX6" s="25" t="s">
        <v>126</v>
      </c>
      <c r="JY6" s="145" t="s">
        <v>129</v>
      </c>
    </row>
    <row r="7" spans="1:285" s="20" customFormat="1" ht="45" x14ac:dyDescent="0.25">
      <c r="A7" s="20" t="s">
        <v>348</v>
      </c>
      <c r="B7" s="391"/>
      <c r="C7" s="392"/>
      <c r="D7" s="240" t="s">
        <v>6</v>
      </c>
      <c r="E7" s="25" t="s">
        <v>95</v>
      </c>
      <c r="F7" s="240" t="s">
        <v>94</v>
      </c>
      <c r="G7" s="240" t="s">
        <v>97</v>
      </c>
      <c r="H7" s="392"/>
      <c r="I7" s="257" t="s">
        <v>109</v>
      </c>
      <c r="J7" s="381" t="s">
        <v>107</v>
      </c>
      <c r="K7" s="258" t="s">
        <v>108</v>
      </c>
      <c r="S7" s="391"/>
      <c r="T7" s="397"/>
      <c r="U7" s="189" t="s">
        <v>109</v>
      </c>
      <c r="V7" s="392"/>
      <c r="W7" s="189" t="s">
        <v>109</v>
      </c>
      <c r="X7" s="25" t="s">
        <v>128</v>
      </c>
      <c r="Y7" s="259" t="s">
        <v>143</v>
      </c>
      <c r="AB7" s="391"/>
      <c r="AC7" s="392"/>
      <c r="AD7" s="240" t="s">
        <v>6</v>
      </c>
      <c r="AE7" s="25" t="s">
        <v>95</v>
      </c>
      <c r="AF7" s="240" t="s">
        <v>94</v>
      </c>
      <c r="AG7" s="240" t="s">
        <v>97</v>
      </c>
      <c r="AH7" s="392"/>
      <c r="AI7" s="257" t="s">
        <v>109</v>
      </c>
      <c r="AJ7" s="381" t="s">
        <v>107</v>
      </c>
      <c r="AK7" s="258" t="s">
        <v>108</v>
      </c>
      <c r="AS7" s="391"/>
      <c r="AT7" s="397"/>
      <c r="AU7" s="189" t="s">
        <v>109</v>
      </c>
      <c r="AV7" s="392"/>
      <c r="AW7" s="189" t="s">
        <v>109</v>
      </c>
      <c r="AX7" s="25" t="s">
        <v>128</v>
      </c>
      <c r="AY7" s="259" t="s">
        <v>143</v>
      </c>
      <c r="BB7" s="391"/>
      <c r="BC7" s="392"/>
      <c r="BD7" s="240" t="s">
        <v>6</v>
      </c>
      <c r="BE7" s="25" t="s">
        <v>95</v>
      </c>
      <c r="BF7" s="240" t="s">
        <v>94</v>
      </c>
      <c r="BG7" s="240" t="s">
        <v>97</v>
      </c>
      <c r="BH7" s="392"/>
      <c r="BI7" s="257" t="s">
        <v>109</v>
      </c>
      <c r="BJ7" s="381" t="s">
        <v>107</v>
      </c>
      <c r="BK7" s="258" t="s">
        <v>108</v>
      </c>
      <c r="BS7" s="391"/>
      <c r="BT7" s="397"/>
      <c r="BU7" s="189" t="s">
        <v>109</v>
      </c>
      <c r="BV7" s="392"/>
      <c r="BW7" s="189" t="s">
        <v>109</v>
      </c>
      <c r="BX7" s="25" t="s">
        <v>128</v>
      </c>
      <c r="BY7" s="259" t="s">
        <v>143</v>
      </c>
      <c r="CB7" s="391"/>
      <c r="CC7" s="392"/>
      <c r="CD7" s="240" t="s">
        <v>6</v>
      </c>
      <c r="CE7" s="25" t="s">
        <v>95</v>
      </c>
      <c r="CF7" s="240" t="s">
        <v>94</v>
      </c>
      <c r="CG7" s="240" t="s">
        <v>97</v>
      </c>
      <c r="CH7" s="392"/>
      <c r="CI7" s="257" t="s">
        <v>109</v>
      </c>
      <c r="CJ7" s="381" t="s">
        <v>107</v>
      </c>
      <c r="CK7" s="258" t="s">
        <v>108</v>
      </c>
      <c r="CS7" s="391"/>
      <c r="CT7" s="397"/>
      <c r="CU7" s="189" t="s">
        <v>109</v>
      </c>
      <c r="CV7" s="392"/>
      <c r="CW7" s="189" t="s">
        <v>109</v>
      </c>
      <c r="CX7" s="25" t="s">
        <v>128</v>
      </c>
      <c r="CY7" s="259" t="s">
        <v>143</v>
      </c>
      <c r="DB7" s="391"/>
      <c r="DC7" s="392"/>
      <c r="DD7" s="240" t="s">
        <v>6</v>
      </c>
      <c r="DE7" s="25" t="s">
        <v>95</v>
      </c>
      <c r="DF7" s="240" t="s">
        <v>94</v>
      </c>
      <c r="DG7" s="240" t="s">
        <v>97</v>
      </c>
      <c r="DH7" s="392"/>
      <c r="DI7" s="257" t="s">
        <v>109</v>
      </c>
      <c r="DJ7" s="381" t="s">
        <v>107</v>
      </c>
      <c r="DK7" s="258" t="s">
        <v>108</v>
      </c>
      <c r="DS7" s="391"/>
      <c r="DT7" s="397"/>
      <c r="DU7" s="189" t="s">
        <v>109</v>
      </c>
      <c r="DV7" s="392"/>
      <c r="DW7" s="189" t="s">
        <v>109</v>
      </c>
      <c r="DX7" s="25" t="s">
        <v>128</v>
      </c>
      <c r="DY7" s="259" t="s">
        <v>143</v>
      </c>
      <c r="EB7" s="391"/>
      <c r="EC7" s="392"/>
      <c r="ED7" s="240" t="s">
        <v>6</v>
      </c>
      <c r="EE7" s="25" t="s">
        <v>95</v>
      </c>
      <c r="EF7" s="240" t="s">
        <v>94</v>
      </c>
      <c r="EG7" s="240" t="s">
        <v>97</v>
      </c>
      <c r="EH7" s="392"/>
      <c r="EI7" s="257" t="s">
        <v>109</v>
      </c>
      <c r="EJ7" s="381" t="s">
        <v>107</v>
      </c>
      <c r="EK7" s="258" t="s">
        <v>108</v>
      </c>
      <c r="ES7" s="391"/>
      <c r="ET7" s="397"/>
      <c r="EU7" s="189" t="s">
        <v>109</v>
      </c>
      <c r="EV7" s="392"/>
      <c r="EW7" s="189" t="s">
        <v>109</v>
      </c>
      <c r="EX7" s="25" t="s">
        <v>128</v>
      </c>
      <c r="EY7" s="259" t="s">
        <v>143</v>
      </c>
      <c r="FB7" s="391"/>
      <c r="FC7" s="392"/>
      <c r="FD7" s="240" t="s">
        <v>6</v>
      </c>
      <c r="FE7" s="25" t="s">
        <v>95</v>
      </c>
      <c r="FF7" s="240" t="s">
        <v>94</v>
      </c>
      <c r="FG7" s="240" t="s">
        <v>97</v>
      </c>
      <c r="FH7" s="392"/>
      <c r="FI7" s="257" t="s">
        <v>109</v>
      </c>
      <c r="FJ7" s="381" t="s">
        <v>107</v>
      </c>
      <c r="FK7" s="258" t="s">
        <v>108</v>
      </c>
      <c r="FS7" s="391"/>
      <c r="FT7" s="397"/>
      <c r="FU7" s="189" t="s">
        <v>109</v>
      </c>
      <c r="FV7" s="392"/>
      <c r="FW7" s="189" t="s">
        <v>109</v>
      </c>
      <c r="FX7" s="25" t="s">
        <v>128</v>
      </c>
      <c r="FY7" s="259" t="s">
        <v>143</v>
      </c>
      <c r="GB7" s="391"/>
      <c r="GC7" s="392"/>
      <c r="GD7" s="240" t="s">
        <v>6</v>
      </c>
      <c r="GE7" s="25" t="s">
        <v>95</v>
      </c>
      <c r="GF7" s="240" t="s">
        <v>94</v>
      </c>
      <c r="GG7" s="240" t="s">
        <v>97</v>
      </c>
      <c r="GH7" s="392"/>
      <c r="GI7" s="257" t="s">
        <v>109</v>
      </c>
      <c r="GJ7" s="381" t="s">
        <v>107</v>
      </c>
      <c r="GK7" s="258" t="s">
        <v>108</v>
      </c>
      <c r="GS7" s="391"/>
      <c r="GT7" s="397"/>
      <c r="GU7" s="189" t="s">
        <v>109</v>
      </c>
      <c r="GV7" s="392"/>
      <c r="GW7" s="189" t="s">
        <v>109</v>
      </c>
      <c r="GX7" s="25" t="s">
        <v>128</v>
      </c>
      <c r="GY7" s="259" t="s">
        <v>143</v>
      </c>
      <c r="HB7" s="391"/>
      <c r="HC7" s="392"/>
      <c r="HD7" s="240" t="s">
        <v>6</v>
      </c>
      <c r="HE7" s="25" t="s">
        <v>95</v>
      </c>
      <c r="HF7" s="240" t="s">
        <v>94</v>
      </c>
      <c r="HG7" s="240" t="s">
        <v>97</v>
      </c>
      <c r="HH7" s="392"/>
      <c r="HI7" s="257" t="s">
        <v>109</v>
      </c>
      <c r="HJ7" s="381" t="s">
        <v>107</v>
      </c>
      <c r="HK7" s="258" t="s">
        <v>108</v>
      </c>
      <c r="HS7" s="391"/>
      <c r="HT7" s="397"/>
      <c r="HU7" s="189" t="s">
        <v>109</v>
      </c>
      <c r="HV7" s="392"/>
      <c r="HW7" s="189" t="s">
        <v>109</v>
      </c>
      <c r="HX7" s="25" t="s">
        <v>128</v>
      </c>
      <c r="HY7" s="259" t="s">
        <v>143</v>
      </c>
      <c r="IB7" s="391"/>
      <c r="IC7" s="392"/>
      <c r="ID7" s="240" t="s">
        <v>6</v>
      </c>
      <c r="IE7" s="25" t="s">
        <v>95</v>
      </c>
      <c r="IF7" s="240" t="s">
        <v>94</v>
      </c>
      <c r="IG7" s="240" t="s">
        <v>97</v>
      </c>
      <c r="IH7" s="392"/>
      <c r="II7" s="257" t="s">
        <v>109</v>
      </c>
      <c r="IJ7" s="381" t="s">
        <v>107</v>
      </c>
      <c r="IK7" s="258" t="s">
        <v>108</v>
      </c>
      <c r="IS7" s="391"/>
      <c r="IT7" s="397"/>
      <c r="IU7" s="189" t="s">
        <v>109</v>
      </c>
      <c r="IV7" s="392"/>
      <c r="IW7" s="189" t="s">
        <v>109</v>
      </c>
      <c r="IX7" s="25" t="s">
        <v>128</v>
      </c>
      <c r="IY7" s="259" t="s">
        <v>143</v>
      </c>
      <c r="JB7" s="391"/>
      <c r="JC7" s="392"/>
      <c r="JD7" s="240" t="s">
        <v>6</v>
      </c>
      <c r="JE7" s="25" t="s">
        <v>95</v>
      </c>
      <c r="JF7" s="240" t="s">
        <v>94</v>
      </c>
      <c r="JG7" s="240" t="s">
        <v>97</v>
      </c>
      <c r="JH7" s="392"/>
      <c r="JI7" s="257" t="s">
        <v>109</v>
      </c>
      <c r="JJ7" s="381" t="s">
        <v>107</v>
      </c>
      <c r="JK7" s="258" t="s">
        <v>108</v>
      </c>
      <c r="JS7" s="391"/>
      <c r="JT7" s="397"/>
      <c r="JU7" s="189" t="s">
        <v>109</v>
      </c>
      <c r="JV7" s="392"/>
      <c r="JW7" s="189" t="s">
        <v>109</v>
      </c>
      <c r="JX7" s="25" t="s">
        <v>128</v>
      </c>
      <c r="JY7" s="259" t="s">
        <v>143</v>
      </c>
    </row>
    <row r="8" spans="1:285" s="20" customFormat="1" ht="54" x14ac:dyDescent="0.25">
      <c r="B8" s="391"/>
      <c r="C8" s="240"/>
      <c r="D8" s="240"/>
      <c r="E8" s="240"/>
      <c r="F8" s="240"/>
      <c r="G8" s="25" t="s">
        <v>100</v>
      </c>
      <c r="H8" s="382" t="s">
        <v>99</v>
      </c>
      <c r="I8" s="381" t="s">
        <v>104</v>
      </c>
      <c r="J8" s="382"/>
      <c r="K8" s="21" t="s">
        <v>111</v>
      </c>
      <c r="S8" s="391"/>
      <c r="T8" s="240"/>
      <c r="U8" s="25"/>
      <c r="V8" s="25" t="s">
        <v>99</v>
      </c>
      <c r="W8" s="25" t="s">
        <v>135</v>
      </c>
      <c r="X8" s="25"/>
      <c r="Y8" s="145" t="s">
        <v>147</v>
      </c>
      <c r="AB8" s="391"/>
      <c r="AC8" s="240"/>
      <c r="AD8" s="240"/>
      <c r="AE8" s="240"/>
      <c r="AF8" s="240"/>
      <c r="AG8" s="25" t="s">
        <v>100</v>
      </c>
      <c r="AH8" s="382" t="s">
        <v>99</v>
      </c>
      <c r="AI8" s="381" t="s">
        <v>104</v>
      </c>
      <c r="AJ8" s="382"/>
      <c r="AK8" s="21" t="s">
        <v>111</v>
      </c>
      <c r="AS8" s="391"/>
      <c r="AT8" s="240"/>
      <c r="AU8" s="25"/>
      <c r="AV8" s="25" t="s">
        <v>99</v>
      </c>
      <c r="AW8" s="25" t="s">
        <v>135</v>
      </c>
      <c r="AX8" s="25"/>
      <c r="AY8" s="145" t="s">
        <v>147</v>
      </c>
      <c r="BB8" s="391"/>
      <c r="BC8" s="240"/>
      <c r="BD8" s="240"/>
      <c r="BE8" s="240"/>
      <c r="BF8" s="240"/>
      <c r="BG8" s="25" t="s">
        <v>100</v>
      </c>
      <c r="BH8" s="382" t="s">
        <v>99</v>
      </c>
      <c r="BI8" s="381" t="s">
        <v>104</v>
      </c>
      <c r="BJ8" s="382"/>
      <c r="BK8" s="21" t="s">
        <v>111</v>
      </c>
      <c r="BS8" s="391"/>
      <c r="BT8" s="240"/>
      <c r="BU8" s="25"/>
      <c r="BV8" s="25" t="s">
        <v>99</v>
      </c>
      <c r="BW8" s="25" t="s">
        <v>135</v>
      </c>
      <c r="BX8" s="25"/>
      <c r="BY8" s="145" t="s">
        <v>147</v>
      </c>
      <c r="CB8" s="391"/>
      <c r="CC8" s="240"/>
      <c r="CD8" s="240"/>
      <c r="CE8" s="240"/>
      <c r="CF8" s="240"/>
      <c r="CG8" s="25" t="s">
        <v>100</v>
      </c>
      <c r="CH8" s="382" t="s">
        <v>99</v>
      </c>
      <c r="CI8" s="381" t="s">
        <v>104</v>
      </c>
      <c r="CJ8" s="382"/>
      <c r="CK8" s="21" t="s">
        <v>111</v>
      </c>
      <c r="CS8" s="391"/>
      <c r="CT8" s="240"/>
      <c r="CU8" s="25"/>
      <c r="CV8" s="25" t="s">
        <v>99</v>
      </c>
      <c r="CW8" s="25" t="s">
        <v>135</v>
      </c>
      <c r="CX8" s="25"/>
      <c r="CY8" s="145" t="s">
        <v>147</v>
      </c>
      <c r="DB8" s="391"/>
      <c r="DC8" s="240"/>
      <c r="DD8" s="240"/>
      <c r="DE8" s="240"/>
      <c r="DF8" s="240"/>
      <c r="DG8" s="25" t="s">
        <v>100</v>
      </c>
      <c r="DH8" s="382" t="s">
        <v>99</v>
      </c>
      <c r="DI8" s="381" t="s">
        <v>104</v>
      </c>
      <c r="DJ8" s="382"/>
      <c r="DK8" s="21" t="s">
        <v>111</v>
      </c>
      <c r="DS8" s="391"/>
      <c r="DT8" s="240"/>
      <c r="DU8" s="25"/>
      <c r="DV8" s="25" t="s">
        <v>99</v>
      </c>
      <c r="DW8" s="25" t="s">
        <v>135</v>
      </c>
      <c r="DX8" s="25"/>
      <c r="DY8" s="145" t="s">
        <v>147</v>
      </c>
      <c r="EB8" s="391"/>
      <c r="EC8" s="240"/>
      <c r="ED8" s="240"/>
      <c r="EE8" s="240"/>
      <c r="EF8" s="240"/>
      <c r="EG8" s="25" t="s">
        <v>100</v>
      </c>
      <c r="EH8" s="382" t="s">
        <v>99</v>
      </c>
      <c r="EI8" s="381" t="s">
        <v>104</v>
      </c>
      <c r="EJ8" s="382"/>
      <c r="EK8" s="21" t="s">
        <v>111</v>
      </c>
      <c r="ES8" s="391"/>
      <c r="ET8" s="240"/>
      <c r="EU8" s="25"/>
      <c r="EV8" s="25" t="s">
        <v>99</v>
      </c>
      <c r="EW8" s="25" t="s">
        <v>135</v>
      </c>
      <c r="EX8" s="25"/>
      <c r="EY8" s="145" t="s">
        <v>147</v>
      </c>
      <c r="FB8" s="391"/>
      <c r="FC8" s="240"/>
      <c r="FD8" s="240"/>
      <c r="FE8" s="240"/>
      <c r="FF8" s="240"/>
      <c r="FG8" s="25" t="s">
        <v>100</v>
      </c>
      <c r="FH8" s="382" t="s">
        <v>99</v>
      </c>
      <c r="FI8" s="381" t="s">
        <v>104</v>
      </c>
      <c r="FJ8" s="382"/>
      <c r="FK8" s="21" t="s">
        <v>111</v>
      </c>
      <c r="FS8" s="391"/>
      <c r="FT8" s="240"/>
      <c r="FU8" s="25"/>
      <c r="FV8" s="25" t="s">
        <v>99</v>
      </c>
      <c r="FW8" s="25" t="s">
        <v>135</v>
      </c>
      <c r="FX8" s="25"/>
      <c r="FY8" s="145" t="s">
        <v>147</v>
      </c>
      <c r="GB8" s="391"/>
      <c r="GC8" s="240"/>
      <c r="GD8" s="240"/>
      <c r="GE8" s="240"/>
      <c r="GF8" s="240"/>
      <c r="GG8" s="25" t="s">
        <v>100</v>
      </c>
      <c r="GH8" s="382" t="s">
        <v>99</v>
      </c>
      <c r="GI8" s="381" t="s">
        <v>104</v>
      </c>
      <c r="GJ8" s="382"/>
      <c r="GK8" s="21" t="s">
        <v>111</v>
      </c>
      <c r="GS8" s="391"/>
      <c r="GT8" s="240"/>
      <c r="GU8" s="25"/>
      <c r="GV8" s="25" t="s">
        <v>99</v>
      </c>
      <c r="GW8" s="25" t="s">
        <v>135</v>
      </c>
      <c r="GX8" s="25"/>
      <c r="GY8" s="145" t="s">
        <v>147</v>
      </c>
      <c r="HB8" s="391"/>
      <c r="HC8" s="240"/>
      <c r="HD8" s="240"/>
      <c r="HE8" s="240"/>
      <c r="HF8" s="240"/>
      <c r="HG8" s="25" t="s">
        <v>100</v>
      </c>
      <c r="HH8" s="382" t="s">
        <v>99</v>
      </c>
      <c r="HI8" s="381" t="s">
        <v>104</v>
      </c>
      <c r="HJ8" s="382"/>
      <c r="HK8" s="21" t="s">
        <v>111</v>
      </c>
      <c r="HS8" s="391"/>
      <c r="HT8" s="240"/>
      <c r="HU8" s="25"/>
      <c r="HV8" s="25" t="s">
        <v>99</v>
      </c>
      <c r="HW8" s="25" t="s">
        <v>135</v>
      </c>
      <c r="HX8" s="25"/>
      <c r="HY8" s="145" t="s">
        <v>147</v>
      </c>
      <c r="IB8" s="391"/>
      <c r="IC8" s="240"/>
      <c r="ID8" s="240"/>
      <c r="IE8" s="240"/>
      <c r="IF8" s="240"/>
      <c r="IG8" s="25" t="s">
        <v>100</v>
      </c>
      <c r="IH8" s="382" t="s">
        <v>99</v>
      </c>
      <c r="II8" s="381" t="s">
        <v>104</v>
      </c>
      <c r="IJ8" s="382"/>
      <c r="IK8" s="21" t="s">
        <v>111</v>
      </c>
      <c r="IS8" s="391"/>
      <c r="IT8" s="240"/>
      <c r="IU8" s="25"/>
      <c r="IV8" s="25" t="s">
        <v>99</v>
      </c>
      <c r="IW8" s="25" t="s">
        <v>135</v>
      </c>
      <c r="IX8" s="25"/>
      <c r="IY8" s="145" t="s">
        <v>147</v>
      </c>
      <c r="JB8" s="391"/>
      <c r="JC8" s="240"/>
      <c r="JD8" s="240"/>
      <c r="JE8" s="240"/>
      <c r="JF8" s="240"/>
      <c r="JG8" s="25" t="s">
        <v>100</v>
      </c>
      <c r="JH8" s="382" t="s">
        <v>99</v>
      </c>
      <c r="JI8" s="381" t="s">
        <v>104</v>
      </c>
      <c r="JJ8" s="382"/>
      <c r="JK8" s="21" t="s">
        <v>111</v>
      </c>
      <c r="JS8" s="391"/>
      <c r="JT8" s="240"/>
      <c r="JU8" s="25"/>
      <c r="JV8" s="25" t="s">
        <v>99</v>
      </c>
      <c r="JW8" s="25" t="s">
        <v>135</v>
      </c>
      <c r="JX8" s="25"/>
      <c r="JY8" s="145" t="s">
        <v>147</v>
      </c>
    </row>
    <row r="9" spans="1:285" ht="18.75" thickBot="1" x14ac:dyDescent="0.3">
      <c r="B9" s="467" t="s">
        <v>103</v>
      </c>
      <c r="C9" s="468" t="s">
        <v>11</v>
      </c>
      <c r="D9" s="468" t="s">
        <v>13</v>
      </c>
      <c r="E9" s="468" t="s">
        <v>92</v>
      </c>
      <c r="F9" s="468" t="s">
        <v>90</v>
      </c>
      <c r="G9" s="468" t="s">
        <v>91</v>
      </c>
      <c r="H9" s="469" t="s">
        <v>101</v>
      </c>
      <c r="I9" s="469" t="s">
        <v>105</v>
      </c>
      <c r="J9" s="469"/>
      <c r="K9" s="470" t="s">
        <v>112</v>
      </c>
      <c r="S9" s="467" t="s">
        <v>103</v>
      </c>
      <c r="T9" s="468" t="s">
        <v>11</v>
      </c>
      <c r="U9" s="469" t="s">
        <v>105</v>
      </c>
      <c r="V9" s="468" t="s">
        <v>123</v>
      </c>
      <c r="W9" s="468" t="s">
        <v>125</v>
      </c>
      <c r="X9" s="468" t="s">
        <v>142</v>
      </c>
      <c r="Y9" s="471" t="s">
        <v>144</v>
      </c>
      <c r="AB9" s="467" t="s">
        <v>103</v>
      </c>
      <c r="AC9" s="468" t="s">
        <v>11</v>
      </c>
      <c r="AD9" s="468" t="s">
        <v>13</v>
      </c>
      <c r="AE9" s="468" t="s">
        <v>92</v>
      </c>
      <c r="AF9" s="468" t="s">
        <v>90</v>
      </c>
      <c r="AG9" s="468" t="s">
        <v>91</v>
      </c>
      <c r="AH9" s="469" t="s">
        <v>101</v>
      </c>
      <c r="AI9" s="469" t="s">
        <v>105</v>
      </c>
      <c r="AJ9" s="469"/>
      <c r="AK9" s="470" t="s">
        <v>112</v>
      </c>
      <c r="AS9" s="467" t="s">
        <v>103</v>
      </c>
      <c r="AT9" s="468" t="s">
        <v>11</v>
      </c>
      <c r="AU9" s="469" t="s">
        <v>105</v>
      </c>
      <c r="AV9" s="468" t="s">
        <v>123</v>
      </c>
      <c r="AW9" s="468" t="s">
        <v>125</v>
      </c>
      <c r="AX9" s="468" t="s">
        <v>142</v>
      </c>
      <c r="AY9" s="471" t="s">
        <v>144</v>
      </c>
      <c r="BB9" s="467" t="s">
        <v>103</v>
      </c>
      <c r="BC9" s="468" t="s">
        <v>11</v>
      </c>
      <c r="BD9" s="468" t="s">
        <v>13</v>
      </c>
      <c r="BE9" s="468" t="s">
        <v>92</v>
      </c>
      <c r="BF9" s="468" t="s">
        <v>90</v>
      </c>
      <c r="BG9" s="468" t="s">
        <v>91</v>
      </c>
      <c r="BH9" s="469" t="s">
        <v>101</v>
      </c>
      <c r="BI9" s="469" t="s">
        <v>105</v>
      </c>
      <c r="BJ9" s="469"/>
      <c r="BK9" s="470" t="s">
        <v>112</v>
      </c>
      <c r="BS9" s="467" t="s">
        <v>103</v>
      </c>
      <c r="BT9" s="468" t="s">
        <v>11</v>
      </c>
      <c r="BU9" s="469" t="s">
        <v>105</v>
      </c>
      <c r="BV9" s="468" t="s">
        <v>123</v>
      </c>
      <c r="BW9" s="468" t="s">
        <v>125</v>
      </c>
      <c r="BX9" s="468" t="s">
        <v>142</v>
      </c>
      <c r="BY9" s="471" t="s">
        <v>144</v>
      </c>
      <c r="CB9" s="467" t="s">
        <v>103</v>
      </c>
      <c r="CC9" s="468" t="s">
        <v>11</v>
      </c>
      <c r="CD9" s="468" t="s">
        <v>13</v>
      </c>
      <c r="CE9" s="468" t="s">
        <v>92</v>
      </c>
      <c r="CF9" s="468" t="s">
        <v>90</v>
      </c>
      <c r="CG9" s="468" t="s">
        <v>91</v>
      </c>
      <c r="CH9" s="469" t="s">
        <v>101</v>
      </c>
      <c r="CI9" s="469" t="s">
        <v>105</v>
      </c>
      <c r="CJ9" s="469"/>
      <c r="CK9" s="470" t="s">
        <v>112</v>
      </c>
      <c r="CS9" s="467" t="s">
        <v>103</v>
      </c>
      <c r="CT9" s="468" t="s">
        <v>11</v>
      </c>
      <c r="CU9" s="469" t="s">
        <v>105</v>
      </c>
      <c r="CV9" s="468" t="s">
        <v>123</v>
      </c>
      <c r="CW9" s="468" t="s">
        <v>125</v>
      </c>
      <c r="CX9" s="468" t="s">
        <v>142</v>
      </c>
      <c r="CY9" s="471" t="s">
        <v>144</v>
      </c>
      <c r="DB9" s="467" t="s">
        <v>103</v>
      </c>
      <c r="DC9" s="468" t="s">
        <v>11</v>
      </c>
      <c r="DD9" s="468" t="s">
        <v>13</v>
      </c>
      <c r="DE9" s="468" t="s">
        <v>92</v>
      </c>
      <c r="DF9" s="468" t="s">
        <v>90</v>
      </c>
      <c r="DG9" s="468" t="s">
        <v>91</v>
      </c>
      <c r="DH9" s="469" t="s">
        <v>101</v>
      </c>
      <c r="DI9" s="469" t="s">
        <v>105</v>
      </c>
      <c r="DJ9" s="469"/>
      <c r="DK9" s="470" t="s">
        <v>112</v>
      </c>
      <c r="DS9" s="467" t="s">
        <v>103</v>
      </c>
      <c r="DT9" s="468" t="s">
        <v>11</v>
      </c>
      <c r="DU9" s="469" t="s">
        <v>105</v>
      </c>
      <c r="DV9" s="468" t="s">
        <v>123</v>
      </c>
      <c r="DW9" s="468" t="s">
        <v>125</v>
      </c>
      <c r="DX9" s="468" t="s">
        <v>142</v>
      </c>
      <c r="DY9" s="471" t="s">
        <v>144</v>
      </c>
      <c r="EB9" s="467" t="s">
        <v>103</v>
      </c>
      <c r="EC9" s="468" t="s">
        <v>11</v>
      </c>
      <c r="ED9" s="468" t="s">
        <v>13</v>
      </c>
      <c r="EE9" s="468" t="s">
        <v>92</v>
      </c>
      <c r="EF9" s="468" t="s">
        <v>90</v>
      </c>
      <c r="EG9" s="468" t="s">
        <v>91</v>
      </c>
      <c r="EH9" s="469" t="s">
        <v>101</v>
      </c>
      <c r="EI9" s="469" t="s">
        <v>105</v>
      </c>
      <c r="EJ9" s="469"/>
      <c r="EK9" s="470" t="s">
        <v>112</v>
      </c>
      <c r="ES9" s="467" t="s">
        <v>103</v>
      </c>
      <c r="ET9" s="468" t="s">
        <v>11</v>
      </c>
      <c r="EU9" s="469" t="s">
        <v>105</v>
      </c>
      <c r="EV9" s="468" t="s">
        <v>123</v>
      </c>
      <c r="EW9" s="468" t="s">
        <v>125</v>
      </c>
      <c r="EX9" s="468" t="s">
        <v>142</v>
      </c>
      <c r="EY9" s="471" t="s">
        <v>144</v>
      </c>
      <c r="FB9" s="467" t="s">
        <v>103</v>
      </c>
      <c r="FC9" s="468" t="s">
        <v>11</v>
      </c>
      <c r="FD9" s="468" t="s">
        <v>13</v>
      </c>
      <c r="FE9" s="468" t="s">
        <v>92</v>
      </c>
      <c r="FF9" s="468" t="s">
        <v>90</v>
      </c>
      <c r="FG9" s="468" t="s">
        <v>91</v>
      </c>
      <c r="FH9" s="469" t="s">
        <v>101</v>
      </c>
      <c r="FI9" s="469" t="s">
        <v>105</v>
      </c>
      <c r="FJ9" s="469"/>
      <c r="FK9" s="470" t="s">
        <v>112</v>
      </c>
      <c r="FS9" s="467" t="s">
        <v>103</v>
      </c>
      <c r="FT9" s="468" t="s">
        <v>11</v>
      </c>
      <c r="FU9" s="469" t="s">
        <v>105</v>
      </c>
      <c r="FV9" s="468" t="s">
        <v>123</v>
      </c>
      <c r="FW9" s="468" t="s">
        <v>125</v>
      </c>
      <c r="FX9" s="468" t="s">
        <v>142</v>
      </c>
      <c r="FY9" s="471" t="s">
        <v>144</v>
      </c>
      <c r="GB9" s="467" t="s">
        <v>103</v>
      </c>
      <c r="GC9" s="468" t="s">
        <v>11</v>
      </c>
      <c r="GD9" s="468" t="s">
        <v>13</v>
      </c>
      <c r="GE9" s="468" t="s">
        <v>92</v>
      </c>
      <c r="GF9" s="468" t="s">
        <v>90</v>
      </c>
      <c r="GG9" s="468" t="s">
        <v>91</v>
      </c>
      <c r="GH9" s="469" t="s">
        <v>101</v>
      </c>
      <c r="GI9" s="469" t="s">
        <v>105</v>
      </c>
      <c r="GJ9" s="469"/>
      <c r="GK9" s="470" t="s">
        <v>112</v>
      </c>
      <c r="GS9" s="467" t="s">
        <v>103</v>
      </c>
      <c r="GT9" s="468" t="s">
        <v>11</v>
      </c>
      <c r="GU9" s="469" t="s">
        <v>105</v>
      </c>
      <c r="GV9" s="468" t="s">
        <v>123</v>
      </c>
      <c r="GW9" s="468" t="s">
        <v>125</v>
      </c>
      <c r="GX9" s="468" t="s">
        <v>142</v>
      </c>
      <c r="GY9" s="471" t="s">
        <v>144</v>
      </c>
      <c r="HB9" s="467" t="s">
        <v>103</v>
      </c>
      <c r="HC9" s="468" t="s">
        <v>11</v>
      </c>
      <c r="HD9" s="468" t="s">
        <v>13</v>
      </c>
      <c r="HE9" s="468" t="s">
        <v>92</v>
      </c>
      <c r="HF9" s="468" t="s">
        <v>90</v>
      </c>
      <c r="HG9" s="468" t="s">
        <v>91</v>
      </c>
      <c r="HH9" s="469" t="s">
        <v>101</v>
      </c>
      <c r="HI9" s="469" t="s">
        <v>105</v>
      </c>
      <c r="HJ9" s="469"/>
      <c r="HK9" s="470" t="s">
        <v>112</v>
      </c>
      <c r="HS9" s="467" t="s">
        <v>103</v>
      </c>
      <c r="HT9" s="468" t="s">
        <v>11</v>
      </c>
      <c r="HU9" s="469" t="s">
        <v>105</v>
      </c>
      <c r="HV9" s="468" t="s">
        <v>123</v>
      </c>
      <c r="HW9" s="468" t="s">
        <v>125</v>
      </c>
      <c r="HX9" s="468" t="s">
        <v>142</v>
      </c>
      <c r="HY9" s="471" t="s">
        <v>144</v>
      </c>
      <c r="IB9" s="467" t="s">
        <v>103</v>
      </c>
      <c r="IC9" s="468" t="s">
        <v>11</v>
      </c>
      <c r="ID9" s="468" t="s">
        <v>13</v>
      </c>
      <c r="IE9" s="468" t="s">
        <v>92</v>
      </c>
      <c r="IF9" s="468" t="s">
        <v>90</v>
      </c>
      <c r="IG9" s="468" t="s">
        <v>91</v>
      </c>
      <c r="IH9" s="469" t="s">
        <v>101</v>
      </c>
      <c r="II9" s="469" t="s">
        <v>105</v>
      </c>
      <c r="IJ9" s="469"/>
      <c r="IK9" s="470" t="s">
        <v>112</v>
      </c>
      <c r="IS9" s="467" t="s">
        <v>103</v>
      </c>
      <c r="IT9" s="468" t="s">
        <v>11</v>
      </c>
      <c r="IU9" s="469" t="s">
        <v>105</v>
      </c>
      <c r="IV9" s="468" t="s">
        <v>123</v>
      </c>
      <c r="IW9" s="468" t="s">
        <v>125</v>
      </c>
      <c r="IX9" s="468" t="s">
        <v>142</v>
      </c>
      <c r="IY9" s="471" t="s">
        <v>144</v>
      </c>
      <c r="JB9" s="467" t="s">
        <v>103</v>
      </c>
      <c r="JC9" s="468" t="s">
        <v>11</v>
      </c>
      <c r="JD9" s="468" t="s">
        <v>13</v>
      </c>
      <c r="JE9" s="468" t="s">
        <v>92</v>
      </c>
      <c r="JF9" s="468" t="s">
        <v>90</v>
      </c>
      <c r="JG9" s="468" t="s">
        <v>91</v>
      </c>
      <c r="JH9" s="469" t="s">
        <v>101</v>
      </c>
      <c r="JI9" s="469" t="s">
        <v>105</v>
      </c>
      <c r="JJ9" s="469"/>
      <c r="JK9" s="470" t="s">
        <v>112</v>
      </c>
      <c r="JS9" s="467" t="s">
        <v>103</v>
      </c>
      <c r="JT9" s="468" t="s">
        <v>11</v>
      </c>
      <c r="JU9" s="469" t="s">
        <v>105</v>
      </c>
      <c r="JV9" s="468" t="s">
        <v>123</v>
      </c>
      <c r="JW9" s="468" t="s">
        <v>125</v>
      </c>
      <c r="JX9" s="468" t="s">
        <v>142</v>
      </c>
      <c r="JY9" s="471" t="s">
        <v>144</v>
      </c>
    </row>
    <row r="10" spans="1:285" x14ac:dyDescent="0.25">
      <c r="B10" s="472"/>
      <c r="C10" s="473"/>
      <c r="D10" s="473"/>
      <c r="E10" s="474" t="s">
        <v>118</v>
      </c>
      <c r="F10" s="473"/>
      <c r="G10" s="473"/>
      <c r="H10" s="474" t="s">
        <v>120</v>
      </c>
      <c r="I10" s="475"/>
      <c r="J10" s="474" t="s">
        <v>119</v>
      </c>
      <c r="K10" s="476"/>
      <c r="S10" s="472"/>
      <c r="T10" s="473"/>
      <c r="U10" s="473"/>
      <c r="V10" s="474" t="s">
        <v>122</v>
      </c>
      <c r="W10" s="473"/>
      <c r="X10" s="474" t="s">
        <v>127</v>
      </c>
      <c r="Y10" s="477" t="s">
        <v>120</v>
      </c>
      <c r="AB10" s="472"/>
      <c r="AC10" s="473"/>
      <c r="AD10" s="473"/>
      <c r="AE10" s="474" t="s">
        <v>118</v>
      </c>
      <c r="AF10" s="473"/>
      <c r="AG10" s="473"/>
      <c r="AH10" s="474" t="s">
        <v>120</v>
      </c>
      <c r="AI10" s="475"/>
      <c r="AJ10" s="474" t="s">
        <v>119</v>
      </c>
      <c r="AK10" s="476"/>
      <c r="AS10" s="472"/>
      <c r="AT10" s="473"/>
      <c r="AU10" s="473"/>
      <c r="AV10" s="474" t="s">
        <v>122</v>
      </c>
      <c r="AW10" s="473"/>
      <c r="AX10" s="474" t="s">
        <v>127</v>
      </c>
      <c r="AY10" s="477" t="s">
        <v>120</v>
      </c>
      <c r="BB10" s="472"/>
      <c r="BC10" s="473"/>
      <c r="BD10" s="473"/>
      <c r="BE10" s="474" t="s">
        <v>118</v>
      </c>
      <c r="BF10" s="473"/>
      <c r="BG10" s="473"/>
      <c r="BH10" s="474" t="s">
        <v>120</v>
      </c>
      <c r="BI10" s="475"/>
      <c r="BJ10" s="474" t="s">
        <v>119</v>
      </c>
      <c r="BK10" s="476"/>
      <c r="BS10" s="472"/>
      <c r="BT10" s="473"/>
      <c r="BU10" s="473"/>
      <c r="BV10" s="474" t="s">
        <v>122</v>
      </c>
      <c r="BW10" s="473"/>
      <c r="BX10" s="474" t="s">
        <v>127</v>
      </c>
      <c r="BY10" s="477" t="s">
        <v>120</v>
      </c>
      <c r="CB10" s="472"/>
      <c r="CC10" s="473"/>
      <c r="CD10" s="473"/>
      <c r="CE10" s="474" t="s">
        <v>118</v>
      </c>
      <c r="CF10" s="473"/>
      <c r="CG10" s="473"/>
      <c r="CH10" s="474" t="s">
        <v>120</v>
      </c>
      <c r="CI10" s="475"/>
      <c r="CJ10" s="474" t="s">
        <v>119</v>
      </c>
      <c r="CK10" s="476"/>
      <c r="CS10" s="472"/>
      <c r="CT10" s="473"/>
      <c r="CU10" s="473"/>
      <c r="CV10" s="474" t="s">
        <v>122</v>
      </c>
      <c r="CW10" s="473"/>
      <c r="CX10" s="474" t="s">
        <v>127</v>
      </c>
      <c r="CY10" s="477" t="s">
        <v>120</v>
      </c>
      <c r="DB10" s="472"/>
      <c r="DC10" s="473"/>
      <c r="DD10" s="473"/>
      <c r="DE10" s="474" t="s">
        <v>118</v>
      </c>
      <c r="DF10" s="473"/>
      <c r="DG10" s="473"/>
      <c r="DH10" s="474" t="s">
        <v>120</v>
      </c>
      <c r="DI10" s="475"/>
      <c r="DJ10" s="474" t="s">
        <v>119</v>
      </c>
      <c r="DK10" s="476"/>
      <c r="DS10" s="472"/>
      <c r="DT10" s="473"/>
      <c r="DU10" s="473"/>
      <c r="DV10" s="474" t="s">
        <v>122</v>
      </c>
      <c r="DW10" s="473"/>
      <c r="DX10" s="474" t="s">
        <v>127</v>
      </c>
      <c r="DY10" s="477" t="s">
        <v>120</v>
      </c>
      <c r="EB10" s="472"/>
      <c r="EC10" s="473"/>
      <c r="ED10" s="473"/>
      <c r="EE10" s="474" t="s">
        <v>118</v>
      </c>
      <c r="EF10" s="473"/>
      <c r="EG10" s="473"/>
      <c r="EH10" s="474" t="s">
        <v>120</v>
      </c>
      <c r="EI10" s="475"/>
      <c r="EJ10" s="474" t="s">
        <v>119</v>
      </c>
      <c r="EK10" s="476"/>
      <c r="ES10" s="472"/>
      <c r="ET10" s="473"/>
      <c r="EU10" s="473"/>
      <c r="EV10" s="474" t="s">
        <v>122</v>
      </c>
      <c r="EW10" s="473"/>
      <c r="EX10" s="474" t="s">
        <v>127</v>
      </c>
      <c r="EY10" s="477" t="s">
        <v>120</v>
      </c>
      <c r="FB10" s="472"/>
      <c r="FC10" s="473"/>
      <c r="FD10" s="473"/>
      <c r="FE10" s="474" t="s">
        <v>118</v>
      </c>
      <c r="FF10" s="473"/>
      <c r="FG10" s="473"/>
      <c r="FH10" s="474" t="s">
        <v>120</v>
      </c>
      <c r="FI10" s="475"/>
      <c r="FJ10" s="474" t="s">
        <v>119</v>
      </c>
      <c r="FK10" s="476"/>
      <c r="FS10" s="472"/>
      <c r="FT10" s="473"/>
      <c r="FU10" s="473"/>
      <c r="FV10" s="474" t="s">
        <v>122</v>
      </c>
      <c r="FW10" s="473"/>
      <c r="FX10" s="474" t="s">
        <v>127</v>
      </c>
      <c r="FY10" s="477" t="s">
        <v>120</v>
      </c>
      <c r="GB10" s="472"/>
      <c r="GC10" s="473"/>
      <c r="GD10" s="473"/>
      <c r="GE10" s="474" t="s">
        <v>118</v>
      </c>
      <c r="GF10" s="473"/>
      <c r="GG10" s="473"/>
      <c r="GH10" s="474" t="s">
        <v>120</v>
      </c>
      <c r="GI10" s="475"/>
      <c r="GJ10" s="474" t="s">
        <v>119</v>
      </c>
      <c r="GK10" s="476"/>
      <c r="GS10" s="472"/>
      <c r="GT10" s="473"/>
      <c r="GU10" s="473"/>
      <c r="GV10" s="474" t="s">
        <v>122</v>
      </c>
      <c r="GW10" s="473"/>
      <c r="GX10" s="474" t="s">
        <v>127</v>
      </c>
      <c r="GY10" s="477" t="s">
        <v>120</v>
      </c>
      <c r="HB10" s="472"/>
      <c r="HC10" s="473"/>
      <c r="HD10" s="473"/>
      <c r="HE10" s="474" t="s">
        <v>118</v>
      </c>
      <c r="HF10" s="473"/>
      <c r="HG10" s="473"/>
      <c r="HH10" s="474" t="s">
        <v>120</v>
      </c>
      <c r="HI10" s="475"/>
      <c r="HJ10" s="474" t="s">
        <v>119</v>
      </c>
      <c r="HK10" s="476"/>
      <c r="HS10" s="472"/>
      <c r="HT10" s="473"/>
      <c r="HU10" s="473"/>
      <c r="HV10" s="474" t="s">
        <v>122</v>
      </c>
      <c r="HW10" s="473"/>
      <c r="HX10" s="474" t="s">
        <v>127</v>
      </c>
      <c r="HY10" s="477" t="s">
        <v>120</v>
      </c>
      <c r="IB10" s="472"/>
      <c r="IC10" s="473"/>
      <c r="ID10" s="473"/>
      <c r="IE10" s="474" t="s">
        <v>118</v>
      </c>
      <c r="IF10" s="473"/>
      <c r="IG10" s="473"/>
      <c r="IH10" s="474" t="s">
        <v>120</v>
      </c>
      <c r="II10" s="475"/>
      <c r="IJ10" s="474" t="s">
        <v>119</v>
      </c>
      <c r="IK10" s="476"/>
      <c r="IS10" s="472"/>
      <c r="IT10" s="473"/>
      <c r="IU10" s="473"/>
      <c r="IV10" s="474" t="s">
        <v>122</v>
      </c>
      <c r="IW10" s="473"/>
      <c r="IX10" s="474" t="s">
        <v>127</v>
      </c>
      <c r="IY10" s="477" t="s">
        <v>120</v>
      </c>
      <c r="JB10" s="472"/>
      <c r="JC10" s="473"/>
      <c r="JD10" s="473"/>
      <c r="JE10" s="474" t="s">
        <v>118</v>
      </c>
      <c r="JF10" s="473"/>
      <c r="JG10" s="473"/>
      <c r="JH10" s="474" t="s">
        <v>120</v>
      </c>
      <c r="JI10" s="475"/>
      <c r="JJ10" s="474" t="s">
        <v>119</v>
      </c>
      <c r="JK10" s="476"/>
      <c r="JS10" s="472"/>
      <c r="JT10" s="473"/>
      <c r="JU10" s="473"/>
      <c r="JV10" s="474" t="s">
        <v>122</v>
      </c>
      <c r="JW10" s="473"/>
      <c r="JX10" s="474" t="s">
        <v>127</v>
      </c>
      <c r="JY10" s="477" t="s">
        <v>120</v>
      </c>
    </row>
    <row r="11" spans="1:285" x14ac:dyDescent="0.25">
      <c r="B11" s="472"/>
      <c r="C11" s="478" t="s">
        <v>64</v>
      </c>
      <c r="D11" s="479">
        <f>C39</f>
        <v>0</v>
      </c>
      <c r="E11" s="480">
        <f>'EF peternakan'!$G$5</f>
        <v>0.47</v>
      </c>
      <c r="F11" s="481">
        <f>'EF peternakan'!$H$5</f>
        <v>300</v>
      </c>
      <c r="G11" s="482">
        <f>E11*(F11/10^3)*365</f>
        <v>51.464999999999996</v>
      </c>
      <c r="H11" s="483">
        <f>I$26/100</f>
        <v>0.02</v>
      </c>
      <c r="I11" s="484">
        <f>D11*G11*H11</f>
        <v>0</v>
      </c>
      <c r="J11" s="485">
        <v>0.02</v>
      </c>
      <c r="K11" s="486">
        <f t="shared" ref="K11:K21" si="0">I11*J11*(44/28)</f>
        <v>0</v>
      </c>
      <c r="S11" s="472"/>
      <c r="T11" s="478" t="s">
        <v>64</v>
      </c>
      <c r="U11" s="479">
        <f t="shared" ref="U11:U21" si="1">I11</f>
        <v>0</v>
      </c>
      <c r="V11" s="480">
        <f>V26</f>
        <v>0</v>
      </c>
      <c r="W11" s="487">
        <f>U11*V11</f>
        <v>0</v>
      </c>
      <c r="X11" s="482">
        <f t="shared" ref="X11:X16" si="2">Z$26</f>
        <v>0.01</v>
      </c>
      <c r="Y11" s="488">
        <f t="shared" ref="Y11:Y16" si="3">W11*X11*(44/28)</f>
        <v>0</v>
      </c>
      <c r="AB11" s="472"/>
      <c r="AC11" s="478" t="s">
        <v>64</v>
      </c>
      <c r="AD11" s="479">
        <f>D39</f>
        <v>0</v>
      </c>
      <c r="AE11" s="480">
        <f>'EF peternakan'!$G$5</f>
        <v>0.47</v>
      </c>
      <c r="AF11" s="480">
        <f>'EF peternakan'!$H$5</f>
        <v>300</v>
      </c>
      <c r="AG11" s="482">
        <f t="shared" ref="AG11:AG21" si="4">AE11*(AF11/10^3)*365</f>
        <v>51.464999999999996</v>
      </c>
      <c r="AH11" s="483">
        <f t="shared" ref="AH11:AH21" si="5">AI$26/100</f>
        <v>0.02</v>
      </c>
      <c r="AI11" s="484">
        <f t="shared" ref="AI11:AI20" si="6">AD11*AG11*AH11</f>
        <v>0</v>
      </c>
      <c r="AJ11" s="485">
        <v>0.02</v>
      </c>
      <c r="AK11" s="486">
        <f t="shared" ref="AK11:AK21" si="7">AI11*AJ11*(44/28)</f>
        <v>0</v>
      </c>
      <c r="AS11" s="472"/>
      <c r="AT11" s="478" t="s">
        <v>64</v>
      </c>
      <c r="AU11" s="479">
        <f t="shared" ref="AU11:AU15" si="8">AI11</f>
        <v>0</v>
      </c>
      <c r="AV11" s="480">
        <f t="shared" ref="AV11:AV16" si="9">AV26</f>
        <v>0</v>
      </c>
      <c r="AW11" s="487">
        <f>AU11*AV11</f>
        <v>0</v>
      </c>
      <c r="AX11" s="482">
        <f t="shared" ref="AX11:AX16" si="10">AZ$26</f>
        <v>0.01</v>
      </c>
      <c r="AY11" s="488">
        <f t="shared" ref="AY11:AY16" si="11">AW11*AX11*(44/28)</f>
        <v>0</v>
      </c>
      <c r="BB11" s="472"/>
      <c r="BC11" s="478" t="s">
        <v>64</v>
      </c>
      <c r="BD11" s="479">
        <f>E39</f>
        <v>0</v>
      </c>
      <c r="BE11" s="480">
        <f>'EF peternakan'!$G$5</f>
        <v>0.47</v>
      </c>
      <c r="BF11" s="480">
        <f>'EF peternakan'!$H$5</f>
        <v>300</v>
      </c>
      <c r="BG11" s="482">
        <f>BE11*(BF11/10^3)*365</f>
        <v>51.464999999999996</v>
      </c>
      <c r="BH11" s="483">
        <f t="shared" ref="BH11:BH16" si="12">BI$26/100</f>
        <v>0.02</v>
      </c>
      <c r="BI11" s="484">
        <f>BD11*BG11*BH11</f>
        <v>0</v>
      </c>
      <c r="BJ11" s="485">
        <v>0.02</v>
      </c>
      <c r="BK11" s="486">
        <f t="shared" ref="BK11:BK21" si="13">BI11*BJ11*(44/28)</f>
        <v>0</v>
      </c>
      <c r="BS11" s="472"/>
      <c r="BT11" s="478" t="s">
        <v>64</v>
      </c>
      <c r="BU11" s="479">
        <f>BI11</f>
        <v>0</v>
      </c>
      <c r="BV11" s="480">
        <f t="shared" ref="BV11:BV16" si="14">BV26</f>
        <v>0</v>
      </c>
      <c r="BW11" s="487">
        <f>BU11*BV11</f>
        <v>0</v>
      </c>
      <c r="BX11" s="482">
        <f t="shared" ref="BX11:BX16" si="15">BZ$26</f>
        <v>0.01</v>
      </c>
      <c r="BY11" s="488">
        <f t="shared" ref="BY11:BY16" si="16">BW11*BX11*(44/28)</f>
        <v>0</v>
      </c>
      <c r="CB11" s="472"/>
      <c r="CC11" s="478" t="s">
        <v>64</v>
      </c>
      <c r="CD11" s="479">
        <f>F39</f>
        <v>0</v>
      </c>
      <c r="CE11" s="480">
        <f>'EF peternakan'!$G$5</f>
        <v>0.47</v>
      </c>
      <c r="CF11" s="480">
        <f>'EF peternakan'!$H$5</f>
        <v>300</v>
      </c>
      <c r="CG11" s="482">
        <f t="shared" ref="CG11:CG21" si="17">CE11*(CF11/10^3)*365</f>
        <v>51.464999999999996</v>
      </c>
      <c r="CH11" s="483">
        <f t="shared" ref="CH11:CH21" si="18">CI$26/100</f>
        <v>0.02</v>
      </c>
      <c r="CI11" s="484">
        <f t="shared" ref="CI11:CI15" si="19">CD11*CG11*CH11</f>
        <v>0</v>
      </c>
      <c r="CJ11" s="485">
        <v>0.02</v>
      </c>
      <c r="CK11" s="486">
        <f t="shared" ref="CK11:CK21" si="20">CI11*CJ11*(44/28)</f>
        <v>0</v>
      </c>
      <c r="CS11" s="472"/>
      <c r="CT11" s="478" t="s">
        <v>64</v>
      </c>
      <c r="CU11" s="479">
        <f>CI11</f>
        <v>0</v>
      </c>
      <c r="CV11" s="480">
        <f t="shared" ref="CV11:CV16" si="21">CV26</f>
        <v>0</v>
      </c>
      <c r="CW11" s="487">
        <f>CU11*CV11</f>
        <v>0</v>
      </c>
      <c r="CX11" s="482">
        <f t="shared" ref="CX11:CX16" si="22">CZ$26</f>
        <v>0.01</v>
      </c>
      <c r="CY11" s="488">
        <f t="shared" ref="CY11:CY16" si="23">CW11*CX11*(44/28)</f>
        <v>0</v>
      </c>
      <c r="DB11" s="472"/>
      <c r="DC11" s="478" t="s">
        <v>64</v>
      </c>
      <c r="DD11" s="479">
        <f>G39</f>
        <v>0</v>
      </c>
      <c r="DE11" s="480">
        <f>'EF peternakan'!$G$5</f>
        <v>0.47</v>
      </c>
      <c r="DF11" s="480">
        <f>'EF peternakan'!$H$5</f>
        <v>300</v>
      </c>
      <c r="DG11" s="482">
        <f t="shared" ref="DG11:DG21" si="24">DE11*(DF11/10^3)*365</f>
        <v>51.464999999999996</v>
      </c>
      <c r="DH11" s="483">
        <f t="shared" ref="DH11:DH21" si="25">DI$26/100</f>
        <v>0.02</v>
      </c>
      <c r="DI11" s="484">
        <f t="shared" ref="DI11:DI21" si="26">DD11*DG11*DH11</f>
        <v>0</v>
      </c>
      <c r="DJ11" s="485">
        <v>0.02</v>
      </c>
      <c r="DK11" s="486">
        <f t="shared" ref="DK11:DK15" si="27">DI11*DJ11*(44/28)</f>
        <v>0</v>
      </c>
      <c r="DS11" s="472"/>
      <c r="DT11" s="478" t="s">
        <v>64</v>
      </c>
      <c r="DU11" s="479">
        <f>DI11</f>
        <v>0</v>
      </c>
      <c r="DV11" s="480">
        <f t="shared" ref="DV11:DV16" si="28">DV26</f>
        <v>0</v>
      </c>
      <c r="DW11" s="487">
        <f>DU11*DV11</f>
        <v>0</v>
      </c>
      <c r="DX11" s="482">
        <f t="shared" ref="DX11:DX16" si="29">DZ$26</f>
        <v>0.01</v>
      </c>
      <c r="DY11" s="488">
        <f t="shared" ref="DY11:DY16" si="30">DW11*DX11*(44/28)</f>
        <v>0</v>
      </c>
      <c r="EB11" s="472"/>
      <c r="EC11" s="478" t="s">
        <v>64</v>
      </c>
      <c r="ED11" s="479">
        <f>H39</f>
        <v>0</v>
      </c>
      <c r="EE11" s="480">
        <f>'EF peternakan'!$G$5</f>
        <v>0.47</v>
      </c>
      <c r="EF11" s="480">
        <f>'EF peternakan'!$H$5</f>
        <v>300</v>
      </c>
      <c r="EG11" s="482">
        <f t="shared" ref="EG11:EG21" si="31">EE11*(EF11/10^3)*365</f>
        <v>51.464999999999996</v>
      </c>
      <c r="EH11" s="483">
        <f t="shared" ref="EH11:EH21" si="32">EI$26/100</f>
        <v>0.02</v>
      </c>
      <c r="EI11" s="484">
        <f t="shared" ref="EI11:EI21" si="33">ED11*EG11*EH11</f>
        <v>0</v>
      </c>
      <c r="EJ11" s="485">
        <v>0.02</v>
      </c>
      <c r="EK11" s="486">
        <f t="shared" ref="EK11:EK21" si="34">EI11*EJ11*(44/28)</f>
        <v>0</v>
      </c>
      <c r="ES11" s="472"/>
      <c r="ET11" s="478" t="s">
        <v>64</v>
      </c>
      <c r="EU11" s="479">
        <f>EI11</f>
        <v>0</v>
      </c>
      <c r="EV11" s="480">
        <f t="shared" ref="EV11:EV16" si="35">EV26</f>
        <v>0</v>
      </c>
      <c r="EW11" s="487">
        <f>EU11*EV11</f>
        <v>0</v>
      </c>
      <c r="EX11" s="482">
        <f t="shared" ref="EX11:EX16" si="36">EZ$26</f>
        <v>0.01</v>
      </c>
      <c r="EY11" s="488">
        <f t="shared" ref="EY11:EY16" si="37">EW11*EX11*(44/28)</f>
        <v>0</v>
      </c>
      <c r="FB11" s="472"/>
      <c r="FC11" s="478" t="s">
        <v>64</v>
      </c>
      <c r="FD11" s="479">
        <f>I39</f>
        <v>0</v>
      </c>
      <c r="FE11" s="480">
        <f>'EF peternakan'!$G$5</f>
        <v>0.47</v>
      </c>
      <c r="FF11" s="480">
        <f>'EF peternakan'!$H$5</f>
        <v>300</v>
      </c>
      <c r="FG11" s="482">
        <f t="shared" ref="FG11:FG21" si="38">FE11*(FF11/10^3)*365</f>
        <v>51.464999999999996</v>
      </c>
      <c r="FH11" s="483">
        <f t="shared" ref="FH11:FH21" si="39">FI$26/100</f>
        <v>0.02</v>
      </c>
      <c r="FI11" s="484">
        <f t="shared" ref="FI11:FI16" si="40">FD11*FG11*FH11</f>
        <v>0</v>
      </c>
      <c r="FJ11" s="485">
        <v>0.02</v>
      </c>
      <c r="FK11" s="486">
        <f t="shared" ref="FK11:FK16" si="41">FI11*FJ11*(44/28)</f>
        <v>0</v>
      </c>
      <c r="FS11" s="472"/>
      <c r="FT11" s="478" t="s">
        <v>64</v>
      </c>
      <c r="FU11" s="479">
        <f>FI11</f>
        <v>0</v>
      </c>
      <c r="FV11" s="480">
        <f t="shared" ref="FV11:FV16" si="42">FV26</f>
        <v>0</v>
      </c>
      <c r="FW11" s="487">
        <f>FU11*FV11</f>
        <v>0</v>
      </c>
      <c r="FX11" s="482">
        <f t="shared" ref="FX11:FX16" si="43">FZ$26</f>
        <v>0.01</v>
      </c>
      <c r="FY11" s="488">
        <f>FW11*FX11*(44/28)</f>
        <v>0</v>
      </c>
      <c r="GB11" s="472"/>
      <c r="GC11" s="478" t="s">
        <v>64</v>
      </c>
      <c r="GD11" s="479">
        <f>J39</f>
        <v>0</v>
      </c>
      <c r="GE11" s="480">
        <f>'EF peternakan'!$G$5</f>
        <v>0.47</v>
      </c>
      <c r="GF11" s="480">
        <f>'EF peternakan'!$H$5</f>
        <v>300</v>
      </c>
      <c r="GG11" s="482">
        <f t="shared" ref="GG11:GG21" si="44">GE11*(GF11/10^3)*365</f>
        <v>51.464999999999996</v>
      </c>
      <c r="GH11" s="483">
        <f t="shared" ref="GH11:GH21" si="45">GI$26/100</f>
        <v>0.02</v>
      </c>
      <c r="GI11" s="484">
        <f t="shared" ref="GI11:GI16" si="46">GD11*GG11*GH11</f>
        <v>0</v>
      </c>
      <c r="GJ11" s="485">
        <v>0.02</v>
      </c>
      <c r="GK11" s="486">
        <f t="shared" ref="GK11:GK16" si="47">GI11*GJ11*(44/28)</f>
        <v>0</v>
      </c>
      <c r="GS11" s="472"/>
      <c r="GT11" s="478" t="s">
        <v>64</v>
      </c>
      <c r="GU11" s="479">
        <f t="shared" ref="GU11:GU21" si="48">GI11</f>
        <v>0</v>
      </c>
      <c r="GV11" s="480">
        <f t="shared" ref="GV11:GV16" si="49">GV26</f>
        <v>0</v>
      </c>
      <c r="GW11" s="487">
        <f>GU11*GV11</f>
        <v>0</v>
      </c>
      <c r="GX11" s="482">
        <f t="shared" ref="GX11:GX16" si="50">GZ$26</f>
        <v>0.01</v>
      </c>
      <c r="GY11" s="488">
        <f t="shared" ref="GY11:GY16" si="51">GW11*GX11*(44/28)</f>
        <v>0</v>
      </c>
      <c r="HB11" s="472"/>
      <c r="HC11" s="478" t="s">
        <v>64</v>
      </c>
      <c r="HD11" s="479">
        <f>K39</f>
        <v>0</v>
      </c>
      <c r="HE11" s="480">
        <f>'EF peternakan'!$G$5</f>
        <v>0.47</v>
      </c>
      <c r="HF11" s="480">
        <f>'EF peternakan'!$H$5</f>
        <v>300</v>
      </c>
      <c r="HG11" s="482">
        <f t="shared" ref="HG11:HG21" si="52">HE11*(HF11/10^3)*365</f>
        <v>51.464999999999996</v>
      </c>
      <c r="HH11" s="483">
        <f t="shared" ref="HH11:HH21" si="53">HI$26/100</f>
        <v>0.02</v>
      </c>
      <c r="HI11" s="484">
        <f t="shared" ref="HI11:HI21" si="54">HD11*HG11*HH11</f>
        <v>0</v>
      </c>
      <c r="HJ11" s="485">
        <v>0.02</v>
      </c>
      <c r="HK11" s="486">
        <f t="shared" ref="HK11:HK21" si="55">HI11*HJ11*(44/28)</f>
        <v>0</v>
      </c>
      <c r="HS11" s="472"/>
      <c r="HT11" s="478" t="s">
        <v>64</v>
      </c>
      <c r="HU11" s="479">
        <f>HI11</f>
        <v>0</v>
      </c>
      <c r="HV11" s="480">
        <f t="shared" ref="HV11:HV16" si="56">HV26</f>
        <v>0</v>
      </c>
      <c r="HW11" s="487">
        <f>HU11*HV11</f>
        <v>0</v>
      </c>
      <c r="HX11" s="482">
        <f t="shared" ref="HX11:HX16" si="57">HZ$26</f>
        <v>0.01</v>
      </c>
      <c r="HY11" s="488">
        <f t="shared" ref="HY11:HY16" si="58">HW11*HX11*(44/28)</f>
        <v>0</v>
      </c>
      <c r="IB11" s="472"/>
      <c r="IC11" s="478" t="s">
        <v>64</v>
      </c>
      <c r="ID11" s="479">
        <f>L39</f>
        <v>0</v>
      </c>
      <c r="IE11" s="480">
        <f>'EF peternakan'!$G$5</f>
        <v>0.47</v>
      </c>
      <c r="IF11" s="480">
        <f>'EF peternakan'!$H$5</f>
        <v>300</v>
      </c>
      <c r="IG11" s="482">
        <f t="shared" ref="IG11:IG21" si="59">IE11*(IF11/10^3)*365</f>
        <v>51.464999999999996</v>
      </c>
      <c r="IH11" s="483">
        <f t="shared" ref="IH11:IH21" si="60">II$26/100</f>
        <v>0.02</v>
      </c>
      <c r="II11" s="484">
        <f t="shared" ref="II11:II21" si="61">ID11*IG11*IH11</f>
        <v>0</v>
      </c>
      <c r="IJ11" s="485">
        <v>0.02</v>
      </c>
      <c r="IK11" s="486">
        <f t="shared" ref="IK11:IK21" si="62">II11*IJ11*(44/28)</f>
        <v>0</v>
      </c>
      <c r="IS11" s="472"/>
      <c r="IT11" s="478" t="s">
        <v>64</v>
      </c>
      <c r="IU11" s="479">
        <f t="shared" ref="IU11:IU21" si="63">II11</f>
        <v>0</v>
      </c>
      <c r="IV11" s="480">
        <f t="shared" ref="IV11:IV16" si="64">IV26</f>
        <v>0</v>
      </c>
      <c r="IW11" s="487">
        <f>IU11*IV11</f>
        <v>0</v>
      </c>
      <c r="IX11" s="482">
        <f t="shared" ref="IX11:IX16" si="65">IZ$26</f>
        <v>0.01</v>
      </c>
      <c r="IY11" s="488">
        <f t="shared" ref="IY11:IY16" si="66">IW11*IX11*(44/28)</f>
        <v>0</v>
      </c>
      <c r="JB11" s="472"/>
      <c r="JC11" s="478" t="s">
        <v>64</v>
      </c>
      <c r="JD11" s="479">
        <f>M39</f>
        <v>0</v>
      </c>
      <c r="JE11" s="480">
        <f>'EF peternakan'!$G$5</f>
        <v>0.47</v>
      </c>
      <c r="JF11" s="480">
        <f>'EF peternakan'!$H$5</f>
        <v>300</v>
      </c>
      <c r="JG11" s="482">
        <f t="shared" ref="JG11:JG21" si="67">JE11*(JF11/10^3)*365</f>
        <v>51.464999999999996</v>
      </c>
      <c r="JH11" s="483">
        <f t="shared" ref="JH11:JH21" si="68">JI$26/100</f>
        <v>0.02</v>
      </c>
      <c r="JI11" s="484">
        <f t="shared" ref="JI11:JI21" si="69">JD11*JG11*JH11</f>
        <v>0</v>
      </c>
      <c r="JJ11" s="485">
        <v>0.02</v>
      </c>
      <c r="JK11" s="486">
        <f t="shared" ref="JK11:JK21" si="70">JI11*JJ11*(44/28)</f>
        <v>0</v>
      </c>
      <c r="JS11" s="472"/>
      <c r="JT11" s="478" t="s">
        <v>64</v>
      </c>
      <c r="JU11" s="479">
        <f t="shared" ref="JU11:JU21" si="71">JI11</f>
        <v>0</v>
      </c>
      <c r="JV11" s="480">
        <f t="shared" ref="JV11:JV16" si="72">JV26</f>
        <v>0</v>
      </c>
      <c r="JW11" s="487">
        <f>JU11*JV11</f>
        <v>0</v>
      </c>
      <c r="JX11" s="482">
        <f t="shared" ref="JX11:JX16" si="73">JZ$26</f>
        <v>0.01</v>
      </c>
      <c r="JY11" s="488">
        <f t="shared" ref="JY11:JY16" si="74">JW11*JX11*(44/28)</f>
        <v>0</v>
      </c>
    </row>
    <row r="12" spans="1:285" x14ac:dyDescent="0.25">
      <c r="B12" s="472"/>
      <c r="C12" s="478" t="s">
        <v>71</v>
      </c>
      <c r="D12" s="479">
        <f t="shared" ref="D12:D16" si="75">C40</f>
        <v>12189</v>
      </c>
      <c r="E12" s="480">
        <f>'EF peternakan'!$G$6</f>
        <v>0.34</v>
      </c>
      <c r="F12" s="481">
        <f>'EF peternakan'!$H$6</f>
        <v>250</v>
      </c>
      <c r="G12" s="482">
        <f>E12*(F12/10^3)*365</f>
        <v>31.025000000000002</v>
      </c>
      <c r="H12" s="483">
        <f t="shared" ref="H12:H21" si="76">I$26/100</f>
        <v>0.02</v>
      </c>
      <c r="I12" s="484">
        <f>D12*G12*H12</f>
        <v>7563.2745000000004</v>
      </c>
      <c r="J12" s="485">
        <v>0.02</v>
      </c>
      <c r="K12" s="486">
        <f t="shared" si="0"/>
        <v>237.70291285714285</v>
      </c>
      <c r="S12" s="472"/>
      <c r="T12" s="478" t="s">
        <v>71</v>
      </c>
      <c r="U12" s="479">
        <f t="shared" si="1"/>
        <v>7563.2745000000004</v>
      </c>
      <c r="V12" s="480">
        <f t="shared" ref="V12:V16" si="77">V27</f>
        <v>0.3</v>
      </c>
      <c r="W12" s="487">
        <f t="shared" ref="W12:W16" si="78">U12*V12</f>
        <v>2268.9823500000002</v>
      </c>
      <c r="X12" s="482">
        <f t="shared" si="2"/>
        <v>0.01</v>
      </c>
      <c r="Y12" s="488">
        <f t="shared" si="3"/>
        <v>35.655436928571433</v>
      </c>
      <c r="AB12" s="472"/>
      <c r="AC12" s="478" t="s">
        <v>71</v>
      </c>
      <c r="AD12" s="479">
        <f t="shared" ref="AD12:AD20" si="79">D40</f>
        <v>15398</v>
      </c>
      <c r="AE12" s="480">
        <f>'EF peternakan'!$G$6</f>
        <v>0.34</v>
      </c>
      <c r="AF12" s="480">
        <f>'EF peternakan'!$H$6</f>
        <v>250</v>
      </c>
      <c r="AG12" s="482">
        <f t="shared" si="4"/>
        <v>31.025000000000002</v>
      </c>
      <c r="AH12" s="483">
        <f t="shared" si="5"/>
        <v>0.02</v>
      </c>
      <c r="AI12" s="484">
        <f t="shared" si="6"/>
        <v>9554.4590000000007</v>
      </c>
      <c r="AJ12" s="485">
        <v>0.02</v>
      </c>
      <c r="AK12" s="486">
        <f t="shared" si="7"/>
        <v>300.2829971428572</v>
      </c>
      <c r="AS12" s="472"/>
      <c r="AT12" s="478" t="s">
        <v>71</v>
      </c>
      <c r="AU12" s="479">
        <f t="shared" si="8"/>
        <v>9554.4590000000007</v>
      </c>
      <c r="AV12" s="480">
        <f t="shared" si="9"/>
        <v>0.3</v>
      </c>
      <c r="AW12" s="487">
        <f t="shared" ref="AW12:AW16" si="80">AU12*AV12</f>
        <v>2866.3377</v>
      </c>
      <c r="AX12" s="482">
        <f t="shared" si="10"/>
        <v>0.01</v>
      </c>
      <c r="AY12" s="488">
        <f t="shared" si="11"/>
        <v>45.04244957142857</v>
      </c>
      <c r="BB12" s="472"/>
      <c r="BC12" s="478" t="s">
        <v>71</v>
      </c>
      <c r="BD12" s="479">
        <f t="shared" ref="BD12:BD16" si="81">E40</f>
        <v>14136</v>
      </c>
      <c r="BE12" s="480">
        <f>'EF peternakan'!$G$6</f>
        <v>0.34</v>
      </c>
      <c r="BF12" s="480">
        <f>'EF peternakan'!$H$6</f>
        <v>250</v>
      </c>
      <c r="BG12" s="482">
        <f t="shared" ref="BG12:BG16" si="82">BE12*(BF12/10^3)*365</f>
        <v>31.025000000000002</v>
      </c>
      <c r="BH12" s="483">
        <f t="shared" si="12"/>
        <v>0.02</v>
      </c>
      <c r="BI12" s="484">
        <f t="shared" ref="BI12" si="83">BD12*BG12*BH12</f>
        <v>8771.3880000000008</v>
      </c>
      <c r="BJ12" s="485">
        <v>0.02</v>
      </c>
      <c r="BK12" s="486">
        <f t="shared" si="13"/>
        <v>275.67219428571428</v>
      </c>
      <c r="BS12" s="472"/>
      <c r="BT12" s="478" t="s">
        <v>71</v>
      </c>
      <c r="BU12" s="479">
        <f t="shared" ref="BU12:BU15" si="84">BI12</f>
        <v>8771.3880000000008</v>
      </c>
      <c r="BV12" s="480">
        <f t="shared" si="14"/>
        <v>0.3</v>
      </c>
      <c r="BW12" s="487">
        <f t="shared" ref="BW12:BW16" si="85">BU12*BV12</f>
        <v>2631.4164000000001</v>
      </c>
      <c r="BX12" s="482">
        <f t="shared" si="15"/>
        <v>0.01</v>
      </c>
      <c r="BY12" s="488">
        <f t="shared" si="16"/>
        <v>41.350829142857144</v>
      </c>
      <c r="CB12" s="472"/>
      <c r="CC12" s="478" t="s">
        <v>71</v>
      </c>
      <c r="CD12" s="479">
        <f t="shared" ref="CD12:CD16" si="86">F40</f>
        <v>17345</v>
      </c>
      <c r="CE12" s="480">
        <f>'EF peternakan'!$G$6</f>
        <v>0.34</v>
      </c>
      <c r="CF12" s="480">
        <f>'EF peternakan'!$H$6</f>
        <v>250</v>
      </c>
      <c r="CG12" s="482">
        <f t="shared" si="17"/>
        <v>31.025000000000002</v>
      </c>
      <c r="CH12" s="483">
        <f t="shared" si="18"/>
        <v>0.02</v>
      </c>
      <c r="CI12" s="484">
        <f t="shared" si="19"/>
        <v>10762.5725</v>
      </c>
      <c r="CJ12" s="485">
        <v>0.02</v>
      </c>
      <c r="CK12" s="486">
        <f t="shared" si="20"/>
        <v>338.25227857142858</v>
      </c>
      <c r="CS12" s="472"/>
      <c r="CT12" s="478" t="s">
        <v>71</v>
      </c>
      <c r="CU12" s="479">
        <f>CI12</f>
        <v>10762.5725</v>
      </c>
      <c r="CV12" s="480">
        <f t="shared" si="21"/>
        <v>0.3</v>
      </c>
      <c r="CW12" s="487">
        <f t="shared" ref="CW12:CW16" si="87">CU12*CV12</f>
        <v>3228.7717499999999</v>
      </c>
      <c r="CX12" s="482">
        <f t="shared" si="22"/>
        <v>0.01</v>
      </c>
      <c r="CY12" s="488">
        <f t="shared" si="23"/>
        <v>50.737841785714281</v>
      </c>
      <c r="DB12" s="472"/>
      <c r="DC12" s="478" t="s">
        <v>71</v>
      </c>
      <c r="DD12" s="479">
        <f t="shared" ref="DD12:DD16" si="88">G40</f>
        <v>20502</v>
      </c>
      <c r="DE12" s="480">
        <f>'EF peternakan'!$G$6</f>
        <v>0.34</v>
      </c>
      <c r="DF12" s="480">
        <f>'EF peternakan'!$H$6</f>
        <v>250</v>
      </c>
      <c r="DG12" s="482">
        <f t="shared" si="24"/>
        <v>31.025000000000002</v>
      </c>
      <c r="DH12" s="483">
        <f t="shared" si="25"/>
        <v>0.02</v>
      </c>
      <c r="DI12" s="484">
        <f t="shared" si="26"/>
        <v>12721.491000000002</v>
      </c>
      <c r="DJ12" s="485">
        <v>0.02</v>
      </c>
      <c r="DK12" s="486">
        <f t="shared" si="27"/>
        <v>399.81828857142864</v>
      </c>
      <c r="DS12" s="472"/>
      <c r="DT12" s="478" t="s">
        <v>71</v>
      </c>
      <c r="DU12" s="479">
        <f t="shared" ref="DU12:DU15" si="89">DI12</f>
        <v>12721.491000000002</v>
      </c>
      <c r="DV12" s="480">
        <f t="shared" si="28"/>
        <v>0.3</v>
      </c>
      <c r="DW12" s="487">
        <f t="shared" ref="DW12:DW16" si="90">DU12*DV12</f>
        <v>3816.4473000000003</v>
      </c>
      <c r="DX12" s="482">
        <f t="shared" si="29"/>
        <v>0.01</v>
      </c>
      <c r="DY12" s="488">
        <f t="shared" si="30"/>
        <v>59.972743285714287</v>
      </c>
      <c r="EB12" s="472"/>
      <c r="EC12" s="478" t="s">
        <v>71</v>
      </c>
      <c r="ED12" s="479">
        <f t="shared" ref="ED12:ED21" si="91">H40</f>
        <v>21659</v>
      </c>
      <c r="EE12" s="480">
        <f>'EF peternakan'!$G$6</f>
        <v>0.34</v>
      </c>
      <c r="EF12" s="480">
        <f>'EF peternakan'!$H$6</f>
        <v>250</v>
      </c>
      <c r="EG12" s="482">
        <f t="shared" si="31"/>
        <v>31.025000000000002</v>
      </c>
      <c r="EH12" s="483">
        <f t="shared" si="32"/>
        <v>0.02</v>
      </c>
      <c r="EI12" s="484">
        <f t="shared" si="33"/>
        <v>13439.409500000002</v>
      </c>
      <c r="EJ12" s="485">
        <v>0.02</v>
      </c>
      <c r="EK12" s="486">
        <f t="shared" si="34"/>
        <v>422.38144142857146</v>
      </c>
      <c r="ES12" s="472"/>
      <c r="ET12" s="478" t="s">
        <v>71</v>
      </c>
      <c r="EU12" s="479">
        <f>EI12</f>
        <v>13439.409500000002</v>
      </c>
      <c r="EV12" s="480">
        <f t="shared" si="35"/>
        <v>0.3</v>
      </c>
      <c r="EW12" s="487">
        <f t="shared" ref="EW12:EW16" si="92">EU12*EV12</f>
        <v>4031.8228500000005</v>
      </c>
      <c r="EX12" s="482">
        <f t="shared" si="36"/>
        <v>0.01</v>
      </c>
      <c r="EY12" s="488">
        <f t="shared" si="37"/>
        <v>63.357216214285721</v>
      </c>
      <c r="FB12" s="472"/>
      <c r="FC12" s="478" t="s">
        <v>71</v>
      </c>
      <c r="FD12" s="479">
        <f t="shared" ref="FD12:FD21" si="93">I40</f>
        <v>26589.508234463978</v>
      </c>
      <c r="FE12" s="480">
        <f>'EF peternakan'!$G$6</f>
        <v>0.34</v>
      </c>
      <c r="FF12" s="480">
        <f>'EF peternakan'!$H$6</f>
        <v>250</v>
      </c>
      <c r="FG12" s="482">
        <f t="shared" si="38"/>
        <v>31.025000000000002</v>
      </c>
      <c r="FH12" s="483">
        <f t="shared" si="39"/>
        <v>0.02</v>
      </c>
      <c r="FI12" s="484">
        <f t="shared" si="40"/>
        <v>16498.789859484899</v>
      </c>
      <c r="FJ12" s="485">
        <v>0.02</v>
      </c>
      <c r="FK12" s="486">
        <f t="shared" si="41"/>
        <v>518.53339558381106</v>
      </c>
      <c r="FS12" s="472"/>
      <c r="FT12" s="478" t="s">
        <v>71</v>
      </c>
      <c r="FU12" s="479">
        <f t="shared" ref="FU12:FU21" si="94">FI12</f>
        <v>16498.789859484899</v>
      </c>
      <c r="FV12" s="480">
        <f t="shared" si="42"/>
        <v>0.3</v>
      </c>
      <c r="FW12" s="487">
        <f t="shared" ref="FW12:FW16" si="95">FU12*FV12</f>
        <v>4949.6369578454696</v>
      </c>
      <c r="FX12" s="482">
        <f t="shared" si="43"/>
        <v>0.01</v>
      </c>
      <c r="FY12" s="488">
        <f t="shared" ref="FY12:FY16" si="96">FW12*FX12*(44/28)</f>
        <v>77.78000933757167</v>
      </c>
      <c r="GB12" s="472"/>
      <c r="GC12" s="478" t="s">
        <v>71</v>
      </c>
      <c r="GD12" s="479">
        <f t="shared" ref="GD12:GD21" si="97">J40</f>
        <v>30280.799896359073</v>
      </c>
      <c r="GE12" s="480">
        <f>'EF peternakan'!$G$6</f>
        <v>0.34</v>
      </c>
      <c r="GF12" s="480">
        <f>'EF peternakan'!$H$6</f>
        <v>250</v>
      </c>
      <c r="GG12" s="482">
        <f t="shared" si="44"/>
        <v>31.025000000000002</v>
      </c>
      <c r="GH12" s="483">
        <f t="shared" si="45"/>
        <v>0.02</v>
      </c>
      <c r="GI12" s="484">
        <f t="shared" si="46"/>
        <v>18789.236335690806</v>
      </c>
      <c r="GJ12" s="485">
        <v>0.02</v>
      </c>
      <c r="GK12" s="486">
        <f t="shared" si="47"/>
        <v>590.51885626456829</v>
      </c>
      <c r="GS12" s="472"/>
      <c r="GT12" s="478" t="s">
        <v>71</v>
      </c>
      <c r="GU12" s="479">
        <f>GI12</f>
        <v>18789.236335690806</v>
      </c>
      <c r="GV12" s="480">
        <f t="shared" si="49"/>
        <v>0.3</v>
      </c>
      <c r="GW12" s="487">
        <f t="shared" ref="GW12:GW16" si="98">GU12*GV12</f>
        <v>5636.7709007072417</v>
      </c>
      <c r="GX12" s="482">
        <f t="shared" si="50"/>
        <v>0.01</v>
      </c>
      <c r="GY12" s="488">
        <f t="shared" si="51"/>
        <v>88.577828439685234</v>
      </c>
      <c r="HB12" s="472"/>
      <c r="HC12" s="478" t="s">
        <v>71</v>
      </c>
      <c r="HD12" s="479">
        <f t="shared" ref="HD12:HD21" si="99">K40</f>
        <v>34484.535564853562</v>
      </c>
      <c r="HE12" s="480">
        <f>'EF peternakan'!$G$6</f>
        <v>0.34</v>
      </c>
      <c r="HF12" s="480">
        <f>'EF peternakan'!$H$6</f>
        <v>250</v>
      </c>
      <c r="HG12" s="482">
        <f t="shared" si="52"/>
        <v>31.025000000000002</v>
      </c>
      <c r="HH12" s="483">
        <f t="shared" si="53"/>
        <v>0.02</v>
      </c>
      <c r="HI12" s="484">
        <f t="shared" si="54"/>
        <v>21397.654317991637</v>
      </c>
      <c r="HJ12" s="485">
        <v>0.02</v>
      </c>
      <c r="HK12" s="486">
        <f t="shared" si="55"/>
        <v>672.49770713688008</v>
      </c>
      <c r="HS12" s="472"/>
      <c r="HT12" s="478" t="s">
        <v>71</v>
      </c>
      <c r="HU12" s="479">
        <f t="shared" ref="HU12:HU21" si="100">HI12</f>
        <v>21397.654317991637</v>
      </c>
      <c r="HV12" s="480">
        <f t="shared" si="56"/>
        <v>0.3</v>
      </c>
      <c r="HW12" s="487">
        <f t="shared" ref="HW12:HW16" si="101">HU12*HV12</f>
        <v>6419.2962953974911</v>
      </c>
      <c r="HX12" s="482">
        <f t="shared" si="57"/>
        <v>0.01</v>
      </c>
      <c r="HY12" s="488">
        <f t="shared" si="58"/>
        <v>100.874656070532</v>
      </c>
      <c r="IB12" s="472"/>
      <c r="IC12" s="478" t="s">
        <v>71</v>
      </c>
      <c r="ID12" s="479">
        <f t="shared" ref="ID12:ID21" si="102">L40</f>
        <v>38688.271233348103</v>
      </c>
      <c r="IE12" s="480">
        <f>'EF peternakan'!$G$6</f>
        <v>0.34</v>
      </c>
      <c r="IF12" s="480">
        <f>'EF peternakan'!$H$6</f>
        <v>250</v>
      </c>
      <c r="IG12" s="482">
        <f t="shared" si="59"/>
        <v>31.025000000000002</v>
      </c>
      <c r="IH12" s="483">
        <f t="shared" si="60"/>
        <v>0.02</v>
      </c>
      <c r="II12" s="484">
        <f t="shared" si="61"/>
        <v>24006.072300292501</v>
      </c>
      <c r="IJ12" s="485">
        <v>0.02</v>
      </c>
      <c r="IK12" s="486">
        <f t="shared" si="62"/>
        <v>754.4765580091929</v>
      </c>
      <c r="IS12" s="472"/>
      <c r="IT12" s="478" t="s">
        <v>71</v>
      </c>
      <c r="IU12" s="479">
        <f t="shared" si="63"/>
        <v>24006.072300292501</v>
      </c>
      <c r="IV12" s="480">
        <f t="shared" si="64"/>
        <v>0.3</v>
      </c>
      <c r="IW12" s="487">
        <f t="shared" ref="IW12:IW16" si="103">IU12*IV12</f>
        <v>7201.8216900877496</v>
      </c>
      <c r="IX12" s="482">
        <f t="shared" si="65"/>
        <v>0.01</v>
      </c>
      <c r="IY12" s="488">
        <f t="shared" si="66"/>
        <v>113.17148370137893</v>
      </c>
      <c r="JB12" s="472"/>
      <c r="JC12" s="478" t="s">
        <v>71</v>
      </c>
      <c r="JD12" s="479">
        <f t="shared" ref="JD12:JD21" si="104">M40</f>
        <v>0</v>
      </c>
      <c r="JE12" s="480">
        <f>'EF peternakan'!$G$6</f>
        <v>0.34</v>
      </c>
      <c r="JF12" s="480">
        <f>'EF peternakan'!$H$6</f>
        <v>250</v>
      </c>
      <c r="JG12" s="482">
        <f t="shared" si="67"/>
        <v>31.025000000000002</v>
      </c>
      <c r="JH12" s="483">
        <f t="shared" si="68"/>
        <v>0.02</v>
      </c>
      <c r="JI12" s="484">
        <f t="shared" si="69"/>
        <v>0</v>
      </c>
      <c r="JJ12" s="485">
        <v>0.02</v>
      </c>
      <c r="JK12" s="486">
        <f t="shared" si="70"/>
        <v>0</v>
      </c>
      <c r="JS12" s="472"/>
      <c r="JT12" s="478" t="s">
        <v>71</v>
      </c>
      <c r="JU12" s="479">
        <f t="shared" si="71"/>
        <v>0</v>
      </c>
      <c r="JV12" s="480">
        <f t="shared" si="72"/>
        <v>0.3</v>
      </c>
      <c r="JW12" s="487">
        <f t="shared" ref="JW12:JW16" si="105">JU12*JV12</f>
        <v>0</v>
      </c>
      <c r="JX12" s="482">
        <f t="shared" si="73"/>
        <v>0.01</v>
      </c>
      <c r="JY12" s="488">
        <f t="shared" si="74"/>
        <v>0</v>
      </c>
    </row>
    <row r="13" spans="1:285" x14ac:dyDescent="0.25">
      <c r="B13" s="472"/>
      <c r="C13" s="478" t="s">
        <v>22</v>
      </c>
      <c r="D13" s="479">
        <f t="shared" si="75"/>
        <v>554</v>
      </c>
      <c r="E13" s="480">
        <f>'EF peternakan'!$G$17</f>
        <v>0.32</v>
      </c>
      <c r="F13" s="481">
        <f>'EF peternakan'!$H$17</f>
        <v>300</v>
      </c>
      <c r="G13" s="482">
        <f t="shared" ref="G13:G21" si="106">E13*(F13/10^3)*365</f>
        <v>35.04</v>
      </c>
      <c r="H13" s="483">
        <f t="shared" si="76"/>
        <v>0.02</v>
      </c>
      <c r="I13" s="484">
        <f t="shared" ref="I13:I20" si="107">D13*G13*H13</f>
        <v>388.2432</v>
      </c>
      <c r="J13" s="485">
        <v>0.02</v>
      </c>
      <c r="K13" s="486">
        <f t="shared" si="0"/>
        <v>12.201929142857143</v>
      </c>
      <c r="S13" s="472"/>
      <c r="T13" s="478" t="s">
        <v>22</v>
      </c>
      <c r="U13" s="479">
        <f t="shared" si="1"/>
        <v>388.2432</v>
      </c>
      <c r="V13" s="480">
        <f t="shared" si="77"/>
        <v>0</v>
      </c>
      <c r="W13" s="487">
        <f t="shared" si="78"/>
        <v>0</v>
      </c>
      <c r="X13" s="482">
        <f t="shared" si="2"/>
        <v>0.01</v>
      </c>
      <c r="Y13" s="488">
        <f t="shared" si="3"/>
        <v>0</v>
      </c>
      <c r="AB13" s="472"/>
      <c r="AC13" s="478" t="s">
        <v>22</v>
      </c>
      <c r="AD13" s="479">
        <f t="shared" si="79"/>
        <v>560</v>
      </c>
      <c r="AE13" s="480">
        <f>'EF peternakan'!$G$17</f>
        <v>0.32</v>
      </c>
      <c r="AF13" s="480">
        <f>'EF peternakan'!$H$17</f>
        <v>300</v>
      </c>
      <c r="AG13" s="482">
        <f t="shared" si="4"/>
        <v>35.04</v>
      </c>
      <c r="AH13" s="483">
        <f t="shared" si="5"/>
        <v>0.02</v>
      </c>
      <c r="AI13" s="484">
        <f t="shared" si="6"/>
        <v>392.44799999999998</v>
      </c>
      <c r="AJ13" s="485">
        <v>0.02</v>
      </c>
      <c r="AK13" s="486">
        <f t="shared" si="7"/>
        <v>12.33408</v>
      </c>
      <c r="AS13" s="472"/>
      <c r="AT13" s="478" t="s">
        <v>22</v>
      </c>
      <c r="AU13" s="479">
        <f t="shared" si="8"/>
        <v>392.44799999999998</v>
      </c>
      <c r="AV13" s="480">
        <f t="shared" si="9"/>
        <v>0</v>
      </c>
      <c r="AW13" s="487">
        <f t="shared" si="80"/>
        <v>0</v>
      </c>
      <c r="AX13" s="482">
        <f t="shared" si="10"/>
        <v>0.01</v>
      </c>
      <c r="AY13" s="488">
        <f t="shared" si="11"/>
        <v>0</v>
      </c>
      <c r="BB13" s="472"/>
      <c r="BC13" s="478" t="s">
        <v>22</v>
      </c>
      <c r="BD13" s="479">
        <f t="shared" si="81"/>
        <v>489</v>
      </c>
      <c r="BE13" s="480">
        <f>'EF peternakan'!$G$17</f>
        <v>0.32</v>
      </c>
      <c r="BF13" s="480">
        <f>'EF peternakan'!$H$17</f>
        <v>300</v>
      </c>
      <c r="BG13" s="482">
        <f t="shared" si="82"/>
        <v>35.04</v>
      </c>
      <c r="BH13" s="483">
        <f t="shared" si="12"/>
        <v>0.02</v>
      </c>
      <c r="BI13" s="484">
        <f t="shared" ref="BI13:BI21" si="108">BD13*BG13*BH13</f>
        <v>342.69120000000004</v>
      </c>
      <c r="BJ13" s="485">
        <v>0.02</v>
      </c>
      <c r="BK13" s="486">
        <f t="shared" si="13"/>
        <v>10.77029485714286</v>
      </c>
      <c r="BS13" s="472"/>
      <c r="BT13" s="478" t="s">
        <v>22</v>
      </c>
      <c r="BU13" s="479">
        <f t="shared" si="84"/>
        <v>342.69120000000004</v>
      </c>
      <c r="BV13" s="480">
        <f t="shared" si="14"/>
        <v>0</v>
      </c>
      <c r="BW13" s="487">
        <f t="shared" si="85"/>
        <v>0</v>
      </c>
      <c r="BX13" s="482">
        <f t="shared" si="15"/>
        <v>0.01</v>
      </c>
      <c r="BY13" s="488">
        <f t="shared" si="16"/>
        <v>0</v>
      </c>
      <c r="CB13" s="472"/>
      <c r="CC13" s="478" t="s">
        <v>22</v>
      </c>
      <c r="CD13" s="479">
        <f t="shared" si="86"/>
        <v>528</v>
      </c>
      <c r="CE13" s="480">
        <f>'EF peternakan'!$G$17</f>
        <v>0.32</v>
      </c>
      <c r="CF13" s="480">
        <f>'EF peternakan'!$H$17</f>
        <v>300</v>
      </c>
      <c r="CG13" s="482">
        <f t="shared" si="17"/>
        <v>35.04</v>
      </c>
      <c r="CH13" s="483">
        <f t="shared" si="18"/>
        <v>0.02</v>
      </c>
      <c r="CI13" s="484">
        <f t="shared" si="19"/>
        <v>370.0224</v>
      </c>
      <c r="CJ13" s="485">
        <v>0.02</v>
      </c>
      <c r="CK13" s="486">
        <f t="shared" si="20"/>
        <v>11.629275428571429</v>
      </c>
      <c r="CS13" s="472"/>
      <c r="CT13" s="478" t="s">
        <v>22</v>
      </c>
      <c r="CU13" s="479">
        <f t="shared" ref="CU13:CU15" si="109">CI13</f>
        <v>370.0224</v>
      </c>
      <c r="CV13" s="480">
        <f t="shared" si="21"/>
        <v>0</v>
      </c>
      <c r="CW13" s="487">
        <f t="shared" si="87"/>
        <v>0</v>
      </c>
      <c r="CX13" s="482">
        <f t="shared" si="22"/>
        <v>0.01</v>
      </c>
      <c r="CY13" s="488">
        <f t="shared" si="23"/>
        <v>0</v>
      </c>
      <c r="DB13" s="472"/>
      <c r="DC13" s="478" t="s">
        <v>22</v>
      </c>
      <c r="DD13" s="479">
        <f t="shared" si="88"/>
        <v>683</v>
      </c>
      <c r="DE13" s="480">
        <f>'EF peternakan'!$G$17</f>
        <v>0.32</v>
      </c>
      <c r="DF13" s="480">
        <f>'EF peternakan'!$H$17</f>
        <v>300</v>
      </c>
      <c r="DG13" s="482">
        <f t="shared" si="24"/>
        <v>35.04</v>
      </c>
      <c r="DH13" s="483">
        <f t="shared" si="25"/>
        <v>0.02</v>
      </c>
      <c r="DI13" s="484">
        <f t="shared" si="26"/>
        <v>478.64640000000003</v>
      </c>
      <c r="DJ13" s="485">
        <v>0.02</v>
      </c>
      <c r="DK13" s="486">
        <f t="shared" si="27"/>
        <v>15.043172571428572</v>
      </c>
      <c r="DS13" s="472"/>
      <c r="DT13" s="478" t="s">
        <v>22</v>
      </c>
      <c r="DU13" s="479">
        <f t="shared" si="89"/>
        <v>478.64640000000003</v>
      </c>
      <c r="DV13" s="480">
        <f t="shared" si="28"/>
        <v>0</v>
      </c>
      <c r="DW13" s="487">
        <f t="shared" si="90"/>
        <v>0</v>
      </c>
      <c r="DX13" s="482">
        <f t="shared" si="29"/>
        <v>0.01</v>
      </c>
      <c r="DY13" s="488">
        <f t="shared" si="30"/>
        <v>0</v>
      </c>
      <c r="EB13" s="472"/>
      <c r="EC13" s="478" t="s">
        <v>22</v>
      </c>
      <c r="ED13" s="479">
        <f t="shared" si="91"/>
        <v>756</v>
      </c>
      <c r="EE13" s="480">
        <f>'EF peternakan'!$G$17</f>
        <v>0.32</v>
      </c>
      <c r="EF13" s="480">
        <f>'EF peternakan'!$H$17</f>
        <v>300</v>
      </c>
      <c r="EG13" s="482">
        <f t="shared" si="31"/>
        <v>35.04</v>
      </c>
      <c r="EH13" s="483">
        <f t="shared" si="32"/>
        <v>0.02</v>
      </c>
      <c r="EI13" s="484">
        <f t="shared" si="33"/>
        <v>529.8048</v>
      </c>
      <c r="EJ13" s="485">
        <v>0.02</v>
      </c>
      <c r="EK13" s="486">
        <f t="shared" si="34"/>
        <v>16.651008000000001</v>
      </c>
      <c r="ES13" s="472"/>
      <c r="ET13" s="478" t="s">
        <v>22</v>
      </c>
      <c r="EU13" s="479">
        <f>EI13</f>
        <v>529.8048</v>
      </c>
      <c r="EV13" s="480">
        <f t="shared" si="35"/>
        <v>0</v>
      </c>
      <c r="EW13" s="487">
        <f t="shared" si="92"/>
        <v>0</v>
      </c>
      <c r="EX13" s="482">
        <f t="shared" si="36"/>
        <v>0.01</v>
      </c>
      <c r="EY13" s="488">
        <f t="shared" si="37"/>
        <v>0</v>
      </c>
      <c r="FB13" s="472"/>
      <c r="FC13" s="478" t="s">
        <v>22</v>
      </c>
      <c r="FD13" s="479">
        <f t="shared" si="93"/>
        <v>717</v>
      </c>
      <c r="FE13" s="480">
        <f>'EF peternakan'!$G$17</f>
        <v>0.32</v>
      </c>
      <c r="FF13" s="480">
        <f>'EF peternakan'!$H$17</f>
        <v>300</v>
      </c>
      <c r="FG13" s="482">
        <f t="shared" si="38"/>
        <v>35.04</v>
      </c>
      <c r="FH13" s="483">
        <f t="shared" si="39"/>
        <v>0.02</v>
      </c>
      <c r="FI13" s="484">
        <f t="shared" si="40"/>
        <v>502.47360000000003</v>
      </c>
      <c r="FJ13" s="485">
        <v>0.02</v>
      </c>
      <c r="FK13" s="486">
        <f t="shared" si="41"/>
        <v>15.79202742857143</v>
      </c>
      <c r="FS13" s="472"/>
      <c r="FT13" s="478" t="s">
        <v>22</v>
      </c>
      <c r="FU13" s="479">
        <f t="shared" si="94"/>
        <v>502.47360000000003</v>
      </c>
      <c r="FV13" s="480">
        <f t="shared" si="42"/>
        <v>0</v>
      </c>
      <c r="FW13" s="487">
        <f t="shared" si="95"/>
        <v>0</v>
      </c>
      <c r="FX13" s="482">
        <f t="shared" si="43"/>
        <v>0.01</v>
      </c>
      <c r="FY13" s="488">
        <f t="shared" si="96"/>
        <v>0</v>
      </c>
      <c r="GB13" s="472"/>
      <c r="GC13" s="478" t="s">
        <v>22</v>
      </c>
      <c r="GD13" s="479">
        <f t="shared" si="97"/>
        <v>752</v>
      </c>
      <c r="GE13" s="480">
        <f>'EF peternakan'!$G$17</f>
        <v>0.32</v>
      </c>
      <c r="GF13" s="480">
        <f>'EF peternakan'!$H$17</f>
        <v>300</v>
      </c>
      <c r="GG13" s="482">
        <f t="shared" si="44"/>
        <v>35.04</v>
      </c>
      <c r="GH13" s="483">
        <f t="shared" si="45"/>
        <v>0.02</v>
      </c>
      <c r="GI13" s="484">
        <f t="shared" si="46"/>
        <v>527.00159999999994</v>
      </c>
      <c r="GJ13" s="485">
        <v>0.02</v>
      </c>
      <c r="GK13" s="486">
        <f t="shared" si="47"/>
        <v>16.562907428571425</v>
      </c>
      <c r="GS13" s="472"/>
      <c r="GT13" s="478" t="s">
        <v>22</v>
      </c>
      <c r="GU13" s="479">
        <f t="shared" si="48"/>
        <v>527.00159999999994</v>
      </c>
      <c r="GV13" s="480">
        <f t="shared" si="49"/>
        <v>0</v>
      </c>
      <c r="GW13" s="487">
        <f t="shared" si="98"/>
        <v>0</v>
      </c>
      <c r="GX13" s="482">
        <f t="shared" si="50"/>
        <v>0.01</v>
      </c>
      <c r="GY13" s="488">
        <f t="shared" si="51"/>
        <v>0</v>
      </c>
      <c r="HB13" s="472"/>
      <c r="HC13" s="478" t="s">
        <v>22</v>
      </c>
      <c r="HD13" s="479">
        <f t="shared" si="99"/>
        <v>789</v>
      </c>
      <c r="HE13" s="480">
        <f>'EF peternakan'!$G$17</f>
        <v>0.32</v>
      </c>
      <c r="HF13" s="480">
        <f>'EF peternakan'!$H$17</f>
        <v>300</v>
      </c>
      <c r="HG13" s="482">
        <f t="shared" si="52"/>
        <v>35.04</v>
      </c>
      <c r="HH13" s="483">
        <f t="shared" si="53"/>
        <v>0.02</v>
      </c>
      <c r="HI13" s="484">
        <f t="shared" si="54"/>
        <v>552.93119999999999</v>
      </c>
      <c r="HJ13" s="485">
        <v>0.02</v>
      </c>
      <c r="HK13" s="486">
        <f t="shared" si="55"/>
        <v>17.377837714285715</v>
      </c>
      <c r="HS13" s="472"/>
      <c r="HT13" s="478" t="s">
        <v>22</v>
      </c>
      <c r="HU13" s="479">
        <f t="shared" si="100"/>
        <v>552.93119999999999</v>
      </c>
      <c r="HV13" s="480">
        <f t="shared" si="56"/>
        <v>0</v>
      </c>
      <c r="HW13" s="487">
        <f t="shared" si="101"/>
        <v>0</v>
      </c>
      <c r="HX13" s="482">
        <f t="shared" si="57"/>
        <v>0.01</v>
      </c>
      <c r="HY13" s="488">
        <f t="shared" si="58"/>
        <v>0</v>
      </c>
      <c r="IB13" s="472"/>
      <c r="IC13" s="478" t="s">
        <v>22</v>
      </c>
      <c r="ID13" s="479">
        <f t="shared" si="102"/>
        <v>828</v>
      </c>
      <c r="IE13" s="480">
        <f>'EF peternakan'!$G$17</f>
        <v>0.32</v>
      </c>
      <c r="IF13" s="480">
        <f>'EF peternakan'!$H$17</f>
        <v>300</v>
      </c>
      <c r="IG13" s="482">
        <f t="shared" si="59"/>
        <v>35.04</v>
      </c>
      <c r="IH13" s="483">
        <f t="shared" si="60"/>
        <v>0.02</v>
      </c>
      <c r="II13" s="484">
        <f t="shared" si="61"/>
        <v>580.26239999999996</v>
      </c>
      <c r="IJ13" s="485">
        <v>0.02</v>
      </c>
      <c r="IK13" s="486">
        <f t="shared" si="62"/>
        <v>18.236818285714286</v>
      </c>
      <c r="IS13" s="472"/>
      <c r="IT13" s="478" t="s">
        <v>22</v>
      </c>
      <c r="IU13" s="479">
        <f t="shared" si="63"/>
        <v>580.26239999999996</v>
      </c>
      <c r="IV13" s="480">
        <f t="shared" si="64"/>
        <v>0</v>
      </c>
      <c r="IW13" s="487">
        <f t="shared" si="103"/>
        <v>0</v>
      </c>
      <c r="IX13" s="482">
        <f t="shared" si="65"/>
        <v>0.01</v>
      </c>
      <c r="IY13" s="488">
        <f t="shared" si="66"/>
        <v>0</v>
      </c>
      <c r="JB13" s="472"/>
      <c r="JC13" s="478" t="s">
        <v>22</v>
      </c>
      <c r="JD13" s="479">
        <f t="shared" si="104"/>
        <v>0</v>
      </c>
      <c r="JE13" s="480">
        <f>'EF peternakan'!$G$17</f>
        <v>0.32</v>
      </c>
      <c r="JF13" s="480">
        <f>'EF peternakan'!$H$17</f>
        <v>300</v>
      </c>
      <c r="JG13" s="482">
        <f t="shared" si="67"/>
        <v>35.04</v>
      </c>
      <c r="JH13" s="483">
        <f t="shared" si="68"/>
        <v>0.02</v>
      </c>
      <c r="JI13" s="484">
        <f t="shared" si="69"/>
        <v>0</v>
      </c>
      <c r="JJ13" s="485">
        <v>0.02</v>
      </c>
      <c r="JK13" s="486">
        <f t="shared" si="70"/>
        <v>0</v>
      </c>
      <c r="JS13" s="472"/>
      <c r="JT13" s="478" t="s">
        <v>22</v>
      </c>
      <c r="JU13" s="479">
        <f>JI13</f>
        <v>0</v>
      </c>
      <c r="JV13" s="480">
        <f t="shared" si="72"/>
        <v>0</v>
      </c>
      <c r="JW13" s="487">
        <f t="shared" si="105"/>
        <v>0</v>
      </c>
      <c r="JX13" s="482">
        <f t="shared" si="73"/>
        <v>0.01</v>
      </c>
      <c r="JY13" s="488">
        <f t="shared" si="74"/>
        <v>0</v>
      </c>
    </row>
    <row r="14" spans="1:285" x14ac:dyDescent="0.25">
      <c r="B14" s="472"/>
      <c r="C14" s="478" t="s">
        <v>65</v>
      </c>
      <c r="D14" s="479">
        <f t="shared" si="75"/>
        <v>58</v>
      </c>
      <c r="E14" s="480">
        <f>'EF peternakan'!$G$14</f>
        <v>1.17</v>
      </c>
      <c r="F14" s="481">
        <f>'EF peternakan'!$H$14</f>
        <v>45</v>
      </c>
      <c r="G14" s="482">
        <f t="shared" si="106"/>
        <v>19.21725</v>
      </c>
      <c r="H14" s="483">
        <f t="shared" si="76"/>
        <v>0.02</v>
      </c>
      <c r="I14" s="484">
        <f t="shared" si="107"/>
        <v>22.292010000000001</v>
      </c>
      <c r="J14" s="485">
        <v>0.02</v>
      </c>
      <c r="K14" s="486">
        <f t="shared" si="0"/>
        <v>0.70060602857142862</v>
      </c>
      <c r="S14" s="472"/>
      <c r="T14" s="478" t="s">
        <v>65</v>
      </c>
      <c r="U14" s="479">
        <f t="shared" si="1"/>
        <v>22.292010000000001</v>
      </c>
      <c r="V14" s="480">
        <f t="shared" si="77"/>
        <v>0</v>
      </c>
      <c r="W14" s="487">
        <f t="shared" si="78"/>
        <v>0</v>
      </c>
      <c r="X14" s="482">
        <f t="shared" si="2"/>
        <v>0.01</v>
      </c>
      <c r="Y14" s="488">
        <f t="shared" si="3"/>
        <v>0</v>
      </c>
      <c r="AB14" s="472"/>
      <c r="AC14" s="478" t="s">
        <v>65</v>
      </c>
      <c r="AD14" s="479">
        <f t="shared" si="79"/>
        <v>130</v>
      </c>
      <c r="AE14" s="480">
        <f>'EF peternakan'!$G$14</f>
        <v>1.17</v>
      </c>
      <c r="AF14" s="480">
        <f>'EF peternakan'!$H$14</f>
        <v>45</v>
      </c>
      <c r="AG14" s="482">
        <f t="shared" si="4"/>
        <v>19.21725</v>
      </c>
      <c r="AH14" s="483">
        <f t="shared" si="5"/>
        <v>0.02</v>
      </c>
      <c r="AI14" s="484">
        <f t="shared" si="6"/>
        <v>49.964849999999998</v>
      </c>
      <c r="AJ14" s="485">
        <v>0.02</v>
      </c>
      <c r="AK14" s="486">
        <f t="shared" si="7"/>
        <v>1.570323857142857</v>
      </c>
      <c r="AS14" s="472"/>
      <c r="AT14" s="478" t="s">
        <v>65</v>
      </c>
      <c r="AU14" s="479">
        <f t="shared" si="8"/>
        <v>49.964849999999998</v>
      </c>
      <c r="AV14" s="480">
        <f t="shared" si="9"/>
        <v>0</v>
      </c>
      <c r="AW14" s="487">
        <f t="shared" si="80"/>
        <v>0</v>
      </c>
      <c r="AX14" s="482">
        <f t="shared" si="10"/>
        <v>0.01</v>
      </c>
      <c r="AY14" s="488">
        <f t="shared" si="11"/>
        <v>0</v>
      </c>
      <c r="BB14" s="472"/>
      <c r="BC14" s="478" t="s">
        <v>65</v>
      </c>
      <c r="BD14" s="479">
        <f t="shared" si="81"/>
        <v>125</v>
      </c>
      <c r="BE14" s="480">
        <f>'EF peternakan'!$G$14</f>
        <v>1.17</v>
      </c>
      <c r="BF14" s="480">
        <f>'EF peternakan'!$H$14</f>
        <v>45</v>
      </c>
      <c r="BG14" s="482">
        <f t="shared" si="82"/>
        <v>19.21725</v>
      </c>
      <c r="BH14" s="483">
        <f t="shared" si="12"/>
        <v>0.02</v>
      </c>
      <c r="BI14" s="484">
        <f t="shared" si="108"/>
        <v>48.043125000000003</v>
      </c>
      <c r="BJ14" s="485">
        <v>0.02</v>
      </c>
      <c r="BK14" s="486">
        <f t="shared" si="13"/>
        <v>1.5099267857142857</v>
      </c>
      <c r="BS14" s="472"/>
      <c r="BT14" s="478" t="s">
        <v>65</v>
      </c>
      <c r="BU14" s="479">
        <f t="shared" si="84"/>
        <v>48.043125000000003</v>
      </c>
      <c r="BV14" s="480">
        <f t="shared" si="14"/>
        <v>0</v>
      </c>
      <c r="BW14" s="487">
        <f t="shared" si="85"/>
        <v>0</v>
      </c>
      <c r="BX14" s="482">
        <f t="shared" si="15"/>
        <v>0.01</v>
      </c>
      <c r="BY14" s="488">
        <f t="shared" si="16"/>
        <v>0</v>
      </c>
      <c r="CB14" s="472"/>
      <c r="CC14" s="478" t="s">
        <v>65</v>
      </c>
      <c r="CD14" s="479">
        <f t="shared" si="86"/>
        <v>33</v>
      </c>
      <c r="CE14" s="480">
        <f>'EF peternakan'!$G$14</f>
        <v>1.17</v>
      </c>
      <c r="CF14" s="480">
        <f>'EF peternakan'!$H$14</f>
        <v>45</v>
      </c>
      <c r="CG14" s="482">
        <f t="shared" si="17"/>
        <v>19.21725</v>
      </c>
      <c r="CH14" s="483">
        <f t="shared" si="18"/>
        <v>0.02</v>
      </c>
      <c r="CI14" s="484">
        <f t="shared" si="19"/>
        <v>12.683385000000001</v>
      </c>
      <c r="CJ14" s="485">
        <v>0.02</v>
      </c>
      <c r="CK14" s="486">
        <f t="shared" si="20"/>
        <v>0.39862067142857149</v>
      </c>
      <c r="CS14" s="472"/>
      <c r="CT14" s="478" t="s">
        <v>65</v>
      </c>
      <c r="CU14" s="479">
        <f>CI14</f>
        <v>12.683385000000001</v>
      </c>
      <c r="CV14" s="480">
        <f t="shared" si="21"/>
        <v>0</v>
      </c>
      <c r="CW14" s="487">
        <f t="shared" si="87"/>
        <v>0</v>
      </c>
      <c r="CX14" s="482">
        <f t="shared" si="22"/>
        <v>0.01</v>
      </c>
      <c r="CY14" s="488">
        <f t="shared" si="23"/>
        <v>0</v>
      </c>
      <c r="DB14" s="472"/>
      <c r="DC14" s="478" t="s">
        <v>65</v>
      </c>
      <c r="DD14" s="479">
        <f t="shared" si="88"/>
        <v>48</v>
      </c>
      <c r="DE14" s="480">
        <f>'EF peternakan'!$G$14</f>
        <v>1.17</v>
      </c>
      <c r="DF14" s="480">
        <f>'EF peternakan'!$H$14</f>
        <v>45</v>
      </c>
      <c r="DG14" s="482">
        <f t="shared" si="24"/>
        <v>19.21725</v>
      </c>
      <c r="DH14" s="483">
        <f t="shared" si="25"/>
        <v>0.02</v>
      </c>
      <c r="DI14" s="484">
        <f t="shared" si="26"/>
        <v>18.448560000000001</v>
      </c>
      <c r="DJ14" s="485">
        <v>0.02</v>
      </c>
      <c r="DK14" s="486">
        <f t="shared" si="27"/>
        <v>0.57981188571428566</v>
      </c>
      <c r="DS14" s="472"/>
      <c r="DT14" s="478" t="s">
        <v>65</v>
      </c>
      <c r="DU14" s="479">
        <f t="shared" si="89"/>
        <v>18.448560000000001</v>
      </c>
      <c r="DV14" s="480">
        <f t="shared" si="28"/>
        <v>0</v>
      </c>
      <c r="DW14" s="487">
        <f t="shared" si="90"/>
        <v>0</v>
      </c>
      <c r="DX14" s="482">
        <f t="shared" si="29"/>
        <v>0.01</v>
      </c>
      <c r="DY14" s="488">
        <f t="shared" si="30"/>
        <v>0</v>
      </c>
      <c r="EB14" s="472"/>
      <c r="EC14" s="478" t="s">
        <v>65</v>
      </c>
      <c r="ED14" s="479">
        <f t="shared" si="91"/>
        <v>74</v>
      </c>
      <c r="EE14" s="480">
        <f>'EF peternakan'!$G$14</f>
        <v>1.17</v>
      </c>
      <c r="EF14" s="480">
        <f>'EF peternakan'!$H$14</f>
        <v>45</v>
      </c>
      <c r="EG14" s="482">
        <f t="shared" si="31"/>
        <v>19.21725</v>
      </c>
      <c r="EH14" s="483">
        <f t="shared" si="32"/>
        <v>0.02</v>
      </c>
      <c r="EI14" s="484">
        <f t="shared" si="33"/>
        <v>28.44153</v>
      </c>
      <c r="EJ14" s="485">
        <v>0.02</v>
      </c>
      <c r="EK14" s="486">
        <f t="shared" si="34"/>
        <v>0.89387665714285702</v>
      </c>
      <c r="ES14" s="472"/>
      <c r="ET14" s="478" t="s">
        <v>65</v>
      </c>
      <c r="EU14" s="479">
        <f t="shared" ref="EU14:EU21" si="110">EI14</f>
        <v>28.44153</v>
      </c>
      <c r="EV14" s="480">
        <f t="shared" si="35"/>
        <v>0</v>
      </c>
      <c r="EW14" s="487">
        <f t="shared" si="92"/>
        <v>0</v>
      </c>
      <c r="EX14" s="482">
        <f t="shared" si="36"/>
        <v>0.01</v>
      </c>
      <c r="EY14" s="488">
        <f t="shared" si="37"/>
        <v>0</v>
      </c>
      <c r="FB14" s="472"/>
      <c r="FC14" s="478" t="s">
        <v>65</v>
      </c>
      <c r="FD14" s="479">
        <f t="shared" si="93"/>
        <v>57</v>
      </c>
      <c r="FE14" s="480">
        <f>'EF peternakan'!$G$14</f>
        <v>1.17</v>
      </c>
      <c r="FF14" s="480">
        <f>'EF peternakan'!$H$14</f>
        <v>45</v>
      </c>
      <c r="FG14" s="482">
        <f t="shared" si="38"/>
        <v>19.21725</v>
      </c>
      <c r="FH14" s="483">
        <f t="shared" si="39"/>
        <v>0.02</v>
      </c>
      <c r="FI14" s="484">
        <f t="shared" si="40"/>
        <v>21.907665000000001</v>
      </c>
      <c r="FJ14" s="485">
        <v>0.02</v>
      </c>
      <c r="FK14" s="486">
        <f t="shared" si="41"/>
        <v>0.68852661428571427</v>
      </c>
      <c r="FS14" s="472"/>
      <c r="FT14" s="478" t="s">
        <v>65</v>
      </c>
      <c r="FU14" s="479">
        <f t="shared" si="94"/>
        <v>21.907665000000001</v>
      </c>
      <c r="FV14" s="480">
        <f t="shared" si="42"/>
        <v>0</v>
      </c>
      <c r="FW14" s="487">
        <f t="shared" si="95"/>
        <v>0</v>
      </c>
      <c r="FX14" s="482">
        <f t="shared" si="43"/>
        <v>0.01</v>
      </c>
      <c r="FY14" s="488">
        <f t="shared" si="96"/>
        <v>0</v>
      </c>
      <c r="GB14" s="472"/>
      <c r="GC14" s="478" t="s">
        <v>65</v>
      </c>
      <c r="GD14" s="479">
        <f t="shared" si="97"/>
        <v>68</v>
      </c>
      <c r="GE14" s="480">
        <f>'EF peternakan'!$G$14</f>
        <v>1.17</v>
      </c>
      <c r="GF14" s="480">
        <f>'EF peternakan'!$H$14</f>
        <v>45</v>
      </c>
      <c r="GG14" s="482">
        <f t="shared" si="44"/>
        <v>19.21725</v>
      </c>
      <c r="GH14" s="483">
        <f t="shared" si="45"/>
        <v>0.02</v>
      </c>
      <c r="GI14" s="484">
        <f t="shared" si="46"/>
        <v>26.135459999999998</v>
      </c>
      <c r="GJ14" s="485">
        <v>0.02</v>
      </c>
      <c r="GK14" s="486">
        <f t="shared" si="47"/>
        <v>0.82140017142857136</v>
      </c>
      <c r="GS14" s="472"/>
      <c r="GT14" s="478" t="s">
        <v>65</v>
      </c>
      <c r="GU14" s="479">
        <f t="shared" si="48"/>
        <v>26.135459999999998</v>
      </c>
      <c r="GV14" s="480">
        <f t="shared" si="49"/>
        <v>0</v>
      </c>
      <c r="GW14" s="487">
        <f t="shared" si="98"/>
        <v>0</v>
      </c>
      <c r="GX14" s="482">
        <f t="shared" si="50"/>
        <v>0.01</v>
      </c>
      <c r="GY14" s="488">
        <f t="shared" si="51"/>
        <v>0</v>
      </c>
      <c r="HB14" s="472"/>
      <c r="HC14" s="478" t="s">
        <v>65</v>
      </c>
      <c r="HD14" s="479">
        <f t="shared" si="99"/>
        <v>81</v>
      </c>
      <c r="HE14" s="480">
        <f>'EF peternakan'!$G$14</f>
        <v>1.17</v>
      </c>
      <c r="HF14" s="480">
        <f>'EF peternakan'!$H$14</f>
        <v>45</v>
      </c>
      <c r="HG14" s="482">
        <f t="shared" si="52"/>
        <v>19.21725</v>
      </c>
      <c r="HH14" s="483">
        <f t="shared" si="53"/>
        <v>0.02</v>
      </c>
      <c r="HI14" s="484">
        <f t="shared" si="54"/>
        <v>31.131945000000002</v>
      </c>
      <c r="HJ14" s="485">
        <v>0.02</v>
      </c>
      <c r="HK14" s="486">
        <f t="shared" si="55"/>
        <v>0.97843255714285715</v>
      </c>
      <c r="HS14" s="472"/>
      <c r="HT14" s="478" t="s">
        <v>65</v>
      </c>
      <c r="HU14" s="479">
        <f t="shared" si="100"/>
        <v>31.131945000000002</v>
      </c>
      <c r="HV14" s="480">
        <f t="shared" si="56"/>
        <v>0</v>
      </c>
      <c r="HW14" s="487">
        <f t="shared" si="101"/>
        <v>0</v>
      </c>
      <c r="HX14" s="482">
        <f t="shared" si="57"/>
        <v>0.01</v>
      </c>
      <c r="HY14" s="488">
        <f t="shared" si="58"/>
        <v>0</v>
      </c>
      <c r="IB14" s="472"/>
      <c r="IC14" s="478" t="s">
        <v>65</v>
      </c>
      <c r="ID14" s="479">
        <f t="shared" si="102"/>
        <v>97</v>
      </c>
      <c r="IE14" s="480">
        <f>'EF peternakan'!$G$14</f>
        <v>1.17</v>
      </c>
      <c r="IF14" s="480">
        <f>'EF peternakan'!$H$14</f>
        <v>45</v>
      </c>
      <c r="IG14" s="482">
        <f t="shared" si="59"/>
        <v>19.21725</v>
      </c>
      <c r="IH14" s="483">
        <f t="shared" si="60"/>
        <v>0.02</v>
      </c>
      <c r="II14" s="484">
        <f t="shared" si="61"/>
        <v>37.281464999999997</v>
      </c>
      <c r="IJ14" s="485">
        <v>0.02</v>
      </c>
      <c r="IK14" s="486">
        <f t="shared" si="62"/>
        <v>1.1717031857142857</v>
      </c>
      <c r="IS14" s="472"/>
      <c r="IT14" s="478" t="s">
        <v>65</v>
      </c>
      <c r="IU14" s="479">
        <f t="shared" si="63"/>
        <v>37.281464999999997</v>
      </c>
      <c r="IV14" s="480">
        <f t="shared" si="64"/>
        <v>0</v>
      </c>
      <c r="IW14" s="487">
        <f t="shared" si="103"/>
        <v>0</v>
      </c>
      <c r="IX14" s="482">
        <f t="shared" si="65"/>
        <v>0.01</v>
      </c>
      <c r="IY14" s="488">
        <f t="shared" si="66"/>
        <v>0</v>
      </c>
      <c r="JB14" s="472"/>
      <c r="JC14" s="478" t="s">
        <v>65</v>
      </c>
      <c r="JD14" s="479">
        <f t="shared" si="104"/>
        <v>0</v>
      </c>
      <c r="JE14" s="480">
        <f>'EF peternakan'!$G$14</f>
        <v>1.17</v>
      </c>
      <c r="JF14" s="480">
        <f>'EF peternakan'!$H$14</f>
        <v>45</v>
      </c>
      <c r="JG14" s="482">
        <f t="shared" si="67"/>
        <v>19.21725</v>
      </c>
      <c r="JH14" s="483">
        <f t="shared" si="68"/>
        <v>0.02</v>
      </c>
      <c r="JI14" s="484">
        <f t="shared" si="69"/>
        <v>0</v>
      </c>
      <c r="JJ14" s="485">
        <v>0.02</v>
      </c>
      <c r="JK14" s="486">
        <f t="shared" si="70"/>
        <v>0</v>
      </c>
      <c r="JS14" s="472"/>
      <c r="JT14" s="478" t="s">
        <v>65</v>
      </c>
      <c r="JU14" s="479">
        <f t="shared" si="71"/>
        <v>0</v>
      </c>
      <c r="JV14" s="480">
        <f t="shared" si="72"/>
        <v>0</v>
      </c>
      <c r="JW14" s="487">
        <f t="shared" si="105"/>
        <v>0</v>
      </c>
      <c r="JX14" s="482">
        <f t="shared" si="73"/>
        <v>0.01</v>
      </c>
      <c r="JY14" s="488">
        <f t="shared" si="74"/>
        <v>0</v>
      </c>
    </row>
    <row r="15" spans="1:285" x14ac:dyDescent="0.25">
      <c r="B15" s="489"/>
      <c r="C15" s="490" t="s">
        <v>23</v>
      </c>
      <c r="D15" s="479">
        <f t="shared" si="75"/>
        <v>4847</v>
      </c>
      <c r="E15" s="480">
        <f>'EF peternakan'!$G$15</f>
        <v>1.37</v>
      </c>
      <c r="F15" s="481">
        <f>'EF peternakan'!$H$15</f>
        <v>40</v>
      </c>
      <c r="G15" s="482">
        <f t="shared" si="106"/>
        <v>20.002000000000002</v>
      </c>
      <c r="H15" s="483">
        <f t="shared" si="76"/>
        <v>0.02</v>
      </c>
      <c r="I15" s="484">
        <f t="shared" si="107"/>
        <v>1938.9938800000004</v>
      </c>
      <c r="J15" s="485">
        <v>0.02</v>
      </c>
      <c r="K15" s="486">
        <f t="shared" si="0"/>
        <v>60.939807657142879</v>
      </c>
      <c r="S15" s="472"/>
      <c r="T15" s="490" t="s">
        <v>23</v>
      </c>
      <c r="U15" s="479">
        <f t="shared" si="1"/>
        <v>1938.9938800000004</v>
      </c>
      <c r="V15" s="480">
        <f t="shared" si="77"/>
        <v>0</v>
      </c>
      <c r="W15" s="487">
        <f t="shared" si="78"/>
        <v>0</v>
      </c>
      <c r="X15" s="482">
        <f t="shared" si="2"/>
        <v>0.01</v>
      </c>
      <c r="Y15" s="488">
        <f t="shared" si="3"/>
        <v>0</v>
      </c>
      <c r="AB15" s="472"/>
      <c r="AC15" s="490" t="s">
        <v>23</v>
      </c>
      <c r="AD15" s="479">
        <f t="shared" si="79"/>
        <v>5760</v>
      </c>
      <c r="AE15" s="480">
        <f>'EF peternakan'!$G$15</f>
        <v>1.37</v>
      </c>
      <c r="AF15" s="480">
        <f>'EF peternakan'!$H$15</f>
        <v>40</v>
      </c>
      <c r="AG15" s="482">
        <f t="shared" si="4"/>
        <v>20.002000000000002</v>
      </c>
      <c r="AH15" s="483">
        <f t="shared" si="5"/>
        <v>0.02</v>
      </c>
      <c r="AI15" s="484">
        <f t="shared" si="6"/>
        <v>2304.2304000000004</v>
      </c>
      <c r="AJ15" s="485">
        <v>0.02</v>
      </c>
      <c r="AK15" s="486">
        <f t="shared" si="7"/>
        <v>72.418669714285727</v>
      </c>
      <c r="AS15" s="472"/>
      <c r="AT15" s="490" t="s">
        <v>23</v>
      </c>
      <c r="AU15" s="479">
        <f t="shared" si="8"/>
        <v>2304.2304000000004</v>
      </c>
      <c r="AV15" s="480">
        <f t="shared" si="9"/>
        <v>0</v>
      </c>
      <c r="AW15" s="487">
        <f t="shared" si="80"/>
        <v>0</v>
      </c>
      <c r="AX15" s="482">
        <f t="shared" si="10"/>
        <v>0.01</v>
      </c>
      <c r="AY15" s="488">
        <f t="shared" si="11"/>
        <v>0</v>
      </c>
      <c r="BB15" s="472"/>
      <c r="BC15" s="490" t="s">
        <v>23</v>
      </c>
      <c r="BD15" s="479">
        <f t="shared" si="81"/>
        <v>5994</v>
      </c>
      <c r="BE15" s="480">
        <f>'EF peternakan'!$G$15</f>
        <v>1.37</v>
      </c>
      <c r="BF15" s="480">
        <f>'EF peternakan'!$H$15</f>
        <v>40</v>
      </c>
      <c r="BG15" s="482">
        <f t="shared" si="82"/>
        <v>20.002000000000002</v>
      </c>
      <c r="BH15" s="483">
        <f t="shared" si="12"/>
        <v>0.02</v>
      </c>
      <c r="BI15" s="484">
        <f t="shared" si="108"/>
        <v>2397.8397600000003</v>
      </c>
      <c r="BJ15" s="485">
        <v>0.02</v>
      </c>
      <c r="BK15" s="486">
        <f t="shared" si="13"/>
        <v>75.360678171428589</v>
      </c>
      <c r="BS15" s="472"/>
      <c r="BT15" s="490" t="s">
        <v>23</v>
      </c>
      <c r="BU15" s="479">
        <f t="shared" si="84"/>
        <v>2397.8397600000003</v>
      </c>
      <c r="BV15" s="480">
        <f t="shared" si="14"/>
        <v>0</v>
      </c>
      <c r="BW15" s="487">
        <f t="shared" si="85"/>
        <v>0</v>
      </c>
      <c r="BX15" s="482">
        <f t="shared" si="15"/>
        <v>0.01</v>
      </c>
      <c r="BY15" s="488">
        <f t="shared" si="16"/>
        <v>0</v>
      </c>
      <c r="CB15" s="472"/>
      <c r="CC15" s="490" t="s">
        <v>23</v>
      </c>
      <c r="CD15" s="479">
        <f t="shared" si="86"/>
        <v>6469</v>
      </c>
      <c r="CE15" s="480">
        <f>'EF peternakan'!$G$15</f>
        <v>1.37</v>
      </c>
      <c r="CF15" s="480">
        <f>'EF peternakan'!$H$15</f>
        <v>40</v>
      </c>
      <c r="CG15" s="482">
        <f t="shared" si="17"/>
        <v>20.002000000000002</v>
      </c>
      <c r="CH15" s="483">
        <f t="shared" si="18"/>
        <v>0.02</v>
      </c>
      <c r="CI15" s="484">
        <f t="shared" si="19"/>
        <v>2587.8587600000001</v>
      </c>
      <c r="CJ15" s="485">
        <v>0.02</v>
      </c>
      <c r="CK15" s="486">
        <f t="shared" si="20"/>
        <v>81.332703885714295</v>
      </c>
      <c r="CS15" s="472"/>
      <c r="CT15" s="490" t="s">
        <v>23</v>
      </c>
      <c r="CU15" s="479">
        <f t="shared" si="109"/>
        <v>2587.8587600000001</v>
      </c>
      <c r="CV15" s="480">
        <f t="shared" si="21"/>
        <v>0</v>
      </c>
      <c r="CW15" s="487">
        <f t="shared" si="87"/>
        <v>0</v>
      </c>
      <c r="CX15" s="482">
        <f t="shared" si="22"/>
        <v>0.01</v>
      </c>
      <c r="CY15" s="488">
        <f t="shared" si="23"/>
        <v>0</v>
      </c>
      <c r="DB15" s="472"/>
      <c r="DC15" s="490" t="s">
        <v>23</v>
      </c>
      <c r="DD15" s="479">
        <f t="shared" si="88"/>
        <v>7201</v>
      </c>
      <c r="DE15" s="480">
        <f>'EF peternakan'!$G$15</f>
        <v>1.37</v>
      </c>
      <c r="DF15" s="480">
        <f>'EF peternakan'!$H$15</f>
        <v>40</v>
      </c>
      <c r="DG15" s="482">
        <f t="shared" si="24"/>
        <v>20.002000000000002</v>
      </c>
      <c r="DH15" s="483">
        <f t="shared" si="25"/>
        <v>0.02</v>
      </c>
      <c r="DI15" s="484">
        <f t="shared" si="26"/>
        <v>2880.6880400000005</v>
      </c>
      <c r="DJ15" s="485">
        <v>0.02</v>
      </c>
      <c r="DK15" s="486">
        <f t="shared" si="27"/>
        <v>90.535909828571434</v>
      </c>
      <c r="DS15" s="472"/>
      <c r="DT15" s="490" t="s">
        <v>23</v>
      </c>
      <c r="DU15" s="479">
        <f t="shared" si="89"/>
        <v>2880.6880400000005</v>
      </c>
      <c r="DV15" s="480">
        <f t="shared" si="28"/>
        <v>0</v>
      </c>
      <c r="DW15" s="487">
        <f t="shared" si="90"/>
        <v>0</v>
      </c>
      <c r="DX15" s="482">
        <f t="shared" si="29"/>
        <v>0.01</v>
      </c>
      <c r="DY15" s="488">
        <f t="shared" si="30"/>
        <v>0</v>
      </c>
      <c r="EB15" s="472"/>
      <c r="EC15" s="490" t="s">
        <v>23</v>
      </c>
      <c r="ED15" s="479">
        <f t="shared" si="91"/>
        <v>7724</v>
      </c>
      <c r="EE15" s="480">
        <f>'EF peternakan'!$G$15</f>
        <v>1.37</v>
      </c>
      <c r="EF15" s="480">
        <f>'EF peternakan'!$H$15</f>
        <v>40</v>
      </c>
      <c r="EG15" s="482">
        <f t="shared" si="31"/>
        <v>20.002000000000002</v>
      </c>
      <c r="EH15" s="483">
        <f t="shared" si="32"/>
        <v>0.02</v>
      </c>
      <c r="EI15" s="484">
        <f t="shared" si="33"/>
        <v>3089.9089600000007</v>
      </c>
      <c r="EJ15" s="485">
        <v>0.02</v>
      </c>
      <c r="EK15" s="486">
        <f t="shared" si="34"/>
        <v>97.111424457142874</v>
      </c>
      <c r="ES15" s="472"/>
      <c r="ET15" s="490" t="s">
        <v>23</v>
      </c>
      <c r="EU15" s="479">
        <f t="shared" si="110"/>
        <v>3089.9089600000007</v>
      </c>
      <c r="EV15" s="480">
        <f t="shared" si="35"/>
        <v>0</v>
      </c>
      <c r="EW15" s="487">
        <f t="shared" si="92"/>
        <v>0</v>
      </c>
      <c r="EX15" s="482">
        <f t="shared" si="36"/>
        <v>0.01</v>
      </c>
      <c r="EY15" s="488">
        <f t="shared" si="37"/>
        <v>0</v>
      </c>
      <c r="FB15" s="472"/>
      <c r="FC15" s="490" t="s">
        <v>23</v>
      </c>
      <c r="FD15" s="479">
        <f t="shared" si="93"/>
        <v>7558</v>
      </c>
      <c r="FE15" s="480">
        <f>'EF peternakan'!$G$15</f>
        <v>1.37</v>
      </c>
      <c r="FF15" s="480">
        <f>'EF peternakan'!$H$15</f>
        <v>40</v>
      </c>
      <c r="FG15" s="482">
        <f t="shared" si="38"/>
        <v>20.002000000000002</v>
      </c>
      <c r="FH15" s="483">
        <f t="shared" si="39"/>
        <v>0.02</v>
      </c>
      <c r="FI15" s="484">
        <f t="shared" si="40"/>
        <v>3023.5023200000001</v>
      </c>
      <c r="FJ15" s="485">
        <v>0.02</v>
      </c>
      <c r="FK15" s="486">
        <f t="shared" si="41"/>
        <v>95.024358628571434</v>
      </c>
      <c r="FS15" s="472"/>
      <c r="FT15" s="490" t="s">
        <v>23</v>
      </c>
      <c r="FU15" s="479">
        <f t="shared" si="94"/>
        <v>3023.5023200000001</v>
      </c>
      <c r="FV15" s="480">
        <f t="shared" si="42"/>
        <v>0</v>
      </c>
      <c r="FW15" s="487">
        <f t="shared" si="95"/>
        <v>0</v>
      </c>
      <c r="FX15" s="482">
        <f t="shared" si="43"/>
        <v>0.01</v>
      </c>
      <c r="FY15" s="488">
        <f t="shared" si="96"/>
        <v>0</v>
      </c>
      <c r="GB15" s="472"/>
      <c r="GC15" s="490" t="s">
        <v>23</v>
      </c>
      <c r="GD15" s="479">
        <f t="shared" si="97"/>
        <v>7935</v>
      </c>
      <c r="GE15" s="480">
        <f>'EF peternakan'!$G$15</f>
        <v>1.37</v>
      </c>
      <c r="GF15" s="480">
        <f>'EF peternakan'!$H$15</f>
        <v>40</v>
      </c>
      <c r="GG15" s="482">
        <f t="shared" si="44"/>
        <v>20.002000000000002</v>
      </c>
      <c r="GH15" s="483">
        <f t="shared" si="45"/>
        <v>0.02</v>
      </c>
      <c r="GI15" s="484">
        <f t="shared" si="46"/>
        <v>3174.3174000000004</v>
      </c>
      <c r="GJ15" s="485">
        <v>0.02</v>
      </c>
      <c r="GK15" s="486">
        <f t="shared" si="47"/>
        <v>99.764261142857151</v>
      </c>
      <c r="GS15" s="472"/>
      <c r="GT15" s="490" t="s">
        <v>23</v>
      </c>
      <c r="GU15" s="479">
        <f t="shared" si="48"/>
        <v>3174.3174000000004</v>
      </c>
      <c r="GV15" s="480">
        <f t="shared" si="49"/>
        <v>0</v>
      </c>
      <c r="GW15" s="487">
        <f t="shared" si="98"/>
        <v>0</v>
      </c>
      <c r="GX15" s="482">
        <f t="shared" si="50"/>
        <v>0.01</v>
      </c>
      <c r="GY15" s="488">
        <f t="shared" si="51"/>
        <v>0</v>
      </c>
      <c r="HB15" s="472"/>
      <c r="HC15" s="490" t="s">
        <v>23</v>
      </c>
      <c r="HD15" s="479">
        <f t="shared" si="99"/>
        <v>8331</v>
      </c>
      <c r="HE15" s="480">
        <f>'EF peternakan'!$G$15</f>
        <v>1.37</v>
      </c>
      <c r="HF15" s="480">
        <f>'EF peternakan'!$H$15</f>
        <v>40</v>
      </c>
      <c r="HG15" s="482">
        <f t="shared" si="52"/>
        <v>20.002000000000002</v>
      </c>
      <c r="HH15" s="483">
        <f t="shared" si="53"/>
        <v>0.02</v>
      </c>
      <c r="HI15" s="484">
        <f t="shared" si="54"/>
        <v>3332.7332400000005</v>
      </c>
      <c r="HJ15" s="485">
        <v>0.02</v>
      </c>
      <c r="HK15" s="486">
        <f t="shared" si="55"/>
        <v>104.7430446857143</v>
      </c>
      <c r="HS15" s="472"/>
      <c r="HT15" s="490" t="s">
        <v>23</v>
      </c>
      <c r="HU15" s="479">
        <f t="shared" si="100"/>
        <v>3332.7332400000005</v>
      </c>
      <c r="HV15" s="480">
        <f t="shared" si="56"/>
        <v>0</v>
      </c>
      <c r="HW15" s="487">
        <f t="shared" si="101"/>
        <v>0</v>
      </c>
      <c r="HX15" s="482">
        <f t="shared" si="57"/>
        <v>0.01</v>
      </c>
      <c r="HY15" s="488">
        <f t="shared" si="58"/>
        <v>0</v>
      </c>
      <c r="IB15" s="472"/>
      <c r="IC15" s="490" t="s">
        <v>23</v>
      </c>
      <c r="ID15" s="479">
        <f t="shared" si="102"/>
        <v>8747</v>
      </c>
      <c r="IE15" s="480">
        <f>'EF peternakan'!$G$15</f>
        <v>1.37</v>
      </c>
      <c r="IF15" s="480">
        <f>'EF peternakan'!$H$15</f>
        <v>40</v>
      </c>
      <c r="IG15" s="482">
        <f t="shared" si="59"/>
        <v>20.002000000000002</v>
      </c>
      <c r="IH15" s="483">
        <f t="shared" si="60"/>
        <v>0.02</v>
      </c>
      <c r="II15" s="484">
        <f t="shared" si="61"/>
        <v>3499.1498800000008</v>
      </c>
      <c r="IJ15" s="485">
        <v>0.02</v>
      </c>
      <c r="IK15" s="486">
        <f t="shared" si="62"/>
        <v>109.97328194285717</v>
      </c>
      <c r="IS15" s="472"/>
      <c r="IT15" s="490" t="s">
        <v>23</v>
      </c>
      <c r="IU15" s="479">
        <f t="shared" si="63"/>
        <v>3499.1498800000008</v>
      </c>
      <c r="IV15" s="480">
        <f t="shared" si="64"/>
        <v>0</v>
      </c>
      <c r="IW15" s="487">
        <f t="shared" si="103"/>
        <v>0</v>
      </c>
      <c r="IX15" s="482">
        <f t="shared" si="65"/>
        <v>0.01</v>
      </c>
      <c r="IY15" s="488">
        <f t="shared" si="66"/>
        <v>0</v>
      </c>
      <c r="JB15" s="472"/>
      <c r="JC15" s="490" t="s">
        <v>23</v>
      </c>
      <c r="JD15" s="479">
        <f t="shared" si="104"/>
        <v>0</v>
      </c>
      <c r="JE15" s="480">
        <f>'EF peternakan'!$G$15</f>
        <v>1.37</v>
      </c>
      <c r="JF15" s="480">
        <f>'EF peternakan'!$H$15</f>
        <v>40</v>
      </c>
      <c r="JG15" s="482">
        <f t="shared" si="67"/>
        <v>20.002000000000002</v>
      </c>
      <c r="JH15" s="483">
        <f t="shared" si="68"/>
        <v>0.02</v>
      </c>
      <c r="JI15" s="484">
        <f t="shared" si="69"/>
        <v>0</v>
      </c>
      <c r="JJ15" s="485">
        <v>0.02</v>
      </c>
      <c r="JK15" s="486">
        <f t="shared" si="70"/>
        <v>0</v>
      </c>
      <c r="JS15" s="472"/>
      <c r="JT15" s="490" t="s">
        <v>23</v>
      </c>
      <c r="JU15" s="479">
        <f t="shared" si="71"/>
        <v>0</v>
      </c>
      <c r="JV15" s="480">
        <f t="shared" si="72"/>
        <v>0</v>
      </c>
      <c r="JW15" s="487">
        <f t="shared" si="105"/>
        <v>0</v>
      </c>
      <c r="JX15" s="482">
        <f t="shared" si="73"/>
        <v>0.01</v>
      </c>
      <c r="JY15" s="488">
        <f t="shared" si="74"/>
        <v>0</v>
      </c>
    </row>
    <row r="16" spans="1:285" x14ac:dyDescent="0.25">
      <c r="B16" s="489"/>
      <c r="C16" s="490" t="s">
        <v>24</v>
      </c>
      <c r="D16" s="479">
        <f t="shared" si="75"/>
        <v>0</v>
      </c>
      <c r="E16" s="480">
        <f>'EF peternakan'!$G$16</f>
        <v>0.46</v>
      </c>
      <c r="F16" s="481">
        <f>'EF peternakan'!$H$16</f>
        <v>550</v>
      </c>
      <c r="G16" s="482">
        <f t="shared" si="106"/>
        <v>92.345000000000027</v>
      </c>
      <c r="H16" s="483">
        <f t="shared" si="76"/>
        <v>0.02</v>
      </c>
      <c r="I16" s="484">
        <f t="shared" si="107"/>
        <v>0</v>
      </c>
      <c r="J16" s="485">
        <v>0.02</v>
      </c>
      <c r="K16" s="486">
        <f t="shared" si="0"/>
        <v>0</v>
      </c>
      <c r="S16" s="472"/>
      <c r="T16" s="490" t="s">
        <v>24</v>
      </c>
      <c r="U16" s="479">
        <f t="shared" si="1"/>
        <v>0</v>
      </c>
      <c r="V16" s="480">
        <f t="shared" si="77"/>
        <v>0</v>
      </c>
      <c r="W16" s="487">
        <f t="shared" si="78"/>
        <v>0</v>
      </c>
      <c r="X16" s="482">
        <f t="shared" si="2"/>
        <v>0.01</v>
      </c>
      <c r="Y16" s="488">
        <f t="shared" si="3"/>
        <v>0</v>
      </c>
      <c r="AB16" s="472"/>
      <c r="AC16" s="490" t="s">
        <v>24</v>
      </c>
      <c r="AD16" s="479">
        <f t="shared" si="79"/>
        <v>0</v>
      </c>
      <c r="AE16" s="480">
        <f>'EF peternakan'!$G$16</f>
        <v>0.46</v>
      </c>
      <c r="AF16" s="480">
        <f>'EF peternakan'!$H$16</f>
        <v>550</v>
      </c>
      <c r="AG16" s="482">
        <f t="shared" si="4"/>
        <v>92.345000000000027</v>
      </c>
      <c r="AH16" s="483">
        <f t="shared" si="5"/>
        <v>0.02</v>
      </c>
      <c r="AI16" s="484">
        <f t="shared" si="6"/>
        <v>0</v>
      </c>
      <c r="AJ16" s="485">
        <v>0.02</v>
      </c>
      <c r="AK16" s="486">
        <f t="shared" si="7"/>
        <v>0</v>
      </c>
      <c r="AS16" s="472"/>
      <c r="AT16" s="490" t="s">
        <v>24</v>
      </c>
      <c r="AU16" s="479">
        <f>AI16</f>
        <v>0</v>
      </c>
      <c r="AV16" s="480">
        <f t="shared" si="9"/>
        <v>0</v>
      </c>
      <c r="AW16" s="487">
        <f t="shared" si="80"/>
        <v>0</v>
      </c>
      <c r="AX16" s="482">
        <f t="shared" si="10"/>
        <v>0.01</v>
      </c>
      <c r="AY16" s="488">
        <f t="shared" si="11"/>
        <v>0</v>
      </c>
      <c r="BB16" s="472"/>
      <c r="BC16" s="490" t="s">
        <v>24</v>
      </c>
      <c r="BD16" s="479">
        <f t="shared" si="81"/>
        <v>0</v>
      </c>
      <c r="BE16" s="480">
        <f>'EF peternakan'!$G$16</f>
        <v>0.46</v>
      </c>
      <c r="BF16" s="480">
        <f>'EF peternakan'!$H$16</f>
        <v>550</v>
      </c>
      <c r="BG16" s="482">
        <f t="shared" si="82"/>
        <v>92.345000000000027</v>
      </c>
      <c r="BH16" s="483">
        <f t="shared" si="12"/>
        <v>0.02</v>
      </c>
      <c r="BI16" s="484">
        <f t="shared" si="108"/>
        <v>0</v>
      </c>
      <c r="BJ16" s="485">
        <v>0.02</v>
      </c>
      <c r="BK16" s="486">
        <f t="shared" si="13"/>
        <v>0</v>
      </c>
      <c r="BS16" s="472"/>
      <c r="BT16" s="490" t="s">
        <v>24</v>
      </c>
      <c r="BU16" s="479">
        <f>BI16</f>
        <v>0</v>
      </c>
      <c r="BV16" s="480">
        <f t="shared" si="14"/>
        <v>0</v>
      </c>
      <c r="BW16" s="487">
        <f t="shared" si="85"/>
        <v>0</v>
      </c>
      <c r="BX16" s="482">
        <f t="shared" si="15"/>
        <v>0.01</v>
      </c>
      <c r="BY16" s="488">
        <f t="shared" si="16"/>
        <v>0</v>
      </c>
      <c r="CB16" s="472"/>
      <c r="CC16" s="490" t="s">
        <v>24</v>
      </c>
      <c r="CD16" s="479">
        <f t="shared" si="86"/>
        <v>0</v>
      </c>
      <c r="CE16" s="480">
        <f>'EF peternakan'!$G$16</f>
        <v>0.46</v>
      </c>
      <c r="CF16" s="480">
        <f>'EF peternakan'!$H$16</f>
        <v>550</v>
      </c>
      <c r="CG16" s="482">
        <f t="shared" si="17"/>
        <v>92.345000000000027</v>
      </c>
      <c r="CH16" s="483">
        <f t="shared" si="18"/>
        <v>0.02</v>
      </c>
      <c r="CI16" s="484">
        <f>CD16*CG16*CH16</f>
        <v>0</v>
      </c>
      <c r="CJ16" s="485">
        <v>0.02</v>
      </c>
      <c r="CK16" s="486">
        <f t="shared" si="20"/>
        <v>0</v>
      </c>
      <c r="CS16" s="472"/>
      <c r="CT16" s="490" t="s">
        <v>24</v>
      </c>
      <c r="CU16" s="479">
        <f>CI16</f>
        <v>0</v>
      </c>
      <c r="CV16" s="480">
        <f t="shared" si="21"/>
        <v>0</v>
      </c>
      <c r="CW16" s="487">
        <f t="shared" si="87"/>
        <v>0</v>
      </c>
      <c r="CX16" s="482">
        <f t="shared" si="22"/>
        <v>0.01</v>
      </c>
      <c r="CY16" s="488">
        <f t="shared" si="23"/>
        <v>0</v>
      </c>
      <c r="DB16" s="472"/>
      <c r="DC16" s="490" t="s">
        <v>24</v>
      </c>
      <c r="DD16" s="479">
        <f t="shared" si="88"/>
        <v>0</v>
      </c>
      <c r="DE16" s="480">
        <f>'EF peternakan'!$G$16</f>
        <v>0.46</v>
      </c>
      <c r="DF16" s="480">
        <f>'EF peternakan'!$H$16</f>
        <v>550</v>
      </c>
      <c r="DG16" s="482">
        <f t="shared" si="24"/>
        <v>92.345000000000027</v>
      </c>
      <c r="DH16" s="483">
        <f t="shared" si="25"/>
        <v>0.02</v>
      </c>
      <c r="DI16" s="484">
        <f>DD16*DG16*DH16</f>
        <v>0</v>
      </c>
      <c r="DJ16" s="485">
        <v>0.02</v>
      </c>
      <c r="DK16" s="486">
        <f>DI16*DJ16*(44/28)</f>
        <v>0</v>
      </c>
      <c r="DS16" s="472"/>
      <c r="DT16" s="490" t="s">
        <v>24</v>
      </c>
      <c r="DU16" s="479">
        <f>DI16</f>
        <v>0</v>
      </c>
      <c r="DV16" s="480">
        <f t="shared" si="28"/>
        <v>0</v>
      </c>
      <c r="DW16" s="487">
        <f t="shared" si="90"/>
        <v>0</v>
      </c>
      <c r="DX16" s="482">
        <f t="shared" si="29"/>
        <v>0.01</v>
      </c>
      <c r="DY16" s="488">
        <f t="shared" si="30"/>
        <v>0</v>
      </c>
      <c r="EB16" s="472"/>
      <c r="EC16" s="490" t="s">
        <v>24</v>
      </c>
      <c r="ED16" s="479">
        <f t="shared" si="91"/>
        <v>0</v>
      </c>
      <c r="EE16" s="480">
        <f>'EF peternakan'!$G$16</f>
        <v>0.46</v>
      </c>
      <c r="EF16" s="480">
        <f>'EF peternakan'!$H$16</f>
        <v>550</v>
      </c>
      <c r="EG16" s="482">
        <f t="shared" si="31"/>
        <v>92.345000000000027</v>
      </c>
      <c r="EH16" s="483">
        <f t="shared" si="32"/>
        <v>0.02</v>
      </c>
      <c r="EI16" s="484">
        <f t="shared" si="33"/>
        <v>0</v>
      </c>
      <c r="EJ16" s="485">
        <v>0.02</v>
      </c>
      <c r="EK16" s="486">
        <f t="shared" si="34"/>
        <v>0</v>
      </c>
      <c r="ES16" s="472"/>
      <c r="ET16" s="490" t="s">
        <v>24</v>
      </c>
      <c r="EU16" s="479">
        <f t="shared" si="110"/>
        <v>0</v>
      </c>
      <c r="EV16" s="480">
        <f t="shared" si="35"/>
        <v>0</v>
      </c>
      <c r="EW16" s="487">
        <f t="shared" si="92"/>
        <v>0</v>
      </c>
      <c r="EX16" s="482">
        <f t="shared" si="36"/>
        <v>0.01</v>
      </c>
      <c r="EY16" s="488">
        <f t="shared" si="37"/>
        <v>0</v>
      </c>
      <c r="FB16" s="472"/>
      <c r="FC16" s="490" t="s">
        <v>24</v>
      </c>
      <c r="FD16" s="479">
        <f t="shared" si="93"/>
        <v>0</v>
      </c>
      <c r="FE16" s="480">
        <f>'EF peternakan'!$G$16</f>
        <v>0.46</v>
      </c>
      <c r="FF16" s="480">
        <f>'EF peternakan'!$H$16</f>
        <v>550</v>
      </c>
      <c r="FG16" s="482">
        <f t="shared" si="38"/>
        <v>92.345000000000027</v>
      </c>
      <c r="FH16" s="483">
        <f t="shared" si="39"/>
        <v>0.02</v>
      </c>
      <c r="FI16" s="484">
        <f t="shared" si="40"/>
        <v>0</v>
      </c>
      <c r="FJ16" s="485">
        <v>0.02</v>
      </c>
      <c r="FK16" s="486">
        <f t="shared" si="41"/>
        <v>0</v>
      </c>
      <c r="FS16" s="472"/>
      <c r="FT16" s="490" t="s">
        <v>24</v>
      </c>
      <c r="FU16" s="479">
        <f t="shared" si="94"/>
        <v>0</v>
      </c>
      <c r="FV16" s="480">
        <f t="shared" si="42"/>
        <v>0</v>
      </c>
      <c r="FW16" s="487">
        <f t="shared" si="95"/>
        <v>0</v>
      </c>
      <c r="FX16" s="482">
        <f t="shared" si="43"/>
        <v>0.01</v>
      </c>
      <c r="FY16" s="488">
        <f t="shared" si="96"/>
        <v>0</v>
      </c>
      <c r="GB16" s="472"/>
      <c r="GC16" s="490" t="s">
        <v>24</v>
      </c>
      <c r="GD16" s="479">
        <f t="shared" si="97"/>
        <v>0</v>
      </c>
      <c r="GE16" s="480">
        <f>'EF peternakan'!$G$16</f>
        <v>0.46</v>
      </c>
      <c r="GF16" s="480">
        <f>'EF peternakan'!$H$16</f>
        <v>550</v>
      </c>
      <c r="GG16" s="482">
        <f t="shared" si="44"/>
        <v>92.345000000000027</v>
      </c>
      <c r="GH16" s="483">
        <f t="shared" si="45"/>
        <v>0.02</v>
      </c>
      <c r="GI16" s="484">
        <f t="shared" si="46"/>
        <v>0</v>
      </c>
      <c r="GJ16" s="485">
        <v>0.02</v>
      </c>
      <c r="GK16" s="486">
        <f t="shared" si="47"/>
        <v>0</v>
      </c>
      <c r="GS16" s="472"/>
      <c r="GT16" s="490" t="s">
        <v>24</v>
      </c>
      <c r="GU16" s="479">
        <f t="shared" si="48"/>
        <v>0</v>
      </c>
      <c r="GV16" s="480">
        <f t="shared" si="49"/>
        <v>0</v>
      </c>
      <c r="GW16" s="487">
        <f t="shared" si="98"/>
        <v>0</v>
      </c>
      <c r="GX16" s="482">
        <f t="shared" si="50"/>
        <v>0.01</v>
      </c>
      <c r="GY16" s="488">
        <f t="shared" si="51"/>
        <v>0</v>
      </c>
      <c r="HB16" s="472"/>
      <c r="HC16" s="490" t="s">
        <v>24</v>
      </c>
      <c r="HD16" s="479">
        <f t="shared" si="99"/>
        <v>0</v>
      </c>
      <c r="HE16" s="480">
        <f>'EF peternakan'!$G$16</f>
        <v>0.46</v>
      </c>
      <c r="HF16" s="480">
        <f>'EF peternakan'!$H$16</f>
        <v>550</v>
      </c>
      <c r="HG16" s="482">
        <f t="shared" si="52"/>
        <v>92.345000000000027</v>
      </c>
      <c r="HH16" s="483">
        <f t="shared" si="53"/>
        <v>0.02</v>
      </c>
      <c r="HI16" s="484">
        <f t="shared" si="54"/>
        <v>0</v>
      </c>
      <c r="HJ16" s="485">
        <v>0.02</v>
      </c>
      <c r="HK16" s="486">
        <f t="shared" si="55"/>
        <v>0</v>
      </c>
      <c r="HS16" s="472"/>
      <c r="HT16" s="490" t="s">
        <v>24</v>
      </c>
      <c r="HU16" s="479">
        <f t="shared" si="100"/>
        <v>0</v>
      </c>
      <c r="HV16" s="480">
        <f t="shared" si="56"/>
        <v>0</v>
      </c>
      <c r="HW16" s="487">
        <f t="shared" si="101"/>
        <v>0</v>
      </c>
      <c r="HX16" s="482">
        <f t="shared" si="57"/>
        <v>0.01</v>
      </c>
      <c r="HY16" s="488">
        <f t="shared" si="58"/>
        <v>0</v>
      </c>
      <c r="IB16" s="472"/>
      <c r="IC16" s="490" t="s">
        <v>24</v>
      </c>
      <c r="ID16" s="479">
        <f t="shared" si="102"/>
        <v>0</v>
      </c>
      <c r="IE16" s="480">
        <f>'EF peternakan'!$G$16</f>
        <v>0.46</v>
      </c>
      <c r="IF16" s="480">
        <f>'EF peternakan'!$H$16</f>
        <v>550</v>
      </c>
      <c r="IG16" s="482">
        <f t="shared" si="59"/>
        <v>92.345000000000027</v>
      </c>
      <c r="IH16" s="483">
        <f t="shared" si="60"/>
        <v>0.02</v>
      </c>
      <c r="II16" s="484">
        <f t="shared" si="61"/>
        <v>0</v>
      </c>
      <c r="IJ16" s="485">
        <v>0.02</v>
      </c>
      <c r="IK16" s="486">
        <f t="shared" si="62"/>
        <v>0</v>
      </c>
      <c r="IS16" s="472"/>
      <c r="IT16" s="490" t="s">
        <v>24</v>
      </c>
      <c r="IU16" s="479">
        <f t="shared" si="63"/>
        <v>0</v>
      </c>
      <c r="IV16" s="480">
        <f t="shared" si="64"/>
        <v>0</v>
      </c>
      <c r="IW16" s="487">
        <f t="shared" si="103"/>
        <v>0</v>
      </c>
      <c r="IX16" s="482">
        <f t="shared" si="65"/>
        <v>0.01</v>
      </c>
      <c r="IY16" s="488">
        <f t="shared" si="66"/>
        <v>0</v>
      </c>
      <c r="JB16" s="472"/>
      <c r="JC16" s="490" t="s">
        <v>24</v>
      </c>
      <c r="JD16" s="479">
        <f t="shared" si="104"/>
        <v>0</v>
      </c>
      <c r="JE16" s="480">
        <f>'EF peternakan'!$G$16</f>
        <v>0.46</v>
      </c>
      <c r="JF16" s="480">
        <f>'EF peternakan'!$H$16</f>
        <v>550</v>
      </c>
      <c r="JG16" s="482">
        <f t="shared" si="67"/>
        <v>92.345000000000027</v>
      </c>
      <c r="JH16" s="483">
        <f t="shared" si="68"/>
        <v>0.02</v>
      </c>
      <c r="JI16" s="484">
        <f t="shared" si="69"/>
        <v>0</v>
      </c>
      <c r="JJ16" s="485">
        <v>0.02</v>
      </c>
      <c r="JK16" s="486">
        <f t="shared" si="70"/>
        <v>0</v>
      </c>
      <c r="JS16" s="472"/>
      <c r="JT16" s="490" t="s">
        <v>24</v>
      </c>
      <c r="JU16" s="479">
        <f t="shared" si="71"/>
        <v>0</v>
      </c>
      <c r="JV16" s="480">
        <f t="shared" si="72"/>
        <v>0</v>
      </c>
      <c r="JW16" s="487">
        <f t="shared" si="105"/>
        <v>0</v>
      </c>
      <c r="JX16" s="482">
        <f t="shared" si="73"/>
        <v>0.01</v>
      </c>
      <c r="JY16" s="488">
        <f t="shared" si="74"/>
        <v>0</v>
      </c>
    </row>
    <row r="17" spans="2:286" x14ac:dyDescent="0.25">
      <c r="B17" s="489"/>
      <c r="C17" s="490" t="s">
        <v>72</v>
      </c>
      <c r="D17" s="479">
        <f>C45</f>
        <v>837449</v>
      </c>
      <c r="E17" s="480">
        <f>'EF peternakan'!$G$10</f>
        <v>0.82</v>
      </c>
      <c r="F17" s="481">
        <f>'EF peternakan'!$H$10</f>
        <v>2</v>
      </c>
      <c r="G17" s="473">
        <f t="shared" si="106"/>
        <v>0.59860000000000002</v>
      </c>
      <c r="H17" s="483">
        <f t="shared" si="76"/>
        <v>0.02</v>
      </c>
      <c r="I17" s="484">
        <f t="shared" si="107"/>
        <v>10025.939428000001</v>
      </c>
      <c r="J17" s="491">
        <f>'EF peternakan'!$C$32</f>
        <v>0.01</v>
      </c>
      <c r="K17" s="486">
        <f t="shared" si="0"/>
        <v>157.55047672571433</v>
      </c>
      <c r="S17" s="472"/>
      <c r="T17" s="490" t="s">
        <v>72</v>
      </c>
      <c r="U17" s="479">
        <f t="shared" si="1"/>
        <v>10025.939428000001</v>
      </c>
      <c r="V17" s="473"/>
      <c r="W17" s="473"/>
      <c r="X17" s="473"/>
      <c r="Y17" s="492"/>
      <c r="AB17" s="472"/>
      <c r="AC17" s="490" t="s">
        <v>72</v>
      </c>
      <c r="AD17" s="479">
        <f t="shared" si="79"/>
        <v>872933</v>
      </c>
      <c r="AE17" s="480">
        <f>'EF peternakan'!$G$10</f>
        <v>0.82</v>
      </c>
      <c r="AF17" s="480">
        <f>'EF peternakan'!$H$10</f>
        <v>2</v>
      </c>
      <c r="AG17" s="482">
        <f t="shared" si="4"/>
        <v>0.59860000000000002</v>
      </c>
      <c r="AH17" s="483">
        <f t="shared" si="5"/>
        <v>0.02</v>
      </c>
      <c r="AI17" s="484">
        <f t="shared" si="6"/>
        <v>10450.753876000001</v>
      </c>
      <c r="AJ17" s="491">
        <f>'EF peternakan'!$C$32</f>
        <v>0.01</v>
      </c>
      <c r="AK17" s="486">
        <f t="shared" si="7"/>
        <v>164.22613233714287</v>
      </c>
      <c r="AS17" s="472"/>
      <c r="AT17" s="490" t="s">
        <v>72</v>
      </c>
      <c r="AU17" s="479">
        <f t="shared" ref="AU17:AU20" si="111">AI17</f>
        <v>10450.753876000001</v>
      </c>
      <c r="AV17" s="473"/>
      <c r="AW17" s="473"/>
      <c r="AX17" s="473"/>
      <c r="AY17" s="492"/>
      <c r="BB17" s="472"/>
      <c r="BC17" s="490" t="s">
        <v>72</v>
      </c>
      <c r="BD17" s="493">
        <f>E45</f>
        <v>925756</v>
      </c>
      <c r="BE17" s="480">
        <f>'EF peternakan'!$G$10</f>
        <v>0.82</v>
      </c>
      <c r="BF17" s="480">
        <f>'EF peternakan'!$H$10</f>
        <v>2</v>
      </c>
      <c r="BG17" s="482">
        <f t="shared" ref="BG17:BG21" si="112">BE17*(BF17/10^3)*365</f>
        <v>0.59860000000000002</v>
      </c>
      <c r="BH17" s="483">
        <f t="shared" ref="BH17:BH21" si="113">BI$26/100</f>
        <v>0.02</v>
      </c>
      <c r="BI17" s="484">
        <f t="shared" si="108"/>
        <v>11083.150831999999</v>
      </c>
      <c r="BJ17" s="491">
        <f>'EF peternakan'!$C$32</f>
        <v>0.01</v>
      </c>
      <c r="BK17" s="486">
        <f t="shared" si="13"/>
        <v>174.16379878857143</v>
      </c>
      <c r="BS17" s="472"/>
      <c r="BT17" s="490" t="s">
        <v>72</v>
      </c>
      <c r="BU17" s="479">
        <f t="shared" ref="BU17:BU21" si="114">BI17</f>
        <v>11083.150831999999</v>
      </c>
      <c r="BV17" s="473"/>
      <c r="BW17" s="473"/>
      <c r="BX17" s="473"/>
      <c r="BY17" s="492"/>
      <c r="CB17" s="472"/>
      <c r="CC17" s="490" t="s">
        <v>72</v>
      </c>
      <c r="CD17" s="479">
        <f>F45</f>
        <v>1019349</v>
      </c>
      <c r="CE17" s="480">
        <f>'EF peternakan'!$G$10</f>
        <v>0.82</v>
      </c>
      <c r="CF17" s="480">
        <f>'EF peternakan'!$H$10</f>
        <v>2</v>
      </c>
      <c r="CG17" s="482">
        <f t="shared" si="17"/>
        <v>0.59860000000000002</v>
      </c>
      <c r="CH17" s="483">
        <f t="shared" si="18"/>
        <v>0.02</v>
      </c>
      <c r="CI17" s="484">
        <f t="shared" ref="CI17:CI21" si="115">CD17*CG17*CH17</f>
        <v>12203.646228</v>
      </c>
      <c r="CJ17" s="491">
        <f>'EF peternakan'!$C$32</f>
        <v>0.01</v>
      </c>
      <c r="CK17" s="486">
        <f t="shared" si="20"/>
        <v>191.77158358285712</v>
      </c>
      <c r="CS17" s="472"/>
      <c r="CT17" s="490" t="s">
        <v>72</v>
      </c>
      <c r="CU17" s="479">
        <f t="shared" ref="CU17:CU21" si="116">CI17</f>
        <v>12203.646228</v>
      </c>
      <c r="CV17" s="473"/>
      <c r="CW17" s="473"/>
      <c r="CX17" s="473"/>
      <c r="CY17" s="492"/>
      <c r="DB17" s="472"/>
      <c r="DC17" s="490" t="s">
        <v>72</v>
      </c>
      <c r="DD17" s="493">
        <f>G45</f>
        <v>1314528</v>
      </c>
      <c r="DE17" s="480">
        <f>'EF peternakan'!$G$10</f>
        <v>0.82</v>
      </c>
      <c r="DF17" s="480">
        <f>'EF peternakan'!$H$10</f>
        <v>2</v>
      </c>
      <c r="DG17" s="482">
        <f t="shared" si="24"/>
        <v>0.59860000000000002</v>
      </c>
      <c r="DH17" s="483">
        <f t="shared" si="25"/>
        <v>0.02</v>
      </c>
      <c r="DI17" s="484">
        <f>DD17*DG17*DH17</f>
        <v>15737.529216000001</v>
      </c>
      <c r="DJ17" s="491">
        <f>'EF peternakan'!$C$32</f>
        <v>0.01</v>
      </c>
      <c r="DK17" s="486">
        <f t="shared" ref="DK17:DK21" si="117">DI17*DJ17*(44/28)</f>
        <v>247.30403053714286</v>
      </c>
      <c r="DS17" s="472"/>
      <c r="DT17" s="490" t="s">
        <v>72</v>
      </c>
      <c r="DU17" s="479">
        <f t="shared" ref="DU17:DU21" si="118">DI17</f>
        <v>15737.529216000001</v>
      </c>
      <c r="DV17" s="473"/>
      <c r="DW17" s="473"/>
      <c r="DX17" s="473"/>
      <c r="DY17" s="492"/>
      <c r="EB17" s="472"/>
      <c r="EC17" s="490" t="s">
        <v>72</v>
      </c>
      <c r="ED17" s="479">
        <f t="shared" si="91"/>
        <v>1445980.8</v>
      </c>
      <c r="EE17" s="480">
        <f>'EF peternakan'!$G$10</f>
        <v>0.82</v>
      </c>
      <c r="EF17" s="480">
        <f>'EF peternakan'!$H$10</f>
        <v>2</v>
      </c>
      <c r="EG17" s="482">
        <f t="shared" si="31"/>
        <v>0.59860000000000002</v>
      </c>
      <c r="EH17" s="483">
        <f t="shared" si="32"/>
        <v>0.02</v>
      </c>
      <c r="EI17" s="484">
        <f t="shared" si="33"/>
        <v>17311.282137600003</v>
      </c>
      <c r="EJ17" s="491">
        <f>'EF peternakan'!$C$32</f>
        <v>0.01</v>
      </c>
      <c r="EK17" s="486">
        <f t="shared" si="34"/>
        <v>272.03443359085719</v>
      </c>
      <c r="ES17" s="472"/>
      <c r="ET17" s="490" t="s">
        <v>72</v>
      </c>
      <c r="EU17" s="479">
        <f t="shared" si="110"/>
        <v>17311.282137600003</v>
      </c>
      <c r="EV17" s="473"/>
      <c r="EW17" s="473"/>
      <c r="EX17" s="473"/>
      <c r="EY17" s="492"/>
      <c r="FB17" s="472"/>
      <c r="FC17" s="490" t="s">
        <v>72</v>
      </c>
      <c r="FD17" s="479">
        <f t="shared" si="93"/>
        <v>1590578.8800000001</v>
      </c>
      <c r="FE17" s="480">
        <f>'EF peternakan'!$G$10</f>
        <v>0.82</v>
      </c>
      <c r="FF17" s="480">
        <f>'EF peternakan'!$H$10</f>
        <v>2</v>
      </c>
      <c r="FG17" s="482">
        <f t="shared" si="38"/>
        <v>0.59860000000000002</v>
      </c>
      <c r="FH17" s="483">
        <f t="shared" si="39"/>
        <v>0.02</v>
      </c>
      <c r="FI17" s="484">
        <f t="shared" ref="FI17:FI21" si="119">FD17*FG17*FH17</f>
        <v>19042.410351360002</v>
      </c>
      <c r="FJ17" s="491">
        <f>'EF peternakan'!$C$32</f>
        <v>0.01</v>
      </c>
      <c r="FK17" s="486">
        <f t="shared" ref="FK17:FK21" si="120">FI17*FJ17*(44/28)</f>
        <v>299.23787694994286</v>
      </c>
      <c r="FS17" s="472"/>
      <c r="FT17" s="490" t="s">
        <v>72</v>
      </c>
      <c r="FU17" s="479">
        <f t="shared" si="94"/>
        <v>19042.410351360002</v>
      </c>
      <c r="FV17" s="473"/>
      <c r="FW17" s="473"/>
      <c r="FX17" s="473"/>
      <c r="FY17" s="492"/>
      <c r="GB17" s="472"/>
      <c r="GC17" s="490" t="s">
        <v>72</v>
      </c>
      <c r="GD17" s="479">
        <f t="shared" si="97"/>
        <v>1749636.7680000002</v>
      </c>
      <c r="GE17" s="480">
        <f>'EF peternakan'!$G$10</f>
        <v>0.82</v>
      </c>
      <c r="GF17" s="480">
        <f>'EF peternakan'!$H$10</f>
        <v>2</v>
      </c>
      <c r="GG17" s="482">
        <f t="shared" si="44"/>
        <v>0.59860000000000002</v>
      </c>
      <c r="GH17" s="483">
        <f t="shared" si="45"/>
        <v>0.02</v>
      </c>
      <c r="GI17" s="484">
        <f t="shared" ref="GI17:GI21" si="121">GD17*GG17*GH17</f>
        <v>20946.651386496003</v>
      </c>
      <c r="GJ17" s="491">
        <f>'EF peternakan'!$C$32</f>
        <v>0.01</v>
      </c>
      <c r="GK17" s="486">
        <f t="shared" ref="GK17:GK21" si="122">GI17*GJ17*(44/28)</f>
        <v>329.16166464493722</v>
      </c>
      <c r="GS17" s="472"/>
      <c r="GT17" s="490" t="s">
        <v>72</v>
      </c>
      <c r="GU17" s="479">
        <f t="shared" si="48"/>
        <v>20946.651386496003</v>
      </c>
      <c r="GV17" s="473"/>
      <c r="GW17" s="473"/>
      <c r="GX17" s="473"/>
      <c r="GY17" s="492"/>
      <c r="HB17" s="472"/>
      <c r="HC17" s="490" t="s">
        <v>72</v>
      </c>
      <c r="HD17" s="479">
        <f t="shared" si="99"/>
        <v>1924600.4448000002</v>
      </c>
      <c r="HE17" s="480">
        <f>'EF peternakan'!$G$10</f>
        <v>0.82</v>
      </c>
      <c r="HF17" s="480">
        <f>'EF peternakan'!$H$10</f>
        <v>2</v>
      </c>
      <c r="HG17" s="482">
        <f t="shared" si="52"/>
        <v>0.59860000000000002</v>
      </c>
      <c r="HH17" s="483">
        <f t="shared" si="53"/>
        <v>0.02</v>
      </c>
      <c r="HI17" s="484">
        <f t="shared" si="54"/>
        <v>23041.316525145601</v>
      </c>
      <c r="HJ17" s="491">
        <f>'EF peternakan'!$C$32</f>
        <v>0.01</v>
      </c>
      <c r="HK17" s="486">
        <f t="shared" si="55"/>
        <v>362.07783110943086</v>
      </c>
      <c r="HS17" s="472"/>
      <c r="HT17" s="490" t="s">
        <v>72</v>
      </c>
      <c r="HU17" s="479">
        <f t="shared" si="100"/>
        <v>23041.316525145601</v>
      </c>
      <c r="HV17" s="473"/>
      <c r="HW17" s="473"/>
      <c r="HX17" s="473"/>
      <c r="HY17" s="492"/>
      <c r="IB17" s="472"/>
      <c r="IC17" s="490" t="s">
        <v>72</v>
      </c>
      <c r="ID17" s="479">
        <f t="shared" si="102"/>
        <v>2117060.4892800003</v>
      </c>
      <c r="IE17" s="480">
        <f>'EF peternakan'!$G$10</f>
        <v>0.82</v>
      </c>
      <c r="IF17" s="480">
        <f>'EF peternakan'!$H$10</f>
        <v>2</v>
      </c>
      <c r="IG17" s="482">
        <f t="shared" si="59"/>
        <v>0.59860000000000002</v>
      </c>
      <c r="IH17" s="483">
        <f t="shared" si="60"/>
        <v>0.02</v>
      </c>
      <c r="II17" s="484">
        <f t="shared" si="61"/>
        <v>25345.448177660164</v>
      </c>
      <c r="IJ17" s="491">
        <f>'EF peternakan'!$C$32</f>
        <v>0.01</v>
      </c>
      <c r="IK17" s="486">
        <f t="shared" si="62"/>
        <v>398.28561422037404</v>
      </c>
      <c r="IS17" s="472"/>
      <c r="IT17" s="490" t="s">
        <v>72</v>
      </c>
      <c r="IU17" s="479">
        <f t="shared" si="63"/>
        <v>25345.448177660164</v>
      </c>
      <c r="IV17" s="473"/>
      <c r="IW17" s="473"/>
      <c r="IX17" s="473"/>
      <c r="IY17" s="492"/>
      <c r="JB17" s="472"/>
      <c r="JC17" s="490" t="s">
        <v>72</v>
      </c>
      <c r="JD17" s="479">
        <f t="shared" si="104"/>
        <v>0</v>
      </c>
      <c r="JE17" s="480">
        <f>'EF peternakan'!$G$10</f>
        <v>0.82</v>
      </c>
      <c r="JF17" s="480">
        <f>'EF peternakan'!$H$10</f>
        <v>2</v>
      </c>
      <c r="JG17" s="482">
        <f t="shared" si="67"/>
        <v>0.59860000000000002</v>
      </c>
      <c r="JH17" s="483">
        <f t="shared" si="68"/>
        <v>0.02</v>
      </c>
      <c r="JI17" s="484">
        <f t="shared" si="69"/>
        <v>0</v>
      </c>
      <c r="JJ17" s="491">
        <f>'EF peternakan'!$C$32</f>
        <v>0.01</v>
      </c>
      <c r="JK17" s="486">
        <f t="shared" si="70"/>
        <v>0</v>
      </c>
      <c r="JS17" s="472"/>
      <c r="JT17" s="490" t="s">
        <v>72</v>
      </c>
      <c r="JU17" s="479">
        <f t="shared" si="71"/>
        <v>0</v>
      </c>
      <c r="JV17" s="473"/>
      <c r="JW17" s="473"/>
      <c r="JX17" s="473"/>
      <c r="JY17" s="492"/>
    </row>
    <row r="18" spans="2:286" x14ac:dyDescent="0.25">
      <c r="B18" s="489"/>
      <c r="C18" s="490" t="s">
        <v>73</v>
      </c>
      <c r="D18" s="479">
        <f t="shared" ref="D18:D21" si="123">C46</f>
        <v>2050000</v>
      </c>
      <c r="E18" s="480">
        <f>'EF peternakan'!$G$11</f>
        <v>1.1000000000000001</v>
      </c>
      <c r="F18" s="481">
        <f>'EF peternakan'!$H$11</f>
        <v>2</v>
      </c>
      <c r="G18" s="473">
        <f t="shared" si="106"/>
        <v>0.80300000000000005</v>
      </c>
      <c r="H18" s="483">
        <f t="shared" si="76"/>
        <v>0.02</v>
      </c>
      <c r="I18" s="484">
        <f t="shared" si="107"/>
        <v>32923</v>
      </c>
      <c r="J18" s="491">
        <f>'EF peternakan'!$C$32</f>
        <v>0.01</v>
      </c>
      <c r="K18" s="486">
        <f t="shared" si="0"/>
        <v>517.36142857142863</v>
      </c>
      <c r="S18" s="472"/>
      <c r="T18" s="490" t="s">
        <v>73</v>
      </c>
      <c r="U18" s="479">
        <f t="shared" si="1"/>
        <v>32923</v>
      </c>
      <c r="V18" s="473"/>
      <c r="W18" s="473"/>
      <c r="X18" s="473"/>
      <c r="Y18" s="492"/>
      <c r="AB18" s="472"/>
      <c r="AC18" s="490" t="s">
        <v>73</v>
      </c>
      <c r="AD18" s="479">
        <f t="shared" si="79"/>
        <v>1993350</v>
      </c>
      <c r="AE18" s="480">
        <f>'EF peternakan'!$G$11</f>
        <v>1.1000000000000001</v>
      </c>
      <c r="AF18" s="480">
        <f>'EF peternakan'!$H$11</f>
        <v>2</v>
      </c>
      <c r="AG18" s="482">
        <f t="shared" si="4"/>
        <v>0.80300000000000005</v>
      </c>
      <c r="AH18" s="483">
        <f t="shared" si="5"/>
        <v>0.02</v>
      </c>
      <c r="AI18" s="484">
        <f t="shared" si="6"/>
        <v>32013.201000000001</v>
      </c>
      <c r="AJ18" s="491">
        <f>'EF peternakan'!$C$32</f>
        <v>0.01</v>
      </c>
      <c r="AK18" s="486">
        <f t="shared" si="7"/>
        <v>503.06458714285719</v>
      </c>
      <c r="AS18" s="472"/>
      <c r="AT18" s="490" t="s">
        <v>73</v>
      </c>
      <c r="AU18" s="479">
        <f t="shared" si="111"/>
        <v>32013.201000000001</v>
      </c>
      <c r="AV18" s="473"/>
      <c r="AW18" s="473"/>
      <c r="AX18" s="473"/>
      <c r="AY18" s="492"/>
      <c r="BB18" s="472"/>
      <c r="BC18" s="490" t="s">
        <v>73</v>
      </c>
      <c r="BD18" s="493">
        <f t="shared" ref="BD18:BD20" si="124">E46</f>
        <v>1831500</v>
      </c>
      <c r="BE18" s="480">
        <f>'EF peternakan'!$G$11</f>
        <v>1.1000000000000001</v>
      </c>
      <c r="BF18" s="480">
        <f>'EF peternakan'!$H$11</f>
        <v>2</v>
      </c>
      <c r="BG18" s="482">
        <f t="shared" si="112"/>
        <v>0.80300000000000005</v>
      </c>
      <c r="BH18" s="483">
        <f t="shared" si="113"/>
        <v>0.02</v>
      </c>
      <c r="BI18" s="484">
        <f t="shared" si="108"/>
        <v>29413.89</v>
      </c>
      <c r="BJ18" s="491">
        <f>'EF peternakan'!$C$32</f>
        <v>0.01</v>
      </c>
      <c r="BK18" s="486">
        <f t="shared" si="13"/>
        <v>462.21827142857137</v>
      </c>
      <c r="BS18" s="472"/>
      <c r="BT18" s="490" t="s">
        <v>73</v>
      </c>
      <c r="BU18" s="479">
        <f t="shared" si="114"/>
        <v>29413.89</v>
      </c>
      <c r="BV18" s="473"/>
      <c r="BW18" s="473"/>
      <c r="BX18" s="473"/>
      <c r="BY18" s="492"/>
      <c r="CB18" s="472"/>
      <c r="CC18" s="490" t="s">
        <v>73</v>
      </c>
      <c r="CD18" s="479">
        <f t="shared" ref="CD18:CD20" si="125">F46</f>
        <v>1967589</v>
      </c>
      <c r="CE18" s="480">
        <f>'EF peternakan'!$G$11</f>
        <v>1.1000000000000001</v>
      </c>
      <c r="CF18" s="480">
        <f>'EF peternakan'!$H$11</f>
        <v>2</v>
      </c>
      <c r="CG18" s="482">
        <f t="shared" si="17"/>
        <v>0.80300000000000005</v>
      </c>
      <c r="CH18" s="483">
        <f t="shared" si="18"/>
        <v>0.02</v>
      </c>
      <c r="CI18" s="484">
        <f t="shared" si="115"/>
        <v>31599.479340000005</v>
      </c>
      <c r="CJ18" s="491">
        <f>'EF peternakan'!$C$32</f>
        <v>0.01</v>
      </c>
      <c r="CK18" s="486">
        <f t="shared" si="20"/>
        <v>496.56324677142862</v>
      </c>
      <c r="CS18" s="472"/>
      <c r="CT18" s="490" t="s">
        <v>73</v>
      </c>
      <c r="CU18" s="479">
        <f t="shared" si="116"/>
        <v>31599.479340000005</v>
      </c>
      <c r="CV18" s="473"/>
      <c r="CW18" s="473"/>
      <c r="CX18" s="473"/>
      <c r="CY18" s="492"/>
      <c r="DB18" s="472"/>
      <c r="DC18" s="490" t="s">
        <v>73</v>
      </c>
      <c r="DD18" s="493">
        <f t="shared" ref="DD18:DD21" si="126">G46</f>
        <v>1967715</v>
      </c>
      <c r="DE18" s="480">
        <f>'EF peternakan'!$G$11</f>
        <v>1.1000000000000001</v>
      </c>
      <c r="DF18" s="480">
        <f>'EF peternakan'!$H$11</f>
        <v>2</v>
      </c>
      <c r="DG18" s="482">
        <f t="shared" si="24"/>
        <v>0.80300000000000005</v>
      </c>
      <c r="DH18" s="483">
        <f t="shared" si="25"/>
        <v>0.02</v>
      </c>
      <c r="DI18" s="484">
        <f t="shared" si="26"/>
        <v>31601.502899999999</v>
      </c>
      <c r="DJ18" s="491">
        <f>'EF peternakan'!$C$32</f>
        <v>0.01</v>
      </c>
      <c r="DK18" s="486">
        <f t="shared" si="117"/>
        <v>496.59504557142861</v>
      </c>
      <c r="DS18" s="472"/>
      <c r="DT18" s="490" t="s">
        <v>73</v>
      </c>
      <c r="DU18" s="479">
        <f t="shared" si="118"/>
        <v>31601.502899999999</v>
      </c>
      <c r="DV18" s="473"/>
      <c r="DW18" s="473"/>
      <c r="DX18" s="473"/>
      <c r="DY18" s="492"/>
      <c r="EB18" s="472"/>
      <c r="EC18" s="490" t="s">
        <v>73</v>
      </c>
      <c r="ED18" s="479">
        <f t="shared" si="91"/>
        <v>2164486.5</v>
      </c>
      <c r="EE18" s="480">
        <f>'EF peternakan'!$G$11</f>
        <v>1.1000000000000001</v>
      </c>
      <c r="EF18" s="480">
        <f>'EF peternakan'!$H$11</f>
        <v>2</v>
      </c>
      <c r="EG18" s="482">
        <f t="shared" si="31"/>
        <v>0.80300000000000005</v>
      </c>
      <c r="EH18" s="483">
        <f t="shared" si="32"/>
        <v>0.02</v>
      </c>
      <c r="EI18" s="484">
        <f>ED18*EG18*EH18</f>
        <v>34761.653190000005</v>
      </c>
      <c r="EJ18" s="491">
        <f>'EF peternakan'!$C$32</f>
        <v>0.01</v>
      </c>
      <c r="EK18" s="486">
        <f>EI18*EJ18*(44/28)</f>
        <v>546.25455012857151</v>
      </c>
      <c r="ES18" s="472"/>
      <c r="ET18" s="490" t="s">
        <v>73</v>
      </c>
      <c r="EU18" s="479">
        <f t="shared" si="110"/>
        <v>34761.653190000005</v>
      </c>
      <c r="EV18" s="473"/>
      <c r="EW18" s="473"/>
      <c r="EX18" s="473"/>
      <c r="EY18" s="492"/>
      <c r="FB18" s="472"/>
      <c r="FC18" s="490" t="s">
        <v>73</v>
      </c>
      <c r="FD18" s="479">
        <f t="shared" si="93"/>
        <v>2380935.15</v>
      </c>
      <c r="FE18" s="480">
        <f>'EF peternakan'!$G$11</f>
        <v>1.1000000000000001</v>
      </c>
      <c r="FF18" s="480">
        <f>'EF peternakan'!$H$11</f>
        <v>2</v>
      </c>
      <c r="FG18" s="482">
        <f t="shared" si="38"/>
        <v>0.80300000000000005</v>
      </c>
      <c r="FH18" s="483">
        <f t="shared" si="39"/>
        <v>0.02</v>
      </c>
      <c r="FI18" s="484">
        <f>FD18*FG18*FH18</f>
        <v>38237.818508999997</v>
      </c>
      <c r="FJ18" s="491">
        <f>'EF peternakan'!$C$32</f>
        <v>0.01</v>
      </c>
      <c r="FK18" s="486">
        <f>FI18*FJ18*(44/28)</f>
        <v>600.88000514142857</v>
      </c>
      <c r="FS18" s="472"/>
      <c r="FT18" s="490" t="s">
        <v>73</v>
      </c>
      <c r="FU18" s="479">
        <f t="shared" si="94"/>
        <v>38237.818508999997</v>
      </c>
      <c r="FV18" s="473"/>
      <c r="FW18" s="473"/>
      <c r="FX18" s="473"/>
      <c r="FY18" s="492"/>
      <c r="GB18" s="472"/>
      <c r="GC18" s="490" t="s">
        <v>73</v>
      </c>
      <c r="GD18" s="479">
        <f t="shared" si="97"/>
        <v>2619028.665</v>
      </c>
      <c r="GE18" s="480">
        <f>'EF peternakan'!$G$11</f>
        <v>1.1000000000000001</v>
      </c>
      <c r="GF18" s="480">
        <f>'EF peternakan'!$H$11</f>
        <v>2</v>
      </c>
      <c r="GG18" s="482">
        <f t="shared" si="44"/>
        <v>0.80300000000000005</v>
      </c>
      <c r="GH18" s="483">
        <f t="shared" si="45"/>
        <v>0.02</v>
      </c>
      <c r="GI18" s="484">
        <f t="shared" si="121"/>
        <v>42061.600359900011</v>
      </c>
      <c r="GJ18" s="491">
        <f>'EF peternakan'!$C$32</f>
        <v>0.01</v>
      </c>
      <c r="GK18" s="486">
        <f t="shared" si="122"/>
        <v>660.96800565557157</v>
      </c>
      <c r="GS18" s="472"/>
      <c r="GT18" s="490" t="s">
        <v>73</v>
      </c>
      <c r="GU18" s="479">
        <f t="shared" si="48"/>
        <v>42061.600359900011</v>
      </c>
      <c r="GV18" s="473"/>
      <c r="GW18" s="473"/>
      <c r="GX18" s="473"/>
      <c r="GY18" s="492"/>
      <c r="HB18" s="472"/>
      <c r="HC18" s="490" t="s">
        <v>73</v>
      </c>
      <c r="HD18" s="479">
        <f t="shared" si="99"/>
        <v>2880931.5315</v>
      </c>
      <c r="HE18" s="480">
        <f>'EF peternakan'!$G$11</f>
        <v>1.1000000000000001</v>
      </c>
      <c r="HF18" s="480">
        <f>'EF peternakan'!$H$11</f>
        <v>2</v>
      </c>
      <c r="HG18" s="482">
        <f t="shared" si="52"/>
        <v>0.80300000000000005</v>
      </c>
      <c r="HH18" s="483">
        <f t="shared" si="53"/>
        <v>0.02</v>
      </c>
      <c r="HI18" s="484">
        <f t="shared" si="54"/>
        <v>46267.76039589</v>
      </c>
      <c r="HJ18" s="491">
        <f>'EF peternakan'!$C$32</f>
        <v>0.01</v>
      </c>
      <c r="HK18" s="486">
        <f t="shared" si="55"/>
        <v>727.06480622112861</v>
      </c>
      <c r="HS18" s="472"/>
      <c r="HT18" s="490" t="s">
        <v>73</v>
      </c>
      <c r="HU18" s="479">
        <f t="shared" si="100"/>
        <v>46267.76039589</v>
      </c>
      <c r="HV18" s="473"/>
      <c r="HW18" s="473"/>
      <c r="HX18" s="473"/>
      <c r="HY18" s="492"/>
      <c r="IB18" s="472"/>
      <c r="IC18" s="490" t="s">
        <v>73</v>
      </c>
      <c r="ID18" s="479">
        <f t="shared" si="102"/>
        <v>3169024.6846500002</v>
      </c>
      <c r="IE18" s="480">
        <f>'EF peternakan'!$G$11</f>
        <v>1.1000000000000001</v>
      </c>
      <c r="IF18" s="480">
        <f>'EF peternakan'!$H$11</f>
        <v>2</v>
      </c>
      <c r="IG18" s="482">
        <f t="shared" si="59"/>
        <v>0.80300000000000005</v>
      </c>
      <c r="IH18" s="483">
        <f t="shared" si="60"/>
        <v>0.02</v>
      </c>
      <c r="II18" s="484">
        <f t="shared" si="61"/>
        <v>50894.536435479007</v>
      </c>
      <c r="IJ18" s="491">
        <f>'EF peternakan'!$C$32</f>
        <v>0.01</v>
      </c>
      <c r="IK18" s="486">
        <f t="shared" si="62"/>
        <v>799.77128684324146</v>
      </c>
      <c r="IS18" s="472"/>
      <c r="IT18" s="490" t="s">
        <v>73</v>
      </c>
      <c r="IU18" s="479">
        <f t="shared" si="63"/>
        <v>50894.536435479007</v>
      </c>
      <c r="IV18" s="473"/>
      <c r="IW18" s="473"/>
      <c r="IX18" s="473"/>
      <c r="IY18" s="492"/>
      <c r="JB18" s="472"/>
      <c r="JC18" s="490" t="s">
        <v>73</v>
      </c>
      <c r="JD18" s="479">
        <f t="shared" si="104"/>
        <v>0</v>
      </c>
      <c r="JE18" s="480">
        <f>'EF peternakan'!$G$11</f>
        <v>1.1000000000000001</v>
      </c>
      <c r="JF18" s="480">
        <f>'EF peternakan'!$H$11</f>
        <v>2</v>
      </c>
      <c r="JG18" s="482">
        <f t="shared" si="67"/>
        <v>0.80300000000000005</v>
      </c>
      <c r="JH18" s="483">
        <f t="shared" si="68"/>
        <v>0.02</v>
      </c>
      <c r="JI18" s="484">
        <f t="shared" si="69"/>
        <v>0</v>
      </c>
      <c r="JJ18" s="491">
        <f>'EF peternakan'!$C$32</f>
        <v>0.01</v>
      </c>
      <c r="JK18" s="486">
        <f t="shared" si="70"/>
        <v>0</v>
      </c>
      <c r="JS18" s="472"/>
      <c r="JT18" s="490" t="s">
        <v>73</v>
      </c>
      <c r="JU18" s="479">
        <f t="shared" si="71"/>
        <v>0</v>
      </c>
      <c r="JV18" s="473"/>
      <c r="JW18" s="473"/>
      <c r="JX18" s="473"/>
      <c r="JY18" s="492"/>
    </row>
    <row r="19" spans="2:286" x14ac:dyDescent="0.25">
      <c r="B19" s="489"/>
      <c r="C19" s="490" t="s">
        <v>74</v>
      </c>
      <c r="D19" s="479">
        <f t="shared" si="123"/>
        <v>1275</v>
      </c>
      <c r="E19" s="480">
        <f>'EF peternakan'!$G$10</f>
        <v>0.82</v>
      </c>
      <c r="F19" s="481">
        <f>'EF peternakan'!$H$10</f>
        <v>2</v>
      </c>
      <c r="G19" s="473">
        <f t="shared" si="106"/>
        <v>0.59860000000000002</v>
      </c>
      <c r="H19" s="483">
        <f t="shared" si="76"/>
        <v>0.02</v>
      </c>
      <c r="I19" s="484">
        <f t="shared" si="107"/>
        <v>15.2643</v>
      </c>
      <c r="J19" s="491">
        <f>'EF peternakan'!$C$32</f>
        <v>0.01</v>
      </c>
      <c r="K19" s="486">
        <f t="shared" si="0"/>
        <v>0.23986757142857143</v>
      </c>
      <c r="S19" s="472"/>
      <c r="T19" s="490" t="s">
        <v>74</v>
      </c>
      <c r="U19" s="479">
        <f t="shared" si="1"/>
        <v>15.2643</v>
      </c>
      <c r="V19" s="473"/>
      <c r="W19" s="473"/>
      <c r="X19" s="473"/>
      <c r="Y19" s="492"/>
      <c r="AB19" s="472"/>
      <c r="AC19" s="490" t="s">
        <v>74</v>
      </c>
      <c r="AD19" s="479">
        <f t="shared" si="79"/>
        <v>2100</v>
      </c>
      <c r="AE19" s="480">
        <f>'EF peternakan'!$G$10</f>
        <v>0.82</v>
      </c>
      <c r="AF19" s="480">
        <f>'EF peternakan'!$H$10</f>
        <v>2</v>
      </c>
      <c r="AG19" s="482">
        <f t="shared" si="4"/>
        <v>0.59860000000000002</v>
      </c>
      <c r="AH19" s="483">
        <f t="shared" si="5"/>
        <v>0.02</v>
      </c>
      <c r="AI19" s="484">
        <f t="shared" si="6"/>
        <v>25.141199999999998</v>
      </c>
      <c r="AJ19" s="491">
        <f>'EF peternakan'!$C$32</f>
        <v>0.01</v>
      </c>
      <c r="AK19" s="486">
        <f t="shared" si="7"/>
        <v>0.39507599999999993</v>
      </c>
      <c r="AS19" s="472"/>
      <c r="AT19" s="490" t="s">
        <v>74</v>
      </c>
      <c r="AU19" s="479">
        <f t="shared" si="111"/>
        <v>25.141199999999998</v>
      </c>
      <c r="AV19" s="473"/>
      <c r="AW19" s="473"/>
      <c r="AX19" s="473"/>
      <c r="AY19" s="492"/>
      <c r="BB19" s="472"/>
      <c r="BC19" s="490" t="s">
        <v>74</v>
      </c>
      <c r="BD19" s="493">
        <f t="shared" si="124"/>
        <v>3315</v>
      </c>
      <c r="BE19" s="480">
        <f>'EF peternakan'!$G$10</f>
        <v>0.82</v>
      </c>
      <c r="BF19" s="480">
        <f>'EF peternakan'!$H$10</f>
        <v>2</v>
      </c>
      <c r="BG19" s="482">
        <f t="shared" si="112"/>
        <v>0.59860000000000002</v>
      </c>
      <c r="BH19" s="483">
        <f t="shared" si="113"/>
        <v>0.02</v>
      </c>
      <c r="BI19" s="484">
        <f t="shared" si="108"/>
        <v>39.687180000000005</v>
      </c>
      <c r="BJ19" s="491">
        <f>'EF peternakan'!$C$32</f>
        <v>0.01</v>
      </c>
      <c r="BK19" s="486">
        <f t="shared" si="13"/>
        <v>0.62365568571428576</v>
      </c>
      <c r="BS19" s="472"/>
      <c r="BT19" s="490" t="s">
        <v>74</v>
      </c>
      <c r="BU19" s="479">
        <f t="shared" si="114"/>
        <v>39.687180000000005</v>
      </c>
      <c r="BV19" s="473"/>
      <c r="BW19" s="473"/>
      <c r="BX19" s="473"/>
      <c r="BY19" s="492"/>
      <c r="CB19" s="472"/>
      <c r="CC19" s="490" t="s">
        <v>74</v>
      </c>
      <c r="CD19" s="479">
        <f t="shared" si="125"/>
        <v>3466</v>
      </c>
      <c r="CE19" s="480">
        <f>'EF peternakan'!$G$10</f>
        <v>0.82</v>
      </c>
      <c r="CF19" s="480">
        <f>'EF peternakan'!$H$10</f>
        <v>2</v>
      </c>
      <c r="CG19" s="482">
        <f t="shared" si="17"/>
        <v>0.59860000000000002</v>
      </c>
      <c r="CH19" s="483">
        <f t="shared" si="18"/>
        <v>0.02</v>
      </c>
      <c r="CI19" s="484">
        <f t="shared" si="115"/>
        <v>41.494952000000005</v>
      </c>
      <c r="CJ19" s="491">
        <f>'EF peternakan'!$C$32</f>
        <v>0.01</v>
      </c>
      <c r="CK19" s="486">
        <f t="shared" si="20"/>
        <v>0.65206353142857154</v>
      </c>
      <c r="CS19" s="472"/>
      <c r="CT19" s="490" t="s">
        <v>74</v>
      </c>
      <c r="CU19" s="479">
        <f t="shared" si="116"/>
        <v>41.494952000000005</v>
      </c>
      <c r="CV19" s="473"/>
      <c r="CW19" s="473"/>
      <c r="CX19" s="473"/>
      <c r="CY19" s="492"/>
      <c r="DB19" s="472"/>
      <c r="DC19" s="490" t="s">
        <v>74</v>
      </c>
      <c r="DD19" s="493">
        <f t="shared" si="126"/>
        <v>2201</v>
      </c>
      <c r="DE19" s="480">
        <f>'EF peternakan'!$G$10</f>
        <v>0.82</v>
      </c>
      <c r="DF19" s="480">
        <f>'EF peternakan'!$H$10</f>
        <v>2</v>
      </c>
      <c r="DG19" s="482">
        <f t="shared" si="24"/>
        <v>0.59860000000000002</v>
      </c>
      <c r="DH19" s="483">
        <f t="shared" si="25"/>
        <v>0.02</v>
      </c>
      <c r="DI19" s="484">
        <f t="shared" si="26"/>
        <v>26.350372000000004</v>
      </c>
      <c r="DJ19" s="491">
        <f>'EF peternakan'!$C$32</f>
        <v>0.01</v>
      </c>
      <c r="DK19" s="486">
        <f t="shared" si="117"/>
        <v>0.41407727428571434</v>
      </c>
      <c r="DS19" s="472"/>
      <c r="DT19" s="490" t="s">
        <v>74</v>
      </c>
      <c r="DU19" s="479">
        <f t="shared" si="118"/>
        <v>26.350372000000004</v>
      </c>
      <c r="DV19" s="473"/>
      <c r="DW19" s="473"/>
      <c r="DX19" s="473"/>
      <c r="DY19" s="492"/>
      <c r="EB19" s="472"/>
      <c r="EC19" s="490" t="s">
        <v>74</v>
      </c>
      <c r="ED19" s="479">
        <f t="shared" si="91"/>
        <v>2421.1</v>
      </c>
      <c r="EE19" s="480">
        <f>'EF peternakan'!$G$10</f>
        <v>0.82</v>
      </c>
      <c r="EF19" s="480">
        <f>'EF peternakan'!$H$10</f>
        <v>2</v>
      </c>
      <c r="EG19" s="482">
        <f t="shared" si="31"/>
        <v>0.59860000000000002</v>
      </c>
      <c r="EH19" s="483">
        <f t="shared" si="32"/>
        <v>0.02</v>
      </c>
      <c r="EI19" s="484">
        <f t="shared" si="33"/>
        <v>28.985409199999999</v>
      </c>
      <c r="EJ19" s="491">
        <f>'EF peternakan'!$C$32</f>
        <v>0.01</v>
      </c>
      <c r="EK19" s="486">
        <f t="shared" si="34"/>
        <v>0.45548500171428574</v>
      </c>
      <c r="ES19" s="472"/>
      <c r="ET19" s="490" t="s">
        <v>74</v>
      </c>
      <c r="EU19" s="479">
        <f t="shared" si="110"/>
        <v>28.985409199999999</v>
      </c>
      <c r="EV19" s="473"/>
      <c r="EW19" s="473"/>
      <c r="EX19" s="473"/>
      <c r="EY19" s="492"/>
      <c r="FB19" s="472"/>
      <c r="FC19" s="490" t="s">
        <v>74</v>
      </c>
      <c r="FD19" s="479">
        <f t="shared" si="93"/>
        <v>2663.21</v>
      </c>
      <c r="FE19" s="480">
        <f>'EF peternakan'!$G$10</f>
        <v>0.82</v>
      </c>
      <c r="FF19" s="480">
        <f>'EF peternakan'!$H$10</f>
        <v>2</v>
      </c>
      <c r="FG19" s="482">
        <f t="shared" si="38"/>
        <v>0.59860000000000002</v>
      </c>
      <c r="FH19" s="483">
        <f t="shared" si="39"/>
        <v>0.02</v>
      </c>
      <c r="FI19" s="484">
        <f t="shared" si="119"/>
        <v>31.883950120000002</v>
      </c>
      <c r="FJ19" s="491">
        <f>'EF peternakan'!$C$32</f>
        <v>0.01</v>
      </c>
      <c r="FK19" s="486">
        <f t="shared" si="120"/>
        <v>0.50103350188571438</v>
      </c>
      <c r="FS19" s="472"/>
      <c r="FT19" s="490" t="s">
        <v>74</v>
      </c>
      <c r="FU19" s="479">
        <f t="shared" si="94"/>
        <v>31.883950120000002</v>
      </c>
      <c r="FV19" s="473"/>
      <c r="FW19" s="473"/>
      <c r="FX19" s="473"/>
      <c r="FY19" s="492"/>
      <c r="GB19" s="472"/>
      <c r="GC19" s="490" t="s">
        <v>74</v>
      </c>
      <c r="GD19" s="479">
        <f t="shared" si="97"/>
        <v>2929.5309999999999</v>
      </c>
      <c r="GE19" s="480">
        <f>'EF peternakan'!$G$10</f>
        <v>0.82</v>
      </c>
      <c r="GF19" s="480">
        <f>'EF peternakan'!$H$10</f>
        <v>2</v>
      </c>
      <c r="GG19" s="482">
        <f t="shared" si="44"/>
        <v>0.59860000000000002</v>
      </c>
      <c r="GH19" s="483">
        <f t="shared" si="45"/>
        <v>0.02</v>
      </c>
      <c r="GI19" s="484">
        <f t="shared" si="121"/>
        <v>35.072345132000002</v>
      </c>
      <c r="GJ19" s="491">
        <f>'EF peternakan'!$C$32</f>
        <v>0.01</v>
      </c>
      <c r="GK19" s="486">
        <f t="shared" si="122"/>
        <v>0.55113685207428575</v>
      </c>
      <c r="GS19" s="472"/>
      <c r="GT19" s="490" t="s">
        <v>74</v>
      </c>
      <c r="GU19" s="479">
        <f t="shared" si="48"/>
        <v>35.072345132000002</v>
      </c>
      <c r="GV19" s="473"/>
      <c r="GW19" s="473"/>
      <c r="GX19" s="473"/>
      <c r="GY19" s="492"/>
      <c r="HB19" s="472"/>
      <c r="HC19" s="490" t="s">
        <v>74</v>
      </c>
      <c r="HD19" s="479">
        <f t="shared" si="99"/>
        <v>3222.4841000000001</v>
      </c>
      <c r="HE19" s="480">
        <f>'EF peternakan'!$G$10</f>
        <v>0.82</v>
      </c>
      <c r="HF19" s="480">
        <f>'EF peternakan'!$H$10</f>
        <v>2</v>
      </c>
      <c r="HG19" s="482">
        <f t="shared" si="52"/>
        <v>0.59860000000000002</v>
      </c>
      <c r="HH19" s="483">
        <f t="shared" si="53"/>
        <v>0.02</v>
      </c>
      <c r="HI19" s="484">
        <f t="shared" si="54"/>
        <v>38.579579645199999</v>
      </c>
      <c r="HJ19" s="491">
        <f>'EF peternakan'!$C$32</f>
        <v>0.01</v>
      </c>
      <c r="HK19" s="486">
        <f t="shared" si="55"/>
        <v>0.6062505372817143</v>
      </c>
      <c r="HS19" s="472"/>
      <c r="HT19" s="490" t="s">
        <v>74</v>
      </c>
      <c r="HU19" s="479">
        <f t="shared" si="100"/>
        <v>38.579579645199999</v>
      </c>
      <c r="HV19" s="473"/>
      <c r="HW19" s="473"/>
      <c r="HX19" s="473"/>
      <c r="HY19" s="492"/>
      <c r="IB19" s="472"/>
      <c r="IC19" s="490" t="s">
        <v>74</v>
      </c>
      <c r="ID19" s="479">
        <f t="shared" si="102"/>
        <v>3544.7325100000003</v>
      </c>
      <c r="IE19" s="480">
        <f>'EF peternakan'!$G$10</f>
        <v>0.82</v>
      </c>
      <c r="IF19" s="480">
        <f>'EF peternakan'!$H$10</f>
        <v>2</v>
      </c>
      <c r="IG19" s="482">
        <f t="shared" si="59"/>
        <v>0.59860000000000002</v>
      </c>
      <c r="IH19" s="483">
        <f t="shared" si="60"/>
        <v>0.02</v>
      </c>
      <c r="II19" s="484">
        <f t="shared" si="61"/>
        <v>42.437537609720003</v>
      </c>
      <c r="IJ19" s="491">
        <f>'EF peternakan'!$C$32</f>
        <v>0.01</v>
      </c>
      <c r="IK19" s="486">
        <f t="shared" si="62"/>
        <v>0.6668755910098858</v>
      </c>
      <c r="IS19" s="472"/>
      <c r="IT19" s="490" t="s">
        <v>74</v>
      </c>
      <c r="IU19" s="479">
        <f t="shared" si="63"/>
        <v>42.437537609720003</v>
      </c>
      <c r="IV19" s="473"/>
      <c r="IW19" s="473"/>
      <c r="IX19" s="473"/>
      <c r="IY19" s="492"/>
      <c r="JB19" s="472"/>
      <c r="JC19" s="490" t="s">
        <v>74</v>
      </c>
      <c r="JD19" s="479">
        <f t="shared" si="104"/>
        <v>0</v>
      </c>
      <c r="JE19" s="480">
        <f>'EF peternakan'!$G$10</f>
        <v>0.82</v>
      </c>
      <c r="JF19" s="480">
        <f>'EF peternakan'!$H$10</f>
        <v>2</v>
      </c>
      <c r="JG19" s="482">
        <f t="shared" si="67"/>
        <v>0.59860000000000002</v>
      </c>
      <c r="JH19" s="483">
        <f t="shared" si="68"/>
        <v>0.02</v>
      </c>
      <c r="JI19" s="484">
        <f t="shared" si="69"/>
        <v>0</v>
      </c>
      <c r="JJ19" s="491">
        <f>'EF peternakan'!$C$32</f>
        <v>0.01</v>
      </c>
      <c r="JK19" s="486">
        <f t="shared" si="70"/>
        <v>0</v>
      </c>
      <c r="JS19" s="472"/>
      <c r="JT19" s="490" t="s">
        <v>74</v>
      </c>
      <c r="JU19" s="479">
        <f t="shared" si="71"/>
        <v>0</v>
      </c>
      <c r="JV19" s="473"/>
      <c r="JW19" s="473"/>
      <c r="JX19" s="473"/>
      <c r="JY19" s="492"/>
    </row>
    <row r="20" spans="2:286" x14ac:dyDescent="0.25">
      <c r="B20" s="489"/>
      <c r="C20" s="490" t="s">
        <v>75</v>
      </c>
      <c r="D20" s="479">
        <f t="shared" si="123"/>
        <v>12890</v>
      </c>
      <c r="E20" s="480">
        <f>'EF peternakan'!$G$13</f>
        <v>0.83</v>
      </c>
      <c r="F20" s="481">
        <f>'EF peternakan'!$H$13</f>
        <v>2</v>
      </c>
      <c r="G20" s="473">
        <f t="shared" si="106"/>
        <v>0.60589999999999999</v>
      </c>
      <c r="H20" s="483">
        <f t="shared" si="76"/>
        <v>0.02</v>
      </c>
      <c r="I20" s="484">
        <f t="shared" si="107"/>
        <v>156.20102</v>
      </c>
      <c r="J20" s="491">
        <f>'EF peternakan'!$C$32</f>
        <v>0.01</v>
      </c>
      <c r="K20" s="486">
        <f t="shared" si="0"/>
        <v>2.454587457142857</v>
      </c>
      <c r="S20" s="489"/>
      <c r="T20" s="490" t="s">
        <v>75</v>
      </c>
      <c r="U20" s="479">
        <f t="shared" si="1"/>
        <v>156.20102</v>
      </c>
      <c r="V20" s="473"/>
      <c r="W20" s="473"/>
      <c r="X20" s="473"/>
      <c r="Y20" s="492"/>
      <c r="AB20" s="489"/>
      <c r="AC20" s="490" t="s">
        <v>75</v>
      </c>
      <c r="AD20" s="479">
        <f t="shared" si="79"/>
        <v>16602</v>
      </c>
      <c r="AE20" s="480">
        <f>'EF peternakan'!$G$13</f>
        <v>0.83</v>
      </c>
      <c r="AF20" s="480">
        <f>'EF peternakan'!$H$13</f>
        <v>2</v>
      </c>
      <c r="AG20" s="482">
        <f t="shared" si="4"/>
        <v>0.60589999999999999</v>
      </c>
      <c r="AH20" s="483">
        <f t="shared" si="5"/>
        <v>0.02</v>
      </c>
      <c r="AI20" s="484">
        <f t="shared" si="6"/>
        <v>201.18303599999999</v>
      </c>
      <c r="AJ20" s="491">
        <f>'EF peternakan'!$C$32</f>
        <v>0.01</v>
      </c>
      <c r="AK20" s="486">
        <f t="shared" si="7"/>
        <v>3.1614477085714281</v>
      </c>
      <c r="AS20" s="489"/>
      <c r="AT20" s="490" t="s">
        <v>75</v>
      </c>
      <c r="AU20" s="479">
        <f t="shared" si="111"/>
        <v>201.18303599999999</v>
      </c>
      <c r="AV20" s="473"/>
      <c r="AW20" s="473"/>
      <c r="AX20" s="473"/>
      <c r="AY20" s="492"/>
      <c r="BB20" s="489"/>
      <c r="BC20" s="490" t="s">
        <v>75</v>
      </c>
      <c r="BD20" s="493">
        <f t="shared" si="124"/>
        <v>18117</v>
      </c>
      <c r="BE20" s="480">
        <f>'EF peternakan'!$G$13</f>
        <v>0.83</v>
      </c>
      <c r="BF20" s="480">
        <f>'EF peternakan'!$H$13</f>
        <v>2</v>
      </c>
      <c r="BG20" s="482">
        <f t="shared" si="112"/>
        <v>0.60589999999999999</v>
      </c>
      <c r="BH20" s="483">
        <f t="shared" si="113"/>
        <v>0.02</v>
      </c>
      <c r="BI20" s="484">
        <f t="shared" si="108"/>
        <v>219.54180600000001</v>
      </c>
      <c r="BJ20" s="491">
        <f>'EF peternakan'!$C$32</f>
        <v>0.01</v>
      </c>
      <c r="BK20" s="486">
        <f t="shared" si="13"/>
        <v>3.449942665714286</v>
      </c>
      <c r="BS20" s="489"/>
      <c r="BT20" s="490" t="s">
        <v>75</v>
      </c>
      <c r="BU20" s="479">
        <f t="shared" si="114"/>
        <v>219.54180600000001</v>
      </c>
      <c r="BV20" s="473"/>
      <c r="BW20" s="473"/>
      <c r="BX20" s="473"/>
      <c r="BY20" s="492"/>
      <c r="CB20" s="489"/>
      <c r="CC20" s="490" t="s">
        <v>75</v>
      </c>
      <c r="CD20" s="479">
        <f t="shared" si="125"/>
        <v>35648</v>
      </c>
      <c r="CE20" s="480">
        <f>'EF peternakan'!$G$13</f>
        <v>0.83</v>
      </c>
      <c r="CF20" s="480">
        <f>'EF peternakan'!$H$13</f>
        <v>2</v>
      </c>
      <c r="CG20" s="482">
        <f t="shared" si="17"/>
        <v>0.60589999999999999</v>
      </c>
      <c r="CH20" s="483">
        <f t="shared" si="18"/>
        <v>0.02</v>
      </c>
      <c r="CI20" s="484">
        <f t="shared" si="115"/>
        <v>431.98246399999999</v>
      </c>
      <c r="CJ20" s="491">
        <f>'EF peternakan'!$C$32</f>
        <v>0.01</v>
      </c>
      <c r="CK20" s="486">
        <f t="shared" si="20"/>
        <v>6.7882958628571428</v>
      </c>
      <c r="CS20" s="489"/>
      <c r="CT20" s="490" t="s">
        <v>75</v>
      </c>
      <c r="CU20" s="479">
        <f t="shared" si="116"/>
        <v>431.98246399999999</v>
      </c>
      <c r="CV20" s="473"/>
      <c r="CW20" s="473"/>
      <c r="CX20" s="473"/>
      <c r="CY20" s="492"/>
      <c r="DB20" s="489"/>
      <c r="DC20" s="490" t="s">
        <v>75</v>
      </c>
      <c r="DD20" s="493">
        <f t="shared" si="126"/>
        <v>38896</v>
      </c>
      <c r="DE20" s="480">
        <f>'EF peternakan'!$G$13</f>
        <v>0.83</v>
      </c>
      <c r="DF20" s="480">
        <f>'EF peternakan'!$H$13</f>
        <v>2</v>
      </c>
      <c r="DG20" s="482">
        <f t="shared" si="24"/>
        <v>0.60589999999999999</v>
      </c>
      <c r="DH20" s="483">
        <f t="shared" si="25"/>
        <v>0.02</v>
      </c>
      <c r="DI20" s="484">
        <f t="shared" si="26"/>
        <v>471.34172799999999</v>
      </c>
      <c r="DJ20" s="491">
        <f>'EF peternakan'!$C$32</f>
        <v>0.01</v>
      </c>
      <c r="DK20" s="486">
        <f t="shared" si="117"/>
        <v>7.4067985828571423</v>
      </c>
      <c r="DS20" s="489"/>
      <c r="DT20" s="490" t="s">
        <v>75</v>
      </c>
      <c r="DU20" s="479">
        <f t="shared" si="118"/>
        <v>471.34172799999999</v>
      </c>
      <c r="DV20" s="473"/>
      <c r="DW20" s="473"/>
      <c r="DX20" s="473"/>
      <c r="DY20" s="492"/>
      <c r="EB20" s="489"/>
      <c r="EC20" s="490" t="s">
        <v>75</v>
      </c>
      <c r="ED20" s="479">
        <f t="shared" si="91"/>
        <v>42785.599999999999</v>
      </c>
      <c r="EE20" s="480">
        <f>'EF peternakan'!$G$13</f>
        <v>0.83</v>
      </c>
      <c r="EF20" s="480">
        <f>'EF peternakan'!$H$13</f>
        <v>2</v>
      </c>
      <c r="EG20" s="482">
        <f t="shared" si="31"/>
        <v>0.60589999999999999</v>
      </c>
      <c r="EH20" s="483">
        <f t="shared" si="32"/>
        <v>0.02</v>
      </c>
      <c r="EI20" s="484">
        <f t="shared" si="33"/>
        <v>518.47590079999998</v>
      </c>
      <c r="EJ20" s="491">
        <f>'EF peternakan'!$C$32</f>
        <v>0.01</v>
      </c>
      <c r="EK20" s="486">
        <f t="shared" si="34"/>
        <v>8.1474784411428569</v>
      </c>
      <c r="ES20" s="489"/>
      <c r="ET20" s="490" t="s">
        <v>75</v>
      </c>
      <c r="EU20" s="479">
        <f t="shared" si="110"/>
        <v>518.47590079999998</v>
      </c>
      <c r="EV20" s="473"/>
      <c r="EW20" s="473"/>
      <c r="EX20" s="473"/>
      <c r="EY20" s="492"/>
      <c r="FB20" s="489"/>
      <c r="FC20" s="490" t="s">
        <v>75</v>
      </c>
      <c r="FD20" s="479">
        <f t="shared" si="93"/>
        <v>47064.159999999996</v>
      </c>
      <c r="FE20" s="480">
        <f>'EF peternakan'!$G$13</f>
        <v>0.83</v>
      </c>
      <c r="FF20" s="480">
        <f>'EF peternakan'!$H$13</f>
        <v>2</v>
      </c>
      <c r="FG20" s="482">
        <f t="shared" si="38"/>
        <v>0.60589999999999999</v>
      </c>
      <c r="FH20" s="483">
        <f t="shared" si="39"/>
        <v>0.02</v>
      </c>
      <c r="FI20" s="484">
        <f t="shared" si="119"/>
        <v>570.32349088000001</v>
      </c>
      <c r="FJ20" s="491">
        <f>'EF peternakan'!$C$32</f>
        <v>0.01</v>
      </c>
      <c r="FK20" s="486">
        <f t="shared" si="120"/>
        <v>8.9622262852571417</v>
      </c>
      <c r="FS20" s="489"/>
      <c r="FT20" s="490" t="s">
        <v>75</v>
      </c>
      <c r="FU20" s="479">
        <f t="shared" si="94"/>
        <v>570.32349088000001</v>
      </c>
      <c r="FV20" s="473"/>
      <c r="FW20" s="473"/>
      <c r="FX20" s="473"/>
      <c r="FY20" s="492"/>
      <c r="GB20" s="489"/>
      <c r="GC20" s="490" t="s">
        <v>75</v>
      </c>
      <c r="GD20" s="479">
        <f t="shared" si="97"/>
        <v>51770.575999999994</v>
      </c>
      <c r="GE20" s="480">
        <f>'EF peternakan'!$G$13</f>
        <v>0.83</v>
      </c>
      <c r="GF20" s="480">
        <f>'EF peternakan'!$H$13</f>
        <v>2</v>
      </c>
      <c r="GG20" s="482">
        <f t="shared" si="44"/>
        <v>0.60589999999999999</v>
      </c>
      <c r="GH20" s="483">
        <f t="shared" si="45"/>
        <v>0.02</v>
      </c>
      <c r="GI20" s="484">
        <f t="shared" si="121"/>
        <v>627.35583996799994</v>
      </c>
      <c r="GJ20" s="491">
        <f>'EF peternakan'!$C$32</f>
        <v>0.01</v>
      </c>
      <c r="GK20" s="486">
        <f t="shared" si="122"/>
        <v>9.8584489137828566</v>
      </c>
      <c r="GS20" s="489"/>
      <c r="GT20" s="490" t="s">
        <v>75</v>
      </c>
      <c r="GU20" s="479">
        <f t="shared" si="48"/>
        <v>627.35583996799994</v>
      </c>
      <c r="GV20" s="473"/>
      <c r="GW20" s="473"/>
      <c r="GX20" s="473"/>
      <c r="GY20" s="492"/>
      <c r="HB20" s="489"/>
      <c r="HC20" s="490" t="s">
        <v>75</v>
      </c>
      <c r="HD20" s="479">
        <f t="shared" si="99"/>
        <v>56947.633599999994</v>
      </c>
      <c r="HE20" s="480">
        <f>'EF peternakan'!$G$13</f>
        <v>0.83</v>
      </c>
      <c r="HF20" s="480">
        <f>'EF peternakan'!$H$13</f>
        <v>2</v>
      </c>
      <c r="HG20" s="482">
        <f t="shared" si="52"/>
        <v>0.60589999999999999</v>
      </c>
      <c r="HH20" s="483">
        <f t="shared" si="53"/>
        <v>0.02</v>
      </c>
      <c r="HI20" s="484">
        <f t="shared" si="54"/>
        <v>690.0914239647999</v>
      </c>
      <c r="HJ20" s="491">
        <f>'EF peternakan'!$C$32</f>
        <v>0.01</v>
      </c>
      <c r="HK20" s="486">
        <f t="shared" si="55"/>
        <v>10.844293805161142</v>
      </c>
      <c r="HS20" s="489"/>
      <c r="HT20" s="490" t="s">
        <v>75</v>
      </c>
      <c r="HU20" s="479">
        <f t="shared" si="100"/>
        <v>690.0914239647999</v>
      </c>
      <c r="HV20" s="473"/>
      <c r="HW20" s="473"/>
      <c r="HX20" s="473"/>
      <c r="HY20" s="492"/>
      <c r="IB20" s="489"/>
      <c r="IC20" s="490" t="s">
        <v>75</v>
      </c>
      <c r="ID20" s="479">
        <f t="shared" si="102"/>
        <v>62642.396959999991</v>
      </c>
      <c r="IE20" s="480">
        <f>'EF peternakan'!$G$13</f>
        <v>0.83</v>
      </c>
      <c r="IF20" s="480">
        <f>'EF peternakan'!$H$13</f>
        <v>2</v>
      </c>
      <c r="IG20" s="482">
        <f t="shared" si="59"/>
        <v>0.60589999999999999</v>
      </c>
      <c r="IH20" s="483">
        <f t="shared" si="60"/>
        <v>0.02</v>
      </c>
      <c r="II20" s="484">
        <f t="shared" si="61"/>
        <v>759.1005663612799</v>
      </c>
      <c r="IJ20" s="491">
        <f>'EF peternakan'!$C$32</f>
        <v>0.01</v>
      </c>
      <c r="IK20" s="486">
        <f t="shared" si="62"/>
        <v>11.928723185677256</v>
      </c>
      <c r="IS20" s="489"/>
      <c r="IT20" s="490" t="s">
        <v>75</v>
      </c>
      <c r="IU20" s="479">
        <f t="shared" si="63"/>
        <v>759.1005663612799</v>
      </c>
      <c r="IV20" s="473"/>
      <c r="IW20" s="473"/>
      <c r="IX20" s="473"/>
      <c r="IY20" s="492"/>
      <c r="JB20" s="489"/>
      <c r="JC20" s="490" t="s">
        <v>75</v>
      </c>
      <c r="JD20" s="479">
        <f t="shared" si="104"/>
        <v>0</v>
      </c>
      <c r="JE20" s="480">
        <f>'EF peternakan'!$G$13</f>
        <v>0.83</v>
      </c>
      <c r="JF20" s="480">
        <f>'EF peternakan'!$H$13</f>
        <v>2</v>
      </c>
      <c r="JG20" s="482">
        <f t="shared" si="67"/>
        <v>0.60589999999999999</v>
      </c>
      <c r="JH20" s="483">
        <f t="shared" si="68"/>
        <v>0.02</v>
      </c>
      <c r="JI20" s="484">
        <f t="shared" si="69"/>
        <v>0</v>
      </c>
      <c r="JJ20" s="491">
        <f>'EF peternakan'!$C$32</f>
        <v>0.01</v>
      </c>
      <c r="JK20" s="486">
        <f t="shared" si="70"/>
        <v>0</v>
      </c>
      <c r="JS20" s="489"/>
      <c r="JT20" s="490" t="s">
        <v>75</v>
      </c>
      <c r="JU20" s="479">
        <f t="shared" si="71"/>
        <v>0</v>
      </c>
      <c r="JV20" s="473"/>
      <c r="JW20" s="473"/>
      <c r="JX20" s="473"/>
      <c r="JY20" s="492"/>
    </row>
    <row r="21" spans="2:286" x14ac:dyDescent="0.25">
      <c r="B21" s="489"/>
      <c r="C21" s="494" t="s">
        <v>66</v>
      </c>
      <c r="D21" s="479">
        <f t="shared" si="123"/>
        <v>0</v>
      </c>
      <c r="E21" s="480">
        <f>'EF peternakan'!$G$7</f>
        <v>0.5</v>
      </c>
      <c r="F21" s="481">
        <f>'EF peternakan'!$H$7</f>
        <v>100</v>
      </c>
      <c r="G21" s="473">
        <f t="shared" si="106"/>
        <v>18.25</v>
      </c>
      <c r="H21" s="483">
        <f t="shared" si="76"/>
        <v>0.02</v>
      </c>
      <c r="I21" s="484">
        <f>D21*G21*H21</f>
        <v>0</v>
      </c>
      <c r="J21" s="485">
        <v>0.02</v>
      </c>
      <c r="K21" s="486">
        <f t="shared" si="0"/>
        <v>0</v>
      </c>
      <c r="S21" s="489"/>
      <c r="T21" s="494" t="s">
        <v>66</v>
      </c>
      <c r="U21" s="479">
        <f t="shared" si="1"/>
        <v>0</v>
      </c>
      <c r="V21" s="473"/>
      <c r="W21" s="473"/>
      <c r="X21" s="473"/>
      <c r="Y21" s="492"/>
      <c r="AB21" s="489"/>
      <c r="AC21" s="494" t="s">
        <v>66</v>
      </c>
      <c r="AD21" s="479">
        <f>D49</f>
        <v>2575</v>
      </c>
      <c r="AE21" s="480">
        <f>'EF peternakan'!$G$7</f>
        <v>0.5</v>
      </c>
      <c r="AF21" s="480">
        <f>'EF peternakan'!$H$7</f>
        <v>100</v>
      </c>
      <c r="AG21" s="482">
        <f t="shared" si="4"/>
        <v>18.25</v>
      </c>
      <c r="AH21" s="483">
        <f t="shared" si="5"/>
        <v>0.02</v>
      </c>
      <c r="AI21" s="484">
        <f>AD21*AG21*AH21</f>
        <v>939.875</v>
      </c>
      <c r="AJ21" s="485">
        <v>0.02</v>
      </c>
      <c r="AK21" s="486">
        <f t="shared" si="7"/>
        <v>29.538928571428571</v>
      </c>
      <c r="AS21" s="489"/>
      <c r="AT21" s="494" t="s">
        <v>66</v>
      </c>
      <c r="AU21" s="479">
        <f>AI21</f>
        <v>939.875</v>
      </c>
      <c r="AV21" s="473"/>
      <c r="AW21" s="473"/>
      <c r="AX21" s="473"/>
      <c r="AY21" s="492"/>
      <c r="BB21" s="489"/>
      <c r="BC21" s="494" t="s">
        <v>66</v>
      </c>
      <c r="BD21" s="493">
        <f>E49</f>
        <v>2580</v>
      </c>
      <c r="BE21" s="480">
        <f>'EF peternakan'!$G$7</f>
        <v>0.5</v>
      </c>
      <c r="BF21" s="480">
        <f>'EF peternakan'!$H$7</f>
        <v>100</v>
      </c>
      <c r="BG21" s="482">
        <f t="shared" si="112"/>
        <v>18.25</v>
      </c>
      <c r="BH21" s="483">
        <f t="shared" si="113"/>
        <v>0.02</v>
      </c>
      <c r="BI21" s="484">
        <f t="shared" si="108"/>
        <v>941.7</v>
      </c>
      <c r="BJ21" s="485">
        <v>0.02</v>
      </c>
      <c r="BK21" s="486">
        <f t="shared" si="13"/>
        <v>29.596285714285713</v>
      </c>
      <c r="BS21" s="489"/>
      <c r="BT21" s="494" t="s">
        <v>66</v>
      </c>
      <c r="BU21" s="479">
        <f t="shared" si="114"/>
        <v>941.7</v>
      </c>
      <c r="BV21" s="473"/>
      <c r="BW21" s="473"/>
      <c r="BX21" s="473"/>
      <c r="BY21" s="492"/>
      <c r="CB21" s="489"/>
      <c r="CC21" s="494" t="s">
        <v>66</v>
      </c>
      <c r="CD21" s="479">
        <f>F49</f>
        <v>2885</v>
      </c>
      <c r="CE21" s="480">
        <f>'EF peternakan'!$G$7</f>
        <v>0.5</v>
      </c>
      <c r="CF21" s="480">
        <f>'EF peternakan'!$H$7</f>
        <v>100</v>
      </c>
      <c r="CG21" s="482">
        <f t="shared" si="17"/>
        <v>18.25</v>
      </c>
      <c r="CH21" s="483">
        <f t="shared" si="18"/>
        <v>0.02</v>
      </c>
      <c r="CI21" s="484">
        <f t="shared" si="115"/>
        <v>1053.0250000000001</v>
      </c>
      <c r="CJ21" s="485">
        <v>0.02</v>
      </c>
      <c r="CK21" s="486">
        <f t="shared" si="20"/>
        <v>33.09507142857143</v>
      </c>
      <c r="CS21" s="489"/>
      <c r="CT21" s="494" t="s">
        <v>66</v>
      </c>
      <c r="CU21" s="479">
        <f t="shared" si="116"/>
        <v>1053.0250000000001</v>
      </c>
      <c r="CV21" s="473"/>
      <c r="CW21" s="473"/>
      <c r="CX21" s="473"/>
      <c r="CY21" s="492"/>
      <c r="DB21" s="489"/>
      <c r="DC21" s="494" t="s">
        <v>66</v>
      </c>
      <c r="DD21" s="493">
        <f t="shared" si="126"/>
        <v>3071</v>
      </c>
      <c r="DE21" s="480">
        <f>'EF peternakan'!$G$7</f>
        <v>0.5</v>
      </c>
      <c r="DF21" s="480">
        <f>'EF peternakan'!$H$7</f>
        <v>100</v>
      </c>
      <c r="DG21" s="482">
        <f t="shared" si="24"/>
        <v>18.25</v>
      </c>
      <c r="DH21" s="483">
        <f t="shared" si="25"/>
        <v>0.02</v>
      </c>
      <c r="DI21" s="484">
        <f t="shared" si="26"/>
        <v>1120.915</v>
      </c>
      <c r="DJ21" s="485">
        <v>0.02</v>
      </c>
      <c r="DK21" s="486">
        <f t="shared" si="117"/>
        <v>35.228757142857141</v>
      </c>
      <c r="DS21" s="489"/>
      <c r="DT21" s="494" t="s">
        <v>66</v>
      </c>
      <c r="DU21" s="479">
        <f t="shared" si="118"/>
        <v>1120.915</v>
      </c>
      <c r="DV21" s="473"/>
      <c r="DW21" s="473"/>
      <c r="DX21" s="473"/>
      <c r="DY21" s="492"/>
      <c r="EB21" s="489"/>
      <c r="EC21" s="494" t="s">
        <v>66</v>
      </c>
      <c r="ED21" s="479">
        <f t="shared" si="91"/>
        <v>3218</v>
      </c>
      <c r="EE21" s="480">
        <f>'EF peternakan'!$G$7</f>
        <v>0.5</v>
      </c>
      <c r="EF21" s="480">
        <f>'EF peternakan'!$H$7</f>
        <v>100</v>
      </c>
      <c r="EG21" s="482">
        <f t="shared" si="31"/>
        <v>18.25</v>
      </c>
      <c r="EH21" s="483">
        <f t="shared" si="32"/>
        <v>0.02</v>
      </c>
      <c r="EI21" s="484">
        <f t="shared" si="33"/>
        <v>1174.57</v>
      </c>
      <c r="EJ21" s="485">
        <v>0.02</v>
      </c>
      <c r="EK21" s="486">
        <f t="shared" si="34"/>
        <v>36.915057142857137</v>
      </c>
      <c r="ES21" s="489"/>
      <c r="ET21" s="494" t="s">
        <v>66</v>
      </c>
      <c r="EU21" s="479">
        <f t="shared" si="110"/>
        <v>1174.57</v>
      </c>
      <c r="EV21" s="473"/>
      <c r="EW21" s="473"/>
      <c r="EX21" s="473"/>
      <c r="EY21" s="492"/>
      <c r="FB21" s="489"/>
      <c r="FC21" s="494" t="s">
        <v>66</v>
      </c>
      <c r="FD21" s="479">
        <f t="shared" si="93"/>
        <v>2821</v>
      </c>
      <c r="FE21" s="480">
        <f>'EF peternakan'!$G$7</f>
        <v>0.5</v>
      </c>
      <c r="FF21" s="480">
        <f>'EF peternakan'!$H$7</f>
        <v>100</v>
      </c>
      <c r="FG21" s="482">
        <f t="shared" si="38"/>
        <v>18.25</v>
      </c>
      <c r="FH21" s="483">
        <f t="shared" si="39"/>
        <v>0.02</v>
      </c>
      <c r="FI21" s="484">
        <f t="shared" si="119"/>
        <v>1029.665</v>
      </c>
      <c r="FJ21" s="485">
        <v>0.02</v>
      </c>
      <c r="FK21" s="486">
        <f t="shared" si="120"/>
        <v>32.360900000000001</v>
      </c>
      <c r="FS21" s="489"/>
      <c r="FT21" s="494" t="s">
        <v>66</v>
      </c>
      <c r="FU21" s="479">
        <f t="shared" si="94"/>
        <v>1029.665</v>
      </c>
      <c r="FV21" s="473"/>
      <c r="FW21" s="473"/>
      <c r="FX21" s="473"/>
      <c r="FY21" s="492"/>
      <c r="GB21" s="489"/>
      <c r="GC21" s="494" t="s">
        <v>66</v>
      </c>
      <c r="GD21" s="479">
        <f t="shared" si="97"/>
        <v>2877</v>
      </c>
      <c r="GE21" s="480">
        <f>'EF peternakan'!$G$7</f>
        <v>0.5</v>
      </c>
      <c r="GF21" s="480">
        <f>'EF peternakan'!$H$7</f>
        <v>100</v>
      </c>
      <c r="GG21" s="482">
        <f t="shared" si="44"/>
        <v>18.25</v>
      </c>
      <c r="GH21" s="483">
        <f t="shared" si="45"/>
        <v>0.02</v>
      </c>
      <c r="GI21" s="484">
        <f t="shared" si="121"/>
        <v>1050.105</v>
      </c>
      <c r="GJ21" s="485">
        <v>0.02</v>
      </c>
      <c r="GK21" s="486">
        <f t="shared" si="122"/>
        <v>33.003300000000003</v>
      </c>
      <c r="GS21" s="489"/>
      <c r="GT21" s="494" t="s">
        <v>66</v>
      </c>
      <c r="GU21" s="479">
        <f t="shared" si="48"/>
        <v>1050.105</v>
      </c>
      <c r="GV21" s="473"/>
      <c r="GW21" s="473"/>
      <c r="GX21" s="473"/>
      <c r="GY21" s="492"/>
      <c r="HB21" s="489"/>
      <c r="HC21" s="494" t="s">
        <v>66</v>
      </c>
      <c r="HD21" s="479">
        <f t="shared" si="99"/>
        <v>2934</v>
      </c>
      <c r="HE21" s="480">
        <f>'EF peternakan'!$G$7</f>
        <v>0.5</v>
      </c>
      <c r="HF21" s="480">
        <f>'EF peternakan'!$H$7</f>
        <v>100</v>
      </c>
      <c r="HG21" s="482">
        <f t="shared" si="52"/>
        <v>18.25</v>
      </c>
      <c r="HH21" s="483">
        <f t="shared" si="53"/>
        <v>0.02</v>
      </c>
      <c r="HI21" s="484">
        <f t="shared" si="54"/>
        <v>1070.9100000000001</v>
      </c>
      <c r="HJ21" s="485">
        <v>0.02</v>
      </c>
      <c r="HK21" s="486">
        <f t="shared" si="55"/>
        <v>33.657171428571431</v>
      </c>
      <c r="HS21" s="489"/>
      <c r="HT21" s="494" t="s">
        <v>66</v>
      </c>
      <c r="HU21" s="479">
        <f t="shared" si="100"/>
        <v>1070.9100000000001</v>
      </c>
      <c r="HV21" s="473"/>
      <c r="HW21" s="473"/>
      <c r="HX21" s="473"/>
      <c r="HY21" s="492"/>
      <c r="IB21" s="489"/>
      <c r="IC21" s="494" t="s">
        <v>66</v>
      </c>
      <c r="ID21" s="479">
        <f t="shared" si="102"/>
        <v>2994</v>
      </c>
      <c r="IE21" s="480">
        <f>'EF peternakan'!$G$7</f>
        <v>0.5</v>
      </c>
      <c r="IF21" s="480">
        <f>'EF peternakan'!$H$7</f>
        <v>100</v>
      </c>
      <c r="IG21" s="482">
        <f t="shared" si="59"/>
        <v>18.25</v>
      </c>
      <c r="IH21" s="483">
        <f t="shared" si="60"/>
        <v>0.02</v>
      </c>
      <c r="II21" s="484">
        <f t="shared" si="61"/>
        <v>1092.81</v>
      </c>
      <c r="IJ21" s="485">
        <v>0.02</v>
      </c>
      <c r="IK21" s="486">
        <f t="shared" si="62"/>
        <v>34.345457142857136</v>
      </c>
      <c r="IS21" s="489"/>
      <c r="IT21" s="494" t="s">
        <v>66</v>
      </c>
      <c r="IU21" s="479">
        <f t="shared" si="63"/>
        <v>1092.81</v>
      </c>
      <c r="IV21" s="473"/>
      <c r="IW21" s="473"/>
      <c r="IX21" s="473"/>
      <c r="IY21" s="492"/>
      <c r="JB21" s="489"/>
      <c r="JC21" s="494" t="s">
        <v>66</v>
      </c>
      <c r="JD21" s="479">
        <f t="shared" si="104"/>
        <v>0</v>
      </c>
      <c r="JE21" s="480">
        <f>'EF peternakan'!$G$7</f>
        <v>0.5</v>
      </c>
      <c r="JF21" s="480">
        <f>'EF peternakan'!$H$7</f>
        <v>100</v>
      </c>
      <c r="JG21" s="482">
        <f t="shared" si="67"/>
        <v>18.25</v>
      </c>
      <c r="JH21" s="483">
        <f t="shared" si="68"/>
        <v>0.02</v>
      </c>
      <c r="JI21" s="484">
        <f t="shared" si="69"/>
        <v>0</v>
      </c>
      <c r="JJ21" s="485">
        <v>0.02</v>
      </c>
      <c r="JK21" s="486">
        <f t="shared" si="70"/>
        <v>0</v>
      </c>
      <c r="JS21" s="489"/>
      <c r="JT21" s="494" t="s">
        <v>66</v>
      </c>
      <c r="JU21" s="479">
        <f t="shared" si="71"/>
        <v>0</v>
      </c>
      <c r="JV21" s="473"/>
      <c r="JW21" s="473"/>
      <c r="JX21" s="473"/>
      <c r="JY21" s="492"/>
    </row>
    <row r="22" spans="2:286" x14ac:dyDescent="0.25">
      <c r="B22" s="489"/>
      <c r="C22" s="490"/>
      <c r="D22" s="493"/>
      <c r="E22" s="473"/>
      <c r="F22" s="473"/>
      <c r="G22" s="473"/>
      <c r="H22" s="475"/>
      <c r="I22" s="475"/>
      <c r="J22" s="475"/>
      <c r="K22" s="476"/>
      <c r="S22" s="489"/>
      <c r="T22" s="490"/>
      <c r="U22" s="493"/>
      <c r="V22" s="473"/>
      <c r="W22" s="473"/>
      <c r="X22" s="473"/>
      <c r="Y22" s="492"/>
      <c r="AB22" s="489"/>
      <c r="AC22" s="490"/>
      <c r="AD22" s="493"/>
      <c r="AE22" s="473"/>
      <c r="AF22" s="473"/>
      <c r="AG22" s="473"/>
      <c r="AH22" s="475"/>
      <c r="AI22" s="475"/>
      <c r="AJ22" s="475"/>
      <c r="AK22" s="476"/>
      <c r="AS22" s="489"/>
      <c r="AT22" s="478"/>
      <c r="AU22" s="493"/>
      <c r="AV22" s="473"/>
      <c r="AW22" s="473"/>
      <c r="AX22" s="473"/>
      <c r="AY22" s="492"/>
      <c r="BB22" s="489"/>
      <c r="BC22" s="478"/>
      <c r="BD22" s="493"/>
      <c r="BE22" s="473"/>
      <c r="BF22" s="473"/>
      <c r="BG22" s="473"/>
      <c r="BH22" s="475"/>
      <c r="BI22" s="475"/>
      <c r="BJ22" s="475"/>
      <c r="BK22" s="476"/>
      <c r="BS22" s="489"/>
      <c r="BT22" s="478"/>
      <c r="BU22" s="493"/>
      <c r="BV22" s="473"/>
      <c r="BW22" s="473"/>
      <c r="BX22" s="473"/>
      <c r="BY22" s="492"/>
      <c r="CB22" s="489"/>
      <c r="CC22" s="478"/>
      <c r="CD22" s="493"/>
      <c r="CE22" s="473"/>
      <c r="CF22" s="473"/>
      <c r="CG22" s="473"/>
      <c r="CH22" s="475"/>
      <c r="CI22" s="475"/>
      <c r="CJ22" s="475"/>
      <c r="CK22" s="476"/>
      <c r="CS22" s="489"/>
      <c r="CT22" s="478"/>
      <c r="CU22" s="493"/>
      <c r="CV22" s="473"/>
      <c r="CW22" s="473"/>
      <c r="CX22" s="473"/>
      <c r="CY22" s="492"/>
      <c r="DB22" s="489"/>
      <c r="DC22" s="478"/>
      <c r="DD22" s="493"/>
      <c r="DE22" s="473"/>
      <c r="DF22" s="473"/>
      <c r="DG22" s="473"/>
      <c r="DH22" s="475"/>
      <c r="DI22" s="475"/>
      <c r="DJ22" s="475"/>
      <c r="DK22" s="476"/>
      <c r="DS22" s="489"/>
      <c r="DT22" s="478"/>
      <c r="DU22" s="493"/>
      <c r="DV22" s="473"/>
      <c r="DW22" s="473"/>
      <c r="DX22" s="473"/>
      <c r="DY22" s="492"/>
      <c r="EB22" s="489"/>
      <c r="EC22" s="478"/>
      <c r="ED22" s="493"/>
      <c r="EE22" s="473"/>
      <c r="EF22" s="473"/>
      <c r="EG22" s="473"/>
      <c r="EH22" s="475"/>
      <c r="EI22" s="475"/>
      <c r="EJ22" s="475"/>
      <c r="EK22" s="476"/>
      <c r="ES22" s="489"/>
      <c r="ET22" s="478"/>
      <c r="EU22" s="493"/>
      <c r="EV22" s="473"/>
      <c r="EW22" s="473"/>
      <c r="EX22" s="473"/>
      <c r="EY22" s="492"/>
      <c r="FB22" s="489"/>
      <c r="FC22" s="478"/>
      <c r="FD22" s="493"/>
      <c r="FE22" s="473"/>
      <c r="FF22" s="473"/>
      <c r="FG22" s="473"/>
      <c r="FH22" s="475"/>
      <c r="FI22" s="475"/>
      <c r="FJ22" s="475"/>
      <c r="FK22" s="476"/>
      <c r="FS22" s="489"/>
      <c r="FT22" s="478"/>
      <c r="FU22" s="493"/>
      <c r="FV22" s="473"/>
      <c r="FW22" s="473"/>
      <c r="FX22" s="473"/>
      <c r="FY22" s="492"/>
      <c r="GB22" s="489"/>
      <c r="GC22" s="478"/>
      <c r="GD22" s="493"/>
      <c r="GE22" s="473"/>
      <c r="GF22" s="473"/>
      <c r="GG22" s="473"/>
      <c r="GH22" s="475"/>
      <c r="GI22" s="475"/>
      <c r="GJ22" s="475"/>
      <c r="GK22" s="476"/>
      <c r="GS22" s="489"/>
      <c r="GT22" s="478"/>
      <c r="GU22" s="493"/>
      <c r="GV22" s="473"/>
      <c r="GW22" s="473"/>
      <c r="GX22" s="473"/>
      <c r="GY22" s="492"/>
      <c r="HB22" s="489"/>
      <c r="HC22" s="478"/>
      <c r="HD22" s="493"/>
      <c r="HE22" s="473"/>
      <c r="HF22" s="473"/>
      <c r="HG22" s="473"/>
      <c r="HH22" s="475"/>
      <c r="HI22" s="475"/>
      <c r="HJ22" s="475"/>
      <c r="HK22" s="476"/>
      <c r="HS22" s="489"/>
      <c r="HT22" s="478"/>
      <c r="HU22" s="493"/>
      <c r="HV22" s="473"/>
      <c r="HW22" s="473"/>
      <c r="HX22" s="473"/>
      <c r="HY22" s="492"/>
      <c r="IB22" s="489"/>
      <c r="IC22" s="478"/>
      <c r="ID22" s="493"/>
      <c r="IE22" s="473"/>
      <c r="IF22" s="473"/>
      <c r="IG22" s="473"/>
      <c r="IH22" s="475"/>
      <c r="II22" s="475"/>
      <c r="IJ22" s="475"/>
      <c r="IK22" s="476"/>
      <c r="IS22" s="489"/>
      <c r="IT22" s="478"/>
      <c r="IU22" s="493"/>
      <c r="IV22" s="473"/>
      <c r="IW22" s="473"/>
      <c r="IX22" s="473"/>
      <c r="IY22" s="492"/>
      <c r="JB22" s="489"/>
      <c r="JC22" s="478"/>
      <c r="JD22" s="493"/>
      <c r="JE22" s="473"/>
      <c r="JF22" s="473"/>
      <c r="JG22" s="473"/>
      <c r="JH22" s="475"/>
      <c r="JI22" s="475"/>
      <c r="JJ22" s="475"/>
      <c r="JK22" s="476"/>
      <c r="JS22" s="489"/>
      <c r="JT22" s="478"/>
      <c r="JU22" s="493"/>
      <c r="JV22" s="473"/>
      <c r="JW22" s="473"/>
      <c r="JX22" s="473"/>
      <c r="JY22" s="492"/>
    </row>
    <row r="23" spans="2:286" ht="15.75" thickBot="1" x14ac:dyDescent="0.3">
      <c r="B23" s="495" t="s">
        <v>76</v>
      </c>
      <c r="C23" s="496"/>
      <c r="D23" s="497">
        <f>SUM(D11:D21)</f>
        <v>2919262</v>
      </c>
      <c r="E23" s="498"/>
      <c r="F23" s="497">
        <f>SUM(F11:F21)</f>
        <v>1593</v>
      </c>
      <c r="G23" s="497">
        <f>SUM(G11:G21)</f>
        <v>269.95035000000007</v>
      </c>
      <c r="H23" s="499"/>
      <c r="I23" s="500">
        <f>SUM(I11:I21)</f>
        <v>53033.208338000004</v>
      </c>
      <c r="J23" s="499"/>
      <c r="K23" s="501">
        <f>SUM(K11:K21)</f>
        <v>989.15161601142881</v>
      </c>
      <c r="S23" s="495" t="s">
        <v>76</v>
      </c>
      <c r="T23" s="502"/>
      <c r="U23" s="503">
        <f>SUM(U11:U21)</f>
        <v>53033.208338000004</v>
      </c>
      <c r="V23" s="504"/>
      <c r="W23" s="503">
        <f>SUM(W11:W21)</f>
        <v>2268.9823500000002</v>
      </c>
      <c r="X23" s="504"/>
      <c r="Y23" s="505">
        <f>SUM(Y11:Y22)</f>
        <v>35.655436928571433</v>
      </c>
      <c r="AB23" s="495" t="s">
        <v>76</v>
      </c>
      <c r="AC23" s="496"/>
      <c r="AD23" s="503">
        <f>SUM(AD11:AD21)</f>
        <v>2909408</v>
      </c>
      <c r="AE23" s="506"/>
      <c r="AF23" s="497">
        <f>SUM(AF11:AF21)</f>
        <v>1593</v>
      </c>
      <c r="AG23" s="497">
        <f>SUM(AG11:AG21)</f>
        <v>269.95035000000007</v>
      </c>
      <c r="AH23" s="499"/>
      <c r="AI23" s="500">
        <f>SUM(AI11:AI21)</f>
        <v>55931.256362</v>
      </c>
      <c r="AJ23" s="499"/>
      <c r="AK23" s="501">
        <f>SUM(AK11:AK21)</f>
        <v>1086.9922424742858</v>
      </c>
      <c r="AS23" s="495" t="s">
        <v>76</v>
      </c>
      <c r="AT23" s="502"/>
      <c r="AU23" s="503">
        <f>SUM(AU11:AU21)</f>
        <v>55931.256362</v>
      </c>
      <c r="AV23" s="504"/>
      <c r="AW23" s="503">
        <f>SUM(AW11:AW21)</f>
        <v>2866.3377</v>
      </c>
      <c r="AX23" s="504"/>
      <c r="AY23" s="505">
        <f>SUM(AY11:AY22)</f>
        <v>45.04244957142857</v>
      </c>
      <c r="BB23" s="495" t="s">
        <v>76</v>
      </c>
      <c r="BC23" s="496"/>
      <c r="BD23" s="503">
        <f>SUM(BD11:BD21)</f>
        <v>2802012</v>
      </c>
      <c r="BE23" s="506"/>
      <c r="BF23" s="507">
        <f>SUM(BF11:BF21)</f>
        <v>1593</v>
      </c>
      <c r="BG23" s="508">
        <f>SUM(BG11:BG21)</f>
        <v>269.95035000000007</v>
      </c>
      <c r="BH23" s="509"/>
      <c r="BI23" s="510">
        <f>SUM(BI11:BI21)</f>
        <v>53257.931902999997</v>
      </c>
      <c r="BJ23" s="509"/>
      <c r="BK23" s="511">
        <f>SUM(BK11:BK21)</f>
        <v>1033.3650483828571</v>
      </c>
      <c r="BS23" s="495" t="s">
        <v>76</v>
      </c>
      <c r="BT23" s="502"/>
      <c r="BU23" s="503">
        <f>SUM(BU11:BU21)</f>
        <v>53257.931902999997</v>
      </c>
      <c r="BV23" s="504"/>
      <c r="BW23" s="503">
        <f>SUM(BW11:BW21)</f>
        <v>2631.4164000000001</v>
      </c>
      <c r="BX23" s="504"/>
      <c r="BY23" s="505">
        <f>SUM(BY11:BY22)</f>
        <v>41.350829142857144</v>
      </c>
      <c r="CB23" s="495" t="s">
        <v>76</v>
      </c>
      <c r="CC23" s="496"/>
      <c r="CD23" s="503">
        <f>SUM(CD11:CD21)</f>
        <v>3053312</v>
      </c>
      <c r="CE23" s="506"/>
      <c r="CF23" s="507">
        <f>SUM(CF11:CF21)</f>
        <v>1593</v>
      </c>
      <c r="CG23" s="508">
        <f>SUM(CG11:CG21)</f>
        <v>269.95035000000007</v>
      </c>
      <c r="CH23" s="509"/>
      <c r="CI23" s="510">
        <f>SUM(CI11:CI21)</f>
        <v>59062.765029000009</v>
      </c>
      <c r="CJ23" s="509"/>
      <c r="CK23" s="511">
        <f>SUM(CK11:CK21)</f>
        <v>1160.4831397342859</v>
      </c>
      <c r="CS23" s="495" t="s">
        <v>76</v>
      </c>
      <c r="CT23" s="502"/>
      <c r="CU23" s="503">
        <f>SUM(CU11:CU21)</f>
        <v>59062.765029000009</v>
      </c>
      <c r="CV23" s="504"/>
      <c r="CW23" s="503">
        <f>SUM(CW11:CW21)</f>
        <v>3228.7717499999999</v>
      </c>
      <c r="CX23" s="504"/>
      <c r="CY23" s="505">
        <f>SUM(CY11:CY22)</f>
        <v>50.737841785714281</v>
      </c>
      <c r="DB23" s="495" t="s">
        <v>76</v>
      </c>
      <c r="DC23" s="496"/>
      <c r="DD23" s="503">
        <f>SUM(DD11:DD21)</f>
        <v>3354845</v>
      </c>
      <c r="DE23" s="506"/>
      <c r="DF23" s="507">
        <f>SUM(DF11:DF21)</f>
        <v>1593</v>
      </c>
      <c r="DG23" s="508">
        <f>SUM(DG11:DG21)</f>
        <v>269.95035000000007</v>
      </c>
      <c r="DH23" s="509"/>
      <c r="DI23" s="510">
        <f>SUM(DI11:DI21)</f>
        <v>65056.913216000008</v>
      </c>
      <c r="DJ23" s="509"/>
      <c r="DK23" s="511">
        <f>SUM(DK11:DK21)</f>
        <v>1292.9258919657145</v>
      </c>
      <c r="DS23" s="495" t="s">
        <v>76</v>
      </c>
      <c r="DT23" s="502"/>
      <c r="DU23" s="503">
        <f>SUM(DU11:DU21)</f>
        <v>65056.913216000008</v>
      </c>
      <c r="DV23" s="504"/>
      <c r="DW23" s="503">
        <f>SUM(DW11:DW21)</f>
        <v>3816.4473000000003</v>
      </c>
      <c r="DX23" s="504"/>
      <c r="DY23" s="505">
        <f>SUM(DY11:DY22)</f>
        <v>59.972743285714287</v>
      </c>
      <c r="EB23" s="495" t="s">
        <v>76</v>
      </c>
      <c r="EC23" s="496"/>
      <c r="ED23" s="503">
        <f>SUM(ED11:ED21)</f>
        <v>3689105</v>
      </c>
      <c r="EE23" s="506"/>
      <c r="EF23" s="507">
        <f>SUM(EF11:EF21)</f>
        <v>1593</v>
      </c>
      <c r="EG23" s="508">
        <f>SUM(EG11:EG21)</f>
        <v>269.95035000000007</v>
      </c>
      <c r="EH23" s="509"/>
      <c r="EI23" s="510">
        <f>SUM(EI11:EI21)</f>
        <v>70882.531427600028</v>
      </c>
      <c r="EJ23" s="509"/>
      <c r="EK23" s="511">
        <f>SUM(EK11:EK21)</f>
        <v>1400.8447548480003</v>
      </c>
      <c r="ES23" s="495" t="s">
        <v>76</v>
      </c>
      <c r="ET23" s="502"/>
      <c r="EU23" s="503">
        <f>SUM(EU11:EU21)</f>
        <v>70882.531427600028</v>
      </c>
      <c r="EV23" s="504"/>
      <c r="EW23" s="503">
        <f>SUM(EW11:EW21)</f>
        <v>4031.8228500000005</v>
      </c>
      <c r="EX23" s="504"/>
      <c r="EY23" s="505">
        <f>SUM(EY11:EY22)</f>
        <v>63.357216214285721</v>
      </c>
      <c r="FB23" s="495" t="s">
        <v>76</v>
      </c>
      <c r="FC23" s="496"/>
      <c r="FD23" s="503">
        <f>SUM(FD11:FD21)</f>
        <v>4058983.908234464</v>
      </c>
      <c r="FE23" s="506"/>
      <c r="FF23" s="507">
        <f>SUM(FF11:FF21)</f>
        <v>1593</v>
      </c>
      <c r="FG23" s="508">
        <f>SUM(FG11:FG21)</f>
        <v>269.95035000000007</v>
      </c>
      <c r="FH23" s="509"/>
      <c r="FI23" s="500">
        <f>SUM(FI11:FI21)</f>
        <v>78958.774745844887</v>
      </c>
      <c r="FJ23" s="509"/>
      <c r="FK23" s="501">
        <f>SUM(FK11:FK21)</f>
        <v>1571.9803501337542</v>
      </c>
      <c r="FS23" s="495" t="s">
        <v>76</v>
      </c>
      <c r="FT23" s="502"/>
      <c r="FU23" s="503">
        <f>SUM(FU11:FU21)</f>
        <v>78958.774745844887</v>
      </c>
      <c r="FV23" s="504"/>
      <c r="FW23" s="503">
        <f>SUM(FW11:FW21)</f>
        <v>4949.6369578454696</v>
      </c>
      <c r="FX23" s="504"/>
      <c r="FY23" s="505">
        <f>SUM(FY11:FY22)</f>
        <v>77.78000933757167</v>
      </c>
      <c r="GB23" s="495" t="s">
        <v>76</v>
      </c>
      <c r="GC23" s="496"/>
      <c r="GD23" s="503">
        <f>SUM(GD11:GD21)</f>
        <v>4465278.3398963604</v>
      </c>
      <c r="GE23" s="506"/>
      <c r="GF23" s="507">
        <f>SUM(GF11:GF21)</f>
        <v>1593</v>
      </c>
      <c r="GG23" s="508">
        <f>SUM(GG11:GG21)</f>
        <v>269.95035000000007</v>
      </c>
      <c r="GH23" s="509"/>
      <c r="GI23" s="510">
        <f>SUM(GI11:GI21)</f>
        <v>87237.475727186815</v>
      </c>
      <c r="GJ23" s="509"/>
      <c r="GK23" s="511">
        <f>SUM(GK11:GK21)</f>
        <v>1741.2099810737916</v>
      </c>
      <c r="GS23" s="495" t="s">
        <v>76</v>
      </c>
      <c r="GT23" s="502"/>
      <c r="GU23" s="503">
        <f>SUM(GU11:GU21)</f>
        <v>87237.475727186815</v>
      </c>
      <c r="GV23" s="504"/>
      <c r="GW23" s="503">
        <f>SUM(GW11:GW21)</f>
        <v>5636.7709007072417</v>
      </c>
      <c r="GX23" s="504"/>
      <c r="GY23" s="505">
        <f>SUM(GY11:GY22)</f>
        <v>88.577828439685234</v>
      </c>
      <c r="HB23" s="495" t="s">
        <v>76</v>
      </c>
      <c r="HC23" s="496"/>
      <c r="HD23" s="503">
        <f>SUM(HD11:HD21)</f>
        <v>4912321.6295648543</v>
      </c>
      <c r="HE23" s="506"/>
      <c r="HF23" s="507">
        <f>SUM(HF11:HF21)</f>
        <v>1593</v>
      </c>
      <c r="HG23" s="508">
        <f>SUM(HG11:HG21)</f>
        <v>269.95035000000007</v>
      </c>
      <c r="HH23" s="509"/>
      <c r="HI23" s="510">
        <f>SUM(HI11:HI21)</f>
        <v>96423.108627637237</v>
      </c>
      <c r="HJ23" s="509"/>
      <c r="HK23" s="511">
        <f>SUM(HK11:HK21)</f>
        <v>1929.8473751955969</v>
      </c>
      <c r="HS23" s="495" t="s">
        <v>76</v>
      </c>
      <c r="HT23" s="502"/>
      <c r="HU23" s="503">
        <f>SUM(HU11:HU21)</f>
        <v>96423.108627637237</v>
      </c>
      <c r="HV23" s="504"/>
      <c r="HW23" s="503">
        <f>SUM(HW11:HW21)</f>
        <v>6419.2962953974911</v>
      </c>
      <c r="HX23" s="504"/>
      <c r="HY23" s="505">
        <f>SUM(HY11:HY22)</f>
        <v>100.874656070532</v>
      </c>
      <c r="IB23" s="495" t="s">
        <v>76</v>
      </c>
      <c r="IC23" s="496"/>
      <c r="ID23" s="503">
        <f>SUM(ID11:ID21)</f>
        <v>5403626.5746333478</v>
      </c>
      <c r="IE23" s="506"/>
      <c r="IF23" s="507">
        <f>SUM(IF11:IF21)</f>
        <v>1593</v>
      </c>
      <c r="IG23" s="508">
        <f>SUM(IG11:IG21)</f>
        <v>269.95035000000007</v>
      </c>
      <c r="IH23" s="509"/>
      <c r="II23" s="510">
        <f>SUM(II11:II21)</f>
        <v>106257.09876240266</v>
      </c>
      <c r="IJ23" s="509"/>
      <c r="IK23" s="511">
        <f>SUM(IK11:IK21)</f>
        <v>2128.8563184066384</v>
      </c>
      <c r="IS23" s="495" t="s">
        <v>76</v>
      </c>
      <c r="IT23" s="502"/>
      <c r="IU23" s="503">
        <f>SUM(IU11:IU21)</f>
        <v>106257.09876240266</v>
      </c>
      <c r="IV23" s="504"/>
      <c r="IW23" s="503">
        <f>SUM(IW11:IW21)</f>
        <v>7201.8216900877496</v>
      </c>
      <c r="IX23" s="504"/>
      <c r="IY23" s="505">
        <f>SUM(IY11:IY22)</f>
        <v>113.17148370137893</v>
      </c>
      <c r="JB23" s="495" t="s">
        <v>76</v>
      </c>
      <c r="JC23" s="496"/>
      <c r="JD23" s="503">
        <f>SUM(JD11:JD21)</f>
        <v>0</v>
      </c>
      <c r="JE23" s="506"/>
      <c r="JF23" s="507">
        <f>SUM(JF11:JF21)</f>
        <v>1593</v>
      </c>
      <c r="JG23" s="508">
        <f>SUM(JG11:JG21)</f>
        <v>269.95035000000007</v>
      </c>
      <c r="JH23" s="509"/>
      <c r="JI23" s="510">
        <f>SUM(JI11:JI21)</f>
        <v>0</v>
      </c>
      <c r="JJ23" s="509"/>
      <c r="JK23" s="511">
        <f>SUM(JK11:JK21)</f>
        <v>0</v>
      </c>
      <c r="JS23" s="495" t="s">
        <v>76</v>
      </c>
      <c r="JT23" s="502"/>
      <c r="JU23" s="503">
        <f>SUM(JU11:JU21)</f>
        <v>0</v>
      </c>
      <c r="JV23" s="504"/>
      <c r="JW23" s="503">
        <f>SUM(JW11:JW21)</f>
        <v>0</v>
      </c>
      <c r="JX23" s="504"/>
      <c r="JY23" s="505">
        <f>SUM(JY11:JY22)</f>
        <v>0</v>
      </c>
    </row>
    <row r="25" spans="2:286" ht="16.5" customHeight="1" x14ac:dyDescent="0.25">
      <c r="B25" s="40"/>
      <c r="C25" s="260"/>
      <c r="D25" s="260"/>
      <c r="E25" s="20"/>
      <c r="F25" s="20"/>
      <c r="G25" s="20"/>
      <c r="H25" s="20"/>
      <c r="I25" s="512" t="s">
        <v>113</v>
      </c>
      <c r="J25" s="512"/>
      <c r="K25" s="239" t="s">
        <v>463</v>
      </c>
      <c r="S25" s="40"/>
      <c r="T25" s="260"/>
      <c r="U25" s="260"/>
      <c r="V25" s="20" t="s">
        <v>134</v>
      </c>
      <c r="W25" s="20" t="s">
        <v>136</v>
      </c>
      <c r="AB25" s="40"/>
      <c r="AC25" s="260"/>
      <c r="AD25" s="260"/>
      <c r="AE25" s="20"/>
      <c r="AF25" s="20"/>
      <c r="AG25" s="20"/>
      <c r="AH25" s="20"/>
      <c r="AI25" s="512" t="s">
        <v>113</v>
      </c>
      <c r="AJ25" s="512"/>
      <c r="AK25" s="239" t="s">
        <v>115</v>
      </c>
      <c r="AS25" s="40"/>
      <c r="AT25" s="260"/>
      <c r="AU25" s="260"/>
      <c r="AV25" s="20" t="s">
        <v>134</v>
      </c>
      <c r="AW25" s="20" t="s">
        <v>136</v>
      </c>
      <c r="BB25" s="40"/>
      <c r="BC25" s="260"/>
      <c r="BD25" s="260"/>
      <c r="BE25" s="20"/>
      <c r="BF25" s="20"/>
      <c r="BG25" s="20"/>
      <c r="BH25" s="20"/>
      <c r="BI25" s="512" t="s">
        <v>113</v>
      </c>
      <c r="BJ25" s="512"/>
      <c r="BK25" s="239" t="s">
        <v>115</v>
      </c>
      <c r="BS25" s="40"/>
      <c r="BT25" s="260"/>
      <c r="BU25" s="260"/>
      <c r="BV25" s="20" t="s">
        <v>134</v>
      </c>
      <c r="BW25" s="20" t="s">
        <v>136</v>
      </c>
      <c r="CB25" s="40"/>
      <c r="CC25" s="260"/>
      <c r="CD25" s="260"/>
      <c r="CE25" s="20"/>
      <c r="CF25" s="20"/>
      <c r="CG25" s="20"/>
      <c r="CH25" s="20"/>
      <c r="CI25" s="512" t="s">
        <v>113</v>
      </c>
      <c r="CJ25" s="512"/>
      <c r="CK25" s="239" t="s">
        <v>115</v>
      </c>
      <c r="CS25" s="40"/>
      <c r="CT25" s="260"/>
      <c r="CU25" s="260"/>
      <c r="CV25" s="20" t="s">
        <v>134</v>
      </c>
      <c r="CW25" s="20" t="s">
        <v>136</v>
      </c>
      <c r="DB25" s="40"/>
      <c r="DC25" s="260"/>
      <c r="DD25" s="260"/>
      <c r="DE25" s="20"/>
      <c r="DF25" s="20"/>
      <c r="DG25" s="20"/>
      <c r="DH25" s="20"/>
      <c r="DI25" s="512" t="s">
        <v>113</v>
      </c>
      <c r="DJ25" s="512"/>
      <c r="DK25" s="239" t="s">
        <v>115</v>
      </c>
      <c r="DS25" s="40"/>
      <c r="DT25" s="260"/>
      <c r="DU25" s="260"/>
      <c r="DV25" s="20" t="s">
        <v>134</v>
      </c>
      <c r="DW25" s="20" t="s">
        <v>136</v>
      </c>
      <c r="EB25" s="40"/>
      <c r="EC25" s="260"/>
      <c r="ED25" s="260"/>
      <c r="EE25" s="20"/>
      <c r="EF25" s="20"/>
      <c r="EG25" s="20"/>
      <c r="EH25" s="20"/>
      <c r="EI25" s="512" t="s">
        <v>113</v>
      </c>
      <c r="EJ25" s="512"/>
      <c r="EK25" s="239" t="s">
        <v>115</v>
      </c>
      <c r="ES25" s="40"/>
      <c r="ET25" s="260"/>
      <c r="EU25" s="260"/>
      <c r="EV25" s="20" t="s">
        <v>134</v>
      </c>
      <c r="EW25" s="20" t="s">
        <v>136</v>
      </c>
      <c r="FB25" s="40"/>
      <c r="FC25" s="260"/>
      <c r="FD25" s="260"/>
      <c r="FE25" s="20"/>
      <c r="FF25" s="20"/>
      <c r="FG25" s="20"/>
      <c r="FH25" s="20"/>
      <c r="FI25" s="512" t="s">
        <v>113</v>
      </c>
      <c r="FJ25" s="512"/>
      <c r="FK25" s="239" t="s">
        <v>115</v>
      </c>
      <c r="FS25" s="40"/>
      <c r="FT25" s="260"/>
      <c r="FU25" s="260"/>
      <c r="FV25" s="20" t="s">
        <v>134</v>
      </c>
      <c r="FW25" s="20" t="s">
        <v>136</v>
      </c>
      <c r="GB25" s="40"/>
      <c r="GC25" s="260"/>
      <c r="GD25" s="260"/>
      <c r="GE25" s="20"/>
      <c r="GF25" s="20"/>
      <c r="GG25" s="20"/>
      <c r="GH25" s="20"/>
      <c r="GI25" s="512" t="s">
        <v>113</v>
      </c>
      <c r="GJ25" s="512"/>
      <c r="GK25" s="239" t="s">
        <v>115</v>
      </c>
      <c r="GS25" s="40"/>
      <c r="GT25" s="260"/>
      <c r="GU25" s="260"/>
      <c r="GV25" s="20" t="s">
        <v>134</v>
      </c>
      <c r="GW25" s="20" t="s">
        <v>136</v>
      </c>
      <c r="HB25" s="40"/>
      <c r="HC25" s="260"/>
      <c r="HD25" s="260"/>
      <c r="HE25" s="20"/>
      <c r="HF25" s="20"/>
      <c r="HG25" s="20"/>
      <c r="HH25" s="20"/>
      <c r="HI25" s="512" t="s">
        <v>113</v>
      </c>
      <c r="HJ25" s="512"/>
      <c r="HK25" s="239" t="s">
        <v>115</v>
      </c>
      <c r="HS25" s="40"/>
      <c r="HT25" s="260"/>
      <c r="HU25" s="260"/>
      <c r="HV25" s="20" t="s">
        <v>134</v>
      </c>
      <c r="HW25" s="20" t="s">
        <v>136</v>
      </c>
      <c r="IB25" s="40"/>
      <c r="IC25" s="260"/>
      <c r="ID25" s="260"/>
      <c r="IE25" s="20"/>
      <c r="IF25" s="20"/>
      <c r="IG25" s="20"/>
      <c r="IH25" s="20"/>
      <c r="II25" s="512" t="s">
        <v>113</v>
      </c>
      <c r="IJ25" s="512"/>
      <c r="IK25" s="239" t="s">
        <v>115</v>
      </c>
      <c r="IS25" s="40"/>
      <c r="IT25" s="260"/>
      <c r="IU25" s="260"/>
      <c r="IV25" s="20" t="s">
        <v>134</v>
      </c>
      <c r="IW25" s="20" t="s">
        <v>136</v>
      </c>
      <c r="JB25" s="40"/>
      <c r="JC25" s="260"/>
      <c r="JD25" s="260"/>
      <c r="JE25" s="20"/>
      <c r="JF25" s="20"/>
      <c r="JG25" s="20"/>
      <c r="JH25" s="20"/>
      <c r="JI25" s="512" t="s">
        <v>113</v>
      </c>
      <c r="JJ25" s="512"/>
      <c r="JK25" s="239" t="s">
        <v>115</v>
      </c>
      <c r="JS25" s="40"/>
      <c r="JT25" s="260"/>
      <c r="JU25" s="260"/>
      <c r="JV25" s="20" t="s">
        <v>134</v>
      </c>
      <c r="JW25" s="20" t="s">
        <v>136</v>
      </c>
    </row>
    <row r="26" spans="2:286" ht="15.75" customHeight="1" x14ac:dyDescent="0.25">
      <c r="B26" s="260"/>
      <c r="C26" s="261"/>
      <c r="D26" s="513"/>
      <c r="E26" s="20"/>
      <c r="F26" s="514"/>
      <c r="G26" s="20"/>
      <c r="I26" s="239">
        <v>2</v>
      </c>
      <c r="J26" s="239" t="s">
        <v>114</v>
      </c>
      <c r="K26" s="239">
        <v>30</v>
      </c>
      <c r="L26" s="239" t="s">
        <v>114</v>
      </c>
      <c r="S26" s="260"/>
      <c r="T26" s="261"/>
      <c r="U26" s="260">
        <v>0.2</v>
      </c>
      <c r="V26" s="20"/>
      <c r="W26" s="514" t="s">
        <v>137</v>
      </c>
      <c r="Z26" s="239">
        <v>0.01</v>
      </c>
      <c r="AB26" s="260"/>
      <c r="AC26" s="261"/>
      <c r="AD26" s="260"/>
      <c r="AE26" s="20"/>
      <c r="AF26" s="514"/>
      <c r="AG26" s="20"/>
      <c r="AI26" s="239">
        <v>2</v>
      </c>
      <c r="AJ26" s="239" t="s">
        <v>114</v>
      </c>
      <c r="AK26" s="239">
        <v>30</v>
      </c>
      <c r="AL26" s="239" t="s">
        <v>114</v>
      </c>
      <c r="AS26" s="260"/>
      <c r="AT26" s="261"/>
      <c r="AU26" s="260">
        <v>0.2</v>
      </c>
      <c r="AV26" s="20"/>
      <c r="AW26" s="514" t="s">
        <v>137</v>
      </c>
      <c r="AZ26" s="239">
        <v>0.01</v>
      </c>
      <c r="BB26" s="260"/>
      <c r="BC26" s="261"/>
      <c r="BD26" s="260"/>
      <c r="BE26" s="20"/>
      <c r="BF26" s="514"/>
      <c r="BG26" s="20"/>
      <c r="BI26" s="239">
        <v>2</v>
      </c>
      <c r="BJ26" s="239" t="s">
        <v>114</v>
      </c>
      <c r="BK26" s="239">
        <v>30</v>
      </c>
      <c r="BL26" s="239" t="s">
        <v>114</v>
      </c>
      <c r="BS26" s="260"/>
      <c r="BT26" s="261"/>
      <c r="BU26" s="260">
        <v>0.2</v>
      </c>
      <c r="BV26" s="20"/>
      <c r="BW26" s="514" t="s">
        <v>137</v>
      </c>
      <c r="BZ26" s="239">
        <v>0.01</v>
      </c>
      <c r="CB26" s="260"/>
      <c r="CC26" s="261"/>
      <c r="CD26" s="260"/>
      <c r="CE26" s="20"/>
      <c r="CF26" s="514"/>
      <c r="CG26" s="20"/>
      <c r="CI26" s="239">
        <v>2</v>
      </c>
      <c r="CJ26" s="239" t="s">
        <v>114</v>
      </c>
      <c r="CK26" s="239">
        <v>30</v>
      </c>
      <c r="CL26" s="239" t="s">
        <v>114</v>
      </c>
      <c r="CS26" s="260"/>
      <c r="CT26" s="261"/>
      <c r="CU26" s="260">
        <v>0.2</v>
      </c>
      <c r="CV26" s="20"/>
      <c r="CW26" s="514" t="s">
        <v>137</v>
      </c>
      <c r="CZ26" s="239">
        <v>0.01</v>
      </c>
      <c r="DB26" s="260"/>
      <c r="DC26" s="261"/>
      <c r="DD26" s="260"/>
      <c r="DE26" s="20"/>
      <c r="DF26" s="514"/>
      <c r="DG26" s="20"/>
      <c r="DI26" s="239">
        <v>2</v>
      </c>
      <c r="DJ26" s="239" t="s">
        <v>114</v>
      </c>
      <c r="DK26" s="239">
        <v>30</v>
      </c>
      <c r="DL26" s="239" t="s">
        <v>114</v>
      </c>
      <c r="DS26" s="260"/>
      <c r="DT26" s="261"/>
      <c r="DU26" s="260">
        <v>0.2</v>
      </c>
      <c r="DV26" s="20"/>
      <c r="DW26" s="514" t="s">
        <v>137</v>
      </c>
      <c r="DZ26" s="239">
        <v>0.01</v>
      </c>
      <c r="EB26" s="260"/>
      <c r="EC26" s="261"/>
      <c r="ED26" s="260"/>
      <c r="EE26" s="20"/>
      <c r="EF26" s="514"/>
      <c r="EG26" s="20"/>
      <c r="EI26" s="239">
        <v>2</v>
      </c>
      <c r="EJ26" s="239" t="s">
        <v>114</v>
      </c>
      <c r="EK26" s="239">
        <v>30</v>
      </c>
      <c r="EL26" s="239" t="s">
        <v>114</v>
      </c>
      <c r="ES26" s="260"/>
      <c r="ET26" s="261"/>
      <c r="EU26" s="260">
        <v>0.2</v>
      </c>
      <c r="EV26" s="20"/>
      <c r="EW26" s="514" t="s">
        <v>137</v>
      </c>
      <c r="EZ26" s="239">
        <v>0.01</v>
      </c>
      <c r="FB26" s="260"/>
      <c r="FC26" s="261"/>
      <c r="FD26" s="260"/>
      <c r="FE26" s="20"/>
      <c r="FF26" s="514"/>
      <c r="FG26" s="20"/>
      <c r="FI26" s="239">
        <v>2</v>
      </c>
      <c r="FJ26" s="239" t="s">
        <v>114</v>
      </c>
      <c r="FK26" s="239">
        <v>30</v>
      </c>
      <c r="FL26" s="239" t="s">
        <v>114</v>
      </c>
      <c r="FS26" s="260"/>
      <c r="FT26" s="261"/>
      <c r="FU26" s="260">
        <v>0.2</v>
      </c>
      <c r="FV26" s="20"/>
      <c r="FW26" s="514" t="s">
        <v>137</v>
      </c>
      <c r="FZ26" s="239">
        <v>0.01</v>
      </c>
      <c r="GB26" s="260"/>
      <c r="GC26" s="261"/>
      <c r="GD26" s="260"/>
      <c r="GE26" s="20"/>
      <c r="GF26" s="514"/>
      <c r="GG26" s="20"/>
      <c r="GI26" s="239">
        <v>2</v>
      </c>
      <c r="GJ26" s="239" t="s">
        <v>114</v>
      </c>
      <c r="GK26" s="239">
        <v>30</v>
      </c>
      <c r="GL26" s="239" t="s">
        <v>114</v>
      </c>
      <c r="GS26" s="260"/>
      <c r="GT26" s="261"/>
      <c r="GU26" s="260">
        <v>0.2</v>
      </c>
      <c r="GV26" s="20"/>
      <c r="GW26" s="514" t="s">
        <v>137</v>
      </c>
      <c r="GZ26" s="239">
        <v>0.01</v>
      </c>
      <c r="HB26" s="260"/>
      <c r="HC26" s="261"/>
      <c r="HD26" s="260"/>
      <c r="HE26" s="20"/>
      <c r="HF26" s="514"/>
      <c r="HG26" s="20"/>
      <c r="HI26" s="239">
        <v>2</v>
      </c>
      <c r="HJ26" s="239" t="s">
        <v>114</v>
      </c>
      <c r="HK26" s="239">
        <v>30</v>
      </c>
      <c r="HL26" s="239" t="s">
        <v>114</v>
      </c>
      <c r="HS26" s="260"/>
      <c r="HT26" s="261"/>
      <c r="HU26" s="260">
        <v>0.2</v>
      </c>
      <c r="HV26" s="20"/>
      <c r="HW26" s="514" t="s">
        <v>137</v>
      </c>
      <c r="HZ26" s="239">
        <v>0.01</v>
      </c>
      <c r="IB26" s="260"/>
      <c r="IC26" s="261"/>
      <c r="ID26" s="260"/>
      <c r="IE26" s="20"/>
      <c r="IF26" s="514"/>
      <c r="IG26" s="20"/>
      <c r="II26" s="239">
        <v>2</v>
      </c>
      <c r="IJ26" s="239" t="s">
        <v>114</v>
      </c>
      <c r="IK26" s="239">
        <v>30</v>
      </c>
      <c r="IL26" s="239" t="s">
        <v>114</v>
      </c>
      <c r="IS26" s="260"/>
      <c r="IT26" s="261"/>
      <c r="IU26" s="260">
        <v>0.2</v>
      </c>
      <c r="IV26" s="20"/>
      <c r="IW26" s="514" t="s">
        <v>137</v>
      </c>
      <c r="IZ26" s="239">
        <v>0.01</v>
      </c>
      <c r="JB26" s="260"/>
      <c r="JC26" s="261"/>
      <c r="JD26" s="260"/>
      <c r="JE26" s="20"/>
      <c r="JF26" s="514"/>
      <c r="JG26" s="20"/>
      <c r="JI26" s="239">
        <v>2</v>
      </c>
      <c r="JJ26" s="239" t="s">
        <v>114</v>
      </c>
      <c r="JK26" s="239">
        <v>30</v>
      </c>
      <c r="JL26" s="239" t="s">
        <v>114</v>
      </c>
      <c r="JS26" s="260"/>
      <c r="JT26" s="261"/>
      <c r="JU26" s="260">
        <v>0.2</v>
      </c>
      <c r="JV26" s="20"/>
      <c r="JW26" s="514" t="s">
        <v>137</v>
      </c>
      <c r="JZ26" s="239">
        <v>0.01</v>
      </c>
    </row>
    <row r="27" spans="2:286" x14ac:dyDescent="0.25">
      <c r="B27" s="260"/>
      <c r="C27" s="261"/>
      <c r="D27" s="513"/>
      <c r="E27" s="20"/>
      <c r="F27" s="514"/>
      <c r="G27" s="20"/>
      <c r="S27" s="260"/>
      <c r="T27" s="261"/>
      <c r="U27" s="260"/>
      <c r="V27" s="515">
        <v>0.3</v>
      </c>
      <c r="W27" s="514" t="s">
        <v>138</v>
      </c>
      <c r="Z27" s="239">
        <v>7.4999999999999997E-3</v>
      </c>
      <c r="AB27" s="260"/>
      <c r="AC27" s="261"/>
      <c r="AD27" s="260"/>
      <c r="AE27" s="20"/>
      <c r="AF27" s="514"/>
      <c r="AG27" s="20"/>
      <c r="AS27" s="260"/>
      <c r="AT27" s="261"/>
      <c r="AU27" s="260"/>
      <c r="AV27" s="515">
        <v>0.3</v>
      </c>
      <c r="AW27" s="514" t="s">
        <v>138</v>
      </c>
      <c r="AZ27" s="239">
        <v>7.4999999999999997E-3</v>
      </c>
      <c r="BB27" s="260"/>
      <c r="BC27" s="261"/>
      <c r="BD27" s="260"/>
      <c r="BE27" s="20"/>
      <c r="BF27" s="514"/>
      <c r="BG27" s="20"/>
      <c r="BS27" s="260"/>
      <c r="BT27" s="261"/>
      <c r="BU27" s="260"/>
      <c r="BV27" s="515">
        <v>0.3</v>
      </c>
      <c r="BW27" s="514" t="s">
        <v>138</v>
      </c>
      <c r="BZ27" s="239">
        <v>7.4999999999999997E-3</v>
      </c>
      <c r="CB27" s="260"/>
      <c r="CC27" s="261"/>
      <c r="CD27" s="260"/>
      <c r="CE27" s="20"/>
      <c r="CF27" s="514"/>
      <c r="CG27" s="20"/>
      <c r="CS27" s="260"/>
      <c r="CT27" s="261"/>
      <c r="CU27" s="260"/>
      <c r="CV27" s="515">
        <v>0.3</v>
      </c>
      <c r="CW27" s="514" t="s">
        <v>138</v>
      </c>
      <c r="CZ27" s="239">
        <v>7.4999999999999997E-3</v>
      </c>
      <c r="DB27" s="260"/>
      <c r="DC27" s="261"/>
      <c r="DD27" s="260"/>
      <c r="DE27" s="20"/>
      <c r="DF27" s="514"/>
      <c r="DG27" s="20"/>
      <c r="DS27" s="260"/>
      <c r="DT27" s="261"/>
      <c r="DU27" s="260"/>
      <c r="DV27" s="515">
        <v>0.3</v>
      </c>
      <c r="DW27" s="514" t="s">
        <v>138</v>
      </c>
      <c r="DZ27" s="239">
        <v>7.4999999999999997E-3</v>
      </c>
      <c r="EB27" s="260"/>
      <c r="EC27" s="261"/>
      <c r="ED27" s="260"/>
      <c r="EE27" s="20"/>
      <c r="EF27" s="514"/>
      <c r="EG27" s="20"/>
      <c r="ES27" s="260"/>
      <c r="ET27" s="261"/>
      <c r="EU27" s="260"/>
      <c r="EV27" s="515">
        <v>0.3</v>
      </c>
      <c r="EW27" s="514" t="s">
        <v>138</v>
      </c>
      <c r="EZ27" s="239">
        <v>7.4999999999999997E-3</v>
      </c>
      <c r="FB27" s="260"/>
      <c r="FC27" s="261"/>
      <c r="FD27" s="260"/>
      <c r="FE27" s="20"/>
      <c r="FF27" s="514"/>
      <c r="FG27" s="20"/>
      <c r="FS27" s="260"/>
      <c r="FT27" s="261"/>
      <c r="FU27" s="260"/>
      <c r="FV27" s="515">
        <v>0.3</v>
      </c>
      <c r="FW27" s="514" t="s">
        <v>138</v>
      </c>
      <c r="FZ27" s="239">
        <v>7.4999999999999997E-3</v>
      </c>
      <c r="GB27" s="260"/>
      <c r="GC27" s="261"/>
      <c r="GD27" s="260"/>
      <c r="GE27" s="20"/>
      <c r="GF27" s="514"/>
      <c r="GG27" s="20"/>
      <c r="GS27" s="260"/>
      <c r="GT27" s="261"/>
      <c r="GU27" s="260"/>
      <c r="GV27" s="515">
        <v>0.3</v>
      </c>
      <c r="GW27" s="514" t="s">
        <v>138</v>
      </c>
      <c r="GZ27" s="239">
        <v>7.4999999999999997E-3</v>
      </c>
      <c r="HB27" s="260"/>
      <c r="HC27" s="261"/>
      <c r="HD27" s="260"/>
      <c r="HE27" s="20"/>
      <c r="HF27" s="514"/>
      <c r="HG27" s="20"/>
      <c r="HS27" s="260"/>
      <c r="HT27" s="261"/>
      <c r="HU27" s="260"/>
      <c r="HV27" s="515">
        <v>0.3</v>
      </c>
      <c r="HW27" s="514" t="s">
        <v>138</v>
      </c>
      <c r="HZ27" s="239">
        <v>7.4999999999999997E-3</v>
      </c>
      <c r="IB27" s="260"/>
      <c r="IC27" s="261"/>
      <c r="ID27" s="260"/>
      <c r="IE27" s="20"/>
      <c r="IF27" s="514"/>
      <c r="IG27" s="20"/>
      <c r="IS27" s="260"/>
      <c r="IT27" s="261"/>
      <c r="IU27" s="260"/>
      <c r="IV27" s="515">
        <v>0.3</v>
      </c>
      <c r="IW27" s="514" t="s">
        <v>138</v>
      </c>
      <c r="IZ27" s="239">
        <v>7.4999999999999997E-3</v>
      </c>
      <c r="JB27" s="260"/>
      <c r="JC27" s="261"/>
      <c r="JD27" s="260"/>
      <c r="JE27" s="20"/>
      <c r="JF27" s="514"/>
      <c r="JG27" s="20"/>
      <c r="JS27" s="260"/>
      <c r="JT27" s="261"/>
      <c r="JU27" s="260"/>
      <c r="JV27" s="515">
        <v>0.3</v>
      </c>
      <c r="JW27" s="514" t="s">
        <v>138</v>
      </c>
      <c r="JZ27" s="239">
        <v>7.4999999999999997E-3</v>
      </c>
    </row>
    <row r="28" spans="2:286" x14ac:dyDescent="0.25">
      <c r="B28" s="260"/>
      <c r="C28" s="261"/>
      <c r="D28" s="260"/>
      <c r="E28" s="20"/>
      <c r="F28" s="514"/>
      <c r="G28" s="20"/>
      <c r="S28" s="260"/>
      <c r="T28" s="261"/>
      <c r="U28" s="260">
        <v>0.3</v>
      </c>
      <c r="V28" s="20"/>
      <c r="W28" s="514" t="s">
        <v>139</v>
      </c>
      <c r="Z28" s="239">
        <v>0.1</v>
      </c>
      <c r="AB28" s="260"/>
      <c r="AC28" s="261"/>
      <c r="AD28" s="260"/>
      <c r="AE28" s="20"/>
      <c r="AF28" s="514"/>
      <c r="AG28" s="20"/>
      <c r="AS28" s="260"/>
      <c r="AT28" s="261"/>
      <c r="AU28" s="260">
        <v>0.3</v>
      </c>
      <c r="AV28" s="20"/>
      <c r="AW28" s="514" t="s">
        <v>139</v>
      </c>
      <c r="AZ28" s="239">
        <v>0.1</v>
      </c>
      <c r="BB28" s="260"/>
      <c r="BC28" s="261"/>
      <c r="BD28" s="260"/>
      <c r="BE28" s="20"/>
      <c r="BF28" s="514"/>
      <c r="BG28" s="20"/>
      <c r="BS28" s="260"/>
      <c r="BT28" s="261"/>
      <c r="BU28" s="260">
        <v>0.3</v>
      </c>
      <c r="BV28" s="20"/>
      <c r="BW28" s="514" t="s">
        <v>139</v>
      </c>
      <c r="BZ28" s="239">
        <v>0.1</v>
      </c>
      <c r="CB28" s="260"/>
      <c r="CC28" s="261"/>
      <c r="CD28" s="260"/>
      <c r="CE28" s="20"/>
      <c r="CF28" s="514"/>
      <c r="CG28" s="20"/>
      <c r="CS28" s="260"/>
      <c r="CT28" s="261"/>
      <c r="CU28" s="260">
        <v>0.3</v>
      </c>
      <c r="CV28" s="20"/>
      <c r="CW28" s="514" t="s">
        <v>139</v>
      </c>
      <c r="CZ28" s="239">
        <v>0.1</v>
      </c>
      <c r="DB28" s="260"/>
      <c r="DC28" s="261"/>
      <c r="DD28" s="260"/>
      <c r="DE28" s="20"/>
      <c r="DF28" s="514"/>
      <c r="DG28" s="20"/>
      <c r="DS28" s="260"/>
      <c r="DT28" s="261"/>
      <c r="DU28" s="260">
        <v>0.3</v>
      </c>
      <c r="DV28" s="20"/>
      <c r="DW28" s="514" t="s">
        <v>139</v>
      </c>
      <c r="DZ28" s="239">
        <v>0.1</v>
      </c>
      <c r="EB28" s="260"/>
      <c r="EC28" s="261"/>
      <c r="ED28" s="260"/>
      <c r="EE28" s="20"/>
      <c r="EF28" s="514"/>
      <c r="EG28" s="20"/>
      <c r="ES28" s="260"/>
      <c r="ET28" s="261"/>
      <c r="EU28" s="260">
        <v>0.3</v>
      </c>
      <c r="EV28" s="20"/>
      <c r="EW28" s="514" t="s">
        <v>139</v>
      </c>
      <c r="EZ28" s="239">
        <v>0.1</v>
      </c>
      <c r="FB28" s="260"/>
      <c r="FC28" s="261"/>
      <c r="FD28" s="260"/>
      <c r="FE28" s="20"/>
      <c r="FF28" s="514"/>
      <c r="FG28" s="20"/>
      <c r="FS28" s="260"/>
      <c r="FT28" s="261"/>
      <c r="FU28" s="260">
        <v>0.3</v>
      </c>
      <c r="FV28" s="20"/>
      <c r="FW28" s="514" t="s">
        <v>139</v>
      </c>
      <c r="FZ28" s="239">
        <v>0.1</v>
      </c>
      <c r="GB28" s="260"/>
      <c r="GC28" s="261"/>
      <c r="GD28" s="260"/>
      <c r="GE28" s="20"/>
      <c r="GF28" s="514"/>
      <c r="GG28" s="20"/>
      <c r="GS28" s="260"/>
      <c r="GT28" s="261"/>
      <c r="GU28" s="260">
        <v>0.3</v>
      </c>
      <c r="GV28" s="20"/>
      <c r="GW28" s="514" t="s">
        <v>139</v>
      </c>
      <c r="GZ28" s="239">
        <v>0.1</v>
      </c>
      <c r="HB28" s="260"/>
      <c r="HC28" s="261"/>
      <c r="HD28" s="260"/>
      <c r="HE28" s="20"/>
      <c r="HF28" s="514"/>
      <c r="HG28" s="20"/>
      <c r="HS28" s="260"/>
      <c r="HT28" s="261"/>
      <c r="HU28" s="260">
        <v>0.3</v>
      </c>
      <c r="HV28" s="20"/>
      <c r="HW28" s="514" t="s">
        <v>139</v>
      </c>
      <c r="HZ28" s="239">
        <v>0.1</v>
      </c>
      <c r="IB28" s="260"/>
      <c r="IC28" s="261"/>
      <c r="ID28" s="260"/>
      <c r="IE28" s="20"/>
      <c r="IF28" s="514"/>
      <c r="IG28" s="20"/>
      <c r="IS28" s="260"/>
      <c r="IT28" s="261"/>
      <c r="IU28" s="260">
        <v>0.3</v>
      </c>
      <c r="IV28" s="20"/>
      <c r="IW28" s="514" t="s">
        <v>139</v>
      </c>
      <c r="IZ28" s="239">
        <v>0.1</v>
      </c>
      <c r="JB28" s="260"/>
      <c r="JC28" s="261"/>
      <c r="JD28" s="260"/>
      <c r="JE28" s="20"/>
      <c r="JF28" s="514"/>
      <c r="JG28" s="20"/>
      <c r="JS28" s="260"/>
      <c r="JT28" s="261"/>
      <c r="JU28" s="260">
        <v>0.3</v>
      </c>
      <c r="JV28" s="20"/>
      <c r="JW28" s="514" t="s">
        <v>139</v>
      </c>
      <c r="JZ28" s="239">
        <v>0.1</v>
      </c>
    </row>
    <row r="29" spans="2:286" x14ac:dyDescent="0.25">
      <c r="B29" s="260"/>
      <c r="C29" s="261"/>
      <c r="D29" s="260"/>
      <c r="E29" s="20"/>
      <c r="F29" s="514"/>
      <c r="G29" s="20"/>
      <c r="S29" s="260"/>
      <c r="T29" s="261"/>
      <c r="U29" s="260">
        <v>0.12</v>
      </c>
      <c r="V29" s="20"/>
      <c r="W29" s="514" t="s">
        <v>140</v>
      </c>
      <c r="Z29" s="239">
        <v>0.2</v>
      </c>
      <c r="AB29" s="260"/>
      <c r="AC29" s="261"/>
      <c r="AD29" s="260"/>
      <c r="AE29" s="20"/>
      <c r="AF29" s="514"/>
      <c r="AG29" s="20"/>
      <c r="AS29" s="260"/>
      <c r="AT29" s="261"/>
      <c r="AU29" s="260">
        <v>0.12</v>
      </c>
      <c r="AV29" s="20"/>
      <c r="AW29" s="514" t="s">
        <v>140</v>
      </c>
      <c r="AZ29" s="239">
        <v>0.2</v>
      </c>
      <c r="BB29" s="260"/>
      <c r="BC29" s="261"/>
      <c r="BD29" s="260"/>
      <c r="BE29" s="20"/>
      <c r="BF29" s="514"/>
      <c r="BG29" s="20"/>
      <c r="BS29" s="260"/>
      <c r="BT29" s="261"/>
      <c r="BU29" s="260">
        <v>0.12</v>
      </c>
      <c r="BV29" s="20"/>
      <c r="BW29" s="514" t="s">
        <v>140</v>
      </c>
      <c r="BZ29" s="239">
        <v>0.2</v>
      </c>
      <c r="CB29" s="260"/>
      <c r="CC29" s="261"/>
      <c r="CD29" s="260"/>
      <c r="CE29" s="20"/>
      <c r="CF29" s="514"/>
      <c r="CG29" s="20"/>
      <c r="CS29" s="260"/>
      <c r="CT29" s="261"/>
      <c r="CU29" s="260">
        <v>0.12</v>
      </c>
      <c r="CV29" s="20"/>
      <c r="CW29" s="514" t="s">
        <v>140</v>
      </c>
      <c r="CZ29" s="239">
        <v>0.2</v>
      </c>
      <c r="DB29" s="260"/>
      <c r="DC29" s="261"/>
      <c r="DD29" s="260"/>
      <c r="DE29" s="20"/>
      <c r="DF29" s="514"/>
      <c r="DG29" s="20"/>
      <c r="DS29" s="260"/>
      <c r="DT29" s="261"/>
      <c r="DU29" s="260">
        <v>0.12</v>
      </c>
      <c r="DV29" s="20"/>
      <c r="DW29" s="514" t="s">
        <v>140</v>
      </c>
      <c r="DZ29" s="239">
        <v>0.2</v>
      </c>
      <c r="EB29" s="260"/>
      <c r="EC29" s="261"/>
      <c r="ED29" s="260"/>
      <c r="EE29" s="20"/>
      <c r="EF29" s="514"/>
      <c r="EG29" s="20"/>
      <c r="ES29" s="260"/>
      <c r="ET29" s="261"/>
      <c r="EU29" s="260">
        <v>0.12</v>
      </c>
      <c r="EV29" s="20"/>
      <c r="EW29" s="514" t="s">
        <v>140</v>
      </c>
      <c r="EZ29" s="239">
        <v>0.2</v>
      </c>
      <c r="FB29" s="260"/>
      <c r="FC29" s="261"/>
      <c r="FD29" s="260"/>
      <c r="FE29" s="20"/>
      <c r="FF29" s="514"/>
      <c r="FG29" s="20"/>
      <c r="FS29" s="260"/>
      <c r="FT29" s="261"/>
      <c r="FU29" s="260">
        <v>0.12</v>
      </c>
      <c r="FV29" s="20"/>
      <c r="FW29" s="514" t="s">
        <v>140</v>
      </c>
      <c r="FZ29" s="239">
        <v>0.2</v>
      </c>
      <c r="GB29" s="260"/>
      <c r="GC29" s="261"/>
      <c r="GD29" s="260"/>
      <c r="GE29" s="20"/>
      <c r="GF29" s="514"/>
      <c r="GG29" s="20"/>
      <c r="GS29" s="260"/>
      <c r="GT29" s="261"/>
      <c r="GU29" s="260">
        <v>0.12</v>
      </c>
      <c r="GV29" s="20"/>
      <c r="GW29" s="514" t="s">
        <v>140</v>
      </c>
      <c r="GZ29" s="239">
        <v>0.2</v>
      </c>
      <c r="HB29" s="260"/>
      <c r="HC29" s="261"/>
      <c r="HD29" s="260"/>
      <c r="HE29" s="20"/>
      <c r="HF29" s="514"/>
      <c r="HG29" s="20"/>
      <c r="HS29" s="260"/>
      <c r="HT29" s="261"/>
      <c r="HU29" s="260">
        <v>0.12</v>
      </c>
      <c r="HV29" s="20"/>
      <c r="HW29" s="514" t="s">
        <v>140</v>
      </c>
      <c r="HZ29" s="239">
        <v>0.2</v>
      </c>
      <c r="IB29" s="260"/>
      <c r="IC29" s="261"/>
      <c r="ID29" s="260"/>
      <c r="IE29" s="20"/>
      <c r="IF29" s="514"/>
      <c r="IG29" s="20"/>
      <c r="IS29" s="260"/>
      <c r="IT29" s="261"/>
      <c r="IU29" s="260">
        <v>0.12</v>
      </c>
      <c r="IV29" s="20"/>
      <c r="IW29" s="514" t="s">
        <v>140</v>
      </c>
      <c r="IZ29" s="239">
        <v>0.2</v>
      </c>
      <c r="JB29" s="260"/>
      <c r="JC29" s="261"/>
      <c r="JD29" s="260"/>
      <c r="JE29" s="20"/>
      <c r="JF29" s="514"/>
      <c r="JG29" s="20"/>
      <c r="JS29" s="260"/>
      <c r="JT29" s="261"/>
      <c r="JU29" s="260">
        <v>0.12</v>
      </c>
      <c r="JV29" s="20"/>
      <c r="JW29" s="514" t="s">
        <v>140</v>
      </c>
      <c r="JZ29" s="239">
        <v>0.2</v>
      </c>
    </row>
    <row r="30" spans="2:286" x14ac:dyDescent="0.25">
      <c r="B30" s="260"/>
      <c r="C30" s="261"/>
      <c r="D30" s="260"/>
      <c r="E30" s="20"/>
      <c r="F30" s="514"/>
      <c r="G30" s="20"/>
      <c r="S30" s="260"/>
      <c r="T30" s="261"/>
      <c r="U30" s="260">
        <v>0.12</v>
      </c>
      <c r="V30" s="20"/>
      <c r="W30" s="514" t="s">
        <v>466</v>
      </c>
      <c r="Z30" s="239">
        <v>0.3</v>
      </c>
      <c r="AB30" s="260"/>
      <c r="AC30" s="261"/>
      <c r="AD30" s="260"/>
      <c r="AE30" s="20"/>
      <c r="AF30" s="514"/>
      <c r="AG30" s="20"/>
      <c r="AS30" s="260"/>
      <c r="AT30" s="261"/>
      <c r="AU30" s="260">
        <v>0.12</v>
      </c>
      <c r="AV30" s="20"/>
      <c r="AW30" s="514" t="s">
        <v>141</v>
      </c>
      <c r="AZ30" s="239">
        <v>0.3</v>
      </c>
      <c r="BB30" s="260"/>
      <c r="BC30" s="261"/>
      <c r="BD30" s="260"/>
      <c r="BE30" s="20"/>
      <c r="BF30" s="514"/>
      <c r="BG30" s="20"/>
      <c r="BS30" s="260"/>
      <c r="BT30" s="261"/>
      <c r="BU30" s="260">
        <v>0.12</v>
      </c>
      <c r="BV30" s="20"/>
      <c r="BW30" s="514" t="s">
        <v>141</v>
      </c>
      <c r="BZ30" s="239">
        <v>0.3</v>
      </c>
      <c r="CB30" s="260"/>
      <c r="CC30" s="261"/>
      <c r="CD30" s="260"/>
      <c r="CE30" s="20"/>
      <c r="CF30" s="514"/>
      <c r="CG30" s="20"/>
      <c r="CS30" s="260"/>
      <c r="CT30" s="261"/>
      <c r="CU30" s="260">
        <v>0.12</v>
      </c>
      <c r="CV30" s="20"/>
      <c r="CW30" s="514" t="s">
        <v>141</v>
      </c>
      <c r="CZ30" s="239">
        <v>0.3</v>
      </c>
      <c r="DB30" s="260"/>
      <c r="DC30" s="261"/>
      <c r="DD30" s="260"/>
      <c r="DE30" s="20"/>
      <c r="DF30" s="514"/>
      <c r="DG30" s="20"/>
      <c r="DS30" s="260"/>
      <c r="DT30" s="261"/>
      <c r="DU30" s="260">
        <v>0.12</v>
      </c>
      <c r="DV30" s="20"/>
      <c r="DW30" s="514" t="s">
        <v>141</v>
      </c>
      <c r="DZ30" s="239">
        <v>0.3</v>
      </c>
      <c r="EB30" s="260"/>
      <c r="EC30" s="261"/>
      <c r="ED30" s="260"/>
      <c r="EE30" s="20"/>
      <c r="EF30" s="514"/>
      <c r="EG30" s="20"/>
      <c r="ES30" s="260"/>
      <c r="ET30" s="261"/>
      <c r="EU30" s="260">
        <v>0.12</v>
      </c>
      <c r="EV30" s="20"/>
      <c r="EW30" s="514" t="s">
        <v>141</v>
      </c>
      <c r="EZ30" s="239">
        <v>0.3</v>
      </c>
      <c r="FB30" s="260"/>
      <c r="FC30" s="261"/>
      <c r="FD30" s="260"/>
      <c r="FE30" s="20"/>
      <c r="FF30" s="514"/>
      <c r="FG30" s="20"/>
      <c r="FS30" s="260"/>
      <c r="FT30" s="261"/>
      <c r="FU30" s="260">
        <v>0.12</v>
      </c>
      <c r="FV30" s="20"/>
      <c r="FW30" s="514" t="s">
        <v>141</v>
      </c>
      <c r="FZ30" s="239">
        <v>0.3</v>
      </c>
      <c r="GB30" s="260"/>
      <c r="GC30" s="261"/>
      <c r="GD30" s="260"/>
      <c r="GE30" s="20"/>
      <c r="GF30" s="514"/>
      <c r="GG30" s="20"/>
      <c r="GS30" s="260"/>
      <c r="GT30" s="261"/>
      <c r="GU30" s="260">
        <v>0.12</v>
      </c>
      <c r="GV30" s="20"/>
      <c r="GW30" s="514" t="s">
        <v>141</v>
      </c>
      <c r="GZ30" s="239">
        <v>0.3</v>
      </c>
      <c r="HB30" s="260"/>
      <c r="HC30" s="261"/>
      <c r="HD30" s="260"/>
      <c r="HE30" s="20"/>
      <c r="HF30" s="514"/>
      <c r="HG30" s="20"/>
      <c r="HS30" s="260"/>
      <c r="HT30" s="261"/>
      <c r="HU30" s="260">
        <v>0.12</v>
      </c>
      <c r="HV30" s="20"/>
      <c r="HW30" s="514" t="s">
        <v>141</v>
      </c>
      <c r="HZ30" s="239">
        <v>0.3</v>
      </c>
      <c r="IB30" s="260"/>
      <c r="IC30" s="261"/>
      <c r="ID30" s="260"/>
      <c r="IE30" s="20"/>
      <c r="IF30" s="514"/>
      <c r="IG30" s="20"/>
      <c r="IS30" s="260"/>
      <c r="IT30" s="261"/>
      <c r="IU30" s="260">
        <v>0.12</v>
      </c>
      <c r="IV30" s="20"/>
      <c r="IW30" s="514" t="s">
        <v>141</v>
      </c>
      <c r="IZ30" s="239">
        <v>0.3</v>
      </c>
      <c r="JB30" s="260"/>
      <c r="JC30" s="261"/>
      <c r="JD30" s="260"/>
      <c r="JE30" s="20"/>
      <c r="JF30" s="514"/>
      <c r="JG30" s="20"/>
      <c r="JS30" s="260"/>
      <c r="JT30" s="261"/>
      <c r="JU30" s="260">
        <v>0.12</v>
      </c>
      <c r="JV30" s="20"/>
      <c r="JW30" s="514" t="s">
        <v>141</v>
      </c>
      <c r="JZ30" s="239">
        <v>0.3</v>
      </c>
    </row>
    <row r="31" spans="2:286" x14ac:dyDescent="0.25">
      <c r="B31" s="260"/>
      <c r="C31" s="261"/>
      <c r="D31" s="260"/>
      <c r="E31" s="20"/>
      <c r="F31" s="514"/>
      <c r="G31" s="20"/>
      <c r="S31" s="260"/>
      <c r="T31" s="261"/>
      <c r="U31" s="260"/>
      <c r="V31" s="20"/>
      <c r="W31" s="514"/>
      <c r="AB31" s="260"/>
      <c r="AC31" s="261"/>
      <c r="AD31" s="260"/>
      <c r="AE31" s="20"/>
      <c r="AF31" s="514"/>
      <c r="AG31" s="20"/>
      <c r="AS31" s="260"/>
      <c r="AT31" s="261"/>
      <c r="AU31" s="260"/>
      <c r="AV31" s="20"/>
      <c r="AW31" s="514"/>
      <c r="BB31" s="260"/>
      <c r="BC31" s="261"/>
      <c r="BD31" s="260"/>
      <c r="BE31" s="20"/>
      <c r="BF31" s="514"/>
      <c r="BG31" s="20"/>
      <c r="BS31" s="260"/>
      <c r="BT31" s="261"/>
      <c r="BU31" s="260"/>
      <c r="BV31" s="20"/>
      <c r="BW31" s="514"/>
      <c r="CB31" s="260"/>
      <c r="CC31" s="261"/>
      <c r="CD31" s="260"/>
      <c r="CE31" s="20"/>
      <c r="CF31" s="514"/>
      <c r="CG31" s="20"/>
      <c r="CS31" s="260"/>
      <c r="CT31" s="261"/>
      <c r="CU31" s="260"/>
      <c r="CV31" s="20"/>
      <c r="CW31" s="514"/>
      <c r="DB31" s="260"/>
      <c r="DC31" s="261"/>
      <c r="DD31" s="260"/>
      <c r="DE31" s="20"/>
      <c r="DF31" s="514"/>
      <c r="DG31" s="20"/>
      <c r="DS31" s="260"/>
      <c r="DT31" s="261"/>
      <c r="DU31" s="260"/>
      <c r="DV31" s="20"/>
      <c r="DW31" s="514"/>
      <c r="EB31" s="260"/>
      <c r="EC31" s="261"/>
      <c r="ED31" s="260"/>
      <c r="EE31" s="20"/>
      <c r="EF31" s="514"/>
      <c r="EG31" s="20"/>
      <c r="ES31" s="260"/>
      <c r="ET31" s="261"/>
      <c r="EU31" s="260"/>
      <c r="EV31" s="20"/>
      <c r="EW31" s="514"/>
      <c r="FB31" s="260"/>
      <c r="FC31" s="261"/>
      <c r="FD31" s="260"/>
      <c r="FE31" s="20"/>
      <c r="FF31" s="514"/>
      <c r="FG31" s="20"/>
      <c r="FS31" s="260"/>
      <c r="FT31" s="261"/>
      <c r="FU31" s="260"/>
      <c r="FV31" s="20"/>
      <c r="FW31" s="514"/>
      <c r="GB31" s="260"/>
      <c r="GC31" s="261"/>
      <c r="GD31" s="260"/>
      <c r="GE31" s="20"/>
      <c r="GF31" s="514"/>
      <c r="GG31" s="20"/>
      <c r="GS31" s="260"/>
      <c r="GT31" s="261"/>
      <c r="GU31" s="260"/>
      <c r="GV31" s="20"/>
      <c r="GW31" s="514"/>
      <c r="HB31" s="260"/>
      <c r="HC31" s="261"/>
      <c r="HD31" s="260"/>
      <c r="HE31" s="20"/>
      <c r="HF31" s="514"/>
      <c r="HG31" s="20"/>
      <c r="HS31" s="260"/>
      <c r="HT31" s="261"/>
      <c r="HU31" s="260"/>
      <c r="HV31" s="20"/>
      <c r="HW31" s="514"/>
      <c r="IB31" s="260"/>
      <c r="IC31" s="261"/>
      <c r="ID31" s="260"/>
      <c r="IE31" s="20"/>
      <c r="IF31" s="514"/>
      <c r="IG31" s="20"/>
      <c r="IS31" s="260"/>
      <c r="IT31" s="261"/>
      <c r="IU31" s="260"/>
      <c r="IV31" s="20"/>
      <c r="IW31" s="514"/>
      <c r="JB31" s="260"/>
      <c r="JC31" s="261"/>
      <c r="JD31" s="260"/>
      <c r="JE31" s="20"/>
      <c r="JF31" s="514"/>
      <c r="JG31" s="20"/>
      <c r="JS31" s="260"/>
      <c r="JT31" s="261"/>
      <c r="JU31" s="260"/>
      <c r="JV31" s="20"/>
      <c r="JW31" s="514"/>
    </row>
    <row r="32" spans="2:286" x14ac:dyDescent="0.25">
      <c r="B32" s="260"/>
      <c r="C32" s="261"/>
      <c r="D32" s="260"/>
      <c r="G32" s="20"/>
      <c r="S32" s="260"/>
      <c r="T32" s="261"/>
      <c r="U32" s="260"/>
      <c r="AB32" s="260"/>
      <c r="AC32" s="261"/>
      <c r="AD32" s="260"/>
      <c r="AG32" s="20"/>
      <c r="AS32" s="260"/>
      <c r="AT32" s="261"/>
      <c r="AU32" s="260"/>
      <c r="BB32" s="260"/>
      <c r="BC32" s="261"/>
      <c r="BD32" s="260"/>
      <c r="BG32" s="20"/>
      <c r="BS32" s="260"/>
      <c r="BT32" s="261"/>
      <c r="BU32" s="260"/>
      <c r="CB32" s="260"/>
      <c r="CC32" s="261"/>
      <c r="CD32" s="260"/>
      <c r="CG32" s="20"/>
      <c r="CS32" s="260"/>
      <c r="CT32" s="261"/>
      <c r="CU32" s="260"/>
      <c r="DB32" s="260"/>
      <c r="DC32" s="261"/>
      <c r="DD32" s="260"/>
      <c r="DG32" s="20"/>
      <c r="DS32" s="260"/>
      <c r="DT32" s="261"/>
      <c r="DU32" s="260"/>
      <c r="EB32" s="260"/>
      <c r="EC32" s="261"/>
      <c r="ED32" s="260"/>
      <c r="EG32" s="20"/>
      <c r="ES32" s="260"/>
      <c r="ET32" s="261"/>
      <c r="EU32" s="260"/>
      <c r="FB32" s="260"/>
      <c r="FC32" s="261"/>
      <c r="FD32" s="260"/>
      <c r="FG32" s="20"/>
      <c r="FS32" s="260"/>
      <c r="FT32" s="261"/>
      <c r="FU32" s="260"/>
      <c r="GB32" s="260"/>
      <c r="GC32" s="261"/>
      <c r="GD32" s="260"/>
      <c r="GG32" s="20"/>
      <c r="GS32" s="260"/>
      <c r="GT32" s="261"/>
      <c r="GU32" s="260"/>
      <c r="HB32" s="260"/>
      <c r="HC32" s="261"/>
      <c r="HD32" s="260"/>
      <c r="HG32" s="20"/>
      <c r="HS32" s="260"/>
      <c r="HT32" s="261"/>
      <c r="HU32" s="260"/>
      <c r="IB32" s="260"/>
      <c r="IC32" s="261"/>
      <c r="ID32" s="260"/>
      <c r="IG32" s="20"/>
      <c r="IS32" s="260"/>
      <c r="IT32" s="261"/>
      <c r="IU32" s="260"/>
      <c r="JB32" s="260"/>
      <c r="JC32" s="261"/>
      <c r="JD32" s="260"/>
      <c r="JG32" s="20"/>
      <c r="JS32" s="260"/>
      <c r="JT32" s="261"/>
      <c r="JU32" s="260"/>
    </row>
    <row r="33" spans="2:284" x14ac:dyDescent="0.25">
      <c r="B33" s="260"/>
      <c r="C33" s="261"/>
      <c r="D33" s="260"/>
      <c r="G33" s="516"/>
      <c r="S33" s="260"/>
      <c r="T33" s="261"/>
      <c r="U33" s="260"/>
      <c r="X33" s="517"/>
      <c r="AB33" s="260"/>
      <c r="AC33" s="261"/>
      <c r="AD33" s="260"/>
      <c r="AG33" s="516"/>
      <c r="AS33" s="260"/>
      <c r="AT33" s="261"/>
      <c r="AU33" s="260"/>
      <c r="AX33" s="517"/>
      <c r="BB33" s="260"/>
      <c r="BC33" s="261"/>
      <c r="BD33" s="260"/>
      <c r="BG33" s="516"/>
      <c r="BS33" s="260"/>
      <c r="BT33" s="261"/>
      <c r="BU33" s="260"/>
      <c r="BX33" s="517"/>
      <c r="CB33" s="260"/>
      <c r="CC33" s="261"/>
      <c r="CD33" s="260"/>
      <c r="CG33" s="516"/>
      <c r="CS33" s="260"/>
      <c r="CT33" s="261"/>
      <c r="CU33" s="260"/>
      <c r="CX33" s="517"/>
      <c r="DB33" s="260"/>
      <c r="DC33" s="261"/>
      <c r="DD33" s="260"/>
      <c r="DG33" s="516"/>
      <c r="DS33" s="260"/>
      <c r="DT33" s="261"/>
      <c r="DU33" s="260"/>
      <c r="DX33" s="517"/>
      <c r="EB33" s="260"/>
      <c r="EC33" s="261"/>
      <c r="ED33" s="260"/>
      <c r="EG33" s="516"/>
      <c r="ES33" s="260"/>
      <c r="ET33" s="261"/>
      <c r="EU33" s="260"/>
      <c r="EX33" s="517"/>
      <c r="FB33" s="260"/>
      <c r="FC33" s="261"/>
      <c r="FD33" s="260"/>
      <c r="FG33" s="516"/>
      <c r="FS33" s="260"/>
      <c r="FT33" s="261"/>
      <c r="FU33" s="260"/>
      <c r="FX33" s="517"/>
      <c r="GB33" s="260"/>
      <c r="GC33" s="261"/>
      <c r="GD33" s="260"/>
      <c r="GG33" s="516"/>
      <c r="GS33" s="260"/>
      <c r="GT33" s="261"/>
      <c r="GU33" s="260"/>
      <c r="GX33" s="517"/>
      <c r="HB33" s="260"/>
      <c r="HC33" s="261"/>
      <c r="HD33" s="260"/>
      <c r="HG33" s="516"/>
      <c r="HS33" s="260"/>
      <c r="HT33" s="261"/>
      <c r="HU33" s="260"/>
      <c r="HX33" s="517"/>
      <c r="IB33" s="260"/>
      <c r="IC33" s="261"/>
      <c r="ID33" s="260"/>
      <c r="IG33" s="516"/>
      <c r="IS33" s="260"/>
      <c r="IT33" s="261"/>
      <c r="IU33" s="260"/>
      <c r="IX33" s="517"/>
      <c r="JB33" s="260"/>
      <c r="JC33" s="261"/>
      <c r="JD33" s="260"/>
      <c r="JG33" s="516"/>
      <c r="JS33" s="260"/>
      <c r="JT33" s="261"/>
      <c r="JU33" s="260"/>
      <c r="JX33" s="517"/>
    </row>
    <row r="34" spans="2:284" x14ac:dyDescent="0.25">
      <c r="B34" s="260"/>
      <c r="C34" s="261"/>
      <c r="D34" s="260"/>
      <c r="G34" s="20"/>
      <c r="S34" s="260"/>
      <c r="T34" s="261"/>
      <c r="U34" s="260"/>
      <c r="AB34" s="260"/>
      <c r="AC34" s="261"/>
      <c r="AD34" s="260"/>
      <c r="AG34" s="20"/>
      <c r="AS34" s="260"/>
      <c r="AT34" s="261"/>
      <c r="AU34" s="260"/>
      <c r="BB34" s="260"/>
      <c r="BC34" s="261"/>
      <c r="BD34" s="260"/>
      <c r="BG34" s="20"/>
      <c r="BS34" s="260"/>
      <c r="BT34" s="261"/>
      <c r="BU34" s="260"/>
      <c r="CB34" s="260"/>
      <c r="CC34" s="261"/>
      <c r="CD34" s="260"/>
      <c r="CG34" s="20"/>
      <c r="CS34" s="260"/>
      <c r="CT34" s="261"/>
      <c r="CU34" s="260"/>
      <c r="DB34" s="260"/>
      <c r="DC34" s="261"/>
      <c r="DD34" s="260"/>
      <c r="DG34" s="20"/>
      <c r="DS34" s="260"/>
      <c r="DT34" s="261"/>
      <c r="DU34" s="260"/>
      <c r="EB34" s="260"/>
      <c r="EC34" s="261"/>
      <c r="ED34" s="260"/>
      <c r="EG34" s="20"/>
      <c r="ES34" s="260"/>
      <c r="ET34" s="261"/>
      <c r="EU34" s="260"/>
      <c r="FB34" s="260"/>
      <c r="FC34" s="261"/>
      <c r="FD34" s="260"/>
      <c r="FG34" s="20"/>
      <c r="FS34" s="260"/>
      <c r="FT34" s="261"/>
      <c r="FU34" s="260"/>
      <c r="GB34" s="260"/>
      <c r="GC34" s="261"/>
      <c r="GD34" s="260"/>
      <c r="GG34" s="20"/>
      <c r="GS34" s="260"/>
      <c r="GT34" s="261"/>
      <c r="GU34" s="260"/>
      <c r="HB34" s="260"/>
      <c r="HC34" s="261"/>
      <c r="HD34" s="260"/>
      <c r="HG34" s="20"/>
      <c r="HS34" s="260"/>
      <c r="HT34" s="261"/>
      <c r="HU34" s="260"/>
      <c r="IB34" s="260"/>
      <c r="IC34" s="261"/>
      <c r="ID34" s="260"/>
      <c r="IG34" s="20"/>
      <c r="IS34" s="260"/>
      <c r="IT34" s="261"/>
      <c r="IU34" s="260"/>
      <c r="JB34" s="260"/>
      <c r="JC34" s="261"/>
      <c r="JD34" s="260"/>
      <c r="JG34" s="20"/>
      <c r="JS34" s="260"/>
      <c r="JT34" s="261"/>
      <c r="JU34" s="260"/>
    </row>
    <row r="35" spans="2:284" x14ac:dyDescent="0.25">
      <c r="B35" s="260"/>
      <c r="C35" s="261"/>
      <c r="D35" s="260"/>
      <c r="G35" s="20"/>
      <c r="S35" s="260"/>
      <c r="T35" s="261"/>
      <c r="U35" s="260"/>
      <c r="AB35" s="260"/>
      <c r="AC35" s="261"/>
      <c r="AD35" s="260"/>
      <c r="AG35" s="20"/>
      <c r="AS35" s="260"/>
      <c r="AT35" s="261"/>
      <c r="AU35" s="260"/>
      <c r="BB35" s="260"/>
      <c r="BC35" s="261"/>
      <c r="BD35" s="260"/>
      <c r="BG35" s="20"/>
      <c r="BS35" s="260"/>
      <c r="BT35" s="261"/>
      <c r="BU35" s="260"/>
      <c r="CB35" s="260"/>
      <c r="CC35" s="261"/>
      <c r="CD35" s="260"/>
      <c r="CG35" s="20"/>
      <c r="CS35" s="260"/>
      <c r="CT35" s="261"/>
      <c r="CU35" s="260"/>
      <c r="DB35" s="260"/>
      <c r="DC35" s="261"/>
      <c r="DD35" s="260"/>
      <c r="DG35" s="20"/>
      <c r="DS35" s="260"/>
      <c r="DT35" s="261"/>
      <c r="DU35" s="260"/>
      <c r="EB35" s="260"/>
      <c r="EC35" s="261"/>
      <c r="ED35" s="260"/>
      <c r="EG35" s="20"/>
      <c r="ES35" s="260"/>
      <c r="ET35" s="261"/>
      <c r="EU35" s="260"/>
      <c r="FB35" s="260"/>
      <c r="FC35" s="261"/>
      <c r="FD35" s="260"/>
      <c r="FG35" s="20"/>
      <c r="FS35" s="260"/>
      <c r="FT35" s="261"/>
      <c r="FU35" s="260"/>
      <c r="GB35" s="260"/>
      <c r="GC35" s="261"/>
      <c r="GD35" s="260"/>
      <c r="GG35" s="20"/>
      <c r="GS35" s="260"/>
      <c r="GT35" s="261"/>
      <c r="GU35" s="260"/>
      <c r="HB35" s="260"/>
      <c r="HC35" s="261"/>
      <c r="HD35" s="260"/>
      <c r="HG35" s="20"/>
      <c r="HS35" s="260"/>
      <c r="HT35" s="261"/>
      <c r="HU35" s="260"/>
      <c r="IB35" s="260"/>
      <c r="IC35" s="261"/>
      <c r="ID35" s="260"/>
      <c r="IG35" s="20"/>
      <c r="IS35" s="260"/>
      <c r="IT35" s="261"/>
      <c r="IU35" s="260"/>
      <c r="JB35" s="260"/>
      <c r="JC35" s="261"/>
      <c r="JD35" s="260"/>
      <c r="JG35" s="20"/>
      <c r="JS35" s="260"/>
      <c r="JT35" s="261"/>
      <c r="JU35" s="260"/>
    </row>
    <row r="37" spans="2:284" x14ac:dyDescent="0.25">
      <c r="B37" s="518"/>
      <c r="C37" s="387" t="s">
        <v>456</v>
      </c>
      <c r="D37" s="388"/>
      <c r="E37" s="388"/>
      <c r="F37" s="388"/>
      <c r="G37" s="388"/>
      <c r="H37" s="388"/>
      <c r="I37" s="388"/>
      <c r="J37" s="388"/>
      <c r="K37" s="388"/>
      <c r="L37" s="388"/>
      <c r="M37" s="389"/>
    </row>
    <row r="38" spans="2:284" x14ac:dyDescent="0.25">
      <c r="B38" s="519" t="s">
        <v>12</v>
      </c>
      <c r="C38" s="241">
        <f>'Peternakan-CH4'!C26</f>
        <v>2011</v>
      </c>
      <c r="D38" s="241">
        <f>'Peternakan-CH4'!D26</f>
        <v>2012</v>
      </c>
      <c r="E38" s="241">
        <f>'Peternakan-CH4'!E26</f>
        <v>2013</v>
      </c>
      <c r="F38" s="241">
        <f>'Peternakan-CH4'!F26</f>
        <v>2014</v>
      </c>
      <c r="G38" s="241">
        <f>'Peternakan-CH4'!G26</f>
        <v>2015</v>
      </c>
      <c r="H38" s="241">
        <f>'Peternakan-CH4'!H26</f>
        <v>2016</v>
      </c>
      <c r="I38" s="241">
        <f>'Peternakan-CH4'!I26</f>
        <v>2017</v>
      </c>
      <c r="J38" s="241">
        <f>'Peternakan-CH4'!J26</f>
        <v>2018</v>
      </c>
      <c r="K38" s="241">
        <f>'Peternakan-CH4'!K26</f>
        <v>2019</v>
      </c>
      <c r="L38" s="241">
        <f>'Peternakan-CH4'!L26</f>
        <v>2020</v>
      </c>
      <c r="M38" s="242">
        <v>2021</v>
      </c>
    </row>
    <row r="39" spans="2:284" x14ac:dyDescent="0.25">
      <c r="B39" s="520" t="s">
        <v>64</v>
      </c>
      <c r="C39" s="521">
        <f>'Peternakan-CH4'!C27</f>
        <v>0</v>
      </c>
      <c r="D39" s="521">
        <f>'Peternakan-CH4'!D27</f>
        <v>0</v>
      </c>
      <c r="E39" s="521">
        <f>'Peternakan-CH4'!E27</f>
        <v>0</v>
      </c>
      <c r="F39" s="521">
        <f>'Peternakan-CH4'!F27</f>
        <v>0</v>
      </c>
      <c r="G39" s="521">
        <f>'Peternakan-CH4'!G27</f>
        <v>0</v>
      </c>
      <c r="H39" s="521">
        <f>'Peternakan-CH4'!H27</f>
        <v>0</v>
      </c>
      <c r="I39" s="521">
        <f>'Peternakan-CH4'!I27</f>
        <v>0</v>
      </c>
      <c r="J39" s="521">
        <f>'Peternakan-CH4'!J27</f>
        <v>0</v>
      </c>
      <c r="K39" s="521">
        <f>'Peternakan-CH4'!K27</f>
        <v>0</v>
      </c>
      <c r="L39" s="521">
        <f>'Peternakan-CH4'!L27</f>
        <v>0</v>
      </c>
      <c r="M39" s="522"/>
    </row>
    <row r="40" spans="2:284" x14ac:dyDescent="0.25">
      <c r="B40" s="520" t="s">
        <v>71</v>
      </c>
      <c r="C40" s="521">
        <f>'Peternakan-CH4'!C28</f>
        <v>12189</v>
      </c>
      <c r="D40" s="521">
        <f>'Peternakan-CH4'!D28</f>
        <v>15398</v>
      </c>
      <c r="E40" s="521">
        <f>'Peternakan-CH4'!E28</f>
        <v>14136</v>
      </c>
      <c r="F40" s="521">
        <f>'Peternakan-CH4'!F28</f>
        <v>17345</v>
      </c>
      <c r="G40" s="521">
        <f>'Peternakan-CH4'!G28</f>
        <v>20502</v>
      </c>
      <c r="H40" s="521">
        <f>'Peternakan-CH4'!H28</f>
        <v>21659</v>
      </c>
      <c r="I40" s="521">
        <f>'Peternakan-CH4'!I28</f>
        <v>26589.508234463978</v>
      </c>
      <c r="J40" s="521">
        <f>'Peternakan-CH4'!J28</f>
        <v>30280.799896359073</v>
      </c>
      <c r="K40" s="521">
        <f>'Peternakan-CH4'!K28</f>
        <v>34484.535564853562</v>
      </c>
      <c r="L40" s="521">
        <f>'Peternakan-CH4'!L28</f>
        <v>38688.271233348103</v>
      </c>
      <c r="M40" s="522"/>
    </row>
    <row r="41" spans="2:284" x14ac:dyDescent="0.25">
      <c r="B41" s="520" t="s">
        <v>22</v>
      </c>
      <c r="C41" s="521">
        <f>'Peternakan-CH4'!C29</f>
        <v>554</v>
      </c>
      <c r="D41" s="521">
        <f>'Peternakan-CH4'!D29</f>
        <v>560</v>
      </c>
      <c r="E41" s="521">
        <f>'Peternakan-CH4'!E29</f>
        <v>489</v>
      </c>
      <c r="F41" s="521">
        <f>'Peternakan-CH4'!F29</f>
        <v>528</v>
      </c>
      <c r="G41" s="521">
        <f>'Peternakan-CH4'!G29</f>
        <v>683</v>
      </c>
      <c r="H41" s="521">
        <f>'Peternakan-CH4'!H29</f>
        <v>756</v>
      </c>
      <c r="I41" s="521">
        <f>'Peternakan-CH4'!I29</f>
        <v>717</v>
      </c>
      <c r="J41" s="521">
        <f>'Peternakan-CH4'!J29</f>
        <v>752</v>
      </c>
      <c r="K41" s="521">
        <f>'Peternakan-CH4'!K29</f>
        <v>789</v>
      </c>
      <c r="L41" s="521">
        <f>'Peternakan-CH4'!L29</f>
        <v>828</v>
      </c>
      <c r="M41" s="522"/>
    </row>
    <row r="42" spans="2:284" x14ac:dyDescent="0.25">
      <c r="B42" s="520" t="s">
        <v>65</v>
      </c>
      <c r="C42" s="521">
        <f>'Peternakan-CH4'!C30</f>
        <v>58</v>
      </c>
      <c r="D42" s="521">
        <f>'Peternakan-CH4'!D30</f>
        <v>130</v>
      </c>
      <c r="E42" s="521">
        <f>'Peternakan-CH4'!E30</f>
        <v>125</v>
      </c>
      <c r="F42" s="521">
        <f>'Peternakan-CH4'!F30</f>
        <v>33</v>
      </c>
      <c r="G42" s="521">
        <f>'Peternakan-CH4'!G30</f>
        <v>48</v>
      </c>
      <c r="H42" s="521">
        <f>'Peternakan-CH4'!H30</f>
        <v>74</v>
      </c>
      <c r="I42" s="521">
        <f>'Peternakan-CH4'!I30</f>
        <v>57</v>
      </c>
      <c r="J42" s="521">
        <f>'Peternakan-CH4'!J30</f>
        <v>68</v>
      </c>
      <c r="K42" s="521">
        <f>'Peternakan-CH4'!K30</f>
        <v>81</v>
      </c>
      <c r="L42" s="521">
        <f>'Peternakan-CH4'!L30</f>
        <v>97</v>
      </c>
      <c r="M42" s="522"/>
    </row>
    <row r="43" spans="2:284" x14ac:dyDescent="0.25">
      <c r="B43" s="520" t="s">
        <v>23</v>
      </c>
      <c r="C43" s="521">
        <f>'Peternakan-CH4'!C31</f>
        <v>4847</v>
      </c>
      <c r="D43" s="521">
        <f>'Peternakan-CH4'!D31</f>
        <v>5760</v>
      </c>
      <c r="E43" s="521">
        <f>'Peternakan-CH4'!E31</f>
        <v>5994</v>
      </c>
      <c r="F43" s="521">
        <f>'Peternakan-CH4'!F31</f>
        <v>6469</v>
      </c>
      <c r="G43" s="521">
        <f>'Peternakan-CH4'!G31</f>
        <v>7201</v>
      </c>
      <c r="H43" s="521">
        <f>'Peternakan-CH4'!H31</f>
        <v>7724</v>
      </c>
      <c r="I43" s="521">
        <f>'Peternakan-CH4'!I31</f>
        <v>7558</v>
      </c>
      <c r="J43" s="521">
        <f>'Peternakan-CH4'!J31</f>
        <v>7935</v>
      </c>
      <c r="K43" s="521">
        <f>'Peternakan-CH4'!K31</f>
        <v>8331</v>
      </c>
      <c r="L43" s="521">
        <f>'Peternakan-CH4'!L31</f>
        <v>8747</v>
      </c>
      <c r="M43" s="522"/>
    </row>
    <row r="44" spans="2:284" x14ac:dyDescent="0.25">
      <c r="B44" s="520" t="s">
        <v>24</v>
      </c>
      <c r="C44" s="521">
        <f>'Peternakan-CH4'!C32</f>
        <v>0</v>
      </c>
      <c r="D44" s="521">
        <f>'Peternakan-CH4'!D32</f>
        <v>0</v>
      </c>
      <c r="E44" s="521">
        <f>'Peternakan-CH4'!E32</f>
        <v>0</v>
      </c>
      <c r="F44" s="521">
        <f>'Peternakan-CH4'!F32</f>
        <v>0</v>
      </c>
      <c r="G44" s="521">
        <f>'Peternakan-CH4'!G32</f>
        <v>0</v>
      </c>
      <c r="H44" s="521">
        <f>'Peternakan-CH4'!H32</f>
        <v>0</v>
      </c>
      <c r="I44" s="521">
        <f>'Peternakan-CH4'!I32</f>
        <v>0</v>
      </c>
      <c r="J44" s="521">
        <f>'Peternakan-CH4'!J32</f>
        <v>0</v>
      </c>
      <c r="K44" s="521">
        <f>'Peternakan-CH4'!K32</f>
        <v>0</v>
      </c>
      <c r="L44" s="521">
        <f>'Peternakan-CH4'!L32</f>
        <v>0</v>
      </c>
      <c r="M44" s="522"/>
    </row>
    <row r="45" spans="2:284" x14ac:dyDescent="0.25">
      <c r="B45" s="520" t="s">
        <v>72</v>
      </c>
      <c r="C45" s="521">
        <f>'Peternakan-CH4'!C33</f>
        <v>837449</v>
      </c>
      <c r="D45" s="521">
        <f>'Peternakan-CH4'!D33</f>
        <v>872933</v>
      </c>
      <c r="E45" s="521">
        <f>'Peternakan-CH4'!E33</f>
        <v>925756</v>
      </c>
      <c r="F45" s="521">
        <f>'Peternakan-CH4'!F33</f>
        <v>1019349</v>
      </c>
      <c r="G45" s="521">
        <f>'Peternakan-CH4'!G33</f>
        <v>1314528</v>
      </c>
      <c r="H45" s="521">
        <f>'Peternakan-CH4'!H33</f>
        <v>1445980.8</v>
      </c>
      <c r="I45" s="521">
        <f>'Peternakan-CH4'!I33</f>
        <v>1590578.8800000001</v>
      </c>
      <c r="J45" s="521">
        <f>'Peternakan-CH4'!J33</f>
        <v>1749636.7680000002</v>
      </c>
      <c r="K45" s="521">
        <f>'Peternakan-CH4'!K33</f>
        <v>1924600.4448000002</v>
      </c>
      <c r="L45" s="521">
        <f>'Peternakan-CH4'!L33</f>
        <v>2117060.4892800003</v>
      </c>
      <c r="M45" s="522"/>
    </row>
    <row r="46" spans="2:284" x14ac:dyDescent="0.25">
      <c r="B46" s="520" t="s">
        <v>73</v>
      </c>
      <c r="C46" s="521">
        <f>'Peternakan-CH4'!C34</f>
        <v>2050000</v>
      </c>
      <c r="D46" s="521">
        <f>'Peternakan-CH4'!D34</f>
        <v>1993350</v>
      </c>
      <c r="E46" s="521">
        <f>'Peternakan-CH4'!E34</f>
        <v>1831500</v>
      </c>
      <c r="F46" s="521">
        <f>'Peternakan-CH4'!F34</f>
        <v>1967589</v>
      </c>
      <c r="G46" s="521">
        <f>'Peternakan-CH4'!G34</f>
        <v>1967715</v>
      </c>
      <c r="H46" s="521">
        <f>'Peternakan-CH4'!H34</f>
        <v>2164486.5</v>
      </c>
      <c r="I46" s="521">
        <f>'Peternakan-CH4'!I34</f>
        <v>2380935.15</v>
      </c>
      <c r="J46" s="521">
        <f>'Peternakan-CH4'!J34</f>
        <v>2619028.665</v>
      </c>
      <c r="K46" s="521">
        <f>'Peternakan-CH4'!K34</f>
        <v>2880931.5315</v>
      </c>
      <c r="L46" s="521">
        <f>'Peternakan-CH4'!L34</f>
        <v>3169024.6846500002</v>
      </c>
      <c r="M46" s="522"/>
    </row>
    <row r="47" spans="2:284" x14ac:dyDescent="0.25">
      <c r="B47" s="520" t="s">
        <v>74</v>
      </c>
      <c r="C47" s="521">
        <f>'Peternakan-CH4'!C35</f>
        <v>1275</v>
      </c>
      <c r="D47" s="521">
        <f>'Peternakan-CH4'!D35</f>
        <v>2100</v>
      </c>
      <c r="E47" s="521">
        <f>'Peternakan-CH4'!E35</f>
        <v>3315</v>
      </c>
      <c r="F47" s="521">
        <f>'Peternakan-CH4'!F35</f>
        <v>3466</v>
      </c>
      <c r="G47" s="521">
        <f>'Peternakan-CH4'!G35</f>
        <v>2201</v>
      </c>
      <c r="H47" s="521">
        <f>'Peternakan-CH4'!H35</f>
        <v>2421.1</v>
      </c>
      <c r="I47" s="521">
        <f>'Peternakan-CH4'!I35</f>
        <v>2663.21</v>
      </c>
      <c r="J47" s="521">
        <f>'Peternakan-CH4'!J35</f>
        <v>2929.5309999999999</v>
      </c>
      <c r="K47" s="521">
        <f>'Peternakan-CH4'!K35</f>
        <v>3222.4841000000001</v>
      </c>
      <c r="L47" s="521">
        <f>'Peternakan-CH4'!L35</f>
        <v>3544.7325100000003</v>
      </c>
      <c r="M47" s="523"/>
    </row>
    <row r="48" spans="2:284" x14ac:dyDescent="0.25">
      <c r="B48" s="520" t="s">
        <v>75</v>
      </c>
      <c r="C48" s="521">
        <f>'Peternakan-CH4'!C36</f>
        <v>12890</v>
      </c>
      <c r="D48" s="521">
        <f>'Peternakan-CH4'!D36</f>
        <v>16602</v>
      </c>
      <c r="E48" s="521">
        <f>'Peternakan-CH4'!E36</f>
        <v>18117</v>
      </c>
      <c r="F48" s="521">
        <f>'Peternakan-CH4'!F36</f>
        <v>35648</v>
      </c>
      <c r="G48" s="521">
        <f>'Peternakan-CH4'!G36</f>
        <v>38896</v>
      </c>
      <c r="H48" s="521">
        <f>'Peternakan-CH4'!H36</f>
        <v>42785.599999999999</v>
      </c>
      <c r="I48" s="521">
        <f>'Peternakan-CH4'!I36</f>
        <v>47064.159999999996</v>
      </c>
      <c r="J48" s="521">
        <f>'Peternakan-CH4'!J36</f>
        <v>51770.575999999994</v>
      </c>
      <c r="K48" s="521">
        <f>'Peternakan-CH4'!K36</f>
        <v>56947.633599999994</v>
      </c>
      <c r="L48" s="521">
        <f>'Peternakan-CH4'!L36</f>
        <v>62642.396959999991</v>
      </c>
      <c r="M48" s="523"/>
    </row>
    <row r="49" spans="2:12" x14ac:dyDescent="0.25">
      <c r="B49" s="524" t="s">
        <v>66</v>
      </c>
      <c r="C49" s="525">
        <f>'Peternakan-CH4'!C37</f>
        <v>0</v>
      </c>
      <c r="D49" s="525">
        <f>'Peternakan-CH4'!D37</f>
        <v>2575</v>
      </c>
      <c r="E49" s="525">
        <f>'Peternakan-CH4'!E37</f>
        <v>2580</v>
      </c>
      <c r="F49" s="525">
        <f>'Peternakan-CH4'!F37</f>
        <v>2885</v>
      </c>
      <c r="G49" s="525">
        <f>'Peternakan-CH4'!G37</f>
        <v>3071</v>
      </c>
      <c r="H49" s="525">
        <f>'Peternakan-CH4'!H37</f>
        <v>3218</v>
      </c>
      <c r="I49" s="525">
        <f>'Peternakan-CH4'!I37</f>
        <v>2821</v>
      </c>
      <c r="J49" s="525">
        <f>'Peternakan-CH4'!J37</f>
        <v>2877</v>
      </c>
      <c r="K49" s="525">
        <f>'Peternakan-CH4'!K37</f>
        <v>2934</v>
      </c>
      <c r="L49" s="525">
        <f>'Peternakan-CH4'!L37</f>
        <v>2994</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90" t="s">
        <v>148</v>
      </c>
    </row>
    <row r="2" spans="2:19" ht="18.75" x14ac:dyDescent="0.35">
      <c r="B2" s="90" t="s">
        <v>149</v>
      </c>
      <c r="K2" s="117" t="s">
        <v>207</v>
      </c>
      <c r="P2" s="117" t="s">
        <v>208</v>
      </c>
    </row>
    <row r="3" spans="2:19" ht="49.5" customHeight="1" thickBot="1" x14ac:dyDescent="0.3">
      <c r="B3" s="91" t="s">
        <v>1</v>
      </c>
      <c r="C3" s="398" t="s">
        <v>181</v>
      </c>
      <c r="D3" s="399"/>
      <c r="E3" s="399"/>
      <c r="F3" s="93" t="s">
        <v>327</v>
      </c>
      <c r="G3" s="92" t="s">
        <v>182</v>
      </c>
      <c r="H3" s="92" t="s">
        <v>183</v>
      </c>
      <c r="I3" s="92" t="s">
        <v>310</v>
      </c>
      <c r="K3" s="118" t="s">
        <v>209</v>
      </c>
      <c r="L3" s="118" t="s">
        <v>210</v>
      </c>
      <c r="M3" s="119" t="s">
        <v>211</v>
      </c>
      <c r="N3" s="118" t="s">
        <v>212</v>
      </c>
      <c r="P3" s="118" t="s">
        <v>209</v>
      </c>
      <c r="Q3" s="118" t="s">
        <v>210</v>
      </c>
      <c r="R3" s="119" t="s">
        <v>211</v>
      </c>
      <c r="S3" s="118" t="s">
        <v>212</v>
      </c>
    </row>
    <row r="4" spans="2:19" ht="18.75" customHeight="1" thickTop="1" x14ac:dyDescent="0.25">
      <c r="B4" s="94" t="s">
        <v>170</v>
      </c>
      <c r="C4" s="400" t="s">
        <v>174</v>
      </c>
      <c r="D4" s="401"/>
      <c r="E4" s="401"/>
      <c r="F4" s="95">
        <v>0</v>
      </c>
      <c r="G4" s="96"/>
      <c r="H4" s="96"/>
      <c r="I4" s="96"/>
      <c r="K4" s="120">
        <v>1</v>
      </c>
      <c r="L4" s="120" t="s">
        <v>213</v>
      </c>
      <c r="M4" s="121">
        <v>496.87</v>
      </c>
      <c r="N4" s="122">
        <f>M4/M10</f>
        <v>2.4562114425617327</v>
      </c>
      <c r="P4" s="120">
        <v>1</v>
      </c>
      <c r="Q4" s="120" t="s">
        <v>214</v>
      </c>
      <c r="R4" s="123">
        <v>584.79999999999995</v>
      </c>
      <c r="S4" s="122">
        <f>R4/R6</f>
        <v>2.4863945578231292</v>
      </c>
    </row>
    <row r="5" spans="2:19" x14ac:dyDescent="0.25">
      <c r="B5" s="405" t="s">
        <v>171</v>
      </c>
      <c r="C5" s="406" t="s">
        <v>43</v>
      </c>
      <c r="D5" s="407" t="s">
        <v>175</v>
      </c>
      <c r="E5" s="408"/>
      <c r="F5" s="97" t="s">
        <v>150</v>
      </c>
      <c r="G5" s="98" t="s">
        <v>151</v>
      </c>
      <c r="H5" s="99"/>
      <c r="I5" s="99"/>
      <c r="K5" s="120">
        <v>2</v>
      </c>
      <c r="L5" s="120" t="s">
        <v>215</v>
      </c>
      <c r="M5" s="121">
        <v>365.86</v>
      </c>
      <c r="N5" s="122">
        <f>M5/M10</f>
        <v>1.8085807522604214</v>
      </c>
      <c r="P5" s="120">
        <v>2</v>
      </c>
      <c r="Q5" s="120" t="s">
        <v>216</v>
      </c>
      <c r="R5" s="121">
        <v>517.81658811578177</v>
      </c>
      <c r="S5" s="122">
        <f>R5/R6</f>
        <v>2.201601139948052</v>
      </c>
    </row>
    <row r="6" spans="2:19" ht="17.25" customHeight="1" x14ac:dyDescent="0.25">
      <c r="B6" s="405"/>
      <c r="C6" s="405"/>
      <c r="D6" s="409" t="s">
        <v>176</v>
      </c>
      <c r="E6" s="175" t="s">
        <v>152</v>
      </c>
      <c r="F6" s="100" t="s">
        <v>153</v>
      </c>
      <c r="G6" s="413">
        <v>0.46</v>
      </c>
      <c r="H6" s="99"/>
      <c r="I6" s="402" t="s">
        <v>200</v>
      </c>
      <c r="K6" s="120">
        <v>3</v>
      </c>
      <c r="L6" s="120" t="s">
        <v>217</v>
      </c>
      <c r="M6" s="121">
        <v>273.60000000000002</v>
      </c>
      <c r="N6" s="122">
        <f>M6/M10</f>
        <v>1.3525055863402704</v>
      </c>
      <c r="P6" s="124">
        <v>3</v>
      </c>
      <c r="Q6" s="124" t="s">
        <v>218</v>
      </c>
      <c r="R6" s="125">
        <v>235.2</v>
      </c>
      <c r="S6" s="126">
        <v>1</v>
      </c>
    </row>
    <row r="7" spans="2:19" ht="16.5" customHeight="1" x14ac:dyDescent="0.25">
      <c r="B7" s="405"/>
      <c r="C7" s="405"/>
      <c r="D7" s="410"/>
      <c r="E7" s="101" t="s">
        <v>154</v>
      </c>
      <c r="F7" s="100" t="s">
        <v>155</v>
      </c>
      <c r="G7" s="403"/>
      <c r="H7" s="99"/>
      <c r="I7" s="403"/>
      <c r="K7" s="120">
        <v>4</v>
      </c>
      <c r="L7" s="120" t="s">
        <v>219</v>
      </c>
      <c r="M7" s="121">
        <v>244.16499999999999</v>
      </c>
      <c r="N7" s="122">
        <f>M7/M10</f>
        <v>1.2069975383361553</v>
      </c>
      <c r="P7" s="120">
        <v>4</v>
      </c>
      <c r="Q7" s="120" t="s">
        <v>220</v>
      </c>
      <c r="R7" s="121">
        <v>152.56</v>
      </c>
      <c r="S7" s="122">
        <f>R7/R6</f>
        <v>0.64863945578231297</v>
      </c>
    </row>
    <row r="8" spans="2:19" x14ac:dyDescent="0.25">
      <c r="B8" s="405"/>
      <c r="C8" s="411" t="s">
        <v>44</v>
      </c>
      <c r="D8" s="409" t="s">
        <v>177</v>
      </c>
      <c r="E8" s="410"/>
      <c r="F8" s="100" t="s">
        <v>156</v>
      </c>
      <c r="G8" s="402">
        <v>0.49</v>
      </c>
      <c r="H8" s="99"/>
      <c r="I8" s="402" t="s">
        <v>201</v>
      </c>
      <c r="K8" s="120">
        <v>5</v>
      </c>
      <c r="L8" s="120" t="s">
        <v>221</v>
      </c>
      <c r="M8" s="121">
        <v>223.2</v>
      </c>
      <c r="N8" s="122">
        <f>M8/M10</f>
        <v>1.1033598204354835</v>
      </c>
      <c r="P8" s="120">
        <v>5</v>
      </c>
      <c r="Q8" s="120" t="s">
        <v>222</v>
      </c>
      <c r="R8" s="127">
        <v>144.22</v>
      </c>
      <c r="S8" s="122">
        <f>R8/R6</f>
        <v>0.61318027210884352</v>
      </c>
    </row>
    <row r="9" spans="2:19" x14ac:dyDescent="0.25">
      <c r="B9" s="405"/>
      <c r="C9" s="412"/>
      <c r="D9" s="409" t="s">
        <v>178</v>
      </c>
      <c r="E9" s="410"/>
      <c r="F9" s="100" t="s">
        <v>157</v>
      </c>
      <c r="G9" s="404"/>
      <c r="H9" s="99"/>
      <c r="I9" s="404"/>
      <c r="K9" s="120">
        <v>6</v>
      </c>
      <c r="L9" s="120" t="s">
        <v>223</v>
      </c>
      <c r="M9" s="121">
        <v>204.64</v>
      </c>
      <c r="N9" s="122">
        <f>M9/M10</f>
        <v>1.0116109034673717</v>
      </c>
      <c r="P9" s="120">
        <v>6</v>
      </c>
      <c r="Q9" s="120" t="s">
        <v>224</v>
      </c>
      <c r="R9" s="121">
        <v>141.12</v>
      </c>
      <c r="S9" s="122">
        <f>R9/R6</f>
        <v>0.60000000000000009</v>
      </c>
    </row>
    <row r="10" spans="2:19" x14ac:dyDescent="0.25">
      <c r="B10" s="405"/>
      <c r="C10" s="411" t="s">
        <v>173</v>
      </c>
      <c r="D10" s="409" t="s">
        <v>179</v>
      </c>
      <c r="E10" s="410"/>
      <c r="F10" s="100" t="s">
        <v>158</v>
      </c>
      <c r="G10" s="99"/>
      <c r="H10" s="99"/>
      <c r="I10" s="99"/>
      <c r="K10" s="124">
        <v>7</v>
      </c>
      <c r="L10" s="124" t="s">
        <v>225</v>
      </c>
      <c r="M10" s="128">
        <v>202.2912162162163</v>
      </c>
      <c r="N10" s="126">
        <f>M10/M10</f>
        <v>1</v>
      </c>
      <c r="P10" s="120">
        <v>7</v>
      </c>
      <c r="Q10" s="120" t="s">
        <v>226</v>
      </c>
      <c r="R10" s="121">
        <v>140.02000000000001</v>
      </c>
      <c r="S10" s="122">
        <f>R10/R6</f>
        <v>0.59532312925170072</v>
      </c>
    </row>
    <row r="11" spans="2:19" x14ac:dyDescent="0.25">
      <c r="B11" s="405"/>
      <c r="C11" s="411"/>
      <c r="D11" s="409" t="s">
        <v>180</v>
      </c>
      <c r="E11" s="410"/>
      <c r="F11" s="100" t="s">
        <v>159</v>
      </c>
      <c r="G11" s="99"/>
      <c r="H11" s="99"/>
      <c r="I11" s="99"/>
      <c r="K11" s="120">
        <v>8</v>
      </c>
      <c r="L11" s="120" t="s">
        <v>227</v>
      </c>
      <c r="M11" s="121">
        <v>187.2</v>
      </c>
      <c r="N11" s="122">
        <f>M11/M10</f>
        <v>0.92539855907492163</v>
      </c>
      <c r="P11" s="120">
        <v>8</v>
      </c>
      <c r="Q11" s="120" t="s">
        <v>228</v>
      </c>
      <c r="R11" s="121">
        <v>125.66249999999999</v>
      </c>
      <c r="S11" s="122">
        <f>R11/R6</f>
        <v>0.53427933673469385</v>
      </c>
    </row>
    <row r="12" spans="2:19" x14ac:dyDescent="0.25">
      <c r="B12" s="415" t="s">
        <v>172</v>
      </c>
      <c r="C12" s="102" t="s">
        <v>160</v>
      </c>
      <c r="D12" s="414"/>
      <c r="E12" s="414"/>
      <c r="F12" s="54"/>
      <c r="G12" s="99"/>
      <c r="H12" s="103">
        <v>1.1200000000000001</v>
      </c>
      <c r="I12" s="99" t="s">
        <v>185</v>
      </c>
      <c r="K12" s="120">
        <v>9</v>
      </c>
      <c r="L12" s="120" t="s">
        <v>229</v>
      </c>
      <c r="M12" s="121">
        <v>186.655</v>
      </c>
      <c r="N12" s="122">
        <f>M12/M10</f>
        <v>0.92270442331265767</v>
      </c>
    </row>
    <row r="13" spans="2:19" x14ac:dyDescent="0.25">
      <c r="B13" s="415"/>
      <c r="C13" s="185" t="s">
        <v>354</v>
      </c>
      <c r="D13" s="414"/>
      <c r="E13" s="414"/>
      <c r="F13" s="54"/>
      <c r="G13" s="99"/>
      <c r="H13" s="103">
        <v>0.28999999999999998</v>
      </c>
      <c r="I13" s="99" t="s">
        <v>186</v>
      </c>
      <c r="K13" s="120">
        <v>10</v>
      </c>
      <c r="L13" s="120" t="s">
        <v>230</v>
      </c>
      <c r="M13" s="121">
        <v>157.77000000000001</v>
      </c>
      <c r="N13" s="122">
        <f>M13/M10</f>
        <v>0.77991522791266243</v>
      </c>
    </row>
    <row r="14" spans="2:19" x14ac:dyDescent="0.25">
      <c r="B14" s="415"/>
      <c r="C14" s="102" t="s">
        <v>161</v>
      </c>
      <c r="D14" s="414"/>
      <c r="E14" s="414"/>
      <c r="F14" s="54"/>
      <c r="G14" s="99"/>
      <c r="H14" s="103">
        <v>1.02</v>
      </c>
      <c r="I14" s="99" t="s">
        <v>187</v>
      </c>
      <c r="K14" s="120">
        <v>11</v>
      </c>
      <c r="L14" s="120" t="s">
        <v>231</v>
      </c>
      <c r="M14" s="121">
        <v>153.5</v>
      </c>
      <c r="N14" s="122">
        <f>M14/M10</f>
        <v>0.75880704496795126</v>
      </c>
    </row>
    <row r="15" spans="2:19" x14ac:dyDescent="0.25">
      <c r="B15" s="415"/>
      <c r="C15" s="104" t="s">
        <v>162</v>
      </c>
      <c r="D15" s="416"/>
      <c r="E15" s="416"/>
      <c r="F15" s="54"/>
      <c r="G15" s="99"/>
      <c r="H15" s="105">
        <v>1.02</v>
      </c>
      <c r="I15" s="105" t="s">
        <v>188</v>
      </c>
      <c r="K15" s="120">
        <v>12</v>
      </c>
      <c r="L15" s="120" t="s">
        <v>232</v>
      </c>
      <c r="M15" s="121">
        <v>147.54</v>
      </c>
      <c r="N15" s="122">
        <f>M15/M10</f>
        <v>0.72934456947603599</v>
      </c>
    </row>
    <row r="16" spans="2:19" x14ac:dyDescent="0.25">
      <c r="B16" s="415"/>
      <c r="C16" s="104" t="s">
        <v>163</v>
      </c>
      <c r="D16" s="414"/>
      <c r="E16" s="414"/>
      <c r="F16" s="54"/>
      <c r="G16" s="99"/>
      <c r="H16" s="105">
        <v>0.84</v>
      </c>
      <c r="I16" s="105" t="s">
        <v>189</v>
      </c>
      <c r="K16" s="120">
        <v>13</v>
      </c>
      <c r="L16" s="120" t="s">
        <v>233</v>
      </c>
      <c r="M16" s="121">
        <v>146.18671875000001</v>
      </c>
      <c r="N16" s="122">
        <f>M16/M10</f>
        <v>0.72265480174754726</v>
      </c>
    </row>
    <row r="17" spans="2:26" x14ac:dyDescent="0.25">
      <c r="B17" s="415"/>
      <c r="C17" s="104" t="s">
        <v>164</v>
      </c>
      <c r="D17" s="414"/>
      <c r="E17" s="414"/>
      <c r="F17" s="54"/>
      <c r="G17" s="54"/>
      <c r="H17" s="99">
        <v>2.39</v>
      </c>
      <c r="I17" s="99" t="s">
        <v>190</v>
      </c>
      <c r="K17" s="120">
        <v>14</v>
      </c>
      <c r="L17" s="120" t="s">
        <v>234</v>
      </c>
      <c r="M17" s="129">
        <v>145.63885714285715</v>
      </c>
      <c r="N17" s="122">
        <f>M17/M10</f>
        <v>0.71994652000704262</v>
      </c>
      <c r="Y17" s="174"/>
      <c r="Z17" s="174"/>
    </row>
    <row r="18" spans="2:26" x14ac:dyDescent="0.25">
      <c r="B18" s="415"/>
      <c r="C18" s="104" t="s">
        <v>165</v>
      </c>
      <c r="D18" s="414"/>
      <c r="E18" s="414"/>
      <c r="F18" s="54"/>
      <c r="G18" s="54"/>
      <c r="H18" s="103" t="s">
        <v>83</v>
      </c>
      <c r="I18" s="103" t="s">
        <v>83</v>
      </c>
      <c r="K18" s="120">
        <v>15</v>
      </c>
      <c r="L18" s="120" t="s">
        <v>235</v>
      </c>
      <c r="M18" s="121">
        <v>145.53861111111109</v>
      </c>
      <c r="N18" s="122">
        <f>M18/M10</f>
        <v>0.71945096694437816</v>
      </c>
      <c r="Y18" s="174"/>
      <c r="Z18" s="174"/>
    </row>
    <row r="19" spans="2:26" x14ac:dyDescent="0.25">
      <c r="B19" s="415"/>
      <c r="C19" s="104" t="s">
        <v>166</v>
      </c>
      <c r="D19" s="414"/>
      <c r="E19" s="414"/>
      <c r="F19" s="54"/>
      <c r="G19" s="54"/>
      <c r="H19" s="99" t="s">
        <v>167</v>
      </c>
      <c r="I19" s="99" t="s">
        <v>167</v>
      </c>
      <c r="K19" s="120">
        <v>16</v>
      </c>
      <c r="L19" s="120" t="s">
        <v>236</v>
      </c>
      <c r="M19" s="121">
        <v>127</v>
      </c>
      <c r="N19" s="122">
        <f>M19/M10</f>
        <v>0.62780778313309327</v>
      </c>
      <c r="Y19" s="174"/>
      <c r="Z19" s="174"/>
    </row>
    <row r="20" spans="2:26" x14ac:dyDescent="0.25">
      <c r="B20" s="415"/>
      <c r="C20" s="104" t="s">
        <v>168</v>
      </c>
      <c r="D20" s="414"/>
      <c r="E20" s="414"/>
      <c r="F20" s="54"/>
      <c r="G20" s="54"/>
      <c r="H20" s="103" t="s">
        <v>169</v>
      </c>
      <c r="I20" s="103" t="s">
        <v>169</v>
      </c>
      <c r="K20" s="120">
        <v>17</v>
      </c>
      <c r="L20" s="120" t="s">
        <v>237</v>
      </c>
      <c r="M20" s="121">
        <v>115.55500000000001</v>
      </c>
      <c r="N20" s="122">
        <f>M20/M10</f>
        <v>0.57123093212554799</v>
      </c>
      <c r="Y20" s="174"/>
      <c r="Z20" s="174"/>
    </row>
    <row r="21" spans="2:26" x14ac:dyDescent="0.25">
      <c r="K21" s="120">
        <v>18</v>
      </c>
      <c r="L21" s="120" t="s">
        <v>238</v>
      </c>
      <c r="M21" s="121">
        <v>115.2</v>
      </c>
      <c r="N21" s="122">
        <f>M21/M10</f>
        <v>0.56947603635379795</v>
      </c>
      <c r="Y21" s="174"/>
      <c r="Z21" s="174"/>
    </row>
    <row r="22" spans="2:26" ht="17.25" x14ac:dyDescent="0.25">
      <c r="B22" s="106"/>
      <c r="K22" s="120">
        <v>19</v>
      </c>
      <c r="L22" s="120" t="s">
        <v>239</v>
      </c>
      <c r="M22" s="121">
        <v>114.79275862068967</v>
      </c>
      <c r="N22" s="122">
        <f>M22/M10</f>
        <v>0.56746289219990131</v>
      </c>
      <c r="Y22" s="174"/>
      <c r="Z22" s="174"/>
    </row>
    <row r="23" spans="2:26" ht="15" customHeight="1" x14ac:dyDescent="0.25">
      <c r="K23" s="120">
        <v>20</v>
      </c>
      <c r="L23" s="120" t="s">
        <v>240</v>
      </c>
      <c r="M23" s="121">
        <v>99.233333333333334</v>
      </c>
      <c r="N23" s="122">
        <f>M23/M10</f>
        <v>0.49054692136147471</v>
      </c>
      <c r="Y23" s="174"/>
      <c r="Z23" s="174"/>
    </row>
    <row r="24" spans="2:26" ht="15" customHeight="1" x14ac:dyDescent="0.25">
      <c r="B24" s="107"/>
      <c r="K24" s="120">
        <v>21</v>
      </c>
      <c r="L24" s="120" t="s">
        <v>241</v>
      </c>
      <c r="M24" s="121">
        <v>91.616666666666674</v>
      </c>
      <c r="N24" s="122">
        <f>M24/M10</f>
        <v>0.45289493226805955</v>
      </c>
    </row>
    <row r="25" spans="2:26" ht="15" customHeight="1" x14ac:dyDescent="0.25">
      <c r="B25" s="107"/>
      <c r="K25" s="120">
        <v>22</v>
      </c>
      <c r="L25" s="120" t="s">
        <v>242</v>
      </c>
      <c r="M25" s="121">
        <v>73.849999999999994</v>
      </c>
      <c r="N25" s="122">
        <f t="shared" ref="N25:N40" si="0">M25/M$10</f>
        <v>0.36506775420770815</v>
      </c>
    </row>
    <row r="26" spans="2:26" ht="15" customHeight="1" x14ac:dyDescent="0.25">
      <c r="K26" s="120">
        <v>23</v>
      </c>
      <c r="L26" s="120" t="s">
        <v>243</v>
      </c>
      <c r="M26" s="132">
        <v>254.73860016589424</v>
      </c>
      <c r="N26" s="122">
        <f t="shared" si="0"/>
        <v>1.259266738965177</v>
      </c>
    </row>
    <row r="27" spans="2:26" ht="15" customHeight="1" x14ac:dyDescent="0.25">
      <c r="K27" s="120">
        <v>24</v>
      </c>
      <c r="L27" s="120" t="s">
        <v>244</v>
      </c>
      <c r="M27" s="132">
        <v>234.02811016643966</v>
      </c>
      <c r="N27" s="122">
        <f t="shared" si="0"/>
        <v>1.1568871577513371</v>
      </c>
    </row>
    <row r="28" spans="2:26" ht="15" customHeight="1" x14ac:dyDescent="0.25">
      <c r="K28" s="120">
        <v>25</v>
      </c>
      <c r="L28" s="120" t="s">
        <v>233</v>
      </c>
      <c r="M28" s="132">
        <v>286.09021533633802</v>
      </c>
      <c r="N28" s="122">
        <f t="shared" si="0"/>
        <v>1.4142493217824854</v>
      </c>
      <c r="P28" s="79"/>
    </row>
    <row r="29" spans="2:26" ht="15" customHeight="1" x14ac:dyDescent="0.25">
      <c r="K29" s="120">
        <v>26</v>
      </c>
      <c r="L29" s="120" t="s">
        <v>245</v>
      </c>
      <c r="M29" s="132">
        <v>269</v>
      </c>
      <c r="N29" s="122">
        <f t="shared" si="0"/>
        <v>1.3297660918330874</v>
      </c>
    </row>
    <row r="30" spans="2:26" ht="15" customHeight="1" x14ac:dyDescent="0.25">
      <c r="K30" s="203"/>
      <c r="L30" s="203"/>
      <c r="M30" s="204"/>
      <c r="N30" s="205"/>
    </row>
    <row r="31" spans="2:26" ht="15" customHeight="1" x14ac:dyDescent="0.25">
      <c r="K31" s="120">
        <v>28</v>
      </c>
      <c r="L31" s="120" t="s">
        <v>246</v>
      </c>
      <c r="M31" s="132">
        <v>215.05436144815866</v>
      </c>
      <c r="N31" s="122">
        <f t="shared" si="0"/>
        <v>1.0630929284556807</v>
      </c>
    </row>
    <row r="32" spans="2:26" ht="15" customHeight="1" x14ac:dyDescent="0.25">
      <c r="K32" s="120">
        <v>29</v>
      </c>
      <c r="L32" s="120" t="s">
        <v>247</v>
      </c>
      <c r="M32" s="132">
        <v>196</v>
      </c>
      <c r="N32" s="122">
        <f t="shared" si="0"/>
        <v>0.96890020074083683</v>
      </c>
    </row>
    <row r="33" spans="2:14" ht="15" customHeight="1" x14ac:dyDescent="0.25">
      <c r="K33" s="120">
        <v>30</v>
      </c>
      <c r="L33" s="120" t="s">
        <v>248</v>
      </c>
      <c r="M33" s="132">
        <v>197.3</v>
      </c>
      <c r="N33" s="122">
        <f t="shared" si="0"/>
        <v>0.9753265796233016</v>
      </c>
    </row>
    <row r="34" spans="2:14" ht="15" customHeight="1" x14ac:dyDescent="0.25">
      <c r="K34" s="120">
        <v>31</v>
      </c>
      <c r="L34" s="120" t="s">
        <v>249</v>
      </c>
      <c r="M34" s="132">
        <v>219.3</v>
      </c>
      <c r="N34" s="122">
        <f t="shared" si="0"/>
        <v>1.0840806837880894</v>
      </c>
    </row>
    <row r="35" spans="2:14" ht="15" customHeight="1" x14ac:dyDescent="0.25">
      <c r="B35" s="32" t="s">
        <v>328</v>
      </c>
      <c r="D35" s="107"/>
      <c r="K35" s="120">
        <v>32</v>
      </c>
      <c r="L35" s="120" t="s">
        <v>250</v>
      </c>
      <c r="M35" s="132">
        <v>307.5</v>
      </c>
      <c r="N35" s="122">
        <f t="shared" si="0"/>
        <v>1.5200857741214659</v>
      </c>
    </row>
    <row r="36" spans="2:14" ht="15" customHeight="1" x14ac:dyDescent="0.25">
      <c r="B36" s="418" t="s">
        <v>256</v>
      </c>
      <c r="C36" s="417" t="s">
        <v>257</v>
      </c>
      <c r="D36" s="417"/>
      <c r="E36" s="417" t="s">
        <v>259</v>
      </c>
      <c r="F36" s="417"/>
      <c r="K36" s="120">
        <v>33</v>
      </c>
      <c r="L36" s="120" t="s">
        <v>251</v>
      </c>
      <c r="M36" s="132">
        <v>323.44704032083536</v>
      </c>
      <c r="N36" s="122">
        <f t="shared" si="0"/>
        <v>1.5989178688565659</v>
      </c>
    </row>
    <row r="37" spans="2:14" ht="15" customHeight="1" x14ac:dyDescent="0.25">
      <c r="B37" s="418"/>
      <c r="C37" s="133" t="s">
        <v>258</v>
      </c>
      <c r="D37" s="186" t="s">
        <v>184</v>
      </c>
      <c r="E37" s="135" t="s">
        <v>258</v>
      </c>
      <c r="F37" s="134" t="s">
        <v>184</v>
      </c>
      <c r="K37" s="120">
        <v>34</v>
      </c>
      <c r="L37" s="120" t="s">
        <v>252</v>
      </c>
      <c r="M37" s="132">
        <v>300.52614924226964</v>
      </c>
      <c r="N37" s="122">
        <f t="shared" si="0"/>
        <v>1.4856114608607436</v>
      </c>
    </row>
    <row r="38" spans="2:14" ht="15" customHeight="1" x14ac:dyDescent="0.25">
      <c r="B38" s="136" t="s">
        <v>261</v>
      </c>
      <c r="C38" s="419" t="s">
        <v>263</v>
      </c>
      <c r="D38" s="420">
        <v>1.4</v>
      </c>
      <c r="E38" s="99">
        <v>1</v>
      </c>
      <c r="F38" s="99" t="s">
        <v>264</v>
      </c>
      <c r="K38" s="120">
        <v>35</v>
      </c>
      <c r="L38" s="120" t="s">
        <v>253</v>
      </c>
      <c r="M38" s="132">
        <v>270.79611936186569</v>
      </c>
      <c r="N38" s="122">
        <f t="shared" si="0"/>
        <v>1.3386449714773025</v>
      </c>
    </row>
    <row r="39" spans="2:14" ht="15" customHeight="1" x14ac:dyDescent="0.25">
      <c r="B39" s="136" t="s">
        <v>260</v>
      </c>
      <c r="C39" s="419"/>
      <c r="D39" s="420"/>
      <c r="E39" s="99">
        <v>0.68</v>
      </c>
      <c r="F39" s="99" t="s">
        <v>265</v>
      </c>
      <c r="K39" s="120">
        <v>36</v>
      </c>
      <c r="L39" s="120" t="s">
        <v>254</v>
      </c>
      <c r="M39" s="132">
        <v>271.88698926542628</v>
      </c>
      <c r="N39" s="122">
        <f t="shared" si="0"/>
        <v>1.344037543255578</v>
      </c>
    </row>
    <row r="40" spans="2:14" ht="15" customHeight="1" x14ac:dyDescent="0.25">
      <c r="B40" s="136" t="s">
        <v>262</v>
      </c>
      <c r="C40" s="419"/>
      <c r="D40" s="420"/>
      <c r="E40" s="99">
        <v>1.9</v>
      </c>
      <c r="F40" s="99" t="s">
        <v>266</v>
      </c>
      <c r="K40" s="120">
        <v>37</v>
      </c>
      <c r="L40" s="120" t="s">
        <v>255</v>
      </c>
      <c r="M40" s="132">
        <v>358.70448021420998</v>
      </c>
      <c r="N40" s="122">
        <f t="shared" si="0"/>
        <v>1.7732083820723754</v>
      </c>
    </row>
    <row r="41" spans="2:14" ht="15" customHeight="1" x14ac:dyDescent="0.25"/>
    <row r="42" spans="2:14" ht="15" customHeight="1" x14ac:dyDescent="0.25">
      <c r="B42" s="32" t="s">
        <v>329</v>
      </c>
    </row>
    <row r="43" spans="2:14" ht="32.25" customHeight="1" x14ac:dyDescent="0.25">
      <c r="B43" s="134" t="s">
        <v>267</v>
      </c>
      <c r="C43" s="186" t="s">
        <v>273</v>
      </c>
      <c r="D43" s="186" t="s">
        <v>184</v>
      </c>
    </row>
    <row r="44" spans="2:14" ht="59.25" customHeight="1" x14ac:dyDescent="0.25">
      <c r="B44" s="137" t="s">
        <v>269</v>
      </c>
      <c r="C44" s="140">
        <v>1</v>
      </c>
      <c r="D44" s="140" t="s">
        <v>274</v>
      </c>
    </row>
    <row r="45" spans="2:14" ht="48" customHeight="1" x14ac:dyDescent="0.25">
      <c r="B45" s="137" t="s">
        <v>268</v>
      </c>
      <c r="C45" s="140">
        <v>2.9000000000000001E-2</v>
      </c>
      <c r="D45" s="140" t="s">
        <v>275</v>
      </c>
    </row>
    <row r="46" spans="2:14" ht="47.25" customHeight="1" x14ac:dyDescent="0.25">
      <c r="B46" s="137" t="s">
        <v>270</v>
      </c>
      <c r="C46" s="140">
        <v>0.05</v>
      </c>
      <c r="D46" s="140" t="s">
        <v>276</v>
      </c>
      <c r="L46" s="130"/>
      <c r="N46" s="131"/>
    </row>
    <row r="47" spans="2:14" x14ac:dyDescent="0.25">
      <c r="B47" s="137" t="s">
        <v>271</v>
      </c>
      <c r="C47" s="140">
        <v>0.14000000000000001</v>
      </c>
      <c r="D47" s="140" t="s">
        <v>277</v>
      </c>
    </row>
    <row r="48" spans="2:14" x14ac:dyDescent="0.25">
      <c r="B48" s="137" t="s">
        <v>272</v>
      </c>
      <c r="C48" s="140">
        <v>0.5</v>
      </c>
      <c r="D48" s="140"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15" t="s">
        <v>3</v>
      </c>
      <c r="C5" s="22" t="s">
        <v>26</v>
      </c>
      <c r="D5" s="421" t="s">
        <v>27</v>
      </c>
      <c r="E5" s="422"/>
      <c r="F5" s="421" t="s">
        <v>29</v>
      </c>
      <c r="G5" s="423"/>
      <c r="H5" s="159"/>
      <c r="I5" s="421" t="s">
        <v>29</v>
      </c>
      <c r="J5" s="422"/>
      <c r="K5" s="78" t="s">
        <v>27</v>
      </c>
    </row>
    <row r="6" spans="2:11" s="20" customFormat="1" ht="90.75" customHeight="1" x14ac:dyDescent="0.25">
      <c r="B6" s="424" t="s">
        <v>396</v>
      </c>
      <c r="C6" s="391" t="s">
        <v>192</v>
      </c>
      <c r="D6" s="24" t="s">
        <v>28</v>
      </c>
      <c r="E6" s="25" t="s">
        <v>398</v>
      </c>
      <c r="F6" s="24" t="s">
        <v>30</v>
      </c>
      <c r="G6" s="24" t="s">
        <v>31</v>
      </c>
      <c r="H6" s="24" t="s">
        <v>350</v>
      </c>
      <c r="I6" s="24" t="s">
        <v>352</v>
      </c>
      <c r="J6" s="25" t="s">
        <v>32</v>
      </c>
      <c r="K6" s="21" t="s">
        <v>33</v>
      </c>
    </row>
    <row r="7" spans="2:11" x14ac:dyDescent="0.25">
      <c r="B7" s="424"/>
      <c r="C7" s="391"/>
      <c r="D7" s="11" t="s">
        <v>34</v>
      </c>
      <c r="E7" s="8"/>
      <c r="F7" s="11" t="s">
        <v>399</v>
      </c>
      <c r="G7" s="11"/>
      <c r="H7" s="8"/>
      <c r="I7" s="11"/>
      <c r="J7" s="8" t="s">
        <v>401</v>
      </c>
      <c r="K7" s="1" t="s">
        <v>10</v>
      </c>
    </row>
    <row r="8" spans="2:11" s="19" customFormat="1" ht="28.5" customHeight="1" x14ac:dyDescent="0.25">
      <c r="B8" s="424"/>
      <c r="C8" s="391"/>
      <c r="D8" s="26"/>
      <c r="E8" s="27"/>
      <c r="F8" s="26"/>
      <c r="G8" s="26"/>
      <c r="H8" s="26"/>
      <c r="I8" s="26"/>
      <c r="J8" s="27" t="s">
        <v>41</v>
      </c>
      <c r="K8" s="28" t="s">
        <v>40</v>
      </c>
    </row>
    <row r="9" spans="2:11" ht="15.75" thickBot="1" x14ac:dyDescent="0.3">
      <c r="B9" s="425"/>
      <c r="C9" s="426"/>
      <c r="D9" s="17" t="s">
        <v>35</v>
      </c>
      <c r="E9" s="16" t="s">
        <v>36</v>
      </c>
      <c r="F9" s="17" t="s">
        <v>37</v>
      </c>
      <c r="G9" s="17" t="s">
        <v>38</v>
      </c>
      <c r="H9" s="17" t="s">
        <v>351</v>
      </c>
      <c r="I9" s="17" t="s">
        <v>353</v>
      </c>
      <c r="J9" s="16" t="s">
        <v>42</v>
      </c>
      <c r="K9" s="18" t="s">
        <v>39</v>
      </c>
    </row>
    <row r="10" spans="2:11" x14ac:dyDescent="0.25">
      <c r="B10" s="3"/>
      <c r="C10" s="6"/>
      <c r="D10" s="12"/>
      <c r="E10" s="9"/>
      <c r="F10" s="108" t="s">
        <v>193</v>
      </c>
      <c r="G10" s="108" t="s">
        <v>194</v>
      </c>
      <c r="H10" s="12"/>
      <c r="I10" s="12"/>
      <c r="J10" s="9"/>
      <c r="K10" s="2"/>
    </row>
    <row r="11" spans="2:11" x14ac:dyDescent="0.25">
      <c r="B11" s="371">
        <v>2011</v>
      </c>
      <c r="C11" s="6"/>
      <c r="D11" s="246">
        <f>'Direct N2O'!B36*60%</f>
        <v>3938.3999999999996</v>
      </c>
      <c r="E11" s="206">
        <v>1.3</v>
      </c>
      <c r="F11" s="83">
        <v>160.9</v>
      </c>
      <c r="G11" s="252">
        <v>1</v>
      </c>
      <c r="H11" s="42">
        <f>'EF&amp;SF lahan sawah'!$H$13</f>
        <v>0.28999999999999998</v>
      </c>
      <c r="I11" s="84">
        <f>'EF&amp;SF lahan sawah'!$N$22</f>
        <v>0.56746289219990131</v>
      </c>
      <c r="J11" s="138">
        <f>F11*G11*H11*I11*$I$28</f>
        <v>30.629886766402873</v>
      </c>
      <c r="K11" s="41">
        <f>D11*E11*J11*10^-6</f>
        <v>0.15682256985304141</v>
      </c>
    </row>
    <row r="12" spans="2:11" x14ac:dyDescent="0.25">
      <c r="B12" s="371">
        <v>2012</v>
      </c>
      <c r="C12" s="6"/>
      <c r="D12" s="246">
        <f>'Direct N2O'!B37*60%</f>
        <v>4088.3999999999996</v>
      </c>
      <c r="E12" s="206">
        <v>1.3</v>
      </c>
      <c r="F12" s="83">
        <v>160.9</v>
      </c>
      <c r="G12" s="252">
        <v>1</v>
      </c>
      <c r="H12" s="42">
        <f>'EF&amp;SF lahan sawah'!$H$13</f>
        <v>0.28999999999999998</v>
      </c>
      <c r="I12" s="84">
        <f>'EF&amp;SF lahan sawah'!$N$22</f>
        <v>0.56746289219990131</v>
      </c>
      <c r="J12" s="138">
        <f t="shared" ref="J12:J21" si="0">F12*G12*H12*I12*$I$28</f>
        <v>30.629886766402873</v>
      </c>
      <c r="K12" s="41">
        <f t="shared" ref="K12:K21" si="1">D12*E12*J12*10^-6</f>
        <v>0.16279539777248994</v>
      </c>
    </row>
    <row r="13" spans="2:11" x14ac:dyDescent="0.25">
      <c r="B13" s="371">
        <v>2013</v>
      </c>
      <c r="C13" s="6"/>
      <c r="D13" s="246">
        <f>'Direct N2O'!B38*60%</f>
        <v>4344</v>
      </c>
      <c r="E13" s="206">
        <v>1.3</v>
      </c>
      <c r="F13" s="83">
        <v>160.9</v>
      </c>
      <c r="G13" s="252">
        <v>1</v>
      </c>
      <c r="H13" s="42">
        <f>'EF&amp;SF lahan sawah'!$H$13</f>
        <v>0.28999999999999998</v>
      </c>
      <c r="I13" s="84">
        <f>'EF&amp;SF lahan sawah'!$N$22</f>
        <v>0.56746289219990131</v>
      </c>
      <c r="J13" s="138">
        <f t="shared" si="0"/>
        <v>30.629886766402873</v>
      </c>
      <c r="K13" s="41">
        <f t="shared" si="1"/>
        <v>0.17297309654723028</v>
      </c>
    </row>
    <row r="14" spans="2:11" x14ac:dyDescent="0.25">
      <c r="B14" s="371">
        <v>2014</v>
      </c>
      <c r="C14" s="6"/>
      <c r="D14" s="246">
        <f>'Direct N2O'!B39*60%</f>
        <v>3856.7999999999997</v>
      </c>
      <c r="E14" s="206">
        <v>1.3</v>
      </c>
      <c r="F14" s="83">
        <v>160.9</v>
      </c>
      <c r="G14" s="252">
        <v>1</v>
      </c>
      <c r="H14" s="42">
        <f>'EF&amp;SF lahan sawah'!$H$13</f>
        <v>0.28999999999999998</v>
      </c>
      <c r="I14" s="84">
        <f>'EF&amp;SF lahan sawah'!$N$22</f>
        <v>0.56746289219990131</v>
      </c>
      <c r="J14" s="138">
        <f t="shared" si="0"/>
        <v>30.629886766402873</v>
      </c>
      <c r="K14" s="41">
        <f t="shared" si="1"/>
        <v>0.1535733514648614</v>
      </c>
    </row>
    <row r="15" spans="2:11" x14ac:dyDescent="0.25">
      <c r="B15" s="371">
        <v>2015</v>
      </c>
      <c r="C15" s="6"/>
      <c r="D15" s="246">
        <f>'Direct N2O'!B40*60%</f>
        <v>3654</v>
      </c>
      <c r="E15" s="206">
        <v>1.3</v>
      </c>
      <c r="F15" s="83">
        <v>160.9</v>
      </c>
      <c r="G15" s="252">
        <v>1</v>
      </c>
      <c r="H15" s="42">
        <f>'EF&amp;SF lahan sawah'!$H$13</f>
        <v>0.28999999999999998</v>
      </c>
      <c r="I15" s="84">
        <f>'EF&amp;SF lahan sawah'!$N$22</f>
        <v>0.56746289219990131</v>
      </c>
      <c r="J15" s="138">
        <f t="shared" si="0"/>
        <v>30.629886766402873</v>
      </c>
      <c r="K15" s="41">
        <f t="shared" si="1"/>
        <v>0.1454980881177669</v>
      </c>
    </row>
    <row r="16" spans="2:11" x14ac:dyDescent="0.25">
      <c r="B16" s="371">
        <v>2016</v>
      </c>
      <c r="C16" s="6"/>
      <c r="D16" s="246">
        <f>'Direct N2O'!B41*60%</f>
        <v>4071</v>
      </c>
      <c r="E16" s="206">
        <v>1.3</v>
      </c>
      <c r="F16" s="83">
        <v>160.9</v>
      </c>
      <c r="G16" s="252">
        <v>1</v>
      </c>
      <c r="H16" s="42">
        <f>'EF&amp;SF lahan sawah'!$H$13</f>
        <v>0.28999999999999998</v>
      </c>
      <c r="I16" s="84">
        <f>'EF&amp;SF lahan sawah'!$N$22</f>
        <v>0.56746289219990131</v>
      </c>
      <c r="J16" s="138">
        <f t="shared" si="0"/>
        <v>30.629886766402873</v>
      </c>
      <c r="K16" s="41">
        <f t="shared" si="1"/>
        <v>0.16210254973383392</v>
      </c>
    </row>
    <row r="17" spans="2:11" x14ac:dyDescent="0.25">
      <c r="B17" s="371">
        <v>2017</v>
      </c>
      <c r="C17" s="6"/>
      <c r="D17" s="246">
        <f>'Direct N2O'!B42*60%</f>
        <v>5100</v>
      </c>
      <c r="E17" s="206">
        <v>1.3</v>
      </c>
      <c r="F17" s="83">
        <v>160.9</v>
      </c>
      <c r="G17" s="252">
        <v>1</v>
      </c>
      <c r="H17" s="42">
        <f>'EF&amp;SF lahan sawah'!$H$13</f>
        <v>0.28999999999999998</v>
      </c>
      <c r="I17" s="84">
        <f>'EF&amp;SF lahan sawah'!$N$22</f>
        <v>0.56746289219990131</v>
      </c>
      <c r="J17" s="138">
        <f t="shared" si="0"/>
        <v>30.629886766402873</v>
      </c>
      <c r="K17" s="41">
        <f t="shared" si="1"/>
        <v>0.20307614926125103</v>
      </c>
    </row>
    <row r="18" spans="2:11" x14ac:dyDescent="0.25">
      <c r="B18" s="371">
        <v>2018</v>
      </c>
      <c r="C18" s="6"/>
      <c r="D18" s="246">
        <f>'Direct N2O'!B43*60%</f>
        <v>5400</v>
      </c>
      <c r="E18" s="206">
        <v>1.3</v>
      </c>
      <c r="F18" s="83">
        <v>160.9</v>
      </c>
      <c r="G18" s="252">
        <v>1</v>
      </c>
      <c r="H18" s="42">
        <f>'EF&amp;SF lahan sawah'!$H$13</f>
        <v>0.28999999999999998</v>
      </c>
      <c r="I18" s="84">
        <f>'EF&amp;SF lahan sawah'!$N$22</f>
        <v>0.56746289219990131</v>
      </c>
      <c r="J18" s="138">
        <f t="shared" si="0"/>
        <v>30.629886766402873</v>
      </c>
      <c r="K18" s="41">
        <f t="shared" si="1"/>
        <v>0.21502180510014815</v>
      </c>
    </row>
    <row r="19" spans="2:11" x14ac:dyDescent="0.25">
      <c r="B19" s="371">
        <v>2019</v>
      </c>
      <c r="C19" s="6"/>
      <c r="D19" s="246">
        <f>'Direct N2O'!B44*60%</f>
        <v>5700</v>
      </c>
      <c r="E19" s="206">
        <v>1.3</v>
      </c>
      <c r="F19" s="83">
        <v>160.9</v>
      </c>
      <c r="G19" s="252">
        <v>1</v>
      </c>
      <c r="H19" s="42">
        <f>'EF&amp;SF lahan sawah'!$H$13</f>
        <v>0.28999999999999998</v>
      </c>
      <c r="I19" s="84">
        <f>'EF&amp;SF lahan sawah'!$N$22</f>
        <v>0.56746289219990131</v>
      </c>
      <c r="J19" s="138">
        <f t="shared" si="0"/>
        <v>30.629886766402873</v>
      </c>
      <c r="K19" s="41">
        <f t="shared" si="1"/>
        <v>0.2269674609390453</v>
      </c>
    </row>
    <row r="20" spans="2:11" x14ac:dyDescent="0.25">
      <c r="B20" s="371">
        <v>2020</v>
      </c>
      <c r="C20" s="6"/>
      <c r="D20" s="246">
        <f>'Direct N2O'!B45*60%</f>
        <v>6000</v>
      </c>
      <c r="E20" s="206">
        <v>1.3</v>
      </c>
      <c r="F20" s="83">
        <v>160.9</v>
      </c>
      <c r="G20" s="252">
        <v>1</v>
      </c>
      <c r="H20" s="42">
        <f>'EF&amp;SF lahan sawah'!$H$13</f>
        <v>0.28999999999999998</v>
      </c>
      <c r="I20" s="84">
        <f>'EF&amp;SF lahan sawah'!$N$22</f>
        <v>0.56746289219990131</v>
      </c>
      <c r="J20" s="138">
        <f t="shared" si="0"/>
        <v>30.629886766402873</v>
      </c>
      <c r="K20" s="41">
        <f t="shared" si="1"/>
        <v>0.23891311677794239</v>
      </c>
    </row>
    <row r="21" spans="2:11" x14ac:dyDescent="0.25">
      <c r="B21" s="371">
        <v>2021</v>
      </c>
      <c r="C21" s="6"/>
      <c r="D21" s="187"/>
      <c r="E21" s="206">
        <v>1.3</v>
      </c>
      <c r="F21" s="83">
        <v>160.9</v>
      </c>
      <c r="G21" s="252">
        <v>1</v>
      </c>
      <c r="H21" s="42">
        <f>'EF&amp;SF lahan sawah'!$H$13</f>
        <v>0.28999999999999998</v>
      </c>
      <c r="I21" s="84">
        <f>'EF&amp;SF lahan sawah'!$N$22</f>
        <v>0.56746289219990131</v>
      </c>
      <c r="J21" s="138">
        <f t="shared" si="0"/>
        <v>30.629886766402873</v>
      </c>
      <c r="K21" s="41">
        <f t="shared" si="1"/>
        <v>0</v>
      </c>
    </row>
    <row r="22" spans="2:11" x14ac:dyDescent="0.25">
      <c r="B22" s="109"/>
      <c r="C22" s="110" t="s">
        <v>195</v>
      </c>
      <c r="D22" s="237">
        <f>SUM(D11:D21)</f>
        <v>46152.6</v>
      </c>
      <c r="E22" s="114"/>
      <c r="F22" s="113"/>
      <c r="G22" s="251"/>
      <c r="H22" s="73"/>
      <c r="I22" s="113"/>
      <c r="J22" s="111"/>
      <c r="K22" s="112"/>
    </row>
    <row r="23" spans="2:11" x14ac:dyDescent="0.25">
      <c r="B23" s="3"/>
      <c r="C23" s="6"/>
      <c r="D23" s="12"/>
      <c r="E23" s="9"/>
      <c r="F23" s="12"/>
      <c r="G23" s="12"/>
      <c r="H23" s="9"/>
      <c r="I23" s="12"/>
      <c r="J23" s="9"/>
      <c r="K23" s="2"/>
    </row>
    <row r="24" spans="2:11" ht="15.75" thickBot="1" x14ac:dyDescent="0.3">
      <c r="B24" s="4"/>
      <c r="C24" s="7"/>
      <c r="D24" s="139"/>
      <c r="E24" s="10"/>
      <c r="F24" s="13"/>
      <c r="G24" s="13"/>
      <c r="H24" s="158"/>
      <c r="I24" s="13"/>
      <c r="J24" s="10"/>
      <c r="K24" s="52"/>
    </row>
    <row r="26" spans="2:11" x14ac:dyDescent="0.25">
      <c r="B26" t="s">
        <v>400</v>
      </c>
    </row>
    <row r="27" spans="2:11" x14ac:dyDescent="0.25">
      <c r="B27" t="s">
        <v>196</v>
      </c>
      <c r="F27" s="116">
        <v>520000</v>
      </c>
      <c r="G27" t="s">
        <v>197</v>
      </c>
    </row>
    <row r="28" spans="2:11" x14ac:dyDescent="0.25">
      <c r="B28" t="s">
        <v>198</v>
      </c>
      <c r="F28">
        <v>200</v>
      </c>
      <c r="G28" t="s">
        <v>199</v>
      </c>
      <c r="H28" t="s">
        <v>457</v>
      </c>
      <c r="I28" s="249">
        <f>(1+F29*0.14)^0.59</f>
        <v>1.1567882857903236</v>
      </c>
    </row>
    <row r="29" spans="2:11" x14ac:dyDescent="0.25">
      <c r="B29" t="s">
        <v>202</v>
      </c>
      <c r="F29">
        <v>2</v>
      </c>
      <c r="G29" t="s">
        <v>203</v>
      </c>
      <c r="H29" t="s">
        <v>458</v>
      </c>
      <c r="I29" s="250">
        <f>F11*G11*I28*F31*F32</f>
        <v>30.629886766402873</v>
      </c>
    </row>
    <row r="30" spans="2:11" x14ac:dyDescent="0.25">
      <c r="B30" t="s">
        <v>204</v>
      </c>
      <c r="F30">
        <f>'EF&amp;SF lahan sawah'!E40</f>
        <v>1.9</v>
      </c>
      <c r="H30" t="s">
        <v>459</v>
      </c>
      <c r="I30" s="249">
        <f>I29*F28*F27*10^-6</f>
        <v>3185.5082237058987</v>
      </c>
      <c r="J30" t="s">
        <v>363</v>
      </c>
    </row>
    <row r="31" spans="2:11" x14ac:dyDescent="0.25">
      <c r="B31" t="s">
        <v>205</v>
      </c>
      <c r="F31">
        <f>'EF&amp;SF lahan sawah'!H13</f>
        <v>0.28999999999999998</v>
      </c>
      <c r="I31" s="250">
        <f>I30*F33</f>
        <v>0</v>
      </c>
      <c r="J31" t="s">
        <v>460</v>
      </c>
    </row>
    <row r="32" spans="2:11" x14ac:dyDescent="0.25">
      <c r="B32" t="s">
        <v>206</v>
      </c>
      <c r="F32" s="80">
        <f>'EF&amp;SF lahan sawah'!N22</f>
        <v>0.56746289219990131</v>
      </c>
    </row>
    <row r="36" spans="2:11" ht="15.75" thickBot="1" x14ac:dyDescent="0.3"/>
    <row r="37" spans="2:11" x14ac:dyDescent="0.25">
      <c r="B37" s="115" t="s">
        <v>3</v>
      </c>
      <c r="C37" s="22" t="s">
        <v>26</v>
      </c>
      <c r="D37" s="421" t="s">
        <v>27</v>
      </c>
      <c r="E37" s="422"/>
      <c r="F37" s="421" t="s">
        <v>29</v>
      </c>
      <c r="G37" s="423"/>
      <c r="H37" s="244"/>
      <c r="I37" s="421" t="s">
        <v>29</v>
      </c>
      <c r="J37" s="422"/>
      <c r="K37" s="245" t="s">
        <v>27</v>
      </c>
    </row>
    <row r="38" spans="2:11" ht="75" x14ac:dyDescent="0.25">
      <c r="B38" s="424" t="s">
        <v>396</v>
      </c>
      <c r="C38" s="391" t="s">
        <v>192</v>
      </c>
      <c r="D38" s="24" t="s">
        <v>28</v>
      </c>
      <c r="E38" s="25" t="s">
        <v>398</v>
      </c>
      <c r="F38" s="24" t="s">
        <v>30</v>
      </c>
      <c r="G38" s="24" t="s">
        <v>31</v>
      </c>
      <c r="H38" s="24" t="s">
        <v>350</v>
      </c>
      <c r="I38" s="24" t="s">
        <v>352</v>
      </c>
      <c r="J38" s="25" t="s">
        <v>32</v>
      </c>
      <c r="K38" s="21" t="s">
        <v>33</v>
      </c>
    </row>
    <row r="39" spans="2:11" x14ac:dyDescent="0.25">
      <c r="B39" s="424"/>
      <c r="C39" s="391"/>
      <c r="D39" s="11" t="s">
        <v>34</v>
      </c>
      <c r="E39" s="8"/>
      <c r="F39" s="11" t="s">
        <v>399</v>
      </c>
      <c r="G39" s="11"/>
      <c r="H39" s="8"/>
      <c r="I39" s="11"/>
      <c r="J39" s="8" t="s">
        <v>401</v>
      </c>
      <c r="K39" s="1" t="s">
        <v>10</v>
      </c>
    </row>
    <row r="40" spans="2:11" ht="30" x14ac:dyDescent="0.25">
      <c r="B40" s="424"/>
      <c r="C40" s="391"/>
      <c r="D40" s="26"/>
      <c r="E40" s="27"/>
      <c r="F40" s="26"/>
      <c r="G40" s="26"/>
      <c r="H40" s="26"/>
      <c r="I40" s="26"/>
      <c r="J40" s="27" t="s">
        <v>41</v>
      </c>
      <c r="K40" s="28" t="s">
        <v>40</v>
      </c>
    </row>
    <row r="41" spans="2:11" ht="15.75" thickBot="1" x14ac:dyDescent="0.3">
      <c r="B41" s="425"/>
      <c r="C41" s="426"/>
      <c r="D41" s="17" t="s">
        <v>35</v>
      </c>
      <c r="E41" s="16" t="s">
        <v>36</v>
      </c>
      <c r="F41" s="17" t="s">
        <v>37</v>
      </c>
      <c r="G41" s="17" t="s">
        <v>38</v>
      </c>
      <c r="H41" s="17" t="s">
        <v>351</v>
      </c>
      <c r="I41" s="17" t="s">
        <v>353</v>
      </c>
      <c r="J41" s="16" t="s">
        <v>42</v>
      </c>
      <c r="K41" s="18" t="s">
        <v>39</v>
      </c>
    </row>
    <row r="42" spans="2:11" x14ac:dyDescent="0.25">
      <c r="B42" s="3"/>
      <c r="C42" s="6"/>
      <c r="D42" s="12"/>
      <c r="E42" s="9"/>
      <c r="F42" s="108" t="s">
        <v>193</v>
      </c>
      <c r="G42" s="108" t="s">
        <v>194</v>
      </c>
      <c r="H42" s="12"/>
      <c r="I42" s="12"/>
      <c r="J42" s="9"/>
      <c r="K42" s="2"/>
    </row>
    <row r="43" spans="2:11" x14ac:dyDescent="0.25">
      <c r="B43" s="275">
        <f>B11</f>
        <v>2011</v>
      </c>
      <c r="C43" s="6"/>
      <c r="D43" s="246">
        <f>'Direct N2O'!B36*30%</f>
        <v>1969.1999999999998</v>
      </c>
      <c r="E43" s="206">
        <v>1.3</v>
      </c>
      <c r="F43" s="83">
        <v>160.9</v>
      </c>
      <c r="G43" s="252">
        <v>1</v>
      </c>
      <c r="H43" s="42">
        <f>'EF&amp;SF lahan sawah'!$H$13</f>
        <v>0.28999999999999998</v>
      </c>
      <c r="I43" s="84">
        <f>'EF&amp;SF lahan sawah'!$N$27</f>
        <v>1.1568871577513371</v>
      </c>
      <c r="J43" s="138">
        <f>F43*G43*H43*I43*$I$28</f>
        <v>62.445180346605362</v>
      </c>
      <c r="K43" s="41">
        <f>D43*E43*J43*10^-6</f>
        <v>0.15985716388009588</v>
      </c>
    </row>
    <row r="44" spans="2:11" x14ac:dyDescent="0.25">
      <c r="B44" s="275">
        <f t="shared" ref="B44:B53" si="2">B12</f>
        <v>2012</v>
      </c>
      <c r="C44" s="6"/>
      <c r="D44" s="246">
        <f>'Direct N2O'!B37*30%</f>
        <v>2044.1999999999998</v>
      </c>
      <c r="E44" s="206">
        <v>1.3</v>
      </c>
      <c r="F44" s="83">
        <v>160.9</v>
      </c>
      <c r="G44" s="252">
        <v>1</v>
      </c>
      <c r="H44" s="42">
        <f>'EF&amp;SF lahan sawah'!$H$13</f>
        <v>0.28999999999999998</v>
      </c>
      <c r="I44" s="84">
        <f>'EF&amp;SF lahan sawah'!$N$27</f>
        <v>1.1568871577513371</v>
      </c>
      <c r="J44" s="138">
        <f t="shared" ref="J44:J53" si="3">F44*G44*H44*I44*$I$28</f>
        <v>62.445180346605362</v>
      </c>
      <c r="K44" s="41">
        <f t="shared" ref="K44:K53" si="4">D44*E44*J44*10^-6</f>
        <v>0.16594556896388987</v>
      </c>
    </row>
    <row r="45" spans="2:11" x14ac:dyDescent="0.25">
      <c r="B45" s="275">
        <f t="shared" si="2"/>
        <v>2013</v>
      </c>
      <c r="C45" s="6"/>
      <c r="D45" s="246">
        <f>'Direct N2O'!B38*30%</f>
        <v>2172</v>
      </c>
      <c r="E45" s="206">
        <v>1.3</v>
      </c>
      <c r="F45" s="83">
        <v>160.9</v>
      </c>
      <c r="G45" s="252">
        <v>1</v>
      </c>
      <c r="H45" s="42">
        <f>'EF&amp;SF lahan sawah'!$H$13</f>
        <v>0.28999999999999998</v>
      </c>
      <c r="I45" s="84">
        <f>'EF&amp;SF lahan sawah'!$N$27</f>
        <v>1.1568871577513371</v>
      </c>
      <c r="J45" s="138">
        <f t="shared" si="3"/>
        <v>62.445180346605362</v>
      </c>
      <c r="K45" s="41">
        <f t="shared" si="4"/>
        <v>0.17632021122667491</v>
      </c>
    </row>
    <row r="46" spans="2:11" x14ac:dyDescent="0.25">
      <c r="B46" s="275">
        <f t="shared" si="2"/>
        <v>2014</v>
      </c>
      <c r="C46" s="6"/>
      <c r="D46" s="246">
        <f>'Direct N2O'!B39*30%</f>
        <v>1928.3999999999999</v>
      </c>
      <c r="E46" s="206">
        <v>1.3</v>
      </c>
      <c r="F46" s="83">
        <v>160.9</v>
      </c>
      <c r="G46" s="252">
        <v>1</v>
      </c>
      <c r="H46" s="42">
        <f>'EF&amp;SF lahan sawah'!$H$13</f>
        <v>0.28999999999999998</v>
      </c>
      <c r="I46" s="84">
        <f>'EF&amp;SF lahan sawah'!$N$27</f>
        <v>1.1568871577513371</v>
      </c>
      <c r="J46" s="138">
        <f t="shared" si="3"/>
        <v>62.445180346605362</v>
      </c>
      <c r="K46" s="41">
        <f t="shared" si="4"/>
        <v>0.15654507151451191</v>
      </c>
    </row>
    <row r="47" spans="2:11" x14ac:dyDescent="0.25">
      <c r="B47" s="275">
        <f t="shared" si="2"/>
        <v>2015</v>
      </c>
      <c r="C47" s="6"/>
      <c r="D47" s="246">
        <f>'Direct N2O'!B40*30%</f>
        <v>1827</v>
      </c>
      <c r="E47" s="206">
        <v>1.3</v>
      </c>
      <c r="F47" s="83">
        <v>160.9</v>
      </c>
      <c r="G47" s="252">
        <v>1</v>
      </c>
      <c r="H47" s="42">
        <f>'EF&amp;SF lahan sawah'!$H$13</f>
        <v>0.28999999999999998</v>
      </c>
      <c r="I47" s="84">
        <f>'EF&amp;SF lahan sawah'!$N$27</f>
        <v>1.1568871577513371</v>
      </c>
      <c r="J47" s="138">
        <f t="shared" si="3"/>
        <v>62.445180346605362</v>
      </c>
      <c r="K47" s="41">
        <f t="shared" si="4"/>
        <v>0.14831354784122239</v>
      </c>
    </row>
    <row r="48" spans="2:11" x14ac:dyDescent="0.25">
      <c r="B48" s="275">
        <f t="shared" si="2"/>
        <v>2016</v>
      </c>
      <c r="C48" s="6"/>
      <c r="D48" s="246">
        <f>'Direct N2O'!B41*30%</f>
        <v>2035.5</v>
      </c>
      <c r="E48" s="206">
        <v>1.3</v>
      </c>
      <c r="F48" s="83">
        <v>160.9</v>
      </c>
      <c r="G48" s="252">
        <v>1</v>
      </c>
      <c r="H48" s="42">
        <f>'EF&amp;SF lahan sawah'!$H$13</f>
        <v>0.28999999999999998</v>
      </c>
      <c r="I48" s="84">
        <f>'EF&amp;SF lahan sawah'!$N$27</f>
        <v>1.1568871577513371</v>
      </c>
      <c r="J48" s="138">
        <f t="shared" si="3"/>
        <v>62.445180346605362</v>
      </c>
      <c r="K48" s="41">
        <f t="shared" si="4"/>
        <v>0.16523931397416977</v>
      </c>
    </row>
    <row r="49" spans="2:11" x14ac:dyDescent="0.25">
      <c r="B49" s="275">
        <f t="shared" si="2"/>
        <v>2017</v>
      </c>
      <c r="C49" s="6"/>
      <c r="D49" s="246">
        <f>'Direct N2O'!B42*30%</f>
        <v>2550</v>
      </c>
      <c r="E49" s="206">
        <v>1.3</v>
      </c>
      <c r="F49" s="83">
        <v>160.9</v>
      </c>
      <c r="G49" s="252">
        <v>1</v>
      </c>
      <c r="H49" s="42">
        <f>'EF&amp;SF lahan sawah'!$H$13</f>
        <v>0.28999999999999998</v>
      </c>
      <c r="I49" s="84">
        <f>'EF&amp;SF lahan sawah'!$N$27</f>
        <v>1.1568871577513371</v>
      </c>
      <c r="J49" s="138">
        <f t="shared" si="3"/>
        <v>62.445180346605362</v>
      </c>
      <c r="K49" s="41">
        <f t="shared" si="4"/>
        <v>0.20700577284899677</v>
      </c>
    </row>
    <row r="50" spans="2:11" x14ac:dyDescent="0.25">
      <c r="B50" s="275">
        <f t="shared" si="2"/>
        <v>2018</v>
      </c>
      <c r="C50" s="6"/>
      <c r="D50" s="246">
        <f>'Direct N2O'!B43*30%</f>
        <v>2700</v>
      </c>
      <c r="E50" s="206">
        <v>1.3</v>
      </c>
      <c r="F50" s="83">
        <v>160.9</v>
      </c>
      <c r="G50" s="252">
        <v>1</v>
      </c>
      <c r="H50" s="42">
        <f>'EF&amp;SF lahan sawah'!$H$13</f>
        <v>0.28999999999999998</v>
      </c>
      <c r="I50" s="84">
        <f>'EF&amp;SF lahan sawah'!$N$27</f>
        <v>1.1568871577513371</v>
      </c>
      <c r="J50" s="138">
        <f t="shared" si="3"/>
        <v>62.445180346605362</v>
      </c>
      <c r="K50" s="41">
        <f t="shared" si="4"/>
        <v>0.21918258301658483</v>
      </c>
    </row>
    <row r="51" spans="2:11" x14ac:dyDescent="0.25">
      <c r="B51" s="275">
        <f t="shared" si="2"/>
        <v>2019</v>
      </c>
      <c r="C51" s="6"/>
      <c r="D51" s="246">
        <f>'Direct N2O'!B44*30%</f>
        <v>2850</v>
      </c>
      <c r="E51" s="206">
        <v>1.3</v>
      </c>
      <c r="F51" s="83">
        <v>160.9</v>
      </c>
      <c r="G51" s="252">
        <v>1</v>
      </c>
      <c r="H51" s="42">
        <f>'EF&amp;SF lahan sawah'!$H$13</f>
        <v>0.28999999999999998</v>
      </c>
      <c r="I51" s="84">
        <f>'EF&amp;SF lahan sawah'!$N$27</f>
        <v>1.1568871577513371</v>
      </c>
      <c r="J51" s="138">
        <f t="shared" si="3"/>
        <v>62.445180346605362</v>
      </c>
      <c r="K51" s="41">
        <f t="shared" si="4"/>
        <v>0.23135939318417284</v>
      </c>
    </row>
    <row r="52" spans="2:11" x14ac:dyDescent="0.25">
      <c r="B52" s="275">
        <f t="shared" si="2"/>
        <v>2020</v>
      </c>
      <c r="C52" s="6"/>
      <c r="D52" s="246">
        <f>'Direct N2O'!B45*30%</f>
        <v>3000</v>
      </c>
      <c r="E52" s="206">
        <v>1.3</v>
      </c>
      <c r="F52" s="83">
        <v>160.9</v>
      </c>
      <c r="G52" s="252">
        <v>1</v>
      </c>
      <c r="H52" s="42">
        <f>'EF&amp;SF lahan sawah'!$H$13</f>
        <v>0.28999999999999998</v>
      </c>
      <c r="I52" s="84">
        <f>'EF&amp;SF lahan sawah'!$N$27</f>
        <v>1.1568871577513371</v>
      </c>
      <c r="J52" s="138">
        <f t="shared" si="3"/>
        <v>62.445180346605362</v>
      </c>
      <c r="K52" s="41">
        <f t="shared" si="4"/>
        <v>0.2435362033517609</v>
      </c>
    </row>
    <row r="53" spans="2:11" x14ac:dyDescent="0.25">
      <c r="B53" s="275">
        <f t="shared" si="2"/>
        <v>2021</v>
      </c>
      <c r="C53" s="6"/>
      <c r="D53" s="187"/>
      <c r="E53" s="206">
        <v>1.3</v>
      </c>
      <c r="F53" s="83">
        <v>160.9</v>
      </c>
      <c r="G53" s="252">
        <v>1</v>
      </c>
      <c r="H53" s="42">
        <f>'EF&amp;SF lahan sawah'!$H$13</f>
        <v>0.28999999999999998</v>
      </c>
      <c r="I53" s="84">
        <f>'EF&amp;SF lahan sawah'!$N$27</f>
        <v>1.1568871577513371</v>
      </c>
      <c r="J53" s="138">
        <f t="shared" si="3"/>
        <v>62.445180346605362</v>
      </c>
      <c r="K53" s="41">
        <f t="shared" si="4"/>
        <v>0</v>
      </c>
    </row>
    <row r="54" spans="2:11" x14ac:dyDescent="0.25">
      <c r="B54" s="109"/>
      <c r="C54" s="110" t="s">
        <v>195</v>
      </c>
      <c r="D54" s="237">
        <f>SUM(D43:D53)</f>
        <v>23076.3</v>
      </c>
      <c r="E54" s="114"/>
      <c r="F54" s="113"/>
      <c r="G54" s="113"/>
      <c r="H54" s="73"/>
      <c r="I54" s="113"/>
      <c r="J54" s="111"/>
      <c r="K54" s="112"/>
    </row>
    <row r="55" spans="2:11" x14ac:dyDescent="0.25">
      <c r="B55" s="3"/>
      <c r="C55" s="6"/>
      <c r="D55" s="12"/>
      <c r="E55" s="9"/>
      <c r="F55" s="12"/>
      <c r="G55" s="12"/>
      <c r="H55" s="9"/>
      <c r="I55" s="12"/>
      <c r="J55" s="9"/>
      <c r="K55" s="2"/>
    </row>
    <row r="56" spans="2:11" ht="15.75" thickBot="1" x14ac:dyDescent="0.3">
      <c r="B56" s="4"/>
      <c r="C56" s="7"/>
      <c r="D56" s="139"/>
      <c r="E56" s="243"/>
      <c r="F56" s="13"/>
      <c r="G56" s="13"/>
      <c r="H56" s="243"/>
      <c r="I56" s="13"/>
      <c r="J56" s="243"/>
      <c r="K56" s="52"/>
    </row>
    <row r="61" spans="2:11" ht="15.75" thickBot="1" x14ac:dyDescent="0.3"/>
    <row r="62" spans="2:11" x14ac:dyDescent="0.25">
      <c r="B62" s="115" t="s">
        <v>3</v>
      </c>
      <c r="C62" s="22" t="s">
        <v>26</v>
      </c>
      <c r="D62" s="421" t="s">
        <v>27</v>
      </c>
      <c r="E62" s="422"/>
      <c r="F62" s="421" t="s">
        <v>29</v>
      </c>
      <c r="G62" s="423"/>
      <c r="H62" s="244"/>
      <c r="I62" s="421" t="s">
        <v>29</v>
      </c>
      <c r="J62" s="422"/>
      <c r="K62" s="245" t="s">
        <v>27</v>
      </c>
    </row>
    <row r="63" spans="2:11" ht="75" x14ac:dyDescent="0.25">
      <c r="B63" s="424" t="s">
        <v>396</v>
      </c>
      <c r="C63" s="391" t="s">
        <v>192</v>
      </c>
      <c r="D63" s="24" t="s">
        <v>28</v>
      </c>
      <c r="E63" s="25" t="s">
        <v>398</v>
      </c>
      <c r="F63" s="24" t="s">
        <v>30</v>
      </c>
      <c r="G63" s="24" t="s">
        <v>31</v>
      </c>
      <c r="H63" s="24" t="s">
        <v>350</v>
      </c>
      <c r="I63" s="24" t="s">
        <v>352</v>
      </c>
      <c r="J63" s="25" t="s">
        <v>32</v>
      </c>
      <c r="K63" s="21" t="s">
        <v>33</v>
      </c>
    </row>
    <row r="64" spans="2:11" x14ac:dyDescent="0.25">
      <c r="B64" s="424"/>
      <c r="C64" s="391"/>
      <c r="D64" s="11" t="s">
        <v>34</v>
      </c>
      <c r="E64" s="8"/>
      <c r="F64" s="11" t="s">
        <v>399</v>
      </c>
      <c r="G64" s="11"/>
      <c r="H64" s="8"/>
      <c r="I64" s="11"/>
      <c r="J64" s="8" t="s">
        <v>401</v>
      </c>
      <c r="K64" s="1" t="s">
        <v>10</v>
      </c>
    </row>
    <row r="65" spans="2:11" ht="30" x14ac:dyDescent="0.25">
      <c r="B65" s="424"/>
      <c r="C65" s="391"/>
      <c r="D65" s="26"/>
      <c r="E65" s="27"/>
      <c r="F65" s="26"/>
      <c r="G65" s="26"/>
      <c r="H65" s="26"/>
      <c r="I65" s="26"/>
      <c r="J65" s="27" t="s">
        <v>41</v>
      </c>
      <c r="K65" s="28" t="s">
        <v>40</v>
      </c>
    </row>
    <row r="66" spans="2:11" ht="15.75" thickBot="1" x14ac:dyDescent="0.3">
      <c r="B66" s="425"/>
      <c r="C66" s="426"/>
      <c r="D66" s="17" t="s">
        <v>35</v>
      </c>
      <c r="E66" s="16" t="s">
        <v>36</v>
      </c>
      <c r="F66" s="17" t="s">
        <v>37</v>
      </c>
      <c r="G66" s="17" t="s">
        <v>38</v>
      </c>
      <c r="H66" s="17" t="s">
        <v>351</v>
      </c>
      <c r="I66" s="17" t="s">
        <v>353</v>
      </c>
      <c r="J66" s="16" t="s">
        <v>42</v>
      </c>
      <c r="K66" s="18" t="s">
        <v>39</v>
      </c>
    </row>
    <row r="67" spans="2:11" x14ac:dyDescent="0.25">
      <c r="B67" s="3"/>
      <c r="C67" s="6"/>
      <c r="D67" s="12"/>
      <c r="E67" s="9"/>
      <c r="F67" s="108" t="s">
        <v>193</v>
      </c>
      <c r="G67" s="108" t="s">
        <v>194</v>
      </c>
      <c r="H67" s="12"/>
      <c r="I67" s="12"/>
      <c r="J67" s="9"/>
      <c r="K67" s="2"/>
    </row>
    <row r="68" spans="2:11" x14ac:dyDescent="0.25">
      <c r="B68" s="275">
        <f>B11</f>
        <v>2011</v>
      </c>
      <c r="C68" s="6"/>
      <c r="D68" s="246">
        <f>'Direct N2O'!B36*10%</f>
        <v>656.40000000000009</v>
      </c>
      <c r="E68" s="206">
        <v>1.3</v>
      </c>
      <c r="F68" s="83">
        <v>160.9</v>
      </c>
      <c r="G68" s="188">
        <v>1</v>
      </c>
      <c r="H68" s="42">
        <f>'EF&amp;SF lahan sawah'!$H$13</f>
        <v>0.28999999999999998</v>
      </c>
      <c r="I68" s="84">
        <f>'EF&amp;SF lahan sawah'!$N$38</f>
        <v>1.3386449714773025</v>
      </c>
      <c r="J68" s="138">
        <f>F68*G68*H68*I68*$I$28</f>
        <v>72.255903355739306</v>
      </c>
      <c r="K68" s="41">
        <f>D68*E68*J68*10^-6</f>
        <v>6.1657407451519472E-2</v>
      </c>
    </row>
    <row r="69" spans="2:11" x14ac:dyDescent="0.25">
      <c r="B69" s="275">
        <f t="shared" ref="B69:B78" si="5">B12</f>
        <v>2012</v>
      </c>
      <c r="C69" s="6"/>
      <c r="D69" s="246">
        <f>'Direct N2O'!B37*10%</f>
        <v>681.40000000000009</v>
      </c>
      <c r="E69" s="206">
        <v>1.3</v>
      </c>
      <c r="F69" s="83">
        <v>160.9</v>
      </c>
      <c r="G69" s="188">
        <v>1</v>
      </c>
      <c r="H69" s="42">
        <f>'EF&amp;SF lahan sawah'!$H$13</f>
        <v>0.28999999999999998</v>
      </c>
      <c r="I69" s="84">
        <f>'EF&amp;SF lahan sawah'!$N$38</f>
        <v>1.3386449714773025</v>
      </c>
      <c r="J69" s="138">
        <f t="shared" ref="J69:J78" si="6">F69*G69*H69*I69*$I$28</f>
        <v>72.255903355739306</v>
      </c>
      <c r="K69" s="41">
        <f t="shared" ref="K69:K78" si="7">D69*E69*J69*10^-6</f>
        <v>6.4005724310581005E-2</v>
      </c>
    </row>
    <row r="70" spans="2:11" x14ac:dyDescent="0.25">
      <c r="B70" s="275">
        <f t="shared" si="5"/>
        <v>2013</v>
      </c>
      <c r="C70" s="6"/>
      <c r="D70" s="246">
        <f>'Direct N2O'!B38*10%</f>
        <v>724</v>
      </c>
      <c r="E70" s="206">
        <v>1.3</v>
      </c>
      <c r="F70" s="83">
        <v>160.9</v>
      </c>
      <c r="G70" s="188">
        <v>1</v>
      </c>
      <c r="H70" s="42">
        <f>'EF&amp;SF lahan sawah'!$H$13</f>
        <v>0.28999999999999998</v>
      </c>
      <c r="I70" s="84">
        <f>'EF&amp;SF lahan sawah'!$N$38</f>
        <v>1.3386449714773025</v>
      </c>
      <c r="J70" s="138">
        <f t="shared" si="6"/>
        <v>72.255903355739306</v>
      </c>
      <c r="K70" s="41">
        <f t="shared" si="7"/>
        <v>6.8007256238421826E-2</v>
      </c>
    </row>
    <row r="71" spans="2:11" x14ac:dyDescent="0.25">
      <c r="B71" s="275">
        <f t="shared" si="5"/>
        <v>2014</v>
      </c>
      <c r="C71" s="6"/>
      <c r="D71" s="246">
        <f>'Direct N2O'!B39*10%</f>
        <v>642.80000000000007</v>
      </c>
      <c r="E71" s="206">
        <v>1.3</v>
      </c>
      <c r="F71" s="83">
        <v>160.9</v>
      </c>
      <c r="G71" s="188">
        <v>1</v>
      </c>
      <c r="H71" s="42">
        <f>'EF&amp;SF lahan sawah'!$H$13</f>
        <v>0.28999999999999998</v>
      </c>
      <c r="I71" s="84">
        <f>'EF&amp;SF lahan sawah'!$N$38</f>
        <v>1.3386449714773025</v>
      </c>
      <c r="J71" s="138">
        <f t="shared" si="6"/>
        <v>72.255903355739306</v>
      </c>
      <c r="K71" s="41">
        <f t="shared" si="7"/>
        <v>6.0379923080190002E-2</v>
      </c>
    </row>
    <row r="72" spans="2:11" x14ac:dyDescent="0.25">
      <c r="B72" s="275">
        <f t="shared" si="5"/>
        <v>2015</v>
      </c>
      <c r="C72" s="6"/>
      <c r="D72" s="246">
        <f>'Direct N2O'!B40*10%</f>
        <v>609</v>
      </c>
      <c r="E72" s="206">
        <v>1.3</v>
      </c>
      <c r="F72" s="83">
        <v>160.9</v>
      </c>
      <c r="G72" s="188">
        <v>1</v>
      </c>
      <c r="H72" s="42">
        <f>'EF&amp;SF lahan sawah'!$H$13</f>
        <v>0.28999999999999998</v>
      </c>
      <c r="I72" s="84">
        <f>'EF&amp;SF lahan sawah'!$N$38</f>
        <v>1.3386449714773025</v>
      </c>
      <c r="J72" s="138">
        <f t="shared" si="6"/>
        <v>72.255903355739306</v>
      </c>
      <c r="K72" s="41">
        <f t="shared" si="7"/>
        <v>5.7204998686738812E-2</v>
      </c>
    </row>
    <row r="73" spans="2:11" x14ac:dyDescent="0.25">
      <c r="B73" s="275">
        <f t="shared" si="5"/>
        <v>2016</v>
      </c>
      <c r="C73" s="6"/>
      <c r="D73" s="246">
        <f>'Direct N2O'!B41*10%</f>
        <v>678.5</v>
      </c>
      <c r="E73" s="206">
        <v>1.3</v>
      </c>
      <c r="F73" s="83">
        <v>160.9</v>
      </c>
      <c r="G73" s="188">
        <v>1</v>
      </c>
      <c r="H73" s="42">
        <f>'EF&amp;SF lahan sawah'!$H$13</f>
        <v>0.28999999999999998</v>
      </c>
      <c r="I73" s="84">
        <f>'EF&amp;SF lahan sawah'!$N$38</f>
        <v>1.3386449714773025</v>
      </c>
      <c r="J73" s="138">
        <f t="shared" si="6"/>
        <v>72.255903355739306</v>
      </c>
      <c r="K73" s="41">
        <f t="shared" si="7"/>
        <v>6.3733319554929863E-2</v>
      </c>
    </row>
    <row r="74" spans="2:11" x14ac:dyDescent="0.25">
      <c r="B74" s="275">
        <f t="shared" si="5"/>
        <v>2017</v>
      </c>
      <c r="C74" s="6"/>
      <c r="D74" s="246">
        <f>'Direct N2O'!B42*10%</f>
        <v>850</v>
      </c>
      <c r="E74" s="206">
        <v>1.3</v>
      </c>
      <c r="F74" s="83">
        <v>160.9</v>
      </c>
      <c r="G74" s="188">
        <v>1</v>
      </c>
      <c r="H74" s="42">
        <f>'EF&amp;SF lahan sawah'!$H$13</f>
        <v>0.28999999999999998</v>
      </c>
      <c r="I74" s="84">
        <f>'EF&amp;SF lahan sawah'!$N$38</f>
        <v>1.3386449714773025</v>
      </c>
      <c r="J74" s="138">
        <f t="shared" si="6"/>
        <v>72.255903355739306</v>
      </c>
      <c r="K74" s="41">
        <f t="shared" si="7"/>
        <v>7.9842773208091938E-2</v>
      </c>
    </row>
    <row r="75" spans="2:11" x14ac:dyDescent="0.25">
      <c r="B75" s="275">
        <f t="shared" si="5"/>
        <v>2018</v>
      </c>
      <c r="C75" s="6"/>
      <c r="D75" s="246">
        <f>'Direct N2O'!B43*10%</f>
        <v>900</v>
      </c>
      <c r="E75" s="206">
        <v>1.3</v>
      </c>
      <c r="F75" s="83">
        <v>160.9</v>
      </c>
      <c r="G75" s="188">
        <v>1</v>
      </c>
      <c r="H75" s="42">
        <f>'EF&amp;SF lahan sawah'!$H$13</f>
        <v>0.28999999999999998</v>
      </c>
      <c r="I75" s="84">
        <f>'EF&amp;SF lahan sawah'!$N$38</f>
        <v>1.3386449714773025</v>
      </c>
      <c r="J75" s="138">
        <f t="shared" si="6"/>
        <v>72.255903355739306</v>
      </c>
      <c r="K75" s="41">
        <f t="shared" si="7"/>
        <v>8.4539406926214977E-2</v>
      </c>
    </row>
    <row r="76" spans="2:11" x14ac:dyDescent="0.25">
      <c r="B76" s="275">
        <f t="shared" si="5"/>
        <v>2019</v>
      </c>
      <c r="C76" s="6"/>
      <c r="D76" s="246">
        <f>'Direct N2O'!B44*10%</f>
        <v>950</v>
      </c>
      <c r="E76" s="206">
        <v>1.3</v>
      </c>
      <c r="F76" s="83">
        <v>160.9</v>
      </c>
      <c r="G76" s="188">
        <v>1</v>
      </c>
      <c r="H76" s="42">
        <f>'EF&amp;SF lahan sawah'!$H$13</f>
        <v>0.28999999999999998</v>
      </c>
      <c r="I76" s="84">
        <f>'EF&amp;SF lahan sawah'!$N$38</f>
        <v>1.3386449714773025</v>
      </c>
      <c r="J76" s="138">
        <f t="shared" si="6"/>
        <v>72.255903355739306</v>
      </c>
      <c r="K76" s="41">
        <f t="shared" si="7"/>
        <v>8.9236040644338044E-2</v>
      </c>
    </row>
    <row r="77" spans="2:11" x14ac:dyDescent="0.25">
      <c r="B77" s="275">
        <f t="shared" si="5"/>
        <v>2020</v>
      </c>
      <c r="C77" s="6"/>
      <c r="D77" s="246">
        <f>'Direct N2O'!B45*10%</f>
        <v>1000</v>
      </c>
      <c r="E77" s="206">
        <v>1.3</v>
      </c>
      <c r="F77" s="83">
        <v>160.9</v>
      </c>
      <c r="G77" s="188">
        <v>1</v>
      </c>
      <c r="H77" s="42">
        <f>'EF&amp;SF lahan sawah'!$H$13</f>
        <v>0.28999999999999998</v>
      </c>
      <c r="I77" s="84">
        <f>'EF&amp;SF lahan sawah'!$N$38</f>
        <v>1.3386449714773025</v>
      </c>
      <c r="J77" s="138">
        <f t="shared" si="6"/>
        <v>72.255903355739306</v>
      </c>
      <c r="K77" s="41">
        <f t="shared" si="7"/>
        <v>9.3932674362461097E-2</v>
      </c>
    </row>
    <row r="78" spans="2:11" x14ac:dyDescent="0.25">
      <c r="B78" s="275">
        <f t="shared" si="5"/>
        <v>2021</v>
      </c>
      <c r="C78" s="6"/>
      <c r="D78" s="246"/>
      <c r="E78" s="206">
        <v>1.3</v>
      </c>
      <c r="F78" s="83">
        <v>160.9</v>
      </c>
      <c r="G78" s="188">
        <v>1</v>
      </c>
      <c r="H78" s="42">
        <f>'EF&amp;SF lahan sawah'!$H$13</f>
        <v>0.28999999999999998</v>
      </c>
      <c r="I78" s="84">
        <f>'EF&amp;SF lahan sawah'!$N$38</f>
        <v>1.3386449714773025</v>
      </c>
      <c r="J78" s="138">
        <f t="shared" si="6"/>
        <v>72.255903355739306</v>
      </c>
      <c r="K78" s="41">
        <f t="shared" si="7"/>
        <v>0</v>
      </c>
    </row>
    <row r="79" spans="2:11" x14ac:dyDescent="0.25">
      <c r="B79" s="109"/>
      <c r="C79" s="110" t="s">
        <v>195</v>
      </c>
      <c r="D79" s="237">
        <f>SUM(D68:D78)</f>
        <v>7692.1</v>
      </c>
      <c r="E79" s="114"/>
      <c r="F79" s="113"/>
      <c r="G79" s="253"/>
      <c r="H79" s="73"/>
      <c r="I79" s="113"/>
      <c r="J79" s="111"/>
      <c r="K79" s="112"/>
    </row>
    <row r="80" spans="2:11" x14ac:dyDescent="0.25">
      <c r="B80" s="3"/>
      <c r="C80" s="6"/>
      <c r="D80" s="12"/>
      <c r="E80" s="9"/>
      <c r="F80" s="12"/>
      <c r="G80" s="12"/>
      <c r="H80" s="9"/>
      <c r="I80" s="12"/>
      <c r="J80" s="9"/>
      <c r="K80" s="2"/>
    </row>
    <row r="81" spans="2:11" ht="15.75" thickBot="1" x14ac:dyDescent="0.3">
      <c r="B81" s="4"/>
      <c r="C81" s="7"/>
      <c r="D81" s="139"/>
      <c r="E81" s="243"/>
      <c r="F81" s="13"/>
      <c r="G81" s="13"/>
      <c r="H81" s="243"/>
      <c r="I81" s="13"/>
      <c r="J81" s="243"/>
      <c r="K81" s="52"/>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72" t="s">
        <v>306</v>
      </c>
      <c r="C2" s="173">
        <v>0.02</v>
      </c>
    </row>
    <row r="4" spans="2:5" x14ac:dyDescent="0.25">
      <c r="B4" s="166" t="s">
        <v>334</v>
      </c>
    </row>
    <row r="5" spans="2:5" x14ac:dyDescent="0.25">
      <c r="B5" s="176" t="s">
        <v>307</v>
      </c>
      <c r="C5" s="177"/>
      <c r="D5" s="177" t="s">
        <v>308</v>
      </c>
      <c r="E5" s="178" t="s">
        <v>309</v>
      </c>
    </row>
    <row r="6" spans="2:5" x14ac:dyDescent="0.25">
      <c r="B6" s="170" t="s">
        <v>311</v>
      </c>
      <c r="C6" s="171" t="s">
        <v>312</v>
      </c>
      <c r="D6" s="168">
        <v>0.01</v>
      </c>
      <c r="E6" s="120" t="s">
        <v>313</v>
      </c>
    </row>
    <row r="7" spans="2:5" x14ac:dyDescent="0.25">
      <c r="B7" s="170" t="s">
        <v>314</v>
      </c>
      <c r="C7" s="171" t="s">
        <v>312</v>
      </c>
      <c r="D7" s="168">
        <v>3.0000000000000001E-3</v>
      </c>
      <c r="E7" s="120" t="s">
        <v>320</v>
      </c>
    </row>
    <row r="8" spans="2:5" x14ac:dyDescent="0.25">
      <c r="B8" s="170" t="s">
        <v>315</v>
      </c>
      <c r="C8" s="171" t="s">
        <v>319</v>
      </c>
      <c r="D8" s="169">
        <v>16</v>
      </c>
      <c r="E8" s="167" t="s">
        <v>321</v>
      </c>
    </row>
    <row r="9" spans="2:5" x14ac:dyDescent="0.25">
      <c r="B9" s="170" t="s">
        <v>316</v>
      </c>
      <c r="C9" s="171" t="s">
        <v>319</v>
      </c>
      <c r="D9" s="169">
        <v>8</v>
      </c>
      <c r="E9" s="120" t="s">
        <v>322</v>
      </c>
    </row>
    <row r="10" spans="2:5" x14ac:dyDescent="0.25">
      <c r="B10" s="170" t="s">
        <v>317</v>
      </c>
      <c r="C10" s="171" t="s">
        <v>319</v>
      </c>
      <c r="D10" s="169">
        <v>0.02</v>
      </c>
      <c r="E10" s="120" t="s">
        <v>323</v>
      </c>
    </row>
    <row r="11" spans="2:5" x14ac:dyDescent="0.25">
      <c r="B11" s="170" t="s">
        <v>318</v>
      </c>
      <c r="C11" s="171" t="s">
        <v>319</v>
      </c>
      <c r="D11" s="169">
        <v>0.01</v>
      </c>
      <c r="E11" s="120" t="s">
        <v>313</v>
      </c>
    </row>
    <row r="12" spans="2:5" x14ac:dyDescent="0.25">
      <c r="C12" s="19"/>
      <c r="D12" s="80"/>
    </row>
    <row r="13" spans="2:5" x14ac:dyDescent="0.25">
      <c r="C13" s="19"/>
    </row>
    <row r="14" spans="2:5" x14ac:dyDescent="0.25">
      <c r="C14" s="19"/>
    </row>
    <row r="15" spans="2:5" x14ac:dyDescent="0.25">
      <c r="C15" s="19"/>
    </row>
    <row r="16" spans="2:5" x14ac:dyDescent="0.25">
      <c r="B16" s="166" t="s">
        <v>335</v>
      </c>
      <c r="C16" s="19"/>
    </row>
    <row r="17" spans="2:10" x14ac:dyDescent="0.25">
      <c r="B17" s="176" t="s">
        <v>307</v>
      </c>
      <c r="C17" s="179"/>
      <c r="D17" s="177" t="s">
        <v>308</v>
      </c>
      <c r="E17" s="178" t="s">
        <v>309</v>
      </c>
    </row>
    <row r="18" spans="2:10" ht="30" customHeight="1" x14ac:dyDescent="0.25">
      <c r="B18" s="183" t="s">
        <v>336</v>
      </c>
      <c r="C18" s="184" t="s">
        <v>337</v>
      </c>
      <c r="D18" s="180">
        <v>0.01</v>
      </c>
      <c r="E18" s="181" t="s">
        <v>338</v>
      </c>
      <c r="G18" s="202" t="s">
        <v>347</v>
      </c>
      <c r="H18" s="201"/>
      <c r="I18" s="201"/>
      <c r="J18" s="201"/>
    </row>
    <row r="19" spans="2:10" ht="36" customHeight="1" x14ac:dyDescent="0.25">
      <c r="B19" s="183" t="s">
        <v>336</v>
      </c>
      <c r="C19" s="184" t="s">
        <v>337</v>
      </c>
      <c r="D19" s="180">
        <v>7.4999999999999997E-3</v>
      </c>
      <c r="E19" s="181" t="s">
        <v>339</v>
      </c>
    </row>
    <row r="20" spans="2:10" ht="45" x14ac:dyDescent="0.25">
      <c r="B20" s="183" t="s">
        <v>342</v>
      </c>
      <c r="C20" s="184" t="s">
        <v>340</v>
      </c>
      <c r="D20" s="182">
        <v>0.1</v>
      </c>
      <c r="E20" s="181" t="s">
        <v>341</v>
      </c>
    </row>
    <row r="21" spans="2:10" ht="45" x14ac:dyDescent="0.25">
      <c r="B21" s="183" t="s">
        <v>343</v>
      </c>
      <c r="C21" s="184" t="s">
        <v>340</v>
      </c>
      <c r="D21" s="182">
        <v>0.2</v>
      </c>
      <c r="E21" s="181" t="s">
        <v>345</v>
      </c>
    </row>
    <row r="22" spans="2:10" ht="45" x14ac:dyDescent="0.25">
      <c r="B22" s="183" t="s">
        <v>344</v>
      </c>
      <c r="C22" s="184" t="s">
        <v>340</v>
      </c>
      <c r="D22" s="182">
        <v>0.3</v>
      </c>
      <c r="E22" s="181"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47" t="s">
        <v>3</v>
      </c>
      <c r="C5" s="427" t="s">
        <v>288</v>
      </c>
      <c r="D5" s="428"/>
      <c r="E5" s="428"/>
      <c r="F5" s="428"/>
      <c r="G5" s="429"/>
    </row>
    <row r="6" spans="2:7" ht="45" x14ac:dyDescent="0.25">
      <c r="B6" s="424" t="s">
        <v>396</v>
      </c>
      <c r="C6" s="23" t="s">
        <v>280</v>
      </c>
      <c r="D6" s="148" t="s">
        <v>54</v>
      </c>
      <c r="E6" s="152" t="s">
        <v>289</v>
      </c>
      <c r="F6" s="24" t="s">
        <v>54</v>
      </c>
      <c r="G6" s="145" t="s">
        <v>31</v>
      </c>
    </row>
    <row r="7" spans="2:7" ht="17.25" x14ac:dyDescent="0.25">
      <c r="B7" s="424"/>
      <c r="C7" s="23" t="s">
        <v>281</v>
      </c>
      <c r="D7" s="149" t="s">
        <v>290</v>
      </c>
      <c r="E7" s="24" t="s">
        <v>281</v>
      </c>
      <c r="F7" s="11" t="s">
        <v>291</v>
      </c>
      <c r="G7" s="87"/>
    </row>
    <row r="8" spans="2:7" x14ac:dyDescent="0.25">
      <c r="B8" s="424"/>
      <c r="C8" s="141"/>
      <c r="D8" s="150" t="s">
        <v>282</v>
      </c>
      <c r="E8" s="153"/>
      <c r="F8" s="26" t="s">
        <v>292</v>
      </c>
      <c r="G8" s="86"/>
    </row>
    <row r="9" spans="2:7" ht="18.75" thickBot="1" x14ac:dyDescent="0.4">
      <c r="B9" s="425"/>
      <c r="C9" s="143" t="s">
        <v>283</v>
      </c>
      <c r="D9" s="151" t="s">
        <v>284</v>
      </c>
      <c r="E9" s="144" t="s">
        <v>285</v>
      </c>
      <c r="F9" s="142" t="s">
        <v>286</v>
      </c>
      <c r="G9" s="88" t="s">
        <v>287</v>
      </c>
    </row>
    <row r="10" spans="2:7" x14ac:dyDescent="0.25">
      <c r="B10" s="3"/>
      <c r="C10" s="6"/>
      <c r="D10" s="12"/>
      <c r="E10" s="9"/>
      <c r="F10" s="108"/>
      <c r="G10" s="146"/>
    </row>
    <row r="11" spans="2:7" x14ac:dyDescent="0.25">
      <c r="B11" s="3">
        <v>2000</v>
      </c>
      <c r="C11" s="83"/>
      <c r="D11" s="83"/>
      <c r="E11" s="81">
        <f>C11*D11</f>
        <v>0</v>
      </c>
      <c r="F11" s="154">
        <v>0.13</v>
      </c>
      <c r="G11" s="155">
        <f>E11*F11</f>
        <v>0</v>
      </c>
    </row>
    <row r="12" spans="2:7" x14ac:dyDescent="0.25">
      <c r="B12" s="3">
        <v>2001</v>
      </c>
      <c r="C12" s="82"/>
      <c r="D12" s="83"/>
      <c r="E12" s="81"/>
      <c r="F12" s="154"/>
      <c r="G12" s="155"/>
    </row>
    <row r="13" spans="2:7" x14ac:dyDescent="0.25">
      <c r="B13" s="3">
        <v>2002</v>
      </c>
      <c r="C13" s="82"/>
      <c r="D13" s="83"/>
      <c r="E13" s="81"/>
      <c r="F13" s="154"/>
      <c r="G13" s="155"/>
    </row>
    <row r="14" spans="2:7" x14ac:dyDescent="0.25">
      <c r="B14" s="3" t="s">
        <v>397</v>
      </c>
      <c r="C14" s="6"/>
      <c r="D14" s="12"/>
      <c r="E14" s="9"/>
      <c r="F14" s="12"/>
      <c r="G14" s="89"/>
    </row>
    <row r="15" spans="2:7" ht="15.75" thickBot="1" x14ac:dyDescent="0.3">
      <c r="B15" s="4" t="s">
        <v>25</v>
      </c>
      <c r="C15" s="156"/>
      <c r="D15" s="50"/>
      <c r="E15" s="157"/>
      <c r="F15" s="13"/>
      <c r="G15" s="198">
        <f>SUM(G11:G11)</f>
        <v>0</v>
      </c>
    </row>
    <row r="17" spans="2:9" ht="30" x14ac:dyDescent="0.25">
      <c r="B17" s="192" t="s">
        <v>293</v>
      </c>
      <c r="C17" s="193">
        <v>300000</v>
      </c>
      <c r="D17" s="194" t="s">
        <v>197</v>
      </c>
    </row>
    <row r="18" spans="2:9" ht="45" x14ac:dyDescent="0.25">
      <c r="B18" s="192" t="s">
        <v>294</v>
      </c>
      <c r="C18" s="193">
        <v>25000</v>
      </c>
      <c r="D18" s="194" t="s">
        <v>197</v>
      </c>
    </row>
    <row r="19" spans="2:9" ht="45" x14ac:dyDescent="0.25">
      <c r="B19" s="192" t="s">
        <v>295</v>
      </c>
      <c r="C19" s="238">
        <v>1</v>
      </c>
      <c r="D19" s="194" t="s">
        <v>297</v>
      </c>
    </row>
    <row r="20" spans="2:9" ht="45" x14ac:dyDescent="0.25">
      <c r="B20" s="192" t="s">
        <v>296</v>
      </c>
      <c r="C20" s="238">
        <v>2</v>
      </c>
      <c r="D20" s="194" t="s">
        <v>297</v>
      </c>
    </row>
    <row r="21" spans="2:9" x14ac:dyDescent="0.25">
      <c r="B21" s="192" t="s">
        <v>298</v>
      </c>
      <c r="C21" s="238">
        <v>0.13</v>
      </c>
      <c r="D21" s="194"/>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65" t="s">
        <v>3</v>
      </c>
      <c r="C5" s="423" t="s">
        <v>56</v>
      </c>
      <c r="D5" s="423"/>
      <c r="E5" s="430"/>
    </row>
    <row r="6" spans="2:5" ht="45" x14ac:dyDescent="0.25">
      <c r="B6" s="431" t="s">
        <v>396</v>
      </c>
      <c r="C6" s="161" t="s">
        <v>46</v>
      </c>
      <c r="D6" s="161" t="s">
        <v>48</v>
      </c>
      <c r="E6" s="161" t="s">
        <v>50</v>
      </c>
    </row>
    <row r="7" spans="2:5" x14ac:dyDescent="0.25">
      <c r="B7" s="432"/>
      <c r="C7" s="30" t="s">
        <v>47</v>
      </c>
      <c r="D7" s="30" t="s">
        <v>49</v>
      </c>
      <c r="E7" s="30" t="s">
        <v>51</v>
      </c>
    </row>
    <row r="8" spans="2:5" x14ac:dyDescent="0.25">
      <c r="B8" s="432"/>
      <c r="C8" s="31"/>
      <c r="D8" s="31"/>
      <c r="E8" s="30" t="s">
        <v>52</v>
      </c>
    </row>
    <row r="9" spans="2:5" ht="15.75" thickBot="1" x14ac:dyDescent="0.3">
      <c r="B9" s="433"/>
      <c r="C9" s="14" t="s">
        <v>53</v>
      </c>
      <c r="D9" s="14" t="s">
        <v>54</v>
      </c>
      <c r="E9" s="14" t="s">
        <v>55</v>
      </c>
    </row>
    <row r="10" spans="2:5" x14ac:dyDescent="0.25">
      <c r="B10" s="3"/>
      <c r="C10" s="3"/>
      <c r="D10" s="3"/>
      <c r="E10" s="3"/>
    </row>
    <row r="11" spans="2:5" x14ac:dyDescent="0.25">
      <c r="B11" s="275">
        <f>'Lahan sawah'!B11</f>
        <v>2011</v>
      </c>
      <c r="C11" s="246">
        <f>'Direct N2O'!T36*10^-3</f>
        <v>41879.932000000001</v>
      </c>
      <c r="D11" s="210">
        <v>0.2</v>
      </c>
      <c r="E11" s="211">
        <f>C11*D11</f>
        <v>8375.9863999999998</v>
      </c>
    </row>
    <row r="12" spans="2:5" x14ac:dyDescent="0.25">
      <c r="B12" s="275">
        <f>'Lahan sawah'!B12</f>
        <v>2012</v>
      </c>
      <c r="C12" s="246">
        <f>'Direct N2O'!T37*10^-3</f>
        <v>52465.201999999997</v>
      </c>
      <c r="D12" s="210">
        <v>0.2</v>
      </c>
      <c r="E12" s="211">
        <f t="shared" ref="E12:E21" si="0">C12*D12</f>
        <v>10493.0404</v>
      </c>
    </row>
    <row r="13" spans="2:5" x14ac:dyDescent="0.25">
      <c r="B13" s="275">
        <f>'Lahan sawah'!B13</f>
        <v>2013</v>
      </c>
      <c r="C13" s="246">
        <f>'Direct N2O'!T38*10^-3</f>
        <v>60577.612000000001</v>
      </c>
      <c r="D13" s="210">
        <v>0.2</v>
      </c>
      <c r="E13" s="211">
        <f t="shared" si="0"/>
        <v>12115.522400000002</v>
      </c>
    </row>
    <row r="14" spans="2:5" x14ac:dyDescent="0.25">
      <c r="B14" s="275">
        <f>'Lahan sawah'!B14</f>
        <v>2014</v>
      </c>
      <c r="C14" s="246">
        <f>'Direct N2O'!T39*10^-3</f>
        <v>60421.932000000001</v>
      </c>
      <c r="D14" s="210">
        <v>0.2</v>
      </c>
      <c r="E14" s="211">
        <f t="shared" si="0"/>
        <v>12084.386400000001</v>
      </c>
    </row>
    <row r="15" spans="2:5" x14ac:dyDescent="0.25">
      <c r="B15" s="275">
        <f>'Lahan sawah'!B15</f>
        <v>2015</v>
      </c>
      <c r="C15" s="246">
        <f>'Direct N2O'!T40*10^-3</f>
        <v>60325.440000000002</v>
      </c>
      <c r="D15" s="210">
        <v>0.2</v>
      </c>
      <c r="E15" s="211">
        <f t="shared" si="0"/>
        <v>12065.088000000002</v>
      </c>
    </row>
    <row r="16" spans="2:5" x14ac:dyDescent="0.25">
      <c r="B16" s="275">
        <f>'Lahan sawah'!B16</f>
        <v>2016</v>
      </c>
      <c r="C16" s="246">
        <f>'Direct N2O'!T41*10^-3</f>
        <v>1865.875</v>
      </c>
      <c r="D16" s="210">
        <v>0.2</v>
      </c>
      <c r="E16" s="211">
        <f t="shared" si="0"/>
        <v>373.17500000000001</v>
      </c>
    </row>
    <row r="17" spans="2:13" x14ac:dyDescent="0.25">
      <c r="B17" s="275">
        <f>'Lahan sawah'!B17</f>
        <v>2017</v>
      </c>
      <c r="C17" s="246">
        <f>'Direct N2O'!T42*10^-3</f>
        <v>2337.5</v>
      </c>
      <c r="D17" s="210">
        <v>0.2</v>
      </c>
      <c r="E17" s="211">
        <f t="shared" si="0"/>
        <v>467.5</v>
      </c>
    </row>
    <row r="18" spans="2:13" x14ac:dyDescent="0.25">
      <c r="B18" s="275">
        <f>'Lahan sawah'!B18</f>
        <v>2018</v>
      </c>
      <c r="C18" s="246">
        <f>'Direct N2O'!T43*10^-3</f>
        <v>2475</v>
      </c>
      <c r="D18" s="210">
        <v>0.2</v>
      </c>
      <c r="E18" s="164">
        <f t="shared" si="0"/>
        <v>495</v>
      </c>
    </row>
    <row r="19" spans="2:13" x14ac:dyDescent="0.25">
      <c r="B19" s="275">
        <f>'Lahan sawah'!B19</f>
        <v>2019</v>
      </c>
      <c r="C19" s="246">
        <f>'Direct N2O'!T44*10^-3</f>
        <v>2612.5</v>
      </c>
      <c r="D19" s="210">
        <v>0.2</v>
      </c>
      <c r="E19" s="164">
        <f t="shared" si="0"/>
        <v>522.5</v>
      </c>
    </row>
    <row r="20" spans="2:13" x14ac:dyDescent="0.25">
      <c r="B20" s="275">
        <f>'Lahan sawah'!B20</f>
        <v>2020</v>
      </c>
      <c r="C20" s="246">
        <f>'Direct N2O'!T45*10^-3</f>
        <v>2750</v>
      </c>
      <c r="D20" s="210">
        <v>0.2</v>
      </c>
      <c r="E20" s="164">
        <f t="shared" si="0"/>
        <v>550</v>
      </c>
    </row>
    <row r="21" spans="2:13" x14ac:dyDescent="0.25">
      <c r="B21" s="275">
        <f>'Lahan sawah'!B21</f>
        <v>2021</v>
      </c>
      <c r="C21" s="209"/>
      <c r="D21" s="210">
        <v>0.2</v>
      </c>
      <c r="E21" s="164">
        <f t="shared" si="0"/>
        <v>0</v>
      </c>
    </row>
    <row r="22" spans="2:13" ht="15.75" thickBot="1" x14ac:dyDescent="0.3">
      <c r="B22" s="29" t="s">
        <v>397</v>
      </c>
      <c r="C22" s="29"/>
      <c r="D22" s="29"/>
      <c r="E22" s="29"/>
    </row>
    <row r="23" spans="2:13" ht="16.5" thickTop="1" thickBot="1" x14ac:dyDescent="0.3">
      <c r="B23" s="4" t="s">
        <v>25</v>
      </c>
      <c r="C23" s="4"/>
      <c r="D23" s="4"/>
      <c r="E23" s="199">
        <f>SUM(E11:E13)</f>
        <v>30984.549200000001</v>
      </c>
      <c r="G23" s="208"/>
      <c r="H23" s="208"/>
      <c r="I23" s="208"/>
      <c r="J23" s="208"/>
    </row>
    <row r="26" spans="2:13" x14ac:dyDescent="0.25">
      <c r="B26" t="s">
        <v>300</v>
      </c>
      <c r="E26" t="s">
        <v>303</v>
      </c>
      <c r="G26" t="s">
        <v>305</v>
      </c>
    </row>
    <row r="27" spans="2:13" x14ac:dyDescent="0.25">
      <c r="B27" s="19" t="s">
        <v>301</v>
      </c>
      <c r="C27" s="160">
        <v>225000</v>
      </c>
      <c r="D27" t="s">
        <v>197</v>
      </c>
      <c r="E27" s="274">
        <f>200+(200*30%)</f>
        <v>260</v>
      </c>
      <c r="F27" t="s">
        <v>304</v>
      </c>
      <c r="G27" s="160">
        <f>C27*E27*10^-3</f>
        <v>58500</v>
      </c>
    </row>
    <row r="28" spans="2:13" x14ac:dyDescent="0.25">
      <c r="B28" s="19" t="s">
        <v>302</v>
      </c>
      <c r="C28" s="160"/>
      <c r="F28" t="s">
        <v>304</v>
      </c>
      <c r="G28" s="160">
        <f>C28*E29*10^-3</f>
        <v>0</v>
      </c>
      <c r="I28" s="162"/>
    </row>
    <row r="29" spans="2:13" x14ac:dyDescent="0.25">
      <c r="B29" s="19" t="s">
        <v>299</v>
      </c>
      <c r="C29" s="160">
        <v>15000</v>
      </c>
      <c r="D29" t="s">
        <v>197</v>
      </c>
      <c r="E29">
        <v>300</v>
      </c>
      <c r="G29" s="160">
        <f>C29*E29*10^-3</f>
        <v>4500</v>
      </c>
    </row>
    <row r="30" spans="2:13" ht="46.5" customHeight="1" x14ac:dyDescent="0.25">
      <c r="B30" s="19" t="s">
        <v>355</v>
      </c>
      <c r="C30" s="160">
        <v>10000</v>
      </c>
      <c r="D30" t="s">
        <v>197</v>
      </c>
      <c r="G30" s="160">
        <f>(C30*E29*10^-3)*40%</f>
        <v>1200</v>
      </c>
    </row>
    <row r="31" spans="2:13" ht="48" customHeight="1" x14ac:dyDescent="0.25">
      <c r="B31" s="19" t="s">
        <v>356</v>
      </c>
      <c r="C31" s="160">
        <v>12000</v>
      </c>
      <c r="D31" t="s">
        <v>197</v>
      </c>
      <c r="E31">
        <v>160</v>
      </c>
      <c r="F31" t="s">
        <v>304</v>
      </c>
      <c r="G31" s="160">
        <f>(C31*E31*10^-3)*20%</f>
        <v>384</v>
      </c>
      <c r="I31" t="s">
        <v>476</v>
      </c>
    </row>
    <row r="32" spans="2:13" ht="60" x14ac:dyDescent="0.25">
      <c r="B32" s="19" t="s">
        <v>357</v>
      </c>
      <c r="C32" s="160">
        <v>15000</v>
      </c>
      <c r="D32" t="s">
        <v>197</v>
      </c>
      <c r="E32">
        <v>222</v>
      </c>
      <c r="F32" t="s">
        <v>304</v>
      </c>
      <c r="G32" s="160">
        <f>(C32*E32*10^-3)*80%</f>
        <v>2664</v>
      </c>
      <c r="K32" s="223" t="s">
        <v>477</v>
      </c>
      <c r="L32" s="223" t="s">
        <v>478</v>
      </c>
      <c r="M32" s="223" t="s">
        <v>479</v>
      </c>
    </row>
    <row r="33" spans="5:13" x14ac:dyDescent="0.25">
      <c r="E33" s="276">
        <f>M33</f>
        <v>713.16502638710608</v>
      </c>
      <c r="G33" s="162"/>
      <c r="I33" t="s">
        <v>480</v>
      </c>
      <c r="J33" s="200">
        <f>10000/(9*7.79)</f>
        <v>142.6330052774212</v>
      </c>
      <c r="K33">
        <v>0.6</v>
      </c>
      <c r="L33">
        <v>2.5</v>
      </c>
      <c r="M33" s="200">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28" zoomScale="85" zoomScaleNormal="85" workbookViewId="0">
      <selection activeCell="M36" sqref="M36:M40"/>
    </sheetView>
  </sheetViews>
  <sheetFormatPr defaultColWidth="11.42578125" defaultRowHeight="12.75" x14ac:dyDescent="0.25"/>
  <cols>
    <col min="1" max="1" width="16.7109375" style="277" customWidth="1"/>
    <col min="2" max="2" width="14.5703125" style="278" customWidth="1"/>
    <col min="3" max="3" width="16.7109375" style="278" customWidth="1"/>
    <col min="4" max="4" width="18.85546875" style="279" bestFit="1" customWidth="1"/>
    <col min="5" max="5" width="7.85546875" style="278" bestFit="1" customWidth="1"/>
    <col min="6" max="6" width="14.5703125" style="278" bestFit="1" customWidth="1"/>
    <col min="7" max="7" width="20.28515625" style="278" customWidth="1"/>
    <col min="8" max="8" width="11.42578125" style="278"/>
    <col min="9" max="9" width="11.5703125" style="278" bestFit="1" customWidth="1"/>
    <col min="10" max="10" width="16.140625" style="278" customWidth="1"/>
    <col min="11" max="12" width="11.42578125" style="278"/>
    <col min="13" max="13" width="12.85546875" style="278" customWidth="1"/>
    <col min="14" max="14" width="11.5703125" style="278" customWidth="1"/>
    <col min="15" max="15" width="11.5703125" style="278" bestFit="1" customWidth="1"/>
    <col min="16" max="16" width="15.140625" style="278" customWidth="1"/>
    <col min="17" max="17" width="12.28515625" style="278" bestFit="1" customWidth="1"/>
    <col min="18" max="18" width="11.5703125" style="278" bestFit="1" customWidth="1"/>
    <col min="19" max="22" width="11.42578125" style="278"/>
    <col min="23" max="23" width="13.5703125" style="278" customWidth="1"/>
    <col min="24" max="24" width="11.42578125" style="278"/>
    <col min="25" max="25" width="16.42578125" style="278" customWidth="1"/>
    <col min="26" max="26" width="14.140625" style="278" customWidth="1"/>
    <col min="27" max="27" width="15.5703125" style="278" customWidth="1"/>
    <col min="28" max="29" width="11.42578125" style="278"/>
    <col min="30" max="30" width="13.5703125" style="278" bestFit="1" customWidth="1"/>
    <col min="31" max="31" width="12.5703125" style="278" customWidth="1"/>
    <col min="32" max="32" width="11.42578125" style="278"/>
    <col min="33" max="33" width="14.85546875" style="278" bestFit="1" customWidth="1"/>
    <col min="34" max="34" width="13.85546875" style="278" customWidth="1"/>
    <col min="35" max="35" width="16.28515625" style="278" customWidth="1"/>
    <col min="36" max="40" width="11.42578125" style="278"/>
    <col min="41" max="41" width="17.28515625" style="278" customWidth="1"/>
    <col min="42" max="42" width="16.140625" style="278" customWidth="1"/>
    <col min="43" max="43" width="15.140625" style="278" customWidth="1"/>
    <col min="44" max="48" width="11.42578125" style="278"/>
    <col min="49" max="49" width="17.140625" style="278" customWidth="1"/>
    <col min="50" max="50" width="13.85546875" style="278" customWidth="1"/>
    <col min="51" max="51" width="16.5703125" style="278" customWidth="1"/>
    <col min="52" max="56" width="11.42578125" style="278"/>
    <col min="57" max="57" width="14.85546875" style="278" customWidth="1"/>
    <col min="58" max="58" width="15" style="278" customWidth="1"/>
    <col min="59" max="59" width="16.42578125" style="278" customWidth="1"/>
    <col min="60" max="64" width="11.42578125" style="278"/>
    <col min="65" max="65" width="14.42578125" style="278" customWidth="1"/>
    <col min="66" max="66" width="13.140625" style="278" customWidth="1"/>
    <col min="67" max="67" width="17.140625" style="278" customWidth="1"/>
    <col min="68" max="68" width="12" style="278" bestFit="1" customWidth="1"/>
    <col min="69" max="72" width="11.42578125" style="278"/>
    <col min="73" max="73" width="17.7109375" style="278" customWidth="1"/>
    <col min="74" max="74" width="15" style="278" customWidth="1"/>
    <col min="75" max="75" width="16.7109375" style="278" customWidth="1"/>
    <col min="76" max="78" width="11.42578125" style="278"/>
    <col min="79" max="79" width="15.7109375" style="278" customWidth="1"/>
    <col min="80" max="80" width="11.42578125" style="278"/>
    <col min="81" max="82" width="15.7109375" style="278" customWidth="1"/>
    <col min="83" max="83" width="16" style="278" customWidth="1"/>
    <col min="84" max="254" width="11.42578125" style="278"/>
    <col min="255" max="257" width="16.7109375" style="278" customWidth="1"/>
    <col min="258" max="258" width="17.42578125" style="278" bestFit="1" customWidth="1"/>
    <col min="259" max="261" width="16.7109375" style="278" customWidth="1"/>
    <col min="262" max="510" width="11.42578125" style="278"/>
    <col min="511" max="513" width="16.7109375" style="278" customWidth="1"/>
    <col min="514" max="514" width="17.42578125" style="278" bestFit="1" customWidth="1"/>
    <col min="515" max="517" width="16.7109375" style="278" customWidth="1"/>
    <col min="518" max="766" width="11.42578125" style="278"/>
    <col min="767" max="769" width="16.7109375" style="278" customWidth="1"/>
    <col min="770" max="770" width="17.42578125" style="278" bestFit="1" customWidth="1"/>
    <col min="771" max="773" width="16.7109375" style="278" customWidth="1"/>
    <col min="774" max="1022" width="11.42578125" style="278"/>
    <col min="1023" max="1025" width="16.7109375" style="278" customWidth="1"/>
    <col min="1026" max="1026" width="17.42578125" style="278" bestFit="1" customWidth="1"/>
    <col min="1027" max="1029" width="16.7109375" style="278" customWidth="1"/>
    <col min="1030" max="1278" width="11.42578125" style="278"/>
    <col min="1279" max="1281" width="16.7109375" style="278" customWidth="1"/>
    <col min="1282" max="1282" width="17.42578125" style="278" bestFit="1" customWidth="1"/>
    <col min="1283" max="1285" width="16.7109375" style="278" customWidth="1"/>
    <col min="1286" max="1534" width="11.42578125" style="278"/>
    <col min="1535" max="1537" width="16.7109375" style="278" customWidth="1"/>
    <col min="1538" max="1538" width="17.42578125" style="278" bestFit="1" customWidth="1"/>
    <col min="1539" max="1541" width="16.7109375" style="278" customWidth="1"/>
    <col min="1542" max="1790" width="11.42578125" style="278"/>
    <col min="1791" max="1793" width="16.7109375" style="278" customWidth="1"/>
    <col min="1794" max="1794" width="17.42578125" style="278" bestFit="1" customWidth="1"/>
    <col min="1795" max="1797" width="16.7109375" style="278" customWidth="1"/>
    <col min="1798" max="2046" width="11.42578125" style="278"/>
    <col min="2047" max="2049" width="16.7109375" style="278" customWidth="1"/>
    <col min="2050" max="2050" width="17.42578125" style="278" bestFit="1" customWidth="1"/>
    <col min="2051" max="2053" width="16.7109375" style="278" customWidth="1"/>
    <col min="2054" max="2302" width="11.42578125" style="278"/>
    <col min="2303" max="2305" width="16.7109375" style="278" customWidth="1"/>
    <col min="2306" max="2306" width="17.42578125" style="278" bestFit="1" customWidth="1"/>
    <col min="2307" max="2309" width="16.7109375" style="278" customWidth="1"/>
    <col min="2310" max="2558" width="11.42578125" style="278"/>
    <col min="2559" max="2561" width="16.7109375" style="278" customWidth="1"/>
    <col min="2562" max="2562" width="17.42578125" style="278" bestFit="1" customWidth="1"/>
    <col min="2563" max="2565" width="16.7109375" style="278" customWidth="1"/>
    <col min="2566" max="2814" width="11.42578125" style="278"/>
    <col min="2815" max="2817" width="16.7109375" style="278" customWidth="1"/>
    <col min="2818" max="2818" width="17.42578125" style="278" bestFit="1" customWidth="1"/>
    <col min="2819" max="2821" width="16.7109375" style="278" customWidth="1"/>
    <col min="2822" max="3070" width="11.42578125" style="278"/>
    <col min="3071" max="3073" width="16.7109375" style="278" customWidth="1"/>
    <col min="3074" max="3074" width="17.42578125" style="278" bestFit="1" customWidth="1"/>
    <col min="3075" max="3077" width="16.7109375" style="278" customWidth="1"/>
    <col min="3078" max="3326" width="11.42578125" style="278"/>
    <col min="3327" max="3329" width="16.7109375" style="278" customWidth="1"/>
    <col min="3330" max="3330" width="17.42578125" style="278" bestFit="1" customWidth="1"/>
    <col min="3331" max="3333" width="16.7109375" style="278" customWidth="1"/>
    <col min="3334" max="3582" width="11.42578125" style="278"/>
    <col min="3583" max="3585" width="16.7109375" style="278" customWidth="1"/>
    <col min="3586" max="3586" width="17.42578125" style="278" bestFit="1" customWidth="1"/>
    <col min="3587" max="3589" width="16.7109375" style="278" customWidth="1"/>
    <col min="3590" max="3838" width="11.42578125" style="278"/>
    <col min="3839" max="3841" width="16.7109375" style="278" customWidth="1"/>
    <col min="3842" max="3842" width="17.42578125" style="278" bestFit="1" customWidth="1"/>
    <col min="3843" max="3845" width="16.7109375" style="278" customWidth="1"/>
    <col min="3846" max="4094" width="11.42578125" style="278"/>
    <col min="4095" max="4097" width="16.7109375" style="278" customWidth="1"/>
    <col min="4098" max="4098" width="17.42578125" style="278" bestFit="1" customWidth="1"/>
    <col min="4099" max="4101" width="16.7109375" style="278" customWidth="1"/>
    <col min="4102" max="4350" width="11.42578125" style="278"/>
    <col min="4351" max="4353" width="16.7109375" style="278" customWidth="1"/>
    <col min="4354" max="4354" width="17.42578125" style="278" bestFit="1" customWidth="1"/>
    <col min="4355" max="4357" width="16.7109375" style="278" customWidth="1"/>
    <col min="4358" max="4606" width="11.42578125" style="278"/>
    <col min="4607" max="4609" width="16.7109375" style="278" customWidth="1"/>
    <col min="4610" max="4610" width="17.42578125" style="278" bestFit="1" customWidth="1"/>
    <col min="4611" max="4613" width="16.7109375" style="278" customWidth="1"/>
    <col min="4614" max="4862" width="11.42578125" style="278"/>
    <col min="4863" max="4865" width="16.7109375" style="278" customWidth="1"/>
    <col min="4866" max="4866" width="17.42578125" style="278" bestFit="1" customWidth="1"/>
    <col min="4867" max="4869" width="16.7109375" style="278" customWidth="1"/>
    <col min="4870" max="5118" width="11.42578125" style="278"/>
    <col min="5119" max="5121" width="16.7109375" style="278" customWidth="1"/>
    <col min="5122" max="5122" width="17.42578125" style="278" bestFit="1" customWidth="1"/>
    <col min="5123" max="5125" width="16.7109375" style="278" customWidth="1"/>
    <col min="5126" max="5374" width="11.42578125" style="278"/>
    <col min="5375" max="5377" width="16.7109375" style="278" customWidth="1"/>
    <col min="5378" max="5378" width="17.42578125" style="278" bestFit="1" customWidth="1"/>
    <col min="5379" max="5381" width="16.7109375" style="278" customWidth="1"/>
    <col min="5382" max="5630" width="11.42578125" style="278"/>
    <col min="5631" max="5633" width="16.7109375" style="278" customWidth="1"/>
    <col min="5634" max="5634" width="17.42578125" style="278" bestFit="1" customWidth="1"/>
    <col min="5635" max="5637" width="16.7109375" style="278" customWidth="1"/>
    <col min="5638" max="5886" width="11.42578125" style="278"/>
    <col min="5887" max="5889" width="16.7109375" style="278" customWidth="1"/>
    <col min="5890" max="5890" width="17.42578125" style="278" bestFit="1" customWidth="1"/>
    <col min="5891" max="5893" width="16.7109375" style="278" customWidth="1"/>
    <col min="5894" max="6142" width="11.42578125" style="278"/>
    <col min="6143" max="6145" width="16.7109375" style="278" customWidth="1"/>
    <col min="6146" max="6146" width="17.42578125" style="278" bestFit="1" customWidth="1"/>
    <col min="6147" max="6149" width="16.7109375" style="278" customWidth="1"/>
    <col min="6150" max="6398" width="11.42578125" style="278"/>
    <col min="6399" max="6401" width="16.7109375" style="278" customWidth="1"/>
    <col min="6402" max="6402" width="17.42578125" style="278" bestFit="1" customWidth="1"/>
    <col min="6403" max="6405" width="16.7109375" style="278" customWidth="1"/>
    <col min="6406" max="6654" width="11.42578125" style="278"/>
    <col min="6655" max="6657" width="16.7109375" style="278" customWidth="1"/>
    <col min="6658" max="6658" width="17.42578125" style="278" bestFit="1" customWidth="1"/>
    <col min="6659" max="6661" width="16.7109375" style="278" customWidth="1"/>
    <col min="6662" max="6910" width="11.42578125" style="278"/>
    <col min="6911" max="6913" width="16.7109375" style="278" customWidth="1"/>
    <col min="6914" max="6914" width="17.42578125" style="278" bestFit="1" customWidth="1"/>
    <col min="6915" max="6917" width="16.7109375" style="278" customWidth="1"/>
    <col min="6918" max="7166" width="11.42578125" style="278"/>
    <col min="7167" max="7169" width="16.7109375" style="278" customWidth="1"/>
    <col min="7170" max="7170" width="17.42578125" style="278" bestFit="1" customWidth="1"/>
    <col min="7171" max="7173" width="16.7109375" style="278" customWidth="1"/>
    <col min="7174" max="7422" width="11.42578125" style="278"/>
    <col min="7423" max="7425" width="16.7109375" style="278" customWidth="1"/>
    <col min="7426" max="7426" width="17.42578125" style="278" bestFit="1" customWidth="1"/>
    <col min="7427" max="7429" width="16.7109375" style="278" customWidth="1"/>
    <col min="7430" max="7678" width="11.42578125" style="278"/>
    <col min="7679" max="7681" width="16.7109375" style="278" customWidth="1"/>
    <col min="7682" max="7682" width="17.42578125" style="278" bestFit="1" customWidth="1"/>
    <col min="7683" max="7685" width="16.7109375" style="278" customWidth="1"/>
    <col min="7686" max="7934" width="11.42578125" style="278"/>
    <col min="7935" max="7937" width="16.7109375" style="278" customWidth="1"/>
    <col min="7938" max="7938" width="17.42578125" style="278" bestFit="1" customWidth="1"/>
    <col min="7939" max="7941" width="16.7109375" style="278" customWidth="1"/>
    <col min="7942" max="8190" width="11.42578125" style="278"/>
    <col min="8191" max="8193" width="16.7109375" style="278" customWidth="1"/>
    <col min="8194" max="8194" width="17.42578125" style="278" bestFit="1" customWidth="1"/>
    <col min="8195" max="8197" width="16.7109375" style="278" customWidth="1"/>
    <col min="8198" max="8446" width="11.42578125" style="278"/>
    <col min="8447" max="8449" width="16.7109375" style="278" customWidth="1"/>
    <col min="8450" max="8450" width="17.42578125" style="278" bestFit="1" customWidth="1"/>
    <col min="8451" max="8453" width="16.7109375" style="278" customWidth="1"/>
    <col min="8454" max="8702" width="11.42578125" style="278"/>
    <col min="8703" max="8705" width="16.7109375" style="278" customWidth="1"/>
    <col min="8706" max="8706" width="17.42578125" style="278" bestFit="1" customWidth="1"/>
    <col min="8707" max="8709" width="16.7109375" style="278" customWidth="1"/>
    <col min="8710" max="8958" width="11.42578125" style="278"/>
    <col min="8959" max="8961" width="16.7109375" style="278" customWidth="1"/>
    <col min="8962" max="8962" width="17.42578125" style="278" bestFit="1" customWidth="1"/>
    <col min="8963" max="8965" width="16.7109375" style="278" customWidth="1"/>
    <col min="8966" max="9214" width="11.42578125" style="278"/>
    <col min="9215" max="9217" width="16.7109375" style="278" customWidth="1"/>
    <col min="9218" max="9218" width="17.42578125" style="278" bestFit="1" customWidth="1"/>
    <col min="9219" max="9221" width="16.7109375" style="278" customWidth="1"/>
    <col min="9222" max="9470" width="11.42578125" style="278"/>
    <col min="9471" max="9473" width="16.7109375" style="278" customWidth="1"/>
    <col min="9474" max="9474" width="17.42578125" style="278" bestFit="1" customWidth="1"/>
    <col min="9475" max="9477" width="16.7109375" style="278" customWidth="1"/>
    <col min="9478" max="9726" width="11.42578125" style="278"/>
    <col min="9727" max="9729" width="16.7109375" style="278" customWidth="1"/>
    <col min="9730" max="9730" width="17.42578125" style="278" bestFit="1" customWidth="1"/>
    <col min="9731" max="9733" width="16.7109375" style="278" customWidth="1"/>
    <col min="9734" max="9982" width="11.42578125" style="278"/>
    <col min="9983" max="9985" width="16.7109375" style="278" customWidth="1"/>
    <col min="9986" max="9986" width="17.42578125" style="278" bestFit="1" customWidth="1"/>
    <col min="9987" max="9989" width="16.7109375" style="278" customWidth="1"/>
    <col min="9990" max="10238" width="11.42578125" style="278"/>
    <col min="10239" max="10241" width="16.7109375" style="278" customWidth="1"/>
    <col min="10242" max="10242" width="17.42578125" style="278" bestFit="1" customWidth="1"/>
    <col min="10243" max="10245" width="16.7109375" style="278" customWidth="1"/>
    <col min="10246" max="10494" width="11.42578125" style="278"/>
    <col min="10495" max="10497" width="16.7109375" style="278" customWidth="1"/>
    <col min="10498" max="10498" width="17.42578125" style="278" bestFit="1" customWidth="1"/>
    <col min="10499" max="10501" width="16.7109375" style="278" customWidth="1"/>
    <col min="10502" max="10750" width="11.42578125" style="278"/>
    <col min="10751" max="10753" width="16.7109375" style="278" customWidth="1"/>
    <col min="10754" max="10754" width="17.42578125" style="278" bestFit="1" customWidth="1"/>
    <col min="10755" max="10757" width="16.7109375" style="278" customWidth="1"/>
    <col min="10758" max="11006" width="11.42578125" style="278"/>
    <col min="11007" max="11009" width="16.7109375" style="278" customWidth="1"/>
    <col min="11010" max="11010" width="17.42578125" style="278" bestFit="1" customWidth="1"/>
    <col min="11011" max="11013" width="16.7109375" style="278" customWidth="1"/>
    <col min="11014" max="11262" width="11.42578125" style="278"/>
    <col min="11263" max="11265" width="16.7109375" style="278" customWidth="1"/>
    <col min="11266" max="11266" width="17.42578125" style="278" bestFit="1" customWidth="1"/>
    <col min="11267" max="11269" width="16.7109375" style="278" customWidth="1"/>
    <col min="11270" max="11518" width="11.42578125" style="278"/>
    <col min="11519" max="11521" width="16.7109375" style="278" customWidth="1"/>
    <col min="11522" max="11522" width="17.42578125" style="278" bestFit="1" customWidth="1"/>
    <col min="11523" max="11525" width="16.7109375" style="278" customWidth="1"/>
    <col min="11526" max="11774" width="11.42578125" style="278"/>
    <col min="11775" max="11777" width="16.7109375" style="278" customWidth="1"/>
    <col min="11778" max="11778" width="17.42578125" style="278" bestFit="1" customWidth="1"/>
    <col min="11779" max="11781" width="16.7109375" style="278" customWidth="1"/>
    <col min="11782" max="12030" width="11.42578125" style="278"/>
    <col min="12031" max="12033" width="16.7109375" style="278" customWidth="1"/>
    <col min="12034" max="12034" width="17.42578125" style="278" bestFit="1" customWidth="1"/>
    <col min="12035" max="12037" width="16.7109375" style="278" customWidth="1"/>
    <col min="12038" max="12286" width="11.42578125" style="278"/>
    <col min="12287" max="12289" width="16.7109375" style="278" customWidth="1"/>
    <col min="12290" max="12290" width="17.42578125" style="278" bestFit="1" customWidth="1"/>
    <col min="12291" max="12293" width="16.7109375" style="278" customWidth="1"/>
    <col min="12294" max="12542" width="11.42578125" style="278"/>
    <col min="12543" max="12545" width="16.7109375" style="278" customWidth="1"/>
    <col min="12546" max="12546" width="17.42578125" style="278" bestFit="1" customWidth="1"/>
    <col min="12547" max="12549" width="16.7109375" style="278" customWidth="1"/>
    <col min="12550" max="12798" width="11.42578125" style="278"/>
    <col min="12799" max="12801" width="16.7109375" style="278" customWidth="1"/>
    <col min="12802" max="12802" width="17.42578125" style="278" bestFit="1" customWidth="1"/>
    <col min="12803" max="12805" width="16.7109375" style="278" customWidth="1"/>
    <col min="12806" max="13054" width="11.42578125" style="278"/>
    <col min="13055" max="13057" width="16.7109375" style="278" customWidth="1"/>
    <col min="13058" max="13058" width="17.42578125" style="278" bestFit="1" customWidth="1"/>
    <col min="13059" max="13061" width="16.7109375" style="278" customWidth="1"/>
    <col min="13062" max="13310" width="11.42578125" style="278"/>
    <col min="13311" max="13313" width="16.7109375" style="278" customWidth="1"/>
    <col min="13314" max="13314" width="17.42578125" style="278" bestFit="1" customWidth="1"/>
    <col min="13315" max="13317" width="16.7109375" style="278" customWidth="1"/>
    <col min="13318" max="13566" width="11.42578125" style="278"/>
    <col min="13567" max="13569" width="16.7109375" style="278" customWidth="1"/>
    <col min="13570" max="13570" width="17.42578125" style="278" bestFit="1" customWidth="1"/>
    <col min="13571" max="13573" width="16.7109375" style="278" customWidth="1"/>
    <col min="13574" max="13822" width="11.42578125" style="278"/>
    <col min="13823" max="13825" width="16.7109375" style="278" customWidth="1"/>
    <col min="13826" max="13826" width="17.42578125" style="278" bestFit="1" customWidth="1"/>
    <col min="13827" max="13829" width="16.7109375" style="278" customWidth="1"/>
    <col min="13830" max="14078" width="11.42578125" style="278"/>
    <col min="14079" max="14081" width="16.7109375" style="278" customWidth="1"/>
    <col min="14082" max="14082" width="17.42578125" style="278" bestFit="1" customWidth="1"/>
    <col min="14083" max="14085" width="16.7109375" style="278" customWidth="1"/>
    <col min="14086" max="14334" width="11.42578125" style="278"/>
    <col min="14335" max="14337" width="16.7109375" style="278" customWidth="1"/>
    <col min="14338" max="14338" width="17.42578125" style="278" bestFit="1" customWidth="1"/>
    <col min="14339" max="14341" width="16.7109375" style="278" customWidth="1"/>
    <col min="14342" max="14590" width="11.42578125" style="278"/>
    <col min="14591" max="14593" width="16.7109375" style="278" customWidth="1"/>
    <col min="14594" max="14594" width="17.42578125" style="278" bestFit="1" customWidth="1"/>
    <col min="14595" max="14597" width="16.7109375" style="278" customWidth="1"/>
    <col min="14598" max="14846" width="11.42578125" style="278"/>
    <col min="14847" max="14849" width="16.7109375" style="278" customWidth="1"/>
    <col min="14850" max="14850" width="17.42578125" style="278" bestFit="1" customWidth="1"/>
    <col min="14851" max="14853" width="16.7109375" style="278" customWidth="1"/>
    <col min="14854" max="15102" width="11.42578125" style="278"/>
    <col min="15103" max="15105" width="16.7109375" style="278" customWidth="1"/>
    <col min="15106" max="15106" width="17.42578125" style="278" bestFit="1" customWidth="1"/>
    <col min="15107" max="15109" width="16.7109375" style="278" customWidth="1"/>
    <col min="15110" max="15358" width="11.42578125" style="278"/>
    <col min="15359" max="15361" width="16.7109375" style="278" customWidth="1"/>
    <col min="15362" max="15362" width="17.42578125" style="278" bestFit="1" customWidth="1"/>
    <col min="15363" max="15365" width="16.7109375" style="278" customWidth="1"/>
    <col min="15366" max="15614" width="11.42578125" style="278"/>
    <col min="15615" max="15617" width="16.7109375" style="278" customWidth="1"/>
    <col min="15618" max="15618" width="17.42578125" style="278" bestFit="1" customWidth="1"/>
    <col min="15619" max="15621" width="16.7109375" style="278" customWidth="1"/>
    <col min="15622" max="15870" width="11.42578125" style="278"/>
    <col min="15871" max="15873" width="16.7109375" style="278" customWidth="1"/>
    <col min="15874" max="15874" width="17.42578125" style="278" bestFit="1" customWidth="1"/>
    <col min="15875" max="15877" width="16.7109375" style="278" customWidth="1"/>
    <col min="15878" max="16126" width="11.42578125" style="278"/>
    <col min="16127" max="16129" width="16.7109375" style="278" customWidth="1"/>
    <col min="16130" max="16130" width="17.42578125" style="278" bestFit="1" customWidth="1"/>
    <col min="16131" max="16133" width="16.7109375" style="278" customWidth="1"/>
    <col min="16134" max="16384" width="11.42578125" style="278"/>
  </cols>
  <sheetData>
    <row r="1" spans="1:87" x14ac:dyDescent="0.25">
      <c r="A1" s="277" t="s">
        <v>396</v>
      </c>
      <c r="B1" s="278">
        <v>2011</v>
      </c>
      <c r="L1" s="279"/>
      <c r="T1" s="279"/>
      <c r="Y1" s="277"/>
      <c r="AB1" s="279"/>
      <c r="AG1" s="277"/>
      <c r="AJ1" s="279"/>
      <c r="AO1" s="277"/>
      <c r="AR1" s="279"/>
      <c r="AW1" s="277"/>
      <c r="AZ1" s="279"/>
      <c r="BE1" s="277"/>
      <c r="BH1" s="279"/>
      <c r="BM1" s="277"/>
      <c r="BP1" s="279"/>
      <c r="BU1" s="277"/>
      <c r="BX1" s="279"/>
      <c r="CC1" s="277"/>
      <c r="CF1" s="279"/>
    </row>
    <row r="2" spans="1:87" x14ac:dyDescent="0.25">
      <c r="I2" s="277"/>
      <c r="L2" s="279"/>
      <c r="Q2" s="277"/>
      <c r="T2" s="279"/>
      <c r="Y2" s="277"/>
      <c r="AB2" s="279"/>
      <c r="AG2" s="277"/>
      <c r="AJ2" s="279"/>
      <c r="AO2" s="277"/>
      <c r="AR2" s="279"/>
      <c r="AW2" s="277"/>
      <c r="AZ2" s="279"/>
      <c r="BE2" s="277"/>
      <c r="BH2" s="279"/>
      <c r="BM2" s="277"/>
      <c r="BP2" s="279"/>
      <c r="BU2" s="277"/>
      <c r="BX2" s="279"/>
      <c r="CC2" s="277"/>
      <c r="CF2" s="279"/>
    </row>
    <row r="3" spans="1:87" s="280" customFormat="1" x14ac:dyDescent="0.25">
      <c r="A3" s="449" t="s">
        <v>367</v>
      </c>
      <c r="B3" s="449"/>
      <c r="C3" s="450" t="s">
        <v>368</v>
      </c>
      <c r="D3" s="450"/>
      <c r="E3" s="450"/>
      <c r="F3" s="450"/>
      <c r="G3" s="450"/>
      <c r="H3" s="278"/>
      <c r="I3" s="283"/>
      <c r="J3" s="283"/>
      <c r="K3" s="283"/>
      <c r="L3" s="283"/>
      <c r="M3" s="283"/>
      <c r="N3" s="283"/>
      <c r="O3" s="283"/>
      <c r="P3" s="278"/>
      <c r="Q3" s="283"/>
      <c r="R3" s="283"/>
      <c r="S3" s="283"/>
      <c r="T3" s="283"/>
      <c r="U3" s="283"/>
      <c r="V3" s="283"/>
      <c r="W3" s="283"/>
      <c r="Y3" s="283"/>
      <c r="Z3" s="283"/>
      <c r="AA3" s="283"/>
      <c r="AB3" s="283"/>
      <c r="AC3" s="283"/>
      <c r="AD3" s="283"/>
      <c r="AE3" s="283"/>
      <c r="AG3" s="456"/>
      <c r="AH3" s="456"/>
      <c r="AI3" s="458"/>
      <c r="AJ3" s="458"/>
      <c r="AK3" s="458"/>
      <c r="AL3" s="458"/>
      <c r="AM3" s="458"/>
      <c r="AO3" s="456"/>
      <c r="AP3" s="456"/>
      <c r="AQ3" s="458"/>
      <c r="AR3" s="458"/>
      <c r="AS3" s="458"/>
      <c r="AT3" s="458"/>
      <c r="AU3" s="458"/>
      <c r="AW3" s="456"/>
      <c r="AX3" s="456"/>
      <c r="AY3" s="458"/>
      <c r="AZ3" s="458"/>
      <c r="BA3" s="458"/>
      <c r="BB3" s="458"/>
      <c r="BC3" s="458"/>
      <c r="BE3" s="456"/>
      <c r="BF3" s="456"/>
      <c r="BG3" s="458"/>
      <c r="BH3" s="458"/>
      <c r="BI3" s="458"/>
      <c r="BJ3" s="458"/>
      <c r="BK3" s="458"/>
      <c r="BM3" s="456"/>
      <c r="BN3" s="456"/>
      <c r="BO3" s="458"/>
      <c r="BP3" s="458"/>
      <c r="BQ3" s="458"/>
      <c r="BR3" s="458"/>
      <c r="BS3" s="458"/>
      <c r="BU3" s="456"/>
      <c r="BV3" s="456"/>
      <c r="BW3" s="458"/>
      <c r="BX3" s="458"/>
      <c r="BY3" s="458"/>
      <c r="BZ3" s="458"/>
      <c r="CA3" s="458"/>
      <c r="CC3" s="283"/>
      <c r="CD3" s="283"/>
      <c r="CE3" s="283"/>
      <c r="CF3" s="283"/>
      <c r="CG3" s="283"/>
      <c r="CH3" s="283"/>
      <c r="CI3" s="283"/>
    </row>
    <row r="4" spans="1:87" s="280" customFormat="1" ht="13.5" customHeight="1" x14ac:dyDescent="0.25">
      <c r="A4" s="449" t="s">
        <v>369</v>
      </c>
      <c r="B4" s="449"/>
      <c r="C4" s="450" t="s">
        <v>481</v>
      </c>
      <c r="D4" s="450"/>
      <c r="E4" s="450"/>
      <c r="F4" s="450"/>
      <c r="G4" s="450"/>
      <c r="H4" s="278"/>
      <c r="I4" s="283"/>
      <c r="J4" s="283"/>
      <c r="K4" s="283"/>
      <c r="L4" s="283"/>
      <c r="M4" s="283"/>
      <c r="N4" s="283"/>
      <c r="O4" s="283"/>
      <c r="P4" s="278"/>
      <c r="Q4" s="283"/>
      <c r="R4" s="283"/>
      <c r="S4" s="283"/>
      <c r="T4" s="283"/>
      <c r="U4" s="283"/>
      <c r="V4" s="283"/>
      <c r="W4" s="283"/>
      <c r="Y4" s="283"/>
      <c r="Z4" s="283"/>
      <c r="AA4" s="283"/>
      <c r="AB4" s="283"/>
      <c r="AC4" s="283"/>
      <c r="AD4" s="283"/>
      <c r="AE4" s="283"/>
      <c r="AG4" s="456"/>
      <c r="AH4" s="456"/>
      <c r="AI4" s="458"/>
      <c r="AJ4" s="458"/>
      <c r="AK4" s="458"/>
      <c r="AL4" s="458"/>
      <c r="AM4" s="458"/>
      <c r="AO4" s="456"/>
      <c r="AP4" s="456"/>
      <c r="AQ4" s="458"/>
      <c r="AR4" s="458"/>
      <c r="AS4" s="458"/>
      <c r="AT4" s="458"/>
      <c r="AU4" s="458"/>
      <c r="AW4" s="456"/>
      <c r="AX4" s="456"/>
      <c r="AY4" s="458"/>
      <c r="AZ4" s="458"/>
      <c r="BA4" s="458"/>
      <c r="BB4" s="458"/>
      <c r="BC4" s="458"/>
      <c r="BE4" s="456"/>
      <c r="BF4" s="456"/>
      <c r="BG4" s="458"/>
      <c r="BH4" s="458"/>
      <c r="BI4" s="458"/>
      <c r="BJ4" s="458"/>
      <c r="BK4" s="458"/>
      <c r="BM4" s="456"/>
      <c r="BN4" s="456"/>
      <c r="BO4" s="458"/>
      <c r="BP4" s="458"/>
      <c r="BQ4" s="458"/>
      <c r="BR4" s="458"/>
      <c r="BS4" s="458"/>
      <c r="BU4" s="456"/>
      <c r="BV4" s="456"/>
      <c r="BW4" s="458"/>
      <c r="BX4" s="458"/>
      <c r="BY4" s="458"/>
      <c r="BZ4" s="458"/>
      <c r="CA4" s="458"/>
      <c r="CC4" s="283"/>
      <c r="CD4" s="283"/>
      <c r="CE4" s="283"/>
      <c r="CF4" s="283"/>
      <c r="CG4" s="283"/>
      <c r="CH4" s="283"/>
      <c r="CI4" s="283"/>
    </row>
    <row r="5" spans="1:87" s="280" customFormat="1" x14ac:dyDescent="0.25">
      <c r="A5" s="449" t="s">
        <v>370</v>
      </c>
      <c r="B5" s="449"/>
      <c r="C5" s="450" t="s">
        <v>371</v>
      </c>
      <c r="D5" s="450"/>
      <c r="E5" s="450"/>
      <c r="F5" s="450"/>
      <c r="G5" s="450"/>
      <c r="H5" s="278"/>
      <c r="I5" s="283"/>
      <c r="J5" s="283"/>
      <c r="K5" s="283"/>
      <c r="L5" s="283"/>
      <c r="M5" s="283"/>
      <c r="N5" s="283"/>
      <c r="O5" s="283"/>
      <c r="P5" s="278"/>
      <c r="Q5" s="283"/>
      <c r="R5" s="283"/>
      <c r="S5" s="283"/>
      <c r="T5" s="283"/>
      <c r="U5" s="283"/>
      <c r="V5" s="283"/>
      <c r="W5" s="283"/>
      <c r="Y5" s="283"/>
      <c r="Z5" s="283"/>
      <c r="AA5" s="283"/>
      <c r="AB5" s="283"/>
      <c r="AC5" s="283"/>
      <c r="AD5" s="283"/>
      <c r="AE5" s="283"/>
      <c r="AG5" s="456"/>
      <c r="AH5" s="456"/>
      <c r="AI5" s="458"/>
      <c r="AJ5" s="458"/>
      <c r="AK5" s="458"/>
      <c r="AL5" s="458"/>
      <c r="AM5" s="458"/>
      <c r="AO5" s="456"/>
      <c r="AP5" s="456"/>
      <c r="AQ5" s="458"/>
      <c r="AR5" s="458"/>
      <c r="AS5" s="458"/>
      <c r="AT5" s="458"/>
      <c r="AU5" s="458"/>
      <c r="AW5" s="456"/>
      <c r="AX5" s="456"/>
      <c r="AY5" s="458"/>
      <c r="AZ5" s="458"/>
      <c r="BA5" s="458"/>
      <c r="BB5" s="458"/>
      <c r="BC5" s="458"/>
      <c r="BE5" s="456"/>
      <c r="BF5" s="456"/>
      <c r="BG5" s="458"/>
      <c r="BH5" s="458"/>
      <c r="BI5" s="458"/>
      <c r="BJ5" s="458"/>
      <c r="BK5" s="458"/>
      <c r="BM5" s="456"/>
      <c r="BN5" s="456"/>
      <c r="BO5" s="458"/>
      <c r="BP5" s="458"/>
      <c r="BQ5" s="458"/>
      <c r="BR5" s="458"/>
      <c r="BS5" s="458"/>
      <c r="BU5" s="456"/>
      <c r="BV5" s="456"/>
      <c r="BW5" s="458"/>
      <c r="BX5" s="458"/>
      <c r="BY5" s="458"/>
      <c r="BZ5" s="458"/>
      <c r="CA5" s="458"/>
      <c r="CC5" s="283"/>
      <c r="CD5" s="283"/>
      <c r="CE5" s="283"/>
      <c r="CF5" s="283"/>
      <c r="CG5" s="283"/>
      <c r="CH5" s="283"/>
      <c r="CI5" s="283"/>
    </row>
    <row r="6" spans="1:87" s="280" customFormat="1" x14ac:dyDescent="0.25">
      <c r="A6" s="449" t="s">
        <v>372</v>
      </c>
      <c r="B6" s="449"/>
      <c r="C6" s="450" t="s">
        <v>373</v>
      </c>
      <c r="D6" s="450"/>
      <c r="E6" s="450"/>
      <c r="F6" s="450"/>
      <c r="G6" s="450"/>
      <c r="H6" s="278"/>
      <c r="I6" s="283"/>
      <c r="J6" s="283"/>
      <c r="K6" s="283"/>
      <c r="L6" s="283"/>
      <c r="M6" s="283"/>
      <c r="N6" s="283"/>
      <c r="O6" s="283"/>
      <c r="P6" s="278"/>
      <c r="Q6" s="283"/>
      <c r="R6" s="283"/>
      <c r="S6" s="283"/>
      <c r="T6" s="283"/>
      <c r="U6" s="283"/>
      <c r="V6" s="283"/>
      <c r="W6" s="283"/>
      <c r="Y6" s="283"/>
      <c r="Z6" s="283"/>
      <c r="AA6" s="283"/>
      <c r="AB6" s="283"/>
      <c r="AC6" s="283"/>
      <c r="AD6" s="283"/>
      <c r="AE6" s="283"/>
      <c r="AG6" s="456"/>
      <c r="AH6" s="456"/>
      <c r="AI6" s="458"/>
      <c r="AJ6" s="458"/>
      <c r="AK6" s="458"/>
      <c r="AL6" s="458"/>
      <c r="AM6" s="458"/>
      <c r="AO6" s="456"/>
      <c r="AP6" s="456"/>
      <c r="AQ6" s="458"/>
      <c r="AR6" s="458"/>
      <c r="AS6" s="458"/>
      <c r="AT6" s="458"/>
      <c r="AU6" s="458"/>
      <c r="AW6" s="456"/>
      <c r="AX6" s="456"/>
      <c r="AY6" s="458"/>
      <c r="AZ6" s="458"/>
      <c r="BA6" s="458"/>
      <c r="BB6" s="458"/>
      <c r="BC6" s="458"/>
      <c r="BE6" s="456"/>
      <c r="BF6" s="456"/>
      <c r="BG6" s="458"/>
      <c r="BH6" s="458"/>
      <c r="BI6" s="458"/>
      <c r="BJ6" s="458"/>
      <c r="BK6" s="458"/>
      <c r="BM6" s="456"/>
      <c r="BN6" s="456"/>
      <c r="BO6" s="458"/>
      <c r="BP6" s="458"/>
      <c r="BQ6" s="458"/>
      <c r="BR6" s="458"/>
      <c r="BS6" s="458"/>
      <c r="BU6" s="456"/>
      <c r="BV6" s="456"/>
      <c r="BW6" s="458"/>
      <c r="BX6" s="458"/>
      <c r="BY6" s="458"/>
      <c r="BZ6" s="458"/>
      <c r="CA6" s="458"/>
      <c r="CC6" s="283"/>
      <c r="CD6" s="283"/>
      <c r="CE6" s="283"/>
      <c r="CF6" s="283"/>
      <c r="CG6" s="283"/>
      <c r="CH6" s="283"/>
      <c r="CI6" s="283"/>
    </row>
    <row r="7" spans="1:87" s="280" customFormat="1" x14ac:dyDescent="0.25">
      <c r="A7" s="451" t="s">
        <v>3</v>
      </c>
      <c r="B7" s="451"/>
      <c r="C7" s="452" t="s">
        <v>374</v>
      </c>
      <c r="D7" s="452"/>
      <c r="E7" s="452"/>
      <c r="F7" s="452"/>
      <c r="G7" s="452"/>
      <c r="H7" s="278"/>
      <c r="I7" s="283"/>
      <c r="J7" s="283"/>
      <c r="K7" s="283"/>
      <c r="L7" s="283"/>
      <c r="M7" s="283"/>
      <c r="N7" s="283"/>
      <c r="O7" s="283"/>
      <c r="P7" s="278"/>
      <c r="Q7" s="283"/>
      <c r="R7" s="283"/>
      <c r="S7" s="283"/>
      <c r="T7" s="283"/>
      <c r="U7" s="283"/>
      <c r="V7" s="283"/>
      <c r="W7" s="283"/>
      <c r="Y7" s="283"/>
      <c r="Z7" s="283"/>
      <c r="AA7" s="283"/>
      <c r="AB7" s="283"/>
      <c r="AC7" s="283"/>
      <c r="AD7" s="283"/>
      <c r="AE7" s="283"/>
      <c r="AG7" s="456"/>
      <c r="AH7" s="456"/>
      <c r="AI7" s="459"/>
      <c r="AJ7" s="459"/>
      <c r="AK7" s="459"/>
      <c r="AL7" s="459"/>
      <c r="AM7" s="459"/>
      <c r="AO7" s="456"/>
      <c r="AP7" s="456"/>
      <c r="AQ7" s="459"/>
      <c r="AR7" s="459"/>
      <c r="AS7" s="459"/>
      <c r="AT7" s="459"/>
      <c r="AU7" s="459"/>
      <c r="AW7" s="456"/>
      <c r="AX7" s="456"/>
      <c r="AY7" s="459"/>
      <c r="AZ7" s="459"/>
      <c r="BA7" s="459"/>
      <c r="BB7" s="459"/>
      <c r="BC7" s="459"/>
      <c r="BE7" s="456"/>
      <c r="BF7" s="456"/>
      <c r="BG7" s="459"/>
      <c r="BH7" s="459"/>
      <c r="BI7" s="459"/>
      <c r="BJ7" s="459"/>
      <c r="BK7" s="459"/>
      <c r="BM7" s="456"/>
      <c r="BN7" s="456"/>
      <c r="BO7" s="459"/>
      <c r="BP7" s="459"/>
      <c r="BQ7" s="459"/>
      <c r="BR7" s="459"/>
      <c r="BS7" s="459"/>
      <c r="BU7" s="456"/>
      <c r="BV7" s="456"/>
      <c r="BW7" s="459"/>
      <c r="BX7" s="459"/>
      <c r="BY7" s="459"/>
      <c r="BZ7" s="459"/>
      <c r="CA7" s="459"/>
      <c r="CC7" s="283"/>
      <c r="CD7" s="283"/>
      <c r="CE7" s="283"/>
      <c r="CF7" s="283"/>
      <c r="CG7" s="283"/>
      <c r="CH7" s="283"/>
      <c r="CI7" s="283"/>
    </row>
    <row r="8" spans="1:87" s="280" customFormat="1" ht="39.75" x14ac:dyDescent="0.25">
      <c r="A8" s="448" t="s">
        <v>375</v>
      </c>
      <c r="B8" s="448"/>
      <c r="C8" s="448" t="s">
        <v>376</v>
      </c>
      <c r="D8" s="448"/>
      <c r="E8" s="448" t="s">
        <v>482</v>
      </c>
      <c r="F8" s="448"/>
      <c r="G8" s="294" t="s">
        <v>483</v>
      </c>
      <c r="H8" s="278"/>
      <c r="I8" s="281"/>
      <c r="J8" s="281"/>
      <c r="K8" s="281"/>
      <c r="L8" s="281"/>
      <c r="M8" s="281"/>
      <c r="N8" s="281"/>
      <c r="O8" s="321"/>
      <c r="P8" s="278"/>
      <c r="Q8" s="281"/>
      <c r="R8" s="281"/>
      <c r="S8" s="281"/>
      <c r="T8" s="281"/>
      <c r="U8" s="281"/>
      <c r="V8" s="281"/>
      <c r="W8" s="321"/>
      <c r="Y8" s="281"/>
      <c r="Z8" s="281"/>
      <c r="AA8" s="281"/>
      <c r="AB8" s="281"/>
      <c r="AC8" s="281"/>
      <c r="AD8" s="281"/>
      <c r="AE8" s="321"/>
      <c r="AG8" s="281"/>
      <c r="AH8" s="281"/>
      <c r="AI8" s="281"/>
      <c r="AJ8" s="281"/>
      <c r="AK8" s="281"/>
      <c r="AL8" s="281"/>
      <c r="AM8" s="321"/>
      <c r="AO8" s="281"/>
      <c r="AP8" s="281"/>
      <c r="AQ8" s="281"/>
      <c r="AR8" s="281"/>
      <c r="AS8" s="281"/>
      <c r="AT8" s="281"/>
      <c r="AU8" s="321"/>
      <c r="AW8" s="281"/>
      <c r="AX8" s="281"/>
      <c r="AY8" s="281"/>
      <c r="AZ8" s="281"/>
      <c r="BA8" s="281"/>
      <c r="BB8" s="281"/>
      <c r="BC8" s="321"/>
      <c r="BE8" s="281"/>
      <c r="BF8" s="281"/>
      <c r="BG8" s="281"/>
      <c r="BH8" s="281"/>
      <c r="BI8" s="281"/>
      <c r="BJ8" s="281"/>
      <c r="BK8" s="321"/>
      <c r="BM8" s="281"/>
      <c r="BN8" s="281"/>
      <c r="BO8" s="281"/>
      <c r="BP8" s="281"/>
      <c r="BQ8" s="281"/>
      <c r="BR8" s="281"/>
      <c r="BS8" s="321"/>
      <c r="BU8" s="281"/>
      <c r="BV8" s="281"/>
      <c r="BW8" s="281"/>
      <c r="BX8" s="281"/>
      <c r="BY8" s="281"/>
      <c r="BZ8" s="281"/>
      <c r="CA8" s="321"/>
      <c r="CC8" s="281"/>
      <c r="CD8" s="281"/>
      <c r="CE8" s="281"/>
      <c r="CF8" s="281"/>
      <c r="CG8" s="281"/>
      <c r="CH8" s="281"/>
      <c r="CI8" s="321"/>
    </row>
    <row r="9" spans="1:87" s="280" customFormat="1" ht="13.5" customHeight="1" x14ac:dyDescent="0.25">
      <c r="A9" s="448"/>
      <c r="B9" s="448"/>
      <c r="C9" s="448" t="s">
        <v>484</v>
      </c>
      <c r="D9" s="448"/>
      <c r="E9" s="448" t="s">
        <v>485</v>
      </c>
      <c r="F9" s="448"/>
      <c r="G9" s="455" t="s">
        <v>486</v>
      </c>
      <c r="H9" s="278"/>
      <c r="I9" s="281"/>
      <c r="J9" s="281"/>
      <c r="K9" s="281"/>
      <c r="L9" s="281"/>
      <c r="M9" s="281"/>
      <c r="N9" s="281"/>
      <c r="O9" s="281"/>
      <c r="P9" s="278"/>
      <c r="Q9" s="281"/>
      <c r="R9" s="281"/>
      <c r="S9" s="281"/>
      <c r="T9" s="281"/>
      <c r="U9" s="281"/>
      <c r="V9" s="281"/>
      <c r="W9" s="281"/>
      <c r="Y9" s="281"/>
      <c r="Z9" s="281"/>
      <c r="AA9" s="281"/>
      <c r="AB9" s="281"/>
      <c r="AC9" s="281"/>
      <c r="AD9" s="281"/>
      <c r="AE9" s="281"/>
      <c r="AG9" s="281"/>
      <c r="AH9" s="281"/>
      <c r="AI9" s="281"/>
      <c r="AJ9" s="281"/>
      <c r="AK9" s="281"/>
      <c r="AL9" s="281"/>
      <c r="AM9" s="281"/>
      <c r="AO9" s="281"/>
      <c r="AP9" s="281"/>
      <c r="AQ9" s="281"/>
      <c r="AR9" s="281"/>
      <c r="AS9" s="281"/>
      <c r="AT9" s="281"/>
      <c r="AU9" s="281"/>
      <c r="AW9" s="281"/>
      <c r="AX9" s="281"/>
      <c r="AY9" s="281"/>
      <c r="AZ9" s="281"/>
      <c r="BA9" s="281"/>
      <c r="BB9" s="281"/>
      <c r="BC9" s="281"/>
      <c r="BE9" s="281"/>
      <c r="BF9" s="281"/>
      <c r="BG9" s="281"/>
      <c r="BH9" s="281"/>
      <c r="BI9" s="281"/>
      <c r="BJ9" s="281"/>
      <c r="BK9" s="281"/>
      <c r="BM9" s="281"/>
      <c r="BN9" s="281"/>
      <c r="BO9" s="281"/>
      <c r="BP9" s="281"/>
      <c r="BQ9" s="281"/>
      <c r="BR9" s="281"/>
      <c r="BS9" s="281"/>
      <c r="BU9" s="281"/>
      <c r="BV9" s="281"/>
      <c r="BW9" s="281"/>
      <c r="BX9" s="281"/>
      <c r="BY9" s="281"/>
      <c r="BZ9" s="281"/>
      <c r="CA9" s="281"/>
      <c r="CC9" s="281"/>
      <c r="CD9" s="281"/>
      <c r="CE9" s="281"/>
      <c r="CF9" s="281"/>
      <c r="CG9" s="281"/>
      <c r="CH9" s="281"/>
      <c r="CI9" s="281"/>
    </row>
    <row r="10" spans="1:87" s="280" customFormat="1" x14ac:dyDescent="0.25">
      <c r="A10" s="448"/>
      <c r="B10" s="448"/>
      <c r="C10" s="448"/>
      <c r="D10" s="448"/>
      <c r="E10" s="448"/>
      <c r="F10" s="448"/>
      <c r="G10" s="455"/>
      <c r="H10" s="278"/>
      <c r="I10" s="281"/>
      <c r="J10" s="281"/>
      <c r="K10" s="281"/>
      <c r="L10" s="281"/>
      <c r="M10" s="281"/>
      <c r="N10" s="281"/>
      <c r="O10" s="281"/>
      <c r="P10" s="278"/>
      <c r="Q10" s="281"/>
      <c r="R10" s="281"/>
      <c r="S10" s="281"/>
      <c r="T10" s="281"/>
      <c r="U10" s="281"/>
      <c r="V10" s="281"/>
      <c r="W10" s="281"/>
      <c r="Y10" s="281"/>
      <c r="Z10" s="281"/>
      <c r="AA10" s="281"/>
      <c r="AB10" s="281"/>
      <c r="AC10" s="281"/>
      <c r="AD10" s="281"/>
      <c r="AE10" s="281"/>
      <c r="AG10" s="281"/>
      <c r="AH10" s="281"/>
      <c r="AI10" s="281"/>
      <c r="AJ10" s="281"/>
      <c r="AK10" s="281"/>
      <c r="AL10" s="281"/>
      <c r="AM10" s="281"/>
      <c r="AO10" s="281"/>
      <c r="AP10" s="281"/>
      <c r="AQ10" s="281"/>
      <c r="AR10" s="281"/>
      <c r="AS10" s="281"/>
      <c r="AT10" s="281"/>
      <c r="AU10" s="281"/>
      <c r="AW10" s="281"/>
      <c r="AX10" s="281"/>
      <c r="AY10" s="281"/>
      <c r="AZ10" s="281"/>
      <c r="BA10" s="281"/>
      <c r="BB10" s="281"/>
      <c r="BC10" s="281"/>
      <c r="BE10" s="281"/>
      <c r="BF10" s="281"/>
      <c r="BG10" s="281"/>
      <c r="BH10" s="281"/>
      <c r="BI10" s="281"/>
      <c r="BJ10" s="281"/>
      <c r="BK10" s="281"/>
      <c r="BM10" s="281"/>
      <c r="BN10" s="281"/>
      <c r="BO10" s="281"/>
      <c r="BP10" s="281"/>
      <c r="BQ10" s="281"/>
      <c r="BR10" s="281"/>
      <c r="BS10" s="281"/>
      <c r="BU10" s="281"/>
      <c r="BV10" s="281"/>
      <c r="BW10" s="281"/>
      <c r="BX10" s="281"/>
      <c r="BY10" s="281"/>
      <c r="BZ10" s="281"/>
      <c r="CA10" s="281"/>
      <c r="CC10" s="281"/>
      <c r="CD10" s="281"/>
      <c r="CE10" s="281"/>
      <c r="CF10" s="281"/>
      <c r="CG10" s="281"/>
      <c r="CH10" s="281"/>
      <c r="CI10" s="281"/>
    </row>
    <row r="11" spans="1:87" s="280" customFormat="1" ht="14.25" x14ac:dyDescent="0.25">
      <c r="A11" s="448"/>
      <c r="B11" s="448"/>
      <c r="C11" s="448"/>
      <c r="D11" s="448"/>
      <c r="E11" s="448" t="s">
        <v>377</v>
      </c>
      <c r="F11" s="448"/>
      <c r="G11" s="294" t="s">
        <v>487</v>
      </c>
      <c r="H11" s="278"/>
      <c r="I11" s="281"/>
      <c r="J11" s="281"/>
      <c r="K11" s="281"/>
      <c r="L11" s="281"/>
      <c r="M11" s="281"/>
      <c r="N11" s="281"/>
      <c r="O11" s="321"/>
      <c r="P11" s="278"/>
      <c r="Q11" s="281"/>
      <c r="R11" s="281"/>
      <c r="S11" s="281"/>
      <c r="T11" s="281"/>
      <c r="U11" s="281"/>
      <c r="V11" s="281"/>
      <c r="W11" s="321"/>
      <c r="Y11" s="281"/>
      <c r="Z11" s="281"/>
      <c r="AA11" s="281"/>
      <c r="AB11" s="281"/>
      <c r="AC11" s="281"/>
      <c r="AD11" s="281"/>
      <c r="AE11" s="321"/>
      <c r="AG11" s="281"/>
      <c r="AH11" s="281"/>
      <c r="AI11" s="281"/>
      <c r="AJ11" s="281"/>
      <c r="AK11" s="281"/>
      <c r="AL11" s="281"/>
      <c r="AM11" s="321"/>
      <c r="AO11" s="281"/>
      <c r="AP11" s="281"/>
      <c r="AQ11" s="281"/>
      <c r="AR11" s="281"/>
      <c r="AS11" s="281"/>
      <c r="AT11" s="281"/>
      <c r="AU11" s="321"/>
      <c r="AW11" s="281"/>
      <c r="AX11" s="281"/>
      <c r="AY11" s="281"/>
      <c r="AZ11" s="281"/>
      <c r="BA11" s="281"/>
      <c r="BB11" s="281"/>
      <c r="BC11" s="321"/>
      <c r="BE11" s="281"/>
      <c r="BF11" s="281"/>
      <c r="BG11" s="281"/>
      <c r="BH11" s="281"/>
      <c r="BI11" s="281"/>
      <c r="BJ11" s="281"/>
      <c r="BK11" s="321"/>
      <c r="BM11" s="281"/>
      <c r="BN11" s="281"/>
      <c r="BO11" s="281"/>
      <c r="BP11" s="281"/>
      <c r="BQ11" s="281"/>
      <c r="BR11" s="281"/>
      <c r="BS11" s="321"/>
      <c r="BU11" s="281"/>
      <c r="BV11" s="281"/>
      <c r="BW11" s="281"/>
      <c r="BX11" s="281"/>
      <c r="BY11" s="281"/>
      <c r="BZ11" s="281"/>
      <c r="CA11" s="321"/>
      <c r="CC11" s="281"/>
      <c r="CD11" s="281"/>
      <c r="CE11" s="281"/>
      <c r="CF11" s="281"/>
      <c r="CG11" s="281"/>
      <c r="CH11" s="281"/>
      <c r="CI11" s="321"/>
    </row>
    <row r="12" spans="1:87" s="280" customFormat="1" ht="14.25" x14ac:dyDescent="0.25">
      <c r="A12" s="448"/>
      <c r="B12" s="448"/>
      <c r="C12" s="438" t="s">
        <v>378</v>
      </c>
      <c r="D12" s="438"/>
      <c r="E12" s="438" t="s">
        <v>54</v>
      </c>
      <c r="F12" s="438"/>
      <c r="G12" s="322" t="s">
        <v>488</v>
      </c>
      <c r="H12" s="278"/>
      <c r="I12" s="277" t="s">
        <v>396</v>
      </c>
      <c r="J12" s="278">
        <v>2012</v>
      </c>
      <c r="K12" s="283"/>
      <c r="L12" s="277" t="s">
        <v>396</v>
      </c>
      <c r="M12" s="278">
        <v>2013</v>
      </c>
      <c r="N12" s="283"/>
      <c r="O12" s="277" t="s">
        <v>396</v>
      </c>
      <c r="P12" s="278">
        <v>2014</v>
      </c>
      <c r="Q12" s="281"/>
      <c r="R12" s="277" t="s">
        <v>396</v>
      </c>
      <c r="S12" s="278">
        <v>2015</v>
      </c>
      <c r="T12" s="283"/>
      <c r="U12" s="277" t="s">
        <v>396</v>
      </c>
      <c r="V12" s="278">
        <v>2016</v>
      </c>
      <c r="W12" s="323"/>
      <c r="X12" s="277" t="s">
        <v>396</v>
      </c>
      <c r="Y12" s="278">
        <v>2017</v>
      </c>
      <c r="Z12" s="281"/>
      <c r="AA12" s="277" t="s">
        <v>396</v>
      </c>
      <c r="AB12" s="278">
        <v>2018</v>
      </c>
      <c r="AC12" s="283"/>
      <c r="AD12" s="277" t="s">
        <v>396</v>
      </c>
      <c r="AE12" s="278">
        <v>2019</v>
      </c>
      <c r="AG12" s="277" t="s">
        <v>396</v>
      </c>
      <c r="AH12" s="278">
        <v>2020</v>
      </c>
      <c r="AI12" s="283"/>
      <c r="AJ12" s="283"/>
      <c r="AK12" s="283"/>
      <c r="AL12" s="283"/>
      <c r="AM12" s="323"/>
      <c r="AO12" s="281"/>
      <c r="AP12" s="281"/>
      <c r="AQ12" s="283"/>
      <c r="AR12" s="283"/>
      <c r="AS12" s="283"/>
      <c r="AT12" s="283"/>
      <c r="AU12" s="323"/>
      <c r="AW12" s="281"/>
      <c r="AX12" s="281"/>
      <c r="AY12" s="283"/>
      <c r="AZ12" s="283"/>
      <c r="BA12" s="283"/>
      <c r="BB12" s="283"/>
      <c r="BC12" s="323"/>
      <c r="BE12" s="281"/>
      <c r="BF12" s="281"/>
      <c r="BG12" s="283"/>
      <c r="BH12" s="283"/>
      <c r="BI12" s="283"/>
      <c r="BJ12" s="283"/>
      <c r="BK12" s="323"/>
      <c r="BM12" s="281"/>
      <c r="BN12" s="281"/>
      <c r="BO12" s="283"/>
      <c r="BP12" s="283"/>
      <c r="BQ12" s="283"/>
      <c r="BR12" s="283"/>
      <c r="BS12" s="323"/>
      <c r="BU12" s="281"/>
      <c r="BV12" s="281"/>
      <c r="BW12" s="283"/>
      <c r="BX12" s="283"/>
      <c r="BY12" s="283"/>
      <c r="BZ12" s="283"/>
      <c r="CA12" s="323"/>
      <c r="CC12" s="281"/>
      <c r="CD12" s="281"/>
      <c r="CE12" s="283"/>
      <c r="CF12" s="283"/>
      <c r="CG12" s="283"/>
      <c r="CH12" s="283"/>
      <c r="CI12" s="323"/>
    </row>
    <row r="13" spans="1:87" ht="27" x14ac:dyDescent="0.25">
      <c r="A13" s="444" t="s">
        <v>489</v>
      </c>
      <c r="B13" s="297" t="s">
        <v>379</v>
      </c>
      <c r="C13" s="324" t="s">
        <v>490</v>
      </c>
      <c r="D13" s="325">
        <f>$AA36</f>
        <v>19264768.720000003</v>
      </c>
      <c r="E13" s="446" t="s">
        <v>491</v>
      </c>
      <c r="F13" s="326">
        <v>0.01</v>
      </c>
      <c r="G13" s="327">
        <f>D13*$F$13</f>
        <v>192647.68720000001</v>
      </c>
      <c r="I13" s="325">
        <f>$AA37</f>
        <v>24133992.920000002</v>
      </c>
      <c r="J13" s="327">
        <f>I13*$F$13</f>
        <v>241339.92920000001</v>
      </c>
      <c r="L13" s="325">
        <f>$AA38</f>
        <v>27865701.52</v>
      </c>
      <c r="M13" s="327">
        <f>L13*$F$13</f>
        <v>278657.01520000002</v>
      </c>
      <c r="N13" s="329"/>
      <c r="O13" s="325">
        <f>$AA39</f>
        <v>27794088.720000003</v>
      </c>
      <c r="P13" s="327">
        <f>O13*$F$13</f>
        <v>277940.88720000006</v>
      </c>
      <c r="Q13" s="330"/>
      <c r="R13" s="325">
        <f>$AA40</f>
        <v>27749702.400000002</v>
      </c>
      <c r="S13" s="327">
        <f>R13*$F$13</f>
        <v>277497.02400000003</v>
      </c>
      <c r="T13" s="281"/>
      <c r="U13" s="325">
        <f>$AA41</f>
        <v>858302.5</v>
      </c>
      <c r="V13" s="327">
        <f>U13*$F$13</f>
        <v>8583.0249999999996</v>
      </c>
      <c r="W13" s="280"/>
      <c r="X13" s="325">
        <f>$AA42</f>
        <v>1075250</v>
      </c>
      <c r="Y13" s="327">
        <f>X13*$F$13</f>
        <v>10752.5</v>
      </c>
      <c r="Z13" s="281"/>
      <c r="AA13" s="325">
        <f>$AA43</f>
        <v>1138500</v>
      </c>
      <c r="AB13" s="327">
        <f>AA13*$F$13</f>
        <v>11385</v>
      </c>
      <c r="AC13" s="281"/>
      <c r="AD13" s="325">
        <f>$AA44</f>
        <v>1201750</v>
      </c>
      <c r="AE13" s="327">
        <f>AD13*$F$13</f>
        <v>12017.5</v>
      </c>
      <c r="AF13" s="280"/>
      <c r="AG13" s="325">
        <f>$AA45</f>
        <v>1265000</v>
      </c>
      <c r="AH13" s="327">
        <f>AG13*$F$13</f>
        <v>12650</v>
      </c>
      <c r="AI13" s="281"/>
      <c r="AJ13" s="329"/>
      <c r="AK13" s="281"/>
      <c r="AL13" s="331"/>
      <c r="AM13" s="330"/>
      <c r="AN13" s="280"/>
      <c r="AO13" s="281"/>
      <c r="AP13" s="281"/>
      <c r="AQ13" s="281"/>
      <c r="AR13" s="329"/>
      <c r="AS13" s="281"/>
      <c r="AT13" s="331"/>
      <c r="AU13" s="330"/>
      <c r="AV13" s="280"/>
      <c r="AW13" s="281"/>
      <c r="AX13" s="281"/>
      <c r="AY13" s="281"/>
      <c r="AZ13" s="329"/>
      <c r="BA13" s="281"/>
      <c r="BB13" s="331"/>
      <c r="BC13" s="330"/>
      <c r="BD13" s="280"/>
      <c r="BE13" s="281"/>
      <c r="BF13" s="281"/>
      <c r="BG13" s="281"/>
      <c r="BH13" s="329"/>
      <c r="BI13" s="281"/>
      <c r="BJ13" s="331"/>
      <c r="BK13" s="330"/>
      <c r="BL13" s="280"/>
      <c r="BM13" s="281"/>
      <c r="BN13" s="281"/>
      <c r="BO13" s="281"/>
      <c r="BP13" s="329"/>
      <c r="BQ13" s="281"/>
      <c r="BR13" s="331"/>
      <c r="BS13" s="330"/>
      <c r="BT13" s="280"/>
      <c r="BU13" s="281"/>
      <c r="BV13" s="281"/>
      <c r="BW13" s="281"/>
      <c r="BX13" s="329"/>
      <c r="BY13" s="281"/>
      <c r="BZ13" s="331"/>
      <c r="CA13" s="330"/>
      <c r="CB13" s="280"/>
      <c r="CC13" s="329"/>
      <c r="CD13" s="281"/>
      <c r="CE13" s="331"/>
      <c r="CF13" s="280"/>
      <c r="CG13" s="330"/>
    </row>
    <row r="14" spans="1:87" ht="53.25" thickBot="1" x14ac:dyDescent="0.3">
      <c r="A14" s="453"/>
      <c r="B14" s="332" t="s">
        <v>380</v>
      </c>
      <c r="C14" s="333" t="s">
        <v>492</v>
      </c>
      <c r="D14" s="334">
        <v>0</v>
      </c>
      <c r="E14" s="454"/>
      <c r="F14" s="335">
        <v>0.01</v>
      </c>
      <c r="G14" s="327">
        <f>D14*F14</f>
        <v>0</v>
      </c>
      <c r="I14" s="334">
        <v>0</v>
      </c>
      <c r="J14" s="327">
        <f>I14*$F$14</f>
        <v>0</v>
      </c>
      <c r="L14" s="334">
        <v>0</v>
      </c>
      <c r="M14" s="327">
        <f>L14*$F$14</f>
        <v>0</v>
      </c>
      <c r="N14" s="329"/>
      <c r="O14" s="334">
        <v>0</v>
      </c>
      <c r="P14" s="327">
        <f>O14*$F$14</f>
        <v>0</v>
      </c>
      <c r="Q14" s="330"/>
      <c r="R14" s="334">
        <v>0</v>
      </c>
      <c r="S14" s="327">
        <f>R14*$F$14</f>
        <v>0</v>
      </c>
      <c r="T14" s="281"/>
      <c r="U14" s="334">
        <v>0</v>
      </c>
      <c r="V14" s="327">
        <f>U14*$F$14</f>
        <v>0</v>
      </c>
      <c r="W14" s="280"/>
      <c r="X14" s="334">
        <v>0</v>
      </c>
      <c r="Y14" s="327">
        <f>X14*$F$14</f>
        <v>0</v>
      </c>
      <c r="Z14" s="281"/>
      <c r="AA14" s="334">
        <v>0</v>
      </c>
      <c r="AB14" s="327">
        <f>AA14*$F$14</f>
        <v>0</v>
      </c>
      <c r="AC14" s="281"/>
      <c r="AD14" s="334">
        <v>0</v>
      </c>
      <c r="AE14" s="327">
        <f>AD14*$F$14</f>
        <v>0</v>
      </c>
      <c r="AF14" s="280"/>
      <c r="AG14" s="334">
        <v>0</v>
      </c>
      <c r="AH14" s="327">
        <f>AG14*$F$14</f>
        <v>0</v>
      </c>
      <c r="AI14" s="281"/>
      <c r="AJ14" s="329"/>
      <c r="AK14" s="281"/>
      <c r="AL14" s="331"/>
      <c r="AM14" s="330"/>
      <c r="AN14" s="280"/>
      <c r="AO14" s="281"/>
      <c r="AP14" s="281"/>
      <c r="AQ14" s="281"/>
      <c r="AR14" s="329"/>
      <c r="AS14" s="281"/>
      <c r="AT14" s="331"/>
      <c r="AU14" s="330"/>
      <c r="AV14" s="280"/>
      <c r="AW14" s="281"/>
      <c r="AX14" s="281"/>
      <c r="AY14" s="281"/>
      <c r="AZ14" s="329"/>
      <c r="BA14" s="281"/>
      <c r="BB14" s="331"/>
      <c r="BC14" s="330"/>
      <c r="BD14" s="280"/>
      <c r="BE14" s="281"/>
      <c r="BF14" s="281"/>
      <c r="BG14" s="281"/>
      <c r="BH14" s="329"/>
      <c r="BI14" s="281"/>
      <c r="BJ14" s="331"/>
      <c r="BK14" s="330"/>
      <c r="BL14" s="280"/>
      <c r="BM14" s="281"/>
      <c r="BN14" s="281"/>
      <c r="BO14" s="281"/>
      <c r="BP14" s="329"/>
      <c r="BQ14" s="281"/>
      <c r="BR14" s="331"/>
      <c r="BS14" s="330"/>
      <c r="BT14" s="280"/>
      <c r="BU14" s="281"/>
      <c r="BV14" s="281"/>
      <c r="BW14" s="281"/>
      <c r="BX14" s="329"/>
      <c r="BY14" s="281"/>
      <c r="BZ14" s="331"/>
      <c r="CA14" s="330"/>
      <c r="CB14" s="280"/>
      <c r="CC14" s="329"/>
      <c r="CD14" s="281"/>
      <c r="CE14" s="331"/>
      <c r="CF14" s="280"/>
      <c r="CG14" s="330"/>
    </row>
    <row r="15" spans="1:87" ht="27" x14ac:dyDescent="0.25">
      <c r="A15" s="443" t="s">
        <v>493</v>
      </c>
      <c r="B15" s="336" t="s">
        <v>379</v>
      </c>
      <c r="C15" s="337" t="s">
        <v>490</v>
      </c>
      <c r="D15" s="328">
        <f>$U36</f>
        <v>830346</v>
      </c>
      <c r="E15" s="445" t="s">
        <v>494</v>
      </c>
      <c r="F15" s="338">
        <v>3.0000000000000001E-3</v>
      </c>
      <c r="G15" s="327">
        <f>D15*$F$15</f>
        <v>2491.038</v>
      </c>
      <c r="I15" s="328">
        <f>$U37</f>
        <v>861971</v>
      </c>
      <c r="J15" s="327">
        <f>I15*$F$15</f>
        <v>2585.913</v>
      </c>
      <c r="L15" s="328">
        <f>$U38</f>
        <v>915860</v>
      </c>
      <c r="M15" s="327">
        <f>L15*$F$15</f>
        <v>2747.58</v>
      </c>
      <c r="N15" s="329"/>
      <c r="O15" s="328">
        <f>$U39</f>
        <v>813142</v>
      </c>
      <c r="P15" s="327">
        <f>O15*$F$15</f>
        <v>2439.4259999999999</v>
      </c>
      <c r="Q15" s="330"/>
      <c r="R15" s="328">
        <f>$U40</f>
        <v>770385</v>
      </c>
      <c r="S15" s="327">
        <f>R15*$F$15</f>
        <v>2311.1550000000002</v>
      </c>
      <c r="T15" s="281"/>
      <c r="U15" s="328">
        <f>$U41</f>
        <v>858302.5</v>
      </c>
      <c r="V15" s="327">
        <f>U15*$F$15</f>
        <v>2574.9075000000003</v>
      </c>
      <c r="W15" s="280"/>
      <c r="X15" s="328">
        <f>$U42</f>
        <v>1075250</v>
      </c>
      <c r="Y15" s="327">
        <f>X15*$F$15</f>
        <v>3225.75</v>
      </c>
      <c r="Z15" s="281"/>
      <c r="AA15" s="328">
        <f>$U43</f>
        <v>1138500</v>
      </c>
      <c r="AB15" s="327">
        <f>AA15*$F$15</f>
        <v>3415.5</v>
      </c>
      <c r="AC15" s="281"/>
      <c r="AD15" s="328">
        <f>$U44</f>
        <v>1201750</v>
      </c>
      <c r="AE15" s="327">
        <f>AD15*$F$15</f>
        <v>3605.25</v>
      </c>
      <c r="AF15" s="280"/>
      <c r="AG15" s="328">
        <f>$U45</f>
        <v>1265000</v>
      </c>
      <c r="AH15" s="327">
        <f>AG15*$F$15</f>
        <v>3795</v>
      </c>
      <c r="AI15" s="281"/>
      <c r="AJ15" s="329"/>
      <c r="AK15" s="281"/>
      <c r="AL15" s="331"/>
      <c r="AM15" s="330"/>
      <c r="AN15" s="280"/>
      <c r="AO15" s="281"/>
      <c r="AP15" s="281"/>
      <c r="AQ15" s="281"/>
      <c r="AR15" s="329"/>
      <c r="AS15" s="281"/>
      <c r="AT15" s="331"/>
      <c r="AU15" s="330"/>
      <c r="AV15" s="280"/>
      <c r="AW15" s="281"/>
      <c r="AX15" s="281"/>
      <c r="AY15" s="281"/>
      <c r="AZ15" s="329"/>
      <c r="BA15" s="281"/>
      <c r="BB15" s="331"/>
      <c r="BC15" s="330"/>
      <c r="BD15" s="280"/>
      <c r="BE15" s="281"/>
      <c r="BF15" s="281"/>
      <c r="BG15" s="281"/>
      <c r="BH15" s="329"/>
      <c r="BI15" s="281"/>
      <c r="BJ15" s="331"/>
      <c r="BK15" s="330"/>
      <c r="BL15" s="280"/>
      <c r="BM15" s="281"/>
      <c r="BN15" s="281"/>
      <c r="BO15" s="281"/>
      <c r="BP15" s="329"/>
      <c r="BQ15" s="281"/>
      <c r="BR15" s="331"/>
      <c r="BS15" s="330"/>
      <c r="BT15" s="280"/>
      <c r="BU15" s="281"/>
      <c r="BV15" s="281"/>
      <c r="BW15" s="281"/>
      <c r="BX15" s="329"/>
      <c r="BY15" s="281"/>
      <c r="BZ15" s="331"/>
      <c r="CA15" s="330"/>
      <c r="CB15" s="280"/>
      <c r="CC15" s="329"/>
      <c r="CD15" s="281"/>
      <c r="CE15" s="331"/>
      <c r="CF15" s="280"/>
      <c r="CG15" s="330"/>
    </row>
    <row r="16" spans="1:87" ht="52.5" x14ac:dyDescent="0.25">
      <c r="A16" s="444"/>
      <c r="B16" s="297" t="s">
        <v>380</v>
      </c>
      <c r="C16" s="324" t="s">
        <v>492</v>
      </c>
      <c r="D16" s="325">
        <v>0</v>
      </c>
      <c r="E16" s="446"/>
      <c r="F16" s="326">
        <v>3.0000000000000001E-3</v>
      </c>
      <c r="G16" s="327">
        <f>D16*$F$16</f>
        <v>0</v>
      </c>
      <c r="I16" s="325">
        <v>0</v>
      </c>
      <c r="J16" s="327">
        <f>I16*$F$16</f>
        <v>0</v>
      </c>
      <c r="L16" s="325">
        <v>0</v>
      </c>
      <c r="M16" s="327">
        <f>L16*$F$16</f>
        <v>0</v>
      </c>
      <c r="N16" s="329"/>
      <c r="O16" s="325">
        <v>0</v>
      </c>
      <c r="P16" s="327">
        <f>O16*$F$16</f>
        <v>0</v>
      </c>
      <c r="Q16" s="330"/>
      <c r="R16" s="325">
        <v>0</v>
      </c>
      <c r="S16" s="327">
        <f>R16*$F$16</f>
        <v>0</v>
      </c>
      <c r="T16" s="281"/>
      <c r="U16" s="325">
        <v>0</v>
      </c>
      <c r="V16" s="327">
        <f>U16*$F$16</f>
        <v>0</v>
      </c>
      <c r="W16" s="280"/>
      <c r="X16" s="325">
        <v>0</v>
      </c>
      <c r="Y16" s="327">
        <f>X16*$F$16</f>
        <v>0</v>
      </c>
      <c r="Z16" s="281"/>
      <c r="AA16" s="325">
        <v>0</v>
      </c>
      <c r="AB16" s="327">
        <f>AA16*$F$16</f>
        <v>0</v>
      </c>
      <c r="AC16" s="281"/>
      <c r="AD16" s="325">
        <v>0</v>
      </c>
      <c r="AE16" s="327">
        <f>AD16*$F$16</f>
        <v>0</v>
      </c>
      <c r="AF16" s="280"/>
      <c r="AG16" s="325">
        <v>0</v>
      </c>
      <c r="AH16" s="327">
        <f>AG16*$F$16</f>
        <v>0</v>
      </c>
      <c r="AI16" s="281"/>
      <c r="AJ16" s="329"/>
      <c r="AK16" s="281"/>
      <c r="AL16" s="331"/>
      <c r="AM16" s="330"/>
      <c r="AN16" s="280"/>
      <c r="AO16" s="281"/>
      <c r="AP16" s="281"/>
      <c r="AQ16" s="281"/>
      <c r="AR16" s="329"/>
      <c r="AS16" s="281"/>
      <c r="AT16" s="331"/>
      <c r="AU16" s="330"/>
      <c r="AV16" s="280"/>
      <c r="AW16" s="281"/>
      <c r="AX16" s="281"/>
      <c r="AY16" s="281"/>
      <c r="AZ16" s="329"/>
      <c r="BA16" s="281"/>
      <c r="BB16" s="331"/>
      <c r="BC16" s="330"/>
      <c r="BD16" s="280"/>
      <c r="BE16" s="281"/>
      <c r="BF16" s="281"/>
      <c r="BG16" s="281"/>
      <c r="BH16" s="329"/>
      <c r="BI16" s="281"/>
      <c r="BJ16" s="331"/>
      <c r="BK16" s="330"/>
      <c r="BL16" s="280"/>
      <c r="BM16" s="281"/>
      <c r="BN16" s="281"/>
      <c r="BO16" s="281"/>
      <c r="BP16" s="329"/>
      <c r="BQ16" s="281"/>
      <c r="BR16" s="331"/>
      <c r="BS16" s="330"/>
      <c r="BT16" s="280"/>
      <c r="BU16" s="281"/>
      <c r="BV16" s="281"/>
      <c r="BW16" s="281"/>
      <c r="BX16" s="329"/>
      <c r="BY16" s="281"/>
      <c r="BZ16" s="331"/>
      <c r="CA16" s="330"/>
      <c r="CB16" s="280"/>
      <c r="CC16" s="329"/>
      <c r="CD16" s="281"/>
      <c r="CE16" s="331"/>
      <c r="CF16" s="280"/>
      <c r="CG16" s="330"/>
    </row>
    <row r="17" spans="1:85" x14ac:dyDescent="0.25">
      <c r="A17" s="447" t="s">
        <v>25</v>
      </c>
      <c r="B17" s="447"/>
      <c r="C17" s="339"/>
      <c r="D17" s="340"/>
      <c r="E17" s="339"/>
      <c r="F17" s="339"/>
      <c r="G17" s="341">
        <f>SUM(G13:G16)</f>
        <v>195138.72520000002</v>
      </c>
      <c r="I17" s="340"/>
      <c r="J17" s="341">
        <f>SUM(J13:J16)</f>
        <v>243925.84220000001</v>
      </c>
      <c r="L17" s="340"/>
      <c r="M17" s="341">
        <f>SUM(M13:M16)</f>
        <v>281404.59520000004</v>
      </c>
      <c r="N17" s="329"/>
      <c r="O17" s="340"/>
      <c r="P17" s="341">
        <f>SUM(P13:P16)</f>
        <v>280380.31320000003</v>
      </c>
      <c r="Q17" s="330"/>
      <c r="R17" s="340"/>
      <c r="S17" s="341">
        <f>SUM(S13:S16)</f>
        <v>279808.17900000006</v>
      </c>
      <c r="T17" s="321"/>
      <c r="U17" s="340"/>
      <c r="V17" s="341">
        <f>SUM(V13:V16)</f>
        <v>11157.932499999999</v>
      </c>
      <c r="W17" s="280"/>
      <c r="X17" s="340"/>
      <c r="Y17" s="341">
        <f>SUM(Y13:Y16)</f>
        <v>13978.25</v>
      </c>
      <c r="Z17" s="342"/>
      <c r="AA17" s="340"/>
      <c r="AB17" s="341">
        <f>SUM(AB13:AB16)</f>
        <v>14800.5</v>
      </c>
      <c r="AC17" s="321"/>
      <c r="AD17" s="340"/>
      <c r="AE17" s="341">
        <f>SUM(AE13:AE16)</f>
        <v>15622.75</v>
      </c>
      <c r="AF17" s="280"/>
      <c r="AG17" s="340"/>
      <c r="AH17" s="341">
        <f>SUM(AH13:AH16)</f>
        <v>16445</v>
      </c>
      <c r="AI17" s="321"/>
      <c r="AJ17" s="329"/>
      <c r="AK17" s="321"/>
      <c r="AL17" s="321"/>
      <c r="AM17" s="330"/>
      <c r="AN17" s="280"/>
      <c r="AO17" s="342"/>
      <c r="AP17" s="342"/>
      <c r="AQ17" s="321"/>
      <c r="AR17" s="329"/>
      <c r="AS17" s="321"/>
      <c r="AT17" s="321"/>
      <c r="AU17" s="330"/>
      <c r="AV17" s="280"/>
      <c r="AW17" s="342"/>
      <c r="AX17" s="342"/>
      <c r="AY17" s="321"/>
      <c r="AZ17" s="329"/>
      <c r="BA17" s="321"/>
      <c r="BB17" s="321"/>
      <c r="BC17" s="330"/>
      <c r="BD17" s="280"/>
      <c r="BE17" s="342"/>
      <c r="BF17" s="342"/>
      <c r="BG17" s="321"/>
      <c r="BH17" s="329"/>
      <c r="BI17" s="321"/>
      <c r="BJ17" s="321"/>
      <c r="BK17" s="330"/>
      <c r="BL17" s="280"/>
      <c r="BM17" s="342"/>
      <c r="BN17" s="342"/>
      <c r="BO17" s="321"/>
      <c r="BP17" s="329"/>
      <c r="BQ17" s="321"/>
      <c r="BR17" s="321"/>
      <c r="BS17" s="330"/>
      <c r="BT17" s="280"/>
      <c r="BU17" s="342"/>
      <c r="BV17" s="342"/>
      <c r="BW17" s="321"/>
      <c r="BX17" s="329"/>
      <c r="BY17" s="321"/>
      <c r="BZ17" s="321"/>
      <c r="CA17" s="330"/>
      <c r="CB17" s="280"/>
      <c r="CC17" s="342"/>
      <c r="CD17" s="342"/>
      <c r="CE17" s="321"/>
      <c r="CF17" s="321"/>
      <c r="CG17" s="330"/>
    </row>
    <row r="18" spans="1:85" ht="25.5" x14ac:dyDescent="0.25">
      <c r="F18" s="357" t="s">
        <v>507</v>
      </c>
      <c r="G18" s="358">
        <f>G17</f>
        <v>195138.72520000002</v>
      </c>
      <c r="I18" s="357" t="s">
        <v>507</v>
      </c>
      <c r="J18" s="358">
        <f>J17</f>
        <v>243925.84220000001</v>
      </c>
      <c r="L18" s="357" t="s">
        <v>507</v>
      </c>
      <c r="M18" s="358">
        <f>M17</f>
        <v>281404.59520000004</v>
      </c>
      <c r="N18" s="282"/>
      <c r="O18" s="357" t="s">
        <v>507</v>
      </c>
      <c r="P18" s="358">
        <f>P17</f>
        <v>280380.31320000003</v>
      </c>
      <c r="Q18" s="343"/>
      <c r="R18" s="357" t="s">
        <v>507</v>
      </c>
      <c r="S18" s="358">
        <f>S17</f>
        <v>279808.17900000006</v>
      </c>
      <c r="T18" s="280"/>
      <c r="U18" s="357" t="s">
        <v>507</v>
      </c>
      <c r="V18" s="358">
        <f>V17</f>
        <v>11157.932499999999</v>
      </c>
      <c r="W18" s="280"/>
      <c r="X18" s="357" t="s">
        <v>507</v>
      </c>
      <c r="Y18" s="358">
        <f>Y17</f>
        <v>13978.25</v>
      </c>
      <c r="Z18" s="280"/>
      <c r="AA18" s="357" t="s">
        <v>507</v>
      </c>
      <c r="AB18" s="358">
        <f>AB17</f>
        <v>14800.5</v>
      </c>
      <c r="AC18" s="280"/>
      <c r="AD18" s="357" t="s">
        <v>507</v>
      </c>
      <c r="AE18" s="358">
        <f>AE17</f>
        <v>15622.75</v>
      </c>
      <c r="AF18" s="280"/>
      <c r="AG18" s="357" t="s">
        <v>507</v>
      </c>
      <c r="AH18" s="358">
        <f>AH17</f>
        <v>16445</v>
      </c>
      <c r="AI18" s="280"/>
      <c r="AJ18" s="282"/>
      <c r="AK18" s="280"/>
      <c r="AL18" s="283"/>
      <c r="AM18" s="343"/>
      <c r="AN18" s="280"/>
      <c r="AO18" s="281"/>
      <c r="AP18" s="280"/>
      <c r="AQ18" s="280"/>
      <c r="AR18" s="282"/>
      <c r="AS18" s="280"/>
      <c r="AT18" s="283"/>
      <c r="AU18" s="343"/>
      <c r="AV18" s="280"/>
      <c r="AW18" s="281"/>
      <c r="AX18" s="280"/>
      <c r="AY18" s="280"/>
      <c r="AZ18" s="282"/>
      <c r="BA18" s="280"/>
      <c r="BB18" s="283"/>
      <c r="BC18" s="343"/>
      <c r="BD18" s="280"/>
      <c r="BE18" s="281"/>
      <c r="BF18" s="280"/>
      <c r="BG18" s="280"/>
      <c r="BH18" s="282"/>
      <c r="BI18" s="280"/>
      <c r="BJ18" s="283"/>
      <c r="BK18" s="343"/>
      <c r="BL18" s="280"/>
      <c r="BM18" s="281"/>
      <c r="BN18" s="280"/>
      <c r="BO18" s="280"/>
      <c r="BP18" s="282"/>
      <c r="BQ18" s="280"/>
      <c r="BR18" s="283"/>
      <c r="BS18" s="343"/>
      <c r="BT18" s="280"/>
      <c r="BU18" s="281"/>
      <c r="BV18" s="280"/>
      <c r="BW18" s="280"/>
      <c r="BX18" s="282"/>
      <c r="BY18" s="280"/>
      <c r="BZ18" s="283"/>
      <c r="CA18" s="343"/>
      <c r="CB18" s="280"/>
      <c r="CC18" s="281"/>
      <c r="CD18" s="280"/>
      <c r="CE18" s="280"/>
      <c r="CF18" s="283"/>
      <c r="CG18" s="343"/>
    </row>
    <row r="19" spans="1:85" x14ac:dyDescent="0.25">
      <c r="G19" s="359">
        <f>G18*44/28</f>
        <v>306646.56817142857</v>
      </c>
      <c r="J19" s="359">
        <f>J18*44/28</f>
        <v>383312.03774285718</v>
      </c>
      <c r="M19" s="359">
        <f>M18*44/28</f>
        <v>442207.22102857148</v>
      </c>
      <c r="N19" s="282"/>
      <c r="P19" s="359">
        <f>P18*44/28</f>
        <v>440597.63502857147</v>
      </c>
      <c r="Q19" s="284"/>
      <c r="S19" s="359">
        <f>S18*44/28</f>
        <v>439698.5670000001</v>
      </c>
      <c r="T19" s="280"/>
      <c r="V19" s="359">
        <f>V18*44/28</f>
        <v>17533.893928571426</v>
      </c>
      <c r="W19" s="280"/>
      <c r="Y19" s="359">
        <f>Y18*44/28</f>
        <v>21965.821428571428</v>
      </c>
      <c r="Z19" s="280"/>
      <c r="AB19" s="359">
        <f>AB18*44/28</f>
        <v>23257.928571428572</v>
      </c>
      <c r="AC19" s="280"/>
      <c r="AE19" s="359">
        <f>AE18*44/28</f>
        <v>24550.035714285714</v>
      </c>
      <c r="AF19" s="280"/>
      <c r="AH19" s="359">
        <f>AH18*44/28</f>
        <v>25842.142857142859</v>
      </c>
      <c r="AI19" s="280"/>
      <c r="AJ19" s="282"/>
      <c r="AK19" s="280"/>
      <c r="AL19" s="281"/>
      <c r="AM19" s="284"/>
      <c r="AN19" s="280"/>
      <c r="AO19" s="281"/>
      <c r="AP19" s="280"/>
      <c r="AQ19" s="280"/>
      <c r="AR19" s="282"/>
      <c r="AS19" s="280"/>
      <c r="AT19" s="281"/>
      <c r="AU19" s="284"/>
      <c r="AV19" s="280"/>
      <c r="AW19" s="281"/>
      <c r="AX19" s="280"/>
      <c r="AY19" s="280"/>
      <c r="AZ19" s="282"/>
      <c r="BA19" s="280"/>
      <c r="BB19" s="281"/>
      <c r="BC19" s="284"/>
      <c r="BD19" s="280"/>
      <c r="BE19" s="281"/>
      <c r="BF19" s="280"/>
      <c r="BG19" s="280"/>
      <c r="BH19" s="282"/>
      <c r="BI19" s="280"/>
      <c r="BJ19" s="281"/>
      <c r="BK19" s="284"/>
      <c r="BL19" s="280"/>
      <c r="BM19" s="281"/>
      <c r="BN19" s="280"/>
      <c r="BO19" s="280"/>
      <c r="BP19" s="282"/>
      <c r="BQ19" s="280"/>
      <c r="BR19" s="281"/>
      <c r="BS19" s="284"/>
      <c r="BT19" s="280"/>
      <c r="BU19" s="281"/>
      <c r="BV19" s="280"/>
      <c r="BW19" s="280"/>
      <c r="BX19" s="282"/>
      <c r="BY19" s="280"/>
      <c r="BZ19" s="281"/>
      <c r="CA19" s="284"/>
      <c r="CB19" s="280"/>
      <c r="CC19" s="281"/>
      <c r="CD19" s="280"/>
      <c r="CE19" s="280"/>
      <c r="CF19" s="281"/>
      <c r="CG19" s="284"/>
    </row>
    <row r="20" spans="1:85" x14ac:dyDescent="0.25">
      <c r="A20" s="285" t="s">
        <v>381</v>
      </c>
      <c r="B20" s="286"/>
      <c r="C20" s="278" t="s">
        <v>382</v>
      </c>
      <c r="I20" s="287"/>
      <c r="J20" s="288"/>
      <c r="K20" s="288"/>
      <c r="L20" s="287"/>
      <c r="M20" s="288"/>
      <c r="N20" s="288"/>
      <c r="O20" s="287"/>
      <c r="P20" s="288"/>
      <c r="Q20" s="287"/>
      <c r="R20" s="287"/>
      <c r="S20" s="288"/>
      <c r="T20" s="289"/>
      <c r="U20" s="287"/>
      <c r="V20" s="288"/>
      <c r="W20" s="288"/>
      <c r="X20" s="287"/>
      <c r="Y20" s="288"/>
      <c r="Z20" s="288"/>
      <c r="AA20" s="287"/>
      <c r="AB20" s="288"/>
      <c r="AC20" s="288"/>
      <c r="AD20" s="287"/>
      <c r="AE20" s="288"/>
      <c r="AF20" s="288"/>
      <c r="AG20" s="287"/>
      <c r="AH20" s="288"/>
      <c r="AI20" s="288"/>
      <c r="AJ20" s="279"/>
      <c r="AO20" s="287"/>
      <c r="AP20" s="288"/>
      <c r="AQ20" s="288"/>
      <c r="AR20" s="289"/>
      <c r="AS20" s="288"/>
      <c r="AT20" s="288"/>
      <c r="AU20" s="288"/>
      <c r="AV20" s="288"/>
      <c r="AW20" s="287"/>
      <c r="AX20" s="288"/>
      <c r="AY20" s="288"/>
      <c r="AZ20" s="289"/>
      <c r="BA20" s="288"/>
      <c r="BB20" s="288"/>
      <c r="BC20" s="288"/>
      <c r="BD20" s="288"/>
      <c r="BE20" s="287"/>
      <c r="BF20" s="288"/>
      <c r="BG20" s="288"/>
      <c r="BH20" s="289"/>
      <c r="BI20" s="288"/>
      <c r="BJ20" s="288"/>
      <c r="BK20" s="288"/>
      <c r="BL20" s="288"/>
      <c r="BM20" s="287"/>
      <c r="BN20" s="288"/>
      <c r="BO20" s="288"/>
      <c r="BP20" s="289"/>
      <c r="BQ20" s="288"/>
      <c r="BR20" s="288"/>
      <c r="BU20" s="285" t="s">
        <v>381</v>
      </c>
      <c r="BV20" s="286"/>
      <c r="BW20" s="278" t="s">
        <v>382</v>
      </c>
      <c r="BX20" s="279"/>
      <c r="CC20" s="285" t="s">
        <v>381</v>
      </c>
      <c r="CD20" s="286"/>
      <c r="CE20" s="278" t="s">
        <v>382</v>
      </c>
      <c r="CF20" s="279"/>
    </row>
    <row r="21" spans="1:85" x14ac:dyDescent="0.25">
      <c r="A21" s="285"/>
      <c r="B21" s="290"/>
      <c r="C21" s="278" t="s">
        <v>383</v>
      </c>
      <c r="I21" s="287"/>
      <c r="J21" s="291"/>
      <c r="K21" s="288"/>
      <c r="L21" s="287"/>
      <c r="M21" s="291"/>
      <c r="N21" s="288"/>
      <c r="O21" s="287"/>
      <c r="P21" s="291"/>
      <c r="Q21" s="287"/>
      <c r="R21" s="287"/>
      <c r="S21" s="291"/>
      <c r="T21" s="289"/>
      <c r="U21" s="287"/>
      <c r="V21" s="291"/>
      <c r="W21" s="288"/>
      <c r="X21" s="287"/>
      <c r="Y21" s="291"/>
      <c r="Z21" s="291"/>
      <c r="AA21" s="287"/>
      <c r="AB21" s="291"/>
      <c r="AC21" s="288"/>
      <c r="AD21" s="287"/>
      <c r="AE21" s="291"/>
      <c r="AF21" s="288"/>
      <c r="AG21" s="287"/>
      <c r="AH21" s="291"/>
      <c r="AI21" s="288"/>
      <c r="AJ21" s="279"/>
      <c r="AO21" s="287"/>
      <c r="AP21" s="291"/>
      <c r="AQ21" s="288"/>
      <c r="AR21" s="289"/>
      <c r="AS21" s="288"/>
      <c r="AT21" s="288"/>
      <c r="AU21" s="288"/>
      <c r="AV21" s="288"/>
      <c r="AW21" s="287"/>
      <c r="AX21" s="291"/>
      <c r="AY21" s="288"/>
      <c r="AZ21" s="289"/>
      <c r="BA21" s="288"/>
      <c r="BB21" s="288"/>
      <c r="BC21" s="288"/>
      <c r="BD21" s="288"/>
      <c r="BE21" s="287"/>
      <c r="BF21" s="291"/>
      <c r="BG21" s="288"/>
      <c r="BH21" s="289"/>
      <c r="BI21" s="288"/>
      <c r="BJ21" s="288"/>
      <c r="BK21" s="288"/>
      <c r="BL21" s="288"/>
      <c r="BM21" s="287"/>
      <c r="BN21" s="291"/>
      <c r="BO21" s="288"/>
      <c r="BP21" s="289"/>
      <c r="BQ21" s="288"/>
      <c r="BR21" s="288"/>
      <c r="BU21" s="285"/>
      <c r="BV21" s="290"/>
      <c r="BW21" s="278" t="s">
        <v>383</v>
      </c>
      <c r="BX21" s="279"/>
      <c r="CC21" s="285"/>
      <c r="CD21" s="290"/>
      <c r="CE21" s="278" t="s">
        <v>383</v>
      </c>
      <c r="CF21" s="279"/>
    </row>
    <row r="22" spans="1:85" x14ac:dyDescent="0.25">
      <c r="B22" s="292"/>
      <c r="C22" s="278" t="s">
        <v>384</v>
      </c>
      <c r="I22" s="293"/>
      <c r="J22" s="288"/>
      <c r="K22" s="288"/>
      <c r="L22" s="293"/>
      <c r="M22" s="288"/>
      <c r="N22" s="288"/>
      <c r="O22" s="293"/>
      <c r="P22" s="288"/>
      <c r="Q22" s="293"/>
      <c r="R22" s="293"/>
      <c r="S22" s="288"/>
      <c r="T22" s="289"/>
      <c r="U22" s="293"/>
      <c r="V22" s="288"/>
      <c r="W22" s="288"/>
      <c r="X22" s="293"/>
      <c r="Y22" s="288"/>
      <c r="Z22" s="288"/>
      <c r="AA22" s="293"/>
      <c r="AB22" s="288"/>
      <c r="AC22" s="288"/>
      <c r="AD22" s="293"/>
      <c r="AE22" s="288"/>
      <c r="AF22" s="288"/>
      <c r="AG22" s="293"/>
      <c r="AH22" s="288"/>
      <c r="AI22" s="288"/>
      <c r="AJ22" s="279"/>
      <c r="AO22" s="293"/>
      <c r="AP22" s="288"/>
      <c r="AQ22" s="288"/>
      <c r="AR22" s="289"/>
      <c r="AS22" s="288"/>
      <c r="AT22" s="288"/>
      <c r="AU22" s="288"/>
      <c r="AV22" s="288"/>
      <c r="AW22" s="293"/>
      <c r="AX22" s="288"/>
      <c r="AY22" s="288"/>
      <c r="AZ22" s="289"/>
      <c r="BA22" s="288"/>
      <c r="BB22" s="288"/>
      <c r="BC22" s="288"/>
      <c r="BD22" s="288"/>
      <c r="BE22" s="293"/>
      <c r="BF22" s="288"/>
      <c r="BG22" s="288"/>
      <c r="BH22" s="289"/>
      <c r="BI22" s="288"/>
      <c r="BJ22" s="288"/>
      <c r="BK22" s="288"/>
      <c r="BL22" s="288"/>
      <c r="BM22" s="293"/>
      <c r="BN22" s="288"/>
      <c r="BO22" s="288"/>
      <c r="BP22" s="289"/>
      <c r="BQ22" s="288"/>
      <c r="BR22" s="288"/>
      <c r="BU22" s="277"/>
      <c r="BV22" s="292"/>
      <c r="BW22" s="278" t="s">
        <v>384</v>
      </c>
      <c r="BX22" s="279"/>
      <c r="CC22" s="277"/>
      <c r="CD22" s="292"/>
      <c r="CE22" s="278" t="s">
        <v>384</v>
      </c>
      <c r="CF22" s="279"/>
    </row>
    <row r="23" spans="1:85" x14ac:dyDescent="0.25">
      <c r="B23" s="278" t="s">
        <v>402</v>
      </c>
      <c r="C23" s="278" t="s">
        <v>403</v>
      </c>
      <c r="I23" s="293"/>
      <c r="J23" s="288"/>
      <c r="K23" s="288"/>
      <c r="L23" s="293"/>
      <c r="M23" s="288"/>
      <c r="N23" s="288"/>
      <c r="O23" s="293"/>
      <c r="P23" s="288"/>
      <c r="Q23" s="293"/>
      <c r="R23" s="293"/>
      <c r="S23" s="288"/>
      <c r="T23" s="289"/>
      <c r="U23" s="293"/>
      <c r="V23" s="288"/>
      <c r="W23" s="288"/>
      <c r="X23" s="293"/>
      <c r="Y23" s="288"/>
      <c r="Z23" s="288"/>
      <c r="AA23" s="293"/>
      <c r="AB23" s="288"/>
      <c r="AC23" s="288"/>
      <c r="AD23" s="293"/>
      <c r="AE23" s="288"/>
      <c r="AF23" s="288"/>
      <c r="AG23" s="293"/>
      <c r="AH23" s="288"/>
      <c r="AI23" s="288"/>
      <c r="AJ23" s="279"/>
      <c r="AO23" s="293"/>
      <c r="AP23" s="288"/>
      <c r="AQ23" s="288"/>
      <c r="AR23" s="289"/>
      <c r="AS23" s="288"/>
      <c r="AT23" s="288"/>
      <c r="AU23" s="288"/>
      <c r="AV23" s="288"/>
      <c r="AW23" s="293"/>
      <c r="AX23" s="288"/>
      <c r="AY23" s="288"/>
      <c r="AZ23" s="289"/>
      <c r="BA23" s="288"/>
      <c r="BB23" s="288"/>
      <c r="BC23" s="288"/>
      <c r="BD23" s="288"/>
      <c r="BE23" s="293"/>
      <c r="BF23" s="288"/>
      <c r="BG23" s="288"/>
      <c r="BH23" s="289"/>
      <c r="BI23" s="288"/>
      <c r="BJ23" s="288"/>
      <c r="BK23" s="288"/>
      <c r="BL23" s="288"/>
      <c r="BM23" s="293"/>
      <c r="BN23" s="288"/>
      <c r="BO23" s="288"/>
      <c r="BP23" s="289"/>
      <c r="BQ23" s="288"/>
      <c r="BR23" s="288"/>
      <c r="BU23" s="277"/>
      <c r="BV23" s="278" t="s">
        <v>402</v>
      </c>
      <c r="BW23" s="278" t="s">
        <v>403</v>
      </c>
      <c r="BX23" s="279"/>
      <c r="CC23" s="277"/>
      <c r="CD23" s="278" t="s">
        <v>402</v>
      </c>
      <c r="CE23" s="278" t="s">
        <v>403</v>
      </c>
      <c r="CF23" s="279"/>
    </row>
    <row r="24" spans="1:85" x14ac:dyDescent="0.25">
      <c r="B24" s="278" t="s">
        <v>404</v>
      </c>
      <c r="C24" s="278" t="s">
        <v>405</v>
      </c>
      <c r="I24" s="293"/>
      <c r="J24" s="288"/>
      <c r="K24" s="288"/>
      <c r="L24" s="293"/>
      <c r="M24" s="288"/>
      <c r="N24" s="288"/>
      <c r="O24" s="293"/>
      <c r="P24" s="288"/>
      <c r="Q24" s="293"/>
      <c r="R24" s="293"/>
      <c r="S24" s="288"/>
      <c r="T24" s="289"/>
      <c r="U24" s="293"/>
      <c r="V24" s="288"/>
      <c r="W24" s="288"/>
      <c r="X24" s="293"/>
      <c r="Y24" s="288"/>
      <c r="Z24" s="288"/>
      <c r="AA24" s="293"/>
      <c r="AB24" s="288"/>
      <c r="AC24" s="288"/>
      <c r="AD24" s="293"/>
      <c r="AE24" s="288"/>
      <c r="AF24" s="288"/>
      <c r="AG24" s="293"/>
      <c r="AH24" s="288"/>
      <c r="AI24" s="288"/>
      <c r="AJ24" s="279"/>
      <c r="AO24" s="293"/>
      <c r="AP24" s="288"/>
      <c r="AQ24" s="288"/>
      <c r="AR24" s="289"/>
      <c r="AS24" s="288"/>
      <c r="AT24" s="288"/>
      <c r="AU24" s="288"/>
      <c r="AV24" s="288"/>
      <c r="AW24" s="293"/>
      <c r="AX24" s="288"/>
      <c r="AY24" s="288"/>
      <c r="AZ24" s="289"/>
      <c r="BA24" s="288"/>
      <c r="BB24" s="288"/>
      <c r="BC24" s="288"/>
      <c r="BD24" s="288"/>
      <c r="BE24" s="293"/>
      <c r="BF24" s="288"/>
      <c r="BG24" s="288"/>
      <c r="BH24" s="289"/>
      <c r="BI24" s="288"/>
      <c r="BJ24" s="288"/>
      <c r="BK24" s="288"/>
      <c r="BL24" s="288"/>
      <c r="BM24" s="293"/>
      <c r="BN24" s="288"/>
      <c r="BO24" s="288"/>
      <c r="BP24" s="289"/>
      <c r="BQ24" s="288"/>
      <c r="BR24" s="288"/>
      <c r="BU24" s="277"/>
      <c r="BV24" s="278" t="s">
        <v>404</v>
      </c>
      <c r="BW24" s="278" t="s">
        <v>405</v>
      </c>
      <c r="BX24" s="279"/>
      <c r="CC24" s="277"/>
      <c r="CD24" s="278" t="s">
        <v>404</v>
      </c>
      <c r="CE24" s="278" t="s">
        <v>405</v>
      </c>
      <c r="CF24" s="279"/>
    </row>
    <row r="25" spans="1:85" ht="38.25" customHeight="1" x14ac:dyDescent="0.25">
      <c r="A25" s="442" t="s">
        <v>386</v>
      </c>
      <c r="B25" s="442"/>
      <c r="C25" s="440" t="s">
        <v>387</v>
      </c>
      <c r="D25" s="441"/>
    </row>
    <row r="26" spans="1:85" x14ac:dyDescent="0.25">
      <c r="A26" s="294"/>
      <c r="B26" s="295" t="s">
        <v>330</v>
      </c>
      <c r="C26" s="295" t="s">
        <v>331</v>
      </c>
      <c r="D26" s="296" t="s">
        <v>332</v>
      </c>
    </row>
    <row r="27" spans="1:85" x14ac:dyDescent="0.25">
      <c r="A27" s="294" t="s">
        <v>385</v>
      </c>
      <c r="B27" s="295"/>
      <c r="C27" s="295"/>
      <c r="D27" s="296"/>
    </row>
    <row r="28" spans="1:85" x14ac:dyDescent="0.25">
      <c r="A28" s="294"/>
      <c r="B28" s="295"/>
      <c r="C28" s="295"/>
      <c r="D28" s="296"/>
    </row>
    <row r="29" spans="1:85" x14ac:dyDescent="0.25">
      <c r="A29" s="294" t="s">
        <v>333</v>
      </c>
      <c r="B29" s="295">
        <f>B27*46%</f>
        <v>0</v>
      </c>
      <c r="C29" s="295">
        <f>C27*22%</f>
        <v>0</v>
      </c>
      <c r="D29" s="296">
        <f>D27*15%</f>
        <v>0</v>
      </c>
    </row>
    <row r="32" spans="1:85" ht="25.5" x14ac:dyDescent="0.25">
      <c r="A32" s="277" t="s">
        <v>388</v>
      </c>
      <c r="B32" s="278" t="s">
        <v>389</v>
      </c>
    </row>
    <row r="34" spans="1:38" ht="15" customHeight="1" x14ac:dyDescent="0.25">
      <c r="A34" s="297"/>
      <c r="B34" s="437" t="s">
        <v>495</v>
      </c>
      <c r="C34" s="437"/>
      <c r="D34" s="437"/>
      <c r="E34" s="437"/>
      <c r="F34" s="437"/>
      <c r="G34" s="437"/>
      <c r="H34" s="434" t="s">
        <v>496</v>
      </c>
      <c r="I34" s="435"/>
      <c r="J34" s="435"/>
      <c r="K34" s="435"/>
      <c r="L34" s="435"/>
      <c r="M34" s="436"/>
      <c r="N34" s="439" t="s">
        <v>497</v>
      </c>
      <c r="O34" s="439"/>
      <c r="P34" s="439"/>
      <c r="Q34" s="439"/>
      <c r="R34" s="439"/>
      <c r="S34" s="439"/>
      <c r="T34" s="439"/>
      <c r="U34" s="457" t="s">
        <v>499</v>
      </c>
      <c r="V34" s="457"/>
      <c r="W34" s="457"/>
      <c r="X34" s="457"/>
      <c r="Y34" s="457"/>
      <c r="Z34" s="457"/>
      <c r="AA34" s="457"/>
      <c r="AJ34" s="278" t="s">
        <v>418</v>
      </c>
      <c r="AK34" s="278" t="s">
        <v>419</v>
      </c>
      <c r="AL34" s="278" t="s">
        <v>420</v>
      </c>
    </row>
    <row r="35" spans="1:38" ht="38.25" x14ac:dyDescent="0.25">
      <c r="A35" s="297"/>
      <c r="B35" s="298" t="s">
        <v>406</v>
      </c>
      <c r="C35" s="298" t="s">
        <v>407</v>
      </c>
      <c r="D35" s="298" t="s">
        <v>390</v>
      </c>
      <c r="E35" s="298" t="s">
        <v>391</v>
      </c>
      <c r="F35" s="299" t="s">
        <v>392</v>
      </c>
      <c r="G35" s="298" t="s">
        <v>393</v>
      </c>
      <c r="H35" s="300" t="s">
        <v>406</v>
      </c>
      <c r="I35" s="300" t="s">
        <v>407</v>
      </c>
      <c r="J35" s="300" t="s">
        <v>390</v>
      </c>
      <c r="K35" s="300" t="s">
        <v>391</v>
      </c>
      <c r="L35" s="301" t="s">
        <v>392</v>
      </c>
      <c r="M35" s="300" t="s">
        <v>393</v>
      </c>
      <c r="N35" s="302" t="s">
        <v>406</v>
      </c>
      <c r="O35" s="302" t="s">
        <v>407</v>
      </c>
      <c r="P35" s="302" t="s">
        <v>390</v>
      </c>
      <c r="Q35" s="302" t="s">
        <v>391</v>
      </c>
      <c r="R35" s="303" t="s">
        <v>392</v>
      </c>
      <c r="S35" s="302" t="s">
        <v>393</v>
      </c>
      <c r="T35" s="302" t="s">
        <v>498</v>
      </c>
      <c r="U35" s="349" t="s">
        <v>406</v>
      </c>
      <c r="V35" s="349" t="s">
        <v>407</v>
      </c>
      <c r="W35" s="349" t="s">
        <v>390</v>
      </c>
      <c r="X35" s="350" t="s">
        <v>391</v>
      </c>
      <c r="Y35" s="351" t="s">
        <v>392</v>
      </c>
      <c r="Z35" s="349" t="s">
        <v>393</v>
      </c>
      <c r="AA35" s="302" t="s">
        <v>500</v>
      </c>
      <c r="AJ35" s="278" t="s">
        <v>423</v>
      </c>
      <c r="AK35" s="278" t="s">
        <v>270</v>
      </c>
    </row>
    <row r="36" spans="1:38" ht="15" x14ac:dyDescent="0.25">
      <c r="A36" s="344">
        <f>'Lahan sawah'!B11</f>
        <v>2011</v>
      </c>
      <c r="B36" s="374">
        <f>[1]Paser!$B16</f>
        <v>6564</v>
      </c>
      <c r="C36" s="375">
        <f>[1]Paser!$G16</f>
        <v>2961</v>
      </c>
      <c r="D36" s="345">
        <f t="shared" ref="D36:D45" si="0">B36+C36</f>
        <v>9525</v>
      </c>
      <c r="E36" s="305">
        <f>D60</f>
        <v>767</v>
      </c>
      <c r="F36" s="306"/>
      <c r="G36" s="376">
        <f>[2]PASER!F17</f>
        <v>124456</v>
      </c>
      <c r="H36" s="307">
        <v>275</v>
      </c>
      <c r="I36" s="307"/>
      <c r="J36" s="307"/>
      <c r="K36" s="307"/>
      <c r="L36" s="307"/>
      <c r="M36" s="307">
        <v>322</v>
      </c>
      <c r="N36" s="308">
        <f t="shared" ref="N36:S36" si="1">H36*B36</f>
        <v>1805100</v>
      </c>
      <c r="O36" s="308">
        <f t="shared" si="1"/>
        <v>0</v>
      </c>
      <c r="P36" s="308">
        <f t="shared" si="1"/>
        <v>0</v>
      </c>
      <c r="Q36" s="308">
        <f t="shared" si="1"/>
        <v>0</v>
      </c>
      <c r="R36" s="308">
        <f t="shared" si="1"/>
        <v>0</v>
      </c>
      <c r="S36" s="308">
        <f t="shared" si="1"/>
        <v>40074832</v>
      </c>
      <c r="T36" s="348">
        <f>SUM(N36:S36)</f>
        <v>41879932</v>
      </c>
      <c r="U36" s="353">
        <f>N36*46%</f>
        <v>830346</v>
      </c>
      <c r="V36" s="353">
        <f t="shared" ref="V36:Z46" si="2">O36*46%</f>
        <v>0</v>
      </c>
      <c r="W36" s="353">
        <f t="shared" si="2"/>
        <v>0</v>
      </c>
      <c r="X36" s="353">
        <f t="shared" si="2"/>
        <v>0</v>
      </c>
      <c r="Y36" s="353">
        <f t="shared" si="2"/>
        <v>0</v>
      </c>
      <c r="Z36" s="353">
        <f t="shared" si="2"/>
        <v>18434422.720000003</v>
      </c>
      <c r="AA36" s="354">
        <f>T36*46%</f>
        <v>19264768.720000003</v>
      </c>
      <c r="AJ36" s="278">
        <v>8700</v>
      </c>
      <c r="AL36" s="309">
        <f t="shared" ref="AL36:AL46" si="3">W36+X36+Y36</f>
        <v>0</v>
      </c>
    </row>
    <row r="37" spans="1:38" ht="15" x14ac:dyDescent="0.25">
      <c r="A37" s="344">
        <f>'Lahan sawah'!B12</f>
        <v>2012</v>
      </c>
      <c r="B37" s="374">
        <f>[1]Paser!$B17</f>
        <v>6814</v>
      </c>
      <c r="C37" s="375">
        <f>[1]Paser!$G17</f>
        <v>3399</v>
      </c>
      <c r="D37" s="345">
        <f t="shared" si="0"/>
        <v>10213</v>
      </c>
      <c r="E37" s="305">
        <f>E60</f>
        <v>700</v>
      </c>
      <c r="F37" s="306"/>
      <c r="G37" s="376">
        <f>[2]PASER!F18</f>
        <v>157116</v>
      </c>
      <c r="H37" s="307">
        <v>275</v>
      </c>
      <c r="I37" s="307"/>
      <c r="J37" s="307"/>
      <c r="K37" s="307"/>
      <c r="L37" s="307"/>
      <c r="M37" s="307">
        <v>322</v>
      </c>
      <c r="N37" s="308">
        <f t="shared" ref="N37:N46" si="4">H37*B37</f>
        <v>1873850</v>
      </c>
      <c r="O37" s="308">
        <f t="shared" ref="O37:P43" si="5">I37*C37</f>
        <v>0</v>
      </c>
      <c r="P37" s="310">
        <f t="shared" si="5"/>
        <v>0</v>
      </c>
      <c r="Q37" s="308">
        <f t="shared" ref="Q37:Q46" si="6">K37*E37</f>
        <v>0</v>
      </c>
      <c r="R37" s="308">
        <f t="shared" ref="R37:S46" si="7">L37*F37</f>
        <v>0</v>
      </c>
      <c r="S37" s="308">
        <f t="shared" si="7"/>
        <v>50591352</v>
      </c>
      <c r="T37" s="348">
        <f t="shared" ref="T37:T46" si="8">SUM(N37:S37)</f>
        <v>52465202</v>
      </c>
      <c r="U37" s="353">
        <f t="shared" ref="U37:U46" si="9">N37*46%</f>
        <v>861971</v>
      </c>
      <c r="V37" s="353">
        <f t="shared" si="2"/>
        <v>0</v>
      </c>
      <c r="W37" s="353">
        <f t="shared" si="2"/>
        <v>0</v>
      </c>
      <c r="X37" s="353">
        <f t="shared" si="2"/>
        <v>0</v>
      </c>
      <c r="Y37" s="353">
        <f t="shared" si="2"/>
        <v>0</v>
      </c>
      <c r="Z37" s="353">
        <f t="shared" si="2"/>
        <v>23272021.920000002</v>
      </c>
      <c r="AA37" s="354">
        <f t="shared" ref="AA37:AA46" si="10">T37*46%</f>
        <v>24133992.920000002</v>
      </c>
      <c r="AJ37" s="278">
        <v>8700</v>
      </c>
      <c r="AL37" s="309">
        <f t="shared" si="3"/>
        <v>0</v>
      </c>
    </row>
    <row r="38" spans="1:38" ht="15" x14ac:dyDescent="0.25">
      <c r="A38" s="344">
        <f>'Lahan sawah'!B13</f>
        <v>2013</v>
      </c>
      <c r="B38" s="374">
        <f>[1]Paser!$B18</f>
        <v>7240</v>
      </c>
      <c r="C38" s="375">
        <f>[1]Paser!$G18</f>
        <v>3064</v>
      </c>
      <c r="D38" s="345">
        <f t="shared" si="0"/>
        <v>10304</v>
      </c>
      <c r="E38" s="305">
        <f>F60</f>
        <v>735</v>
      </c>
      <c r="F38" s="306"/>
      <c r="G38" s="376">
        <f>[2]PASER!F19</f>
        <v>181946</v>
      </c>
      <c r="H38" s="307">
        <v>275</v>
      </c>
      <c r="I38" s="307"/>
      <c r="J38" s="307"/>
      <c r="K38" s="307"/>
      <c r="L38" s="307"/>
      <c r="M38" s="307">
        <v>322</v>
      </c>
      <c r="N38" s="308">
        <f t="shared" si="4"/>
        <v>1991000</v>
      </c>
      <c r="O38" s="308">
        <f t="shared" si="5"/>
        <v>0</v>
      </c>
      <c r="P38" s="310">
        <f t="shared" si="5"/>
        <v>0</v>
      </c>
      <c r="Q38" s="308">
        <f t="shared" si="6"/>
        <v>0</v>
      </c>
      <c r="R38" s="308">
        <f t="shared" si="7"/>
        <v>0</v>
      </c>
      <c r="S38" s="308">
        <f t="shared" si="7"/>
        <v>58586612</v>
      </c>
      <c r="T38" s="348">
        <f t="shared" si="8"/>
        <v>60577612</v>
      </c>
      <c r="U38" s="353">
        <f t="shared" si="9"/>
        <v>915860</v>
      </c>
      <c r="V38" s="353">
        <f t="shared" si="2"/>
        <v>0</v>
      </c>
      <c r="W38" s="353">
        <f t="shared" si="2"/>
        <v>0</v>
      </c>
      <c r="X38" s="353">
        <f t="shared" si="2"/>
        <v>0</v>
      </c>
      <c r="Y38" s="353">
        <f t="shared" si="2"/>
        <v>0</v>
      </c>
      <c r="Z38" s="353">
        <f t="shared" si="2"/>
        <v>26949841.52</v>
      </c>
      <c r="AA38" s="354">
        <f t="shared" si="10"/>
        <v>27865701.52</v>
      </c>
      <c r="AJ38" s="278">
        <v>8700</v>
      </c>
      <c r="AL38" s="309">
        <f t="shared" si="3"/>
        <v>0</v>
      </c>
    </row>
    <row r="39" spans="1:38" ht="15" x14ac:dyDescent="0.25">
      <c r="A39" s="344">
        <f>'Lahan sawah'!B14</f>
        <v>2014</v>
      </c>
      <c r="B39" s="374">
        <f>[1]Paser!$B19</f>
        <v>6428</v>
      </c>
      <c r="C39" s="375">
        <f>[1]Paser!$G19</f>
        <v>2595</v>
      </c>
      <c r="D39" s="345">
        <f t="shared" si="0"/>
        <v>9023</v>
      </c>
      <c r="E39" s="305">
        <f>G60</f>
        <v>587</v>
      </c>
      <c r="F39" s="306"/>
      <c r="G39" s="376">
        <f>[2]PASER!F20</f>
        <v>182156</v>
      </c>
      <c r="H39" s="307">
        <v>275</v>
      </c>
      <c r="I39" s="307"/>
      <c r="J39" s="307"/>
      <c r="K39" s="307"/>
      <c r="L39" s="307"/>
      <c r="M39" s="307">
        <v>322</v>
      </c>
      <c r="N39" s="308">
        <f t="shared" si="4"/>
        <v>1767700</v>
      </c>
      <c r="O39" s="308">
        <f t="shared" si="5"/>
        <v>0</v>
      </c>
      <c r="P39" s="310">
        <f t="shared" si="5"/>
        <v>0</v>
      </c>
      <c r="Q39" s="308">
        <f t="shared" si="6"/>
        <v>0</v>
      </c>
      <c r="R39" s="308">
        <f t="shared" si="7"/>
        <v>0</v>
      </c>
      <c r="S39" s="308">
        <f t="shared" si="7"/>
        <v>58654232</v>
      </c>
      <c r="T39" s="348">
        <f t="shared" si="8"/>
        <v>60421932</v>
      </c>
      <c r="U39" s="353">
        <f t="shared" si="9"/>
        <v>813142</v>
      </c>
      <c r="V39" s="353">
        <f t="shared" si="2"/>
        <v>0</v>
      </c>
      <c r="W39" s="353">
        <f t="shared" si="2"/>
        <v>0</v>
      </c>
      <c r="X39" s="353">
        <f t="shared" si="2"/>
        <v>0</v>
      </c>
      <c r="Y39" s="353">
        <f t="shared" si="2"/>
        <v>0</v>
      </c>
      <c r="Z39" s="353">
        <f t="shared" si="2"/>
        <v>26980946.720000003</v>
      </c>
      <c r="AA39" s="354">
        <f t="shared" si="10"/>
        <v>27794088.720000003</v>
      </c>
      <c r="AJ39" s="278">
        <v>8700</v>
      </c>
      <c r="AL39" s="309">
        <f t="shared" si="3"/>
        <v>0</v>
      </c>
    </row>
    <row r="40" spans="1:38" ht="15" x14ac:dyDescent="0.25">
      <c r="A40" s="344">
        <f>'Lahan sawah'!B15</f>
        <v>2015</v>
      </c>
      <c r="B40" s="374">
        <f>[1]Paser!$B20</f>
        <v>6090</v>
      </c>
      <c r="C40" s="375">
        <f>[1]Paser!$G20</f>
        <v>3283</v>
      </c>
      <c r="D40" s="345">
        <f t="shared" si="0"/>
        <v>9373</v>
      </c>
      <c r="E40" s="305">
        <f>H60</f>
        <v>613</v>
      </c>
      <c r="F40" s="306"/>
      <c r="G40" s="376">
        <f>[2]PASER!F21</f>
        <v>182145</v>
      </c>
      <c r="H40" s="307">
        <v>275</v>
      </c>
      <c r="I40" s="307"/>
      <c r="J40" s="307"/>
      <c r="K40" s="307"/>
      <c r="L40" s="307"/>
      <c r="M40" s="307">
        <v>322</v>
      </c>
      <c r="N40" s="308">
        <f t="shared" si="4"/>
        <v>1674750</v>
      </c>
      <c r="O40" s="308">
        <f t="shared" si="5"/>
        <v>0</v>
      </c>
      <c r="P40" s="310">
        <f t="shared" si="5"/>
        <v>0</v>
      </c>
      <c r="Q40" s="308">
        <f t="shared" si="6"/>
        <v>0</v>
      </c>
      <c r="R40" s="308">
        <f t="shared" si="7"/>
        <v>0</v>
      </c>
      <c r="S40" s="308">
        <f t="shared" si="7"/>
        <v>58650690</v>
      </c>
      <c r="T40" s="348">
        <f t="shared" si="8"/>
        <v>60325440</v>
      </c>
      <c r="U40" s="353">
        <f t="shared" si="9"/>
        <v>770385</v>
      </c>
      <c r="V40" s="353">
        <f t="shared" si="2"/>
        <v>0</v>
      </c>
      <c r="W40" s="353">
        <f t="shared" si="2"/>
        <v>0</v>
      </c>
      <c r="X40" s="353">
        <f t="shared" si="2"/>
        <v>0</v>
      </c>
      <c r="Y40" s="353">
        <f t="shared" si="2"/>
        <v>0</v>
      </c>
      <c r="Z40" s="353">
        <f t="shared" si="2"/>
        <v>26979317.400000002</v>
      </c>
      <c r="AA40" s="354">
        <f t="shared" si="10"/>
        <v>27749702.400000002</v>
      </c>
      <c r="AJ40" s="278">
        <v>8700</v>
      </c>
      <c r="AL40" s="309">
        <f t="shared" si="3"/>
        <v>0</v>
      </c>
    </row>
    <row r="41" spans="1:38" ht="15" x14ac:dyDescent="0.25">
      <c r="A41" s="344">
        <f>'Lahan sawah'!B16</f>
        <v>2016</v>
      </c>
      <c r="B41" s="374">
        <f>[1]Paser!$B21</f>
        <v>6785</v>
      </c>
      <c r="C41" s="375">
        <f>[1]Paser!$G21</f>
        <v>3491</v>
      </c>
      <c r="D41" s="345">
        <f t="shared" si="0"/>
        <v>10276</v>
      </c>
      <c r="E41" s="305">
        <f>I60</f>
        <v>671</v>
      </c>
      <c r="F41" s="306"/>
      <c r="G41" s="376">
        <f>[2]PASER!F22</f>
        <v>180329</v>
      </c>
      <c r="H41" s="307">
        <v>275</v>
      </c>
      <c r="I41" s="307"/>
      <c r="J41" s="307"/>
      <c r="K41" s="307"/>
      <c r="L41" s="307"/>
      <c r="M41" s="307">
        <v>0</v>
      </c>
      <c r="N41" s="308">
        <f t="shared" si="4"/>
        <v>1865875</v>
      </c>
      <c r="O41" s="308">
        <f t="shared" si="5"/>
        <v>0</v>
      </c>
      <c r="P41" s="308">
        <f t="shared" si="5"/>
        <v>0</v>
      </c>
      <c r="Q41" s="308">
        <f t="shared" si="6"/>
        <v>0</v>
      </c>
      <c r="R41" s="308">
        <f t="shared" si="7"/>
        <v>0</v>
      </c>
      <c r="S41" s="308">
        <f t="shared" si="7"/>
        <v>0</v>
      </c>
      <c r="T41" s="348">
        <f t="shared" si="8"/>
        <v>1865875</v>
      </c>
      <c r="U41" s="353">
        <f t="shared" si="9"/>
        <v>858302.5</v>
      </c>
      <c r="V41" s="353">
        <f t="shared" si="2"/>
        <v>0</v>
      </c>
      <c r="W41" s="353">
        <f t="shared" si="2"/>
        <v>0</v>
      </c>
      <c r="X41" s="353">
        <f t="shared" si="2"/>
        <v>0</v>
      </c>
      <c r="Y41" s="353">
        <f t="shared" si="2"/>
        <v>0</v>
      </c>
      <c r="Z41" s="353">
        <f t="shared" si="2"/>
        <v>0</v>
      </c>
      <c r="AA41" s="354">
        <f t="shared" si="10"/>
        <v>858302.5</v>
      </c>
      <c r="AJ41" s="278">
        <v>8700</v>
      </c>
      <c r="AL41" s="309">
        <f t="shared" si="3"/>
        <v>0</v>
      </c>
    </row>
    <row r="42" spans="1:38" ht="15" x14ac:dyDescent="0.25">
      <c r="A42" s="344">
        <f>'Lahan sawah'!B17</f>
        <v>2017</v>
      </c>
      <c r="B42" s="374">
        <f>[1]Paser!$B22</f>
        <v>8500</v>
      </c>
      <c r="C42" s="375">
        <f>[1]Paser!$G22</f>
        <v>3300</v>
      </c>
      <c r="D42" s="345">
        <f t="shared" si="0"/>
        <v>11800</v>
      </c>
      <c r="E42" s="305">
        <f>J60</f>
        <v>779</v>
      </c>
      <c r="F42" s="306"/>
      <c r="G42" s="376">
        <f>[2]PASER!F23</f>
        <v>185070.88888888888</v>
      </c>
      <c r="H42" s="307">
        <v>275</v>
      </c>
      <c r="I42" s="307"/>
      <c r="J42" s="307"/>
      <c r="K42" s="307"/>
      <c r="L42" s="307"/>
      <c r="M42" s="307">
        <v>0</v>
      </c>
      <c r="N42" s="308">
        <f t="shared" si="4"/>
        <v>2337500</v>
      </c>
      <c r="O42" s="308">
        <f t="shared" si="5"/>
        <v>0</v>
      </c>
      <c r="P42" s="308">
        <f t="shared" si="5"/>
        <v>0</v>
      </c>
      <c r="Q42" s="308">
        <f t="shared" si="6"/>
        <v>0</v>
      </c>
      <c r="R42" s="308">
        <f t="shared" si="7"/>
        <v>0</v>
      </c>
      <c r="S42" s="308">
        <f t="shared" si="7"/>
        <v>0</v>
      </c>
      <c r="T42" s="348">
        <f t="shared" si="8"/>
        <v>2337500</v>
      </c>
      <c r="U42" s="353">
        <f t="shared" si="9"/>
        <v>1075250</v>
      </c>
      <c r="V42" s="353">
        <f t="shared" si="2"/>
        <v>0</v>
      </c>
      <c r="W42" s="353">
        <f t="shared" si="2"/>
        <v>0</v>
      </c>
      <c r="X42" s="353">
        <f t="shared" si="2"/>
        <v>0</v>
      </c>
      <c r="Y42" s="353">
        <f t="shared" si="2"/>
        <v>0</v>
      </c>
      <c r="Z42" s="353">
        <f t="shared" si="2"/>
        <v>0</v>
      </c>
      <c r="AA42" s="354">
        <f t="shared" si="10"/>
        <v>1075250</v>
      </c>
      <c r="AJ42" s="278">
        <v>8700</v>
      </c>
      <c r="AL42" s="309">
        <f t="shared" si="3"/>
        <v>0</v>
      </c>
    </row>
    <row r="43" spans="1:38" ht="15" x14ac:dyDescent="0.25">
      <c r="A43" s="344">
        <f>'Lahan sawah'!B18</f>
        <v>2018</v>
      </c>
      <c r="B43" s="374">
        <f>[1]Paser!$B23</f>
        <v>9000</v>
      </c>
      <c r="C43" s="375">
        <f>[1]Paser!$G23</f>
        <v>3500</v>
      </c>
      <c r="D43" s="345">
        <f t="shared" si="0"/>
        <v>12500</v>
      </c>
      <c r="E43" s="305">
        <f>K60</f>
        <v>865</v>
      </c>
      <c r="F43" s="306">
        <f>D64</f>
        <v>0</v>
      </c>
      <c r="G43" s="376">
        <f>[2]PASER!F24</f>
        <v>189812.77777777775</v>
      </c>
      <c r="H43" s="307">
        <v>275</v>
      </c>
      <c r="I43" s="307"/>
      <c r="J43" s="307"/>
      <c r="K43" s="307"/>
      <c r="L43" s="307"/>
      <c r="M43" s="307">
        <v>0</v>
      </c>
      <c r="N43" s="308">
        <f>H43*B43</f>
        <v>2475000</v>
      </c>
      <c r="O43" s="308">
        <f t="shared" si="5"/>
        <v>0</v>
      </c>
      <c r="P43" s="308">
        <f t="shared" si="5"/>
        <v>0</v>
      </c>
      <c r="Q43" s="308">
        <f t="shared" si="6"/>
        <v>0</v>
      </c>
      <c r="R43" s="308">
        <f t="shared" si="7"/>
        <v>0</v>
      </c>
      <c r="S43" s="308">
        <f t="shared" si="7"/>
        <v>0</v>
      </c>
      <c r="T43" s="348">
        <f t="shared" si="8"/>
        <v>2475000</v>
      </c>
      <c r="U43" s="353">
        <f t="shared" si="9"/>
        <v>1138500</v>
      </c>
      <c r="V43" s="353">
        <f t="shared" si="2"/>
        <v>0</v>
      </c>
      <c r="W43" s="353">
        <f t="shared" si="2"/>
        <v>0</v>
      </c>
      <c r="X43" s="353">
        <f t="shared" si="2"/>
        <v>0</v>
      </c>
      <c r="Y43" s="353">
        <f t="shared" si="2"/>
        <v>0</v>
      </c>
      <c r="Z43" s="353">
        <f t="shared" si="2"/>
        <v>0</v>
      </c>
      <c r="AA43" s="354">
        <f t="shared" si="10"/>
        <v>1138500</v>
      </c>
      <c r="AJ43" s="278">
        <v>8700</v>
      </c>
      <c r="AK43" s="311" t="e">
        <f>((46/100)*AJ43)+((21/100)*#REF!)+((15/100)*#REF!)</f>
        <v>#REF!</v>
      </c>
      <c r="AL43" s="309">
        <f t="shared" si="3"/>
        <v>0</v>
      </c>
    </row>
    <row r="44" spans="1:38" ht="15" x14ac:dyDescent="0.25">
      <c r="A44" s="344">
        <f>'Lahan sawah'!B19</f>
        <v>2019</v>
      </c>
      <c r="B44" s="374">
        <f>[1]Paser!$B24</f>
        <v>9500</v>
      </c>
      <c r="C44" s="375">
        <f>[1]Paser!$G24</f>
        <v>3700</v>
      </c>
      <c r="D44" s="345">
        <f t="shared" si="0"/>
        <v>13200</v>
      </c>
      <c r="E44" s="305">
        <f>L60</f>
        <v>818</v>
      </c>
      <c r="F44" s="305">
        <f>E64</f>
        <v>0</v>
      </c>
      <c r="G44" s="376">
        <f>[2]PASER!F25</f>
        <v>194554.66666666663</v>
      </c>
      <c r="H44" s="307">
        <v>275</v>
      </c>
      <c r="I44" s="307"/>
      <c r="J44" s="307"/>
      <c r="K44" s="307"/>
      <c r="L44" s="307"/>
      <c r="M44" s="307">
        <v>0</v>
      </c>
      <c r="N44" s="308">
        <f t="shared" si="4"/>
        <v>2612500</v>
      </c>
      <c r="O44" s="308">
        <f>I44*C44</f>
        <v>0</v>
      </c>
      <c r="P44" s="308">
        <f t="shared" ref="P44:P46" si="11">J44*D44</f>
        <v>0</v>
      </c>
      <c r="Q44" s="308">
        <f t="shared" si="6"/>
        <v>0</v>
      </c>
      <c r="R44" s="308">
        <f t="shared" si="7"/>
        <v>0</v>
      </c>
      <c r="S44" s="308">
        <f t="shared" si="7"/>
        <v>0</v>
      </c>
      <c r="T44" s="348">
        <f t="shared" si="8"/>
        <v>2612500</v>
      </c>
      <c r="U44" s="353">
        <f t="shared" si="9"/>
        <v>1201750</v>
      </c>
      <c r="V44" s="353">
        <f t="shared" si="2"/>
        <v>0</v>
      </c>
      <c r="W44" s="353">
        <f t="shared" si="2"/>
        <v>0</v>
      </c>
      <c r="X44" s="353">
        <f t="shared" si="2"/>
        <v>0</v>
      </c>
      <c r="Y44" s="353">
        <f t="shared" si="2"/>
        <v>0</v>
      </c>
      <c r="Z44" s="353">
        <f t="shared" si="2"/>
        <v>0</v>
      </c>
      <c r="AA44" s="354">
        <f t="shared" si="10"/>
        <v>1201750</v>
      </c>
      <c r="AJ44" s="278">
        <v>8700</v>
      </c>
      <c r="AK44" s="311" t="e">
        <f>((46/100)*AJ44)+((21/100)*#REF!)+((15/100)*#REF!)</f>
        <v>#REF!</v>
      </c>
      <c r="AL44" s="309">
        <f t="shared" si="3"/>
        <v>0</v>
      </c>
    </row>
    <row r="45" spans="1:38" ht="15" x14ac:dyDescent="0.25">
      <c r="A45" s="344">
        <f>'Lahan sawah'!B20</f>
        <v>2020</v>
      </c>
      <c r="B45" s="374">
        <f>[1]Paser!$B25</f>
        <v>10000</v>
      </c>
      <c r="C45" s="375">
        <f>[1]Paser!$G25</f>
        <v>4000</v>
      </c>
      <c r="D45" s="345">
        <f t="shared" si="0"/>
        <v>14000</v>
      </c>
      <c r="E45" s="305">
        <f>M60</f>
        <v>971</v>
      </c>
      <c r="F45" s="305">
        <f>F64</f>
        <v>0</v>
      </c>
      <c r="G45" s="376">
        <f>[2]PASER!F26</f>
        <v>199296.5555555555</v>
      </c>
      <c r="H45" s="307">
        <v>275</v>
      </c>
      <c r="I45" s="307"/>
      <c r="J45" s="307"/>
      <c r="K45" s="307"/>
      <c r="L45" s="307"/>
      <c r="M45" s="307">
        <v>0</v>
      </c>
      <c r="N45" s="308">
        <f t="shared" si="4"/>
        <v>2750000</v>
      </c>
      <c r="O45" s="308">
        <f>I45*C45</f>
        <v>0</v>
      </c>
      <c r="P45" s="308">
        <f t="shared" si="11"/>
        <v>0</v>
      </c>
      <c r="Q45" s="308">
        <f t="shared" si="6"/>
        <v>0</v>
      </c>
      <c r="R45" s="308">
        <f t="shared" si="7"/>
        <v>0</v>
      </c>
      <c r="S45" s="308">
        <f t="shared" si="7"/>
        <v>0</v>
      </c>
      <c r="T45" s="348">
        <f t="shared" si="8"/>
        <v>2750000</v>
      </c>
      <c r="U45" s="353">
        <f t="shared" si="9"/>
        <v>1265000</v>
      </c>
      <c r="V45" s="353">
        <f t="shared" si="2"/>
        <v>0</v>
      </c>
      <c r="W45" s="353">
        <f t="shared" si="2"/>
        <v>0</v>
      </c>
      <c r="X45" s="353">
        <f t="shared" si="2"/>
        <v>0</v>
      </c>
      <c r="Y45" s="353">
        <f t="shared" si="2"/>
        <v>0</v>
      </c>
      <c r="Z45" s="353">
        <f t="shared" si="2"/>
        <v>0</v>
      </c>
      <c r="AA45" s="354">
        <f t="shared" si="10"/>
        <v>1265000</v>
      </c>
      <c r="AJ45" s="278">
        <v>8700</v>
      </c>
      <c r="AK45" s="311" t="e">
        <f>((46/100)*AJ45)+((21/100)*#REF!)+((15/100)*#REF!)</f>
        <v>#REF!</v>
      </c>
      <c r="AL45" s="309">
        <f t="shared" si="3"/>
        <v>0</v>
      </c>
    </row>
    <row r="46" spans="1:38" x14ac:dyDescent="0.25">
      <c r="A46" s="344">
        <f>'Lahan sawah'!B21</f>
        <v>2021</v>
      </c>
      <c r="B46" s="368"/>
      <c r="C46" s="368"/>
      <c r="D46" s="346">
        <f t="shared" ref="D46" si="12">B46+C46</f>
        <v>0</v>
      </c>
      <c r="E46" s="312"/>
      <c r="F46" s="305">
        <f>G64</f>
        <v>0</v>
      </c>
      <c r="G46" s="313"/>
      <c r="H46" s="307">
        <v>275</v>
      </c>
      <c r="I46" s="307"/>
      <c r="J46" s="307"/>
      <c r="K46" s="307"/>
      <c r="L46" s="307"/>
      <c r="M46" s="307">
        <v>0</v>
      </c>
      <c r="N46" s="308">
        <f t="shared" si="4"/>
        <v>0</v>
      </c>
      <c r="O46" s="308">
        <f>I46*C46</f>
        <v>0</v>
      </c>
      <c r="P46" s="308">
        <f t="shared" si="11"/>
        <v>0</v>
      </c>
      <c r="Q46" s="308">
        <f t="shared" si="6"/>
        <v>0</v>
      </c>
      <c r="R46" s="308">
        <f t="shared" si="7"/>
        <v>0</v>
      </c>
      <c r="S46" s="308">
        <f t="shared" si="7"/>
        <v>0</v>
      </c>
      <c r="T46" s="348">
        <f t="shared" si="8"/>
        <v>0</v>
      </c>
      <c r="U46" s="353">
        <f t="shared" si="9"/>
        <v>0</v>
      </c>
      <c r="V46" s="353">
        <f t="shared" si="2"/>
        <v>0</v>
      </c>
      <c r="W46" s="353">
        <f t="shared" si="2"/>
        <v>0</v>
      </c>
      <c r="X46" s="353">
        <f t="shared" si="2"/>
        <v>0</v>
      </c>
      <c r="Y46" s="353">
        <f t="shared" si="2"/>
        <v>0</v>
      </c>
      <c r="Z46" s="353">
        <f t="shared" si="2"/>
        <v>0</v>
      </c>
      <c r="AA46" s="354">
        <f t="shared" si="10"/>
        <v>0</v>
      </c>
      <c r="AJ46" s="278">
        <v>8700</v>
      </c>
      <c r="AK46" s="311" t="e">
        <f>((46/100)*AJ46)+((21/100)*#REF!)+((15/100)*#REF!)</f>
        <v>#REF!</v>
      </c>
      <c r="AL46" s="309">
        <f t="shared" si="3"/>
        <v>0</v>
      </c>
    </row>
    <row r="47" spans="1:38" x14ac:dyDescent="0.25">
      <c r="A47" s="344">
        <f>'Lahan sawah'!B22</f>
        <v>0</v>
      </c>
      <c r="B47" s="313"/>
      <c r="C47" s="313"/>
      <c r="D47" s="314"/>
      <c r="E47" s="313"/>
      <c r="F47" s="313"/>
      <c r="G47" s="313"/>
      <c r="H47" s="307"/>
      <c r="I47" s="307"/>
      <c r="J47" s="307"/>
      <c r="K47" s="307"/>
      <c r="L47" s="307"/>
      <c r="M47" s="307"/>
      <c r="N47" s="304"/>
      <c r="O47" s="304"/>
      <c r="P47" s="304"/>
      <c r="Q47" s="304"/>
      <c r="R47" s="304"/>
      <c r="S47" s="304"/>
      <c r="T47" s="304"/>
      <c r="U47" s="352"/>
      <c r="V47" s="352"/>
      <c r="W47" s="352"/>
      <c r="X47" s="352"/>
      <c r="Y47" s="352"/>
      <c r="Z47" s="352"/>
      <c r="AA47" s="352"/>
    </row>
    <row r="48" spans="1:38" x14ac:dyDescent="0.25">
      <c r="A48" s="344">
        <f>'Lahan sawah'!B23</f>
        <v>0</v>
      </c>
      <c r="B48" s="313"/>
      <c r="C48" s="313"/>
      <c r="D48" s="314"/>
      <c r="E48" s="313"/>
      <c r="F48" s="313"/>
      <c r="G48" s="313"/>
      <c r="H48" s="307"/>
      <c r="I48" s="307"/>
      <c r="J48" s="307"/>
      <c r="K48" s="307"/>
      <c r="L48" s="307"/>
      <c r="M48" s="307"/>
      <c r="N48" s="304"/>
      <c r="O48" s="304"/>
      <c r="P48" s="304"/>
      <c r="Q48" s="304"/>
      <c r="R48" s="304"/>
      <c r="S48" s="304"/>
      <c r="T48" s="304"/>
      <c r="U48" s="352"/>
      <c r="V48" s="352"/>
      <c r="W48" s="352"/>
      <c r="X48" s="352"/>
      <c r="Y48" s="352"/>
      <c r="Z48" s="352"/>
      <c r="AA48" s="352"/>
    </row>
    <row r="49" spans="1:27" x14ac:dyDescent="0.25">
      <c r="A49" s="344">
        <f>'Lahan sawah'!B24</f>
        <v>0</v>
      </c>
      <c r="B49" s="313"/>
      <c r="C49" s="313"/>
      <c r="D49" s="314"/>
      <c r="E49" s="313"/>
      <c r="F49" s="313"/>
      <c r="G49" s="313"/>
      <c r="H49" s="307"/>
      <c r="I49" s="307"/>
      <c r="J49" s="307"/>
      <c r="K49" s="307"/>
      <c r="L49" s="307"/>
      <c r="M49" s="307"/>
      <c r="N49" s="304"/>
      <c r="O49" s="304"/>
      <c r="P49" s="304"/>
      <c r="Q49" s="304"/>
      <c r="R49" s="304"/>
      <c r="S49" s="304"/>
      <c r="T49" s="304"/>
      <c r="U49" s="352"/>
      <c r="V49" s="352"/>
      <c r="W49" s="352"/>
      <c r="X49" s="352"/>
      <c r="Y49" s="352"/>
      <c r="Z49" s="352"/>
      <c r="AA49" s="352"/>
    </row>
    <row r="51" spans="1:27" ht="15" customHeight="1" x14ac:dyDescent="0.25">
      <c r="C51" s="313"/>
      <c r="D51" s="437" t="s">
        <v>410</v>
      </c>
      <c r="E51" s="437"/>
      <c r="F51" s="437"/>
      <c r="G51" s="437"/>
      <c r="H51" s="437"/>
      <c r="I51" s="437"/>
      <c r="J51" s="437"/>
      <c r="K51" s="437"/>
      <c r="L51" s="437"/>
      <c r="M51" s="437"/>
    </row>
    <row r="52" spans="1:27" x14ac:dyDescent="0.25">
      <c r="A52" s="347"/>
      <c r="C52" s="313"/>
      <c r="D52" s="315">
        <f>'Peternakan-CH4'!C26</f>
        <v>2011</v>
      </c>
      <c r="E52" s="315">
        <f>'Peternakan-CH4'!D26</f>
        <v>2012</v>
      </c>
      <c r="F52" s="315">
        <f>'Peternakan-CH4'!E26</f>
        <v>2013</v>
      </c>
      <c r="G52" s="315">
        <f>'Peternakan-CH4'!F26</f>
        <v>2014</v>
      </c>
      <c r="H52" s="315">
        <f>'Peternakan-CH4'!G26</f>
        <v>2015</v>
      </c>
      <c r="I52" s="315">
        <f>'Peternakan-CH4'!H26</f>
        <v>2016</v>
      </c>
      <c r="J52" s="315">
        <f>'Peternakan-CH4'!I26</f>
        <v>2017</v>
      </c>
      <c r="K52" s="315">
        <f>'Peternakan-CH4'!J26</f>
        <v>2018</v>
      </c>
      <c r="L52" s="315">
        <f>'Peternakan-CH4'!K26</f>
        <v>2019</v>
      </c>
      <c r="M52" s="315">
        <f>'Peternakan-CH4'!L26</f>
        <v>2020</v>
      </c>
      <c r="N52" s="278" t="s">
        <v>422</v>
      </c>
    </row>
    <row r="53" spans="1:27" ht="15" x14ac:dyDescent="0.25">
      <c r="A53" s="347"/>
      <c r="C53" s="313" t="s">
        <v>408</v>
      </c>
      <c r="D53" s="377">
        <f>[1]Paser!$Y$16</f>
        <v>151</v>
      </c>
      <c r="E53" s="377">
        <f>[1]Paser!$Y$17</f>
        <v>310</v>
      </c>
      <c r="F53" s="377">
        <f>[1]Paser!$Y$18</f>
        <v>248</v>
      </c>
      <c r="G53" s="377">
        <f>[1]Paser!$Y$19</f>
        <v>273</v>
      </c>
      <c r="H53" s="377">
        <f>[1]Paser!$Y$20</f>
        <v>334</v>
      </c>
      <c r="I53" s="377">
        <f>[1]Paser!$Y$21</f>
        <v>352</v>
      </c>
      <c r="J53" s="377">
        <f>[1]Paser!$Y$22</f>
        <v>344</v>
      </c>
      <c r="K53" s="377">
        <f>[1]Paser!$Y$23</f>
        <v>354</v>
      </c>
      <c r="L53" s="377">
        <f>[1]Paser!$Y$24</f>
        <v>265</v>
      </c>
      <c r="M53" s="377">
        <f>[1]Paser!$Y$25</f>
        <v>376</v>
      </c>
      <c r="N53" s="278" t="s">
        <v>421</v>
      </c>
    </row>
    <row r="54" spans="1:27" ht="15" x14ac:dyDescent="0.25">
      <c r="A54" s="347"/>
      <c r="C54" s="313" t="s">
        <v>409</v>
      </c>
      <c r="D54" s="377">
        <f>[1]Paser!$AC$16</f>
        <v>138</v>
      </c>
      <c r="E54" s="377">
        <f>[1]Paser!$AC$17</f>
        <v>77</v>
      </c>
      <c r="F54" s="377">
        <f>[1]Paser!$AC$18</f>
        <v>161</v>
      </c>
      <c r="G54" s="377">
        <f>[1]Paser!$AC$19</f>
        <v>76</v>
      </c>
      <c r="H54" s="377">
        <f>[1]Paser!$AC$20</f>
        <v>87</v>
      </c>
      <c r="I54" s="377">
        <f>[1]Paser!$AC$21</f>
        <v>171</v>
      </c>
      <c r="J54" s="377">
        <f>[1]Paser!$AC$22</f>
        <v>140</v>
      </c>
      <c r="K54" s="377">
        <f>[1]Paser!$AC$23</f>
        <v>176</v>
      </c>
      <c r="L54" s="377">
        <f>[1]Paser!$AC$24</f>
        <v>178</v>
      </c>
      <c r="M54" s="377">
        <f>[1]Paser!$AC$25</f>
        <v>180</v>
      </c>
    </row>
    <row r="55" spans="1:27" ht="15" x14ac:dyDescent="0.25">
      <c r="A55" s="347"/>
      <c r="C55" s="313" t="s">
        <v>412</v>
      </c>
      <c r="D55" s="377">
        <f>[1]Paser!$AB$16</f>
        <v>85</v>
      </c>
      <c r="E55" s="377">
        <f>[1]Paser!$AB$17</f>
        <v>84</v>
      </c>
      <c r="F55" s="377">
        <f>[1]Paser!$AB$18</f>
        <v>78</v>
      </c>
      <c r="G55" s="377">
        <f>[1]Paser!$AB$19</f>
        <v>52</v>
      </c>
      <c r="H55" s="377">
        <f>[1]Paser!$AB$20</f>
        <v>33</v>
      </c>
      <c r="I55" s="377">
        <f>[1]Paser!$AB$21</f>
        <v>55</v>
      </c>
      <c r="J55" s="377">
        <f>[1]Paser!$AB$22</f>
        <v>50</v>
      </c>
      <c r="K55" s="377">
        <f>[1]Paser!$AB$23</f>
        <v>55</v>
      </c>
      <c r="L55" s="377">
        <f>[1]Paser!$AB$24</f>
        <v>60</v>
      </c>
      <c r="M55" s="377">
        <f>[1]Paser!$AB$25</f>
        <v>65</v>
      </c>
    </row>
    <row r="56" spans="1:27" ht="15" x14ac:dyDescent="0.25">
      <c r="A56" s="347"/>
      <c r="C56" s="313" t="s">
        <v>413</v>
      </c>
      <c r="D56" s="377">
        <f>[1]Paser!$AD$16</f>
        <v>50</v>
      </c>
      <c r="E56" s="377">
        <f>[1]Paser!$AD$17</f>
        <v>13</v>
      </c>
      <c r="F56" s="377">
        <f>[1]Paser!$AD$18</f>
        <v>17</v>
      </c>
      <c r="G56" s="377">
        <f>[1]Paser!$AD$19</f>
        <v>22</v>
      </c>
      <c r="H56" s="377">
        <f>[1]Paser!$AD$20</f>
        <v>12</v>
      </c>
      <c r="I56" s="377">
        <f>[1]Paser!$AD$21</f>
        <v>16</v>
      </c>
      <c r="J56" s="377">
        <f>[1]Paser!$AD$22</f>
        <v>25</v>
      </c>
      <c r="K56" s="377">
        <f>[1]Paser!$AD$23</f>
        <v>30</v>
      </c>
      <c r="L56" s="377">
        <f>[1]Paser!$AD$24</f>
        <v>35</v>
      </c>
      <c r="M56" s="377">
        <f>[1]Paser!$AD$25</f>
        <v>40</v>
      </c>
    </row>
    <row r="57" spans="1:27" ht="15" x14ac:dyDescent="0.25">
      <c r="A57" s="347"/>
      <c r="C57" s="313" t="s">
        <v>411</v>
      </c>
      <c r="D57" s="377">
        <f>[1]Paser!$Z$16</f>
        <v>193</v>
      </c>
      <c r="E57" s="377">
        <f>[1]Paser!$Z$17</f>
        <v>136</v>
      </c>
      <c r="F57" s="377">
        <f>[1]Paser!$Z$18</f>
        <v>109</v>
      </c>
      <c r="G57" s="377">
        <f>[1]Paser!$Z$19</f>
        <v>97</v>
      </c>
      <c r="H57" s="377">
        <f>[1]Paser!$Z$20</f>
        <v>104</v>
      </c>
      <c r="I57" s="377">
        <f>[1]Paser!$Z$21</f>
        <v>55</v>
      </c>
      <c r="J57" s="377">
        <f>[1]Paser!$Z$22</f>
        <v>100</v>
      </c>
      <c r="K57" s="377">
        <f>[1]Paser!$Z$23</f>
        <v>120</v>
      </c>
      <c r="L57" s="377">
        <f>[1]Paser!$Z$24</f>
        <v>140</v>
      </c>
      <c r="M57" s="377">
        <f>[1]Paser!$Z$25</f>
        <v>160</v>
      </c>
    </row>
    <row r="58" spans="1:27" ht="15" x14ac:dyDescent="0.25">
      <c r="C58" s="313" t="s">
        <v>414</v>
      </c>
      <c r="D58" s="378">
        <f>[1]Paser!$AA$16</f>
        <v>150</v>
      </c>
      <c r="E58" s="378">
        <f>[1]Paser!$AA$17</f>
        <v>80</v>
      </c>
      <c r="F58" s="378">
        <f>[1]Paser!$AA$18</f>
        <v>122</v>
      </c>
      <c r="G58" s="378">
        <f>[1]Paser!$AA$19</f>
        <v>67</v>
      </c>
      <c r="H58" s="378">
        <f>[1]Paser!$AA$20</f>
        <v>43</v>
      </c>
      <c r="I58" s="378">
        <f>[1]Paser!$AA$21</f>
        <v>22</v>
      </c>
      <c r="J58" s="378">
        <f>[1]Paser!$AA$22</f>
        <v>120</v>
      </c>
      <c r="K58" s="378">
        <f>[1]Paser!$AA$23</f>
        <v>130</v>
      </c>
      <c r="L58" s="378">
        <f>[1]Paser!$AA$24</f>
        <v>140</v>
      </c>
      <c r="M58" s="378">
        <f>[1]Paser!$AA$25</f>
        <v>150</v>
      </c>
    </row>
    <row r="59" spans="1:27" ht="15" x14ac:dyDescent="0.25">
      <c r="C59" s="313" t="s">
        <v>415</v>
      </c>
      <c r="D59" s="369"/>
      <c r="E59" s="369"/>
      <c r="F59" s="370"/>
      <c r="G59" s="370"/>
      <c r="H59" s="370"/>
      <c r="I59" s="370"/>
      <c r="J59" s="370"/>
      <c r="K59" s="370"/>
      <c r="L59" s="370"/>
      <c r="M59" s="370"/>
    </row>
    <row r="60" spans="1:27" s="318" customFormat="1" x14ac:dyDescent="0.25">
      <c r="A60" s="317"/>
      <c r="C60" s="319" t="s">
        <v>416</v>
      </c>
      <c r="D60" s="320">
        <f>SUM(D53:D59)</f>
        <v>767</v>
      </c>
      <c r="E60" s="320">
        <f t="shared" ref="E60:G60" si="13">SUM(E53:E59)</f>
        <v>700</v>
      </c>
      <c r="F60" s="320">
        <f t="shared" si="13"/>
        <v>735</v>
      </c>
      <c r="G60" s="320">
        <f t="shared" si="13"/>
        <v>587</v>
      </c>
      <c r="H60" s="320">
        <f t="shared" ref="H60:M60" si="14">SUM(H53:H59)</f>
        <v>613</v>
      </c>
      <c r="I60" s="320">
        <f t="shared" si="14"/>
        <v>671</v>
      </c>
      <c r="J60" s="320">
        <f t="shared" si="14"/>
        <v>779</v>
      </c>
      <c r="K60" s="320">
        <f t="shared" si="14"/>
        <v>865</v>
      </c>
      <c r="L60" s="320">
        <f t="shared" si="14"/>
        <v>818</v>
      </c>
      <c r="M60" s="320">
        <f t="shared" si="14"/>
        <v>971</v>
      </c>
    </row>
    <row r="62" spans="1:27" ht="15" customHeight="1" x14ac:dyDescent="0.25">
      <c r="C62" s="313"/>
      <c r="D62" s="437" t="s">
        <v>410</v>
      </c>
      <c r="E62" s="437"/>
      <c r="F62" s="437"/>
      <c r="G62" s="437"/>
      <c r="H62" s="437"/>
      <c r="I62" s="437"/>
      <c r="J62" s="437"/>
      <c r="K62" s="437"/>
      <c r="L62" s="437"/>
      <c r="M62" s="437"/>
    </row>
    <row r="63" spans="1:27" x14ac:dyDescent="0.25">
      <c r="C63" s="313"/>
      <c r="D63" s="315">
        <v>2011</v>
      </c>
      <c r="E63" s="316">
        <v>2012</v>
      </c>
      <c r="F63" s="316">
        <v>2013</v>
      </c>
      <c r="G63" s="316">
        <v>2014</v>
      </c>
      <c r="H63" s="315">
        <v>2015</v>
      </c>
      <c r="I63" s="316">
        <v>2016</v>
      </c>
      <c r="J63" s="316">
        <v>2017</v>
      </c>
      <c r="K63" s="316">
        <v>2018</v>
      </c>
      <c r="L63" s="315">
        <v>2019</v>
      </c>
      <c r="M63" s="316">
        <v>2020</v>
      </c>
    </row>
    <row r="64" spans="1:27" x14ac:dyDescent="0.25">
      <c r="C64" s="319" t="s">
        <v>417</v>
      </c>
      <c r="D64" s="305"/>
      <c r="E64" s="305"/>
      <c r="F64" s="305"/>
      <c r="G64" s="305"/>
      <c r="H64" s="305"/>
      <c r="I64" s="305"/>
      <c r="J64" s="305"/>
      <c r="K64" s="305"/>
      <c r="L64" s="305"/>
      <c r="M64" s="305"/>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2017-10-17T15:11:45Z</dcterms:modified>
</cp:coreProperties>
</file>