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C37" i="7" l="1"/>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L32" i="1" l="1"/>
  <c r="L37" i="1" l="1"/>
  <c r="L36" i="1"/>
  <c r="L35" i="1"/>
  <c r="L34" i="1"/>
  <c r="L33" i="1"/>
  <c r="L31" i="1"/>
  <c r="L30" i="1"/>
  <c r="L29" i="1"/>
  <c r="L28" i="1"/>
  <c r="L27" i="1"/>
  <c r="K37" i="1"/>
  <c r="K36" i="1"/>
  <c r="K35" i="1"/>
  <c r="K34" i="1"/>
  <c r="K33" i="1"/>
  <c r="K32" i="1"/>
  <c r="K31" i="1"/>
  <c r="K30" i="1"/>
  <c r="K29" i="1"/>
  <c r="K28" i="1"/>
  <c r="K27" i="1"/>
  <c r="J37" i="1"/>
  <c r="J36" i="1"/>
  <c r="J35" i="1"/>
  <c r="J34" i="1"/>
  <c r="J33" i="1"/>
  <c r="J32" i="1"/>
  <c r="J31" i="1"/>
  <c r="J30" i="1"/>
  <c r="J29" i="1"/>
  <c r="J28" i="1"/>
  <c r="J27" i="1"/>
  <c r="I37" i="1"/>
  <c r="I36" i="1"/>
  <c r="I35" i="1"/>
  <c r="I34" i="1"/>
  <c r="I33" i="1"/>
  <c r="I32" i="1"/>
  <c r="I31" i="1"/>
  <c r="I30" i="1"/>
  <c r="I29" i="1"/>
  <c r="I28" i="1"/>
  <c r="I27"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E33" i="5" l="1"/>
  <c r="J33" i="5"/>
  <c r="M33" i="5" s="1"/>
  <c r="G37" i="13" l="1"/>
  <c r="S37" i="13" s="1"/>
  <c r="Z37" i="13" s="1"/>
  <c r="G38" i="13"/>
  <c r="S38" i="13" s="1"/>
  <c r="Z38" i="13" s="1"/>
  <c r="G39" i="13"/>
  <c r="S39" i="13" s="1"/>
  <c r="Z39" i="13" s="1"/>
  <c r="G40" i="13"/>
  <c r="S40" i="13" s="1"/>
  <c r="Z40" i="13" s="1"/>
  <c r="G41" i="13"/>
  <c r="S41" i="13" s="1"/>
  <c r="Z41" i="13" s="1"/>
  <c r="G42" i="13"/>
  <c r="S42" i="13" s="1"/>
  <c r="Z42" i="13" s="1"/>
  <c r="G43" i="13"/>
  <c r="S43" i="13" s="1"/>
  <c r="Z43" i="13" s="1"/>
  <c r="G44" i="13"/>
  <c r="S44" i="13" s="1"/>
  <c r="Z44" i="13" s="1"/>
  <c r="G45" i="13"/>
  <c r="S45" i="13" s="1"/>
  <c r="Z45" i="13" s="1"/>
  <c r="G36" i="13"/>
  <c r="S36" i="13" s="1"/>
  <c r="Z36" i="13" s="1"/>
  <c r="C37" i="13" l="1"/>
  <c r="C38" i="13"/>
  <c r="C39" i="13"/>
  <c r="C40" i="13"/>
  <c r="C41" i="13"/>
  <c r="C42" i="13"/>
  <c r="C43" i="13"/>
  <c r="C44" i="13"/>
  <c r="C45" i="13"/>
  <c r="C36" i="13"/>
  <c r="B37" i="13"/>
  <c r="B38" i="13"/>
  <c r="B39" i="13"/>
  <c r="B40" i="13"/>
  <c r="B41" i="13"/>
  <c r="B42" i="13"/>
  <c r="B43" i="13"/>
  <c r="B44" i="13"/>
  <c r="B45" i="13"/>
  <c r="B36" i="13"/>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I135" i="12"/>
  <c r="I88" i="14" s="1"/>
  <c r="E65" i="12"/>
  <c r="G133" i="12" s="1"/>
  <c r="G87" i="14" s="1"/>
  <c r="E64" i="12"/>
  <c r="E76" i="12"/>
  <c r="H133" i="12" s="1"/>
  <c r="H87" i="14" s="1"/>
  <c r="J132" i="12"/>
  <c r="E108" i="12"/>
  <c r="E75" i="12"/>
  <c r="E66" i="12" l="1"/>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<sst xmlns="http://schemas.openxmlformats.org/spreadsheetml/2006/main" count="2460" uniqueCount="519">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</sst>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rgb="FF000000"/>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502">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166" fontId="26" fillId="6" borderId="17" xfId="1" applyNumberFormat="1"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71" fontId="46" fillId="6" borderId="17" xfId="1" applyNumberFormat="1" applyFont="1" applyFill="1" applyBorder="1" applyAlignment="1">
      <alignment horizontal="right" vertical="center"/>
    </xf>
    <xf numFmtId="171" fontId="38" fillId="6" borderId="17" xfId="1" applyNumberFormat="1" applyFont="1" applyFill="1" applyBorder="1" applyAlignment="1">
      <alignment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3" fontId="42" fillId="6" borderId="24" xfId="0" applyNumberFormat="1" applyFont="1" applyFill="1" applyBorder="1" applyAlignment="1">
      <alignment horizontal="right" vertical="center" wrapText="1"/>
    </xf>
    <xf numFmtId="3" fontId="42" fillId="6" borderId="17" xfId="0" applyNumberFormat="1" applyFont="1" applyFill="1" applyBorder="1" applyAlignment="1">
      <alignment horizontal="right" vertical="center" wrapText="1"/>
    </xf>
    <xf numFmtId="164" fontId="42" fillId="6" borderId="17" xfId="8" applyFont="1" applyFill="1" applyBorder="1" applyAlignment="1">
      <alignment horizontal="righ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1" fillId="0" borderId="0" xfId="0" applyFont="1" applyAlignment="1">
      <alignment vertical="center"/>
    </xf>
    <xf numFmtId="0" fontId="31" fillId="0" borderId="0" xfId="5" applyFont="1" applyAlignment="1">
      <alignment horizontal="center" vertical="center"/>
    </xf>
    <xf numFmtId="0" fontId="1" fillId="0" borderId="0" xfId="0" applyFont="1" applyAlignment="1">
      <alignment horizontal="center" vertical="center"/>
    </xf>
    <xf numFmtId="166" fontId="1"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0" fontId="21" fillId="16" borderId="17" xfId="3" applyFill="1" applyBorder="1"/>
    <xf numFmtId="0" fontId="21" fillId="16" borderId="19" xfId="3" applyFill="1" applyBorder="1"/>
    <xf numFmtId="0" fontId="21" fillId="16" borderId="0" xfId="3" applyFill="1"/>
    <xf numFmtId="0" fontId="0" fillId="16" borderId="17" xfId="0" applyFill="1" applyBorder="1"/>
    <xf numFmtId="171" fontId="34" fillId="16" borderId="0" xfId="1" applyNumberFormat="1" applyFont="1" applyFill="1" applyBorder="1" applyAlignment="1">
      <alignment horizontal="right" vertical="center"/>
    </xf>
    <xf numFmtId="0" fontId="23" fillId="16" borderId="9" xfId="0" applyFont="1" applyFill="1" applyBorder="1"/>
    <xf numFmtId="0" fontId="25" fillId="16" borderId="9" xfId="0" applyFont="1" applyFill="1" applyBorder="1"/>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2"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1"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80.689089439545825</c:v>
                </c:pt>
                <c:pt idx="1">
                  <c:v>81.65735851282038</c:v>
                </c:pt>
                <c:pt idx="2">
                  <c:v>82.637246814974219</c:v>
                </c:pt>
                <c:pt idx="3">
                  <c:v>83.628893776753927</c:v>
                </c:pt>
                <c:pt idx="4">
                  <c:v>84.632440502074971</c:v>
                </c:pt>
                <c:pt idx="5">
                  <c:v>85.648029788099862</c:v>
                </c:pt>
                <c:pt idx="6">
                  <c:v>86.675806145557061</c:v>
                </c:pt>
                <c:pt idx="7">
                  <c:v>87.715915819303746</c:v>
                </c:pt>
                <c:pt idx="8">
                  <c:v>88.768506809135403</c:v>
                </c:pt>
                <c:pt idx="9">
                  <c:v>89.844479798984366</c:v>
                </c:pt>
              </c:numCache>
            </c:numRef>
          </c:yVal>
          <c:smooth val="0"/>
        </c:ser>
        <c:dLbls>
          <c:showLegendKey val="0"/>
          <c:showVal val="0"/>
          <c:showCatName val="0"/>
          <c:showSerName val="0"/>
          <c:showPercent val="0"/>
          <c:showBubbleSize val="0"/>
        </c:dLbls>
        <c:axId val="303814296"/>
        <c:axId val="303814688"/>
      </c:scatterChart>
      <c:valAx>
        <c:axId val="303814296"/>
        <c:scaling>
          <c:orientation val="minMax"/>
        </c:scaling>
        <c:delete val="0"/>
        <c:axPos val="b"/>
        <c:numFmt formatCode="General" sourceLinked="1"/>
        <c:majorTickMark val="out"/>
        <c:minorTickMark val="none"/>
        <c:tickLblPos val="nextTo"/>
        <c:txPr>
          <a:bodyPr/>
          <a:lstStyle/>
          <a:p>
            <a:pPr>
              <a:defRPr lang="en-US"/>
            </a:pPr>
            <a:endParaRPr lang="en-US"/>
          </a:p>
        </c:txPr>
        <c:crossAx val="303814688"/>
        <c:crosses val="autoZero"/>
        <c:crossBetween val="midCat"/>
      </c:valAx>
      <c:valAx>
        <c:axId val="303814688"/>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8142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547528"/>
        <c:axId val="307551056"/>
      </c:barChart>
      <c:catAx>
        <c:axId val="307547528"/>
        <c:scaling>
          <c:orientation val="minMax"/>
        </c:scaling>
        <c:delete val="0"/>
        <c:axPos val="b"/>
        <c:majorTickMark val="out"/>
        <c:minorTickMark val="none"/>
        <c:tickLblPos val="nextTo"/>
        <c:txPr>
          <a:bodyPr/>
          <a:lstStyle/>
          <a:p>
            <a:pPr>
              <a:defRPr lang="en-US"/>
            </a:pPr>
            <a:endParaRPr lang="en-US"/>
          </a:p>
        </c:txPr>
        <c:crossAx val="307551056"/>
        <c:crosses val="autoZero"/>
        <c:auto val="1"/>
        <c:lblAlgn val="ctr"/>
        <c:lblOffset val="100"/>
        <c:noMultiLvlLbl val="0"/>
      </c:catAx>
      <c:valAx>
        <c:axId val="3075510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475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16172238</c:v>
                </c:pt>
                <c:pt idx="1">
                  <c:v>16680067</c:v>
                </c:pt>
                <c:pt idx="2">
                  <c:v>17187896</c:v>
                </c:pt>
                <c:pt idx="3">
                  <c:v>17695725</c:v>
                </c:pt>
                <c:pt idx="4">
                  <c:v>18203554</c:v>
                </c:pt>
                <c:pt idx="5">
                  <c:v>18711383</c:v>
                </c:pt>
                <c:pt idx="6">
                  <c:v>19219212</c:v>
                </c:pt>
                <c:pt idx="7">
                  <c:v>19727041</c:v>
                </c:pt>
                <c:pt idx="8">
                  <c:v>20234870</c:v>
                </c:pt>
                <c:pt idx="9">
                  <c:v>20742699</c:v>
                </c:pt>
              </c:numCache>
            </c:numRef>
          </c:val>
        </c:ser>
        <c:dLbls>
          <c:showLegendKey val="0"/>
          <c:showVal val="0"/>
          <c:showCatName val="0"/>
          <c:showSerName val="0"/>
          <c:showPercent val="0"/>
          <c:showBubbleSize val="0"/>
        </c:dLbls>
        <c:gapWidth val="150"/>
        <c:axId val="307551840"/>
        <c:axId val="307552232"/>
      </c:barChart>
      <c:catAx>
        <c:axId val="307551840"/>
        <c:scaling>
          <c:orientation val="minMax"/>
        </c:scaling>
        <c:delete val="0"/>
        <c:axPos val="b"/>
        <c:majorTickMark val="out"/>
        <c:minorTickMark val="none"/>
        <c:tickLblPos val="nextTo"/>
        <c:txPr>
          <a:bodyPr/>
          <a:lstStyle/>
          <a:p>
            <a:pPr>
              <a:defRPr lang="en-US"/>
            </a:pPr>
            <a:endParaRPr lang="en-US"/>
          </a:p>
        </c:txPr>
        <c:crossAx val="307552232"/>
        <c:crosses val="autoZero"/>
        <c:auto val="1"/>
        <c:lblAlgn val="ctr"/>
        <c:lblOffset val="100"/>
        <c:noMultiLvlLbl val="0"/>
      </c:catAx>
      <c:valAx>
        <c:axId val="3075522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518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801496"/>
        <c:axId val="308801888"/>
      </c:barChart>
      <c:catAx>
        <c:axId val="308801496"/>
        <c:scaling>
          <c:orientation val="minMax"/>
        </c:scaling>
        <c:delete val="0"/>
        <c:axPos val="b"/>
        <c:majorTickMark val="out"/>
        <c:minorTickMark val="none"/>
        <c:tickLblPos val="nextTo"/>
        <c:txPr>
          <a:bodyPr/>
          <a:lstStyle/>
          <a:p>
            <a:pPr>
              <a:defRPr lang="en-US"/>
            </a:pPr>
            <a:endParaRPr lang="en-US"/>
          </a:p>
        </c:txPr>
        <c:crossAx val="308801888"/>
        <c:crosses val="autoZero"/>
        <c:auto val="1"/>
        <c:lblAlgn val="ctr"/>
        <c:lblOffset val="100"/>
        <c:noMultiLvlLbl val="0"/>
      </c:catAx>
      <c:valAx>
        <c:axId val="3088018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14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2742.55</c:v>
                </c:pt>
                <c:pt idx="1">
                  <c:v>2779.0749999999998</c:v>
                </c:pt>
                <c:pt idx="2">
                  <c:v>2815.6</c:v>
                </c:pt>
                <c:pt idx="3">
                  <c:v>2852.125</c:v>
                </c:pt>
                <c:pt idx="4">
                  <c:v>2888.65</c:v>
                </c:pt>
                <c:pt idx="5">
                  <c:v>2925.1750000000002</c:v>
                </c:pt>
                <c:pt idx="6">
                  <c:v>2961.7</c:v>
                </c:pt>
                <c:pt idx="7">
                  <c:v>2998.2249999999999</c:v>
                </c:pt>
                <c:pt idx="8">
                  <c:v>3034.75</c:v>
                </c:pt>
                <c:pt idx="9">
                  <c:v>3071.2749999999996</c:v>
                </c:pt>
              </c:numCache>
            </c:numRef>
          </c:val>
        </c:ser>
        <c:dLbls>
          <c:showLegendKey val="0"/>
          <c:showVal val="0"/>
          <c:showCatName val="0"/>
          <c:showSerName val="0"/>
          <c:showPercent val="0"/>
          <c:showBubbleSize val="0"/>
        </c:dLbls>
        <c:gapWidth val="150"/>
        <c:axId val="308802672"/>
        <c:axId val="308803064"/>
      </c:barChart>
      <c:catAx>
        <c:axId val="308802672"/>
        <c:scaling>
          <c:orientation val="minMax"/>
        </c:scaling>
        <c:delete val="0"/>
        <c:axPos val="b"/>
        <c:majorTickMark val="out"/>
        <c:minorTickMark val="none"/>
        <c:tickLblPos val="nextTo"/>
        <c:txPr>
          <a:bodyPr/>
          <a:lstStyle/>
          <a:p>
            <a:pPr>
              <a:defRPr lang="en-US"/>
            </a:pPr>
            <a:endParaRPr lang="en-US"/>
          </a:p>
        </c:txPr>
        <c:crossAx val="308803064"/>
        <c:crosses val="autoZero"/>
        <c:auto val="1"/>
        <c:lblAlgn val="ctr"/>
        <c:lblOffset val="100"/>
        <c:noMultiLvlLbl val="0"/>
      </c:catAx>
      <c:valAx>
        <c:axId val="3088030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8026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80.689089439545825</c:v>
                </c:pt>
                <c:pt idx="1">
                  <c:v>81.65735851282038</c:v>
                </c:pt>
                <c:pt idx="2">
                  <c:v>82.637246814974219</c:v>
                </c:pt>
                <c:pt idx="3">
                  <c:v>83.628893776753927</c:v>
                </c:pt>
                <c:pt idx="4">
                  <c:v>84.632440502074971</c:v>
                </c:pt>
                <c:pt idx="5">
                  <c:v>85.648029788099862</c:v>
                </c:pt>
                <c:pt idx="6">
                  <c:v>86.675806145557061</c:v>
                </c:pt>
                <c:pt idx="7">
                  <c:v>87.715915819303746</c:v>
                </c:pt>
                <c:pt idx="8">
                  <c:v>88.768506809135403</c:v>
                </c:pt>
                <c:pt idx="9">
                  <c:v>89.844479798984366</c:v>
                </c:pt>
              </c:numCache>
            </c:numRef>
          </c:yVal>
          <c:smooth val="0"/>
        </c:ser>
        <c:dLbls>
          <c:showLegendKey val="0"/>
          <c:showVal val="0"/>
          <c:showCatName val="0"/>
          <c:showSerName val="0"/>
          <c:showPercent val="0"/>
          <c:showBubbleSize val="0"/>
        </c:dLbls>
        <c:axId val="308803848"/>
        <c:axId val="308804240"/>
      </c:scatterChart>
      <c:valAx>
        <c:axId val="308803848"/>
        <c:scaling>
          <c:orientation val="minMax"/>
        </c:scaling>
        <c:delete val="0"/>
        <c:axPos val="b"/>
        <c:numFmt formatCode="General" sourceLinked="1"/>
        <c:majorTickMark val="out"/>
        <c:minorTickMark val="none"/>
        <c:tickLblPos val="nextTo"/>
        <c:txPr>
          <a:bodyPr/>
          <a:lstStyle/>
          <a:p>
            <a:pPr>
              <a:defRPr lang="en-US"/>
            </a:pPr>
            <a:endParaRPr lang="en-US"/>
          </a:p>
        </c:txPr>
        <c:crossAx val="308804240"/>
        <c:crosses val="autoZero"/>
        <c:crossBetween val="midCat"/>
      </c:valAx>
      <c:valAx>
        <c:axId val="3088042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038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118.27439219790725</c:v>
                </c:pt>
                <c:pt idx="1">
                  <c:v>119.69368490428214</c:v>
                </c:pt>
                <c:pt idx="2">
                  <c:v>121.13000912313353</c:v>
                </c:pt>
                <c:pt idx="3">
                  <c:v>122.58356923261113</c:v>
                </c:pt>
                <c:pt idx="4">
                  <c:v>124.05457206340246</c:v>
                </c:pt>
                <c:pt idx="5">
                  <c:v>125.54322692816329</c:v>
                </c:pt>
                <c:pt idx="6">
                  <c:v>127.04974565130125</c:v>
                </c:pt>
                <c:pt idx="7">
                  <c:v>128.57434259911687</c:v>
                </c:pt>
                <c:pt idx="8">
                  <c:v>130.11723471030626</c:v>
                </c:pt>
                <c:pt idx="9">
                  <c:v>131.69440025126954</c:v>
                </c:pt>
              </c:numCache>
            </c:numRef>
          </c:yVal>
          <c:smooth val="0"/>
        </c:ser>
        <c:dLbls>
          <c:showLegendKey val="0"/>
          <c:showVal val="0"/>
          <c:showCatName val="0"/>
          <c:showSerName val="0"/>
          <c:showPercent val="0"/>
          <c:showBubbleSize val="0"/>
        </c:dLbls>
        <c:axId val="308805024"/>
        <c:axId val="308805416"/>
      </c:scatterChart>
      <c:valAx>
        <c:axId val="308805024"/>
        <c:scaling>
          <c:orientation val="minMax"/>
        </c:scaling>
        <c:delete val="0"/>
        <c:axPos val="b"/>
        <c:numFmt formatCode="General" sourceLinked="1"/>
        <c:majorTickMark val="out"/>
        <c:minorTickMark val="none"/>
        <c:tickLblPos val="nextTo"/>
        <c:txPr>
          <a:bodyPr/>
          <a:lstStyle/>
          <a:p>
            <a:pPr>
              <a:defRPr lang="en-US"/>
            </a:pPr>
            <a:endParaRPr lang="en-US"/>
          </a:p>
        </c:txPr>
        <c:crossAx val="308805416"/>
        <c:crosses val="autoZero"/>
        <c:crossBetween val="midCat"/>
      </c:valAx>
      <c:valAx>
        <c:axId val="30880541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050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806200"/>
        <c:axId val="308806592"/>
      </c:scatterChart>
      <c:valAx>
        <c:axId val="308806200"/>
        <c:scaling>
          <c:orientation val="minMax"/>
        </c:scaling>
        <c:delete val="0"/>
        <c:axPos val="b"/>
        <c:numFmt formatCode="General" sourceLinked="1"/>
        <c:majorTickMark val="out"/>
        <c:minorTickMark val="none"/>
        <c:tickLblPos val="nextTo"/>
        <c:txPr>
          <a:bodyPr/>
          <a:lstStyle/>
          <a:p>
            <a:pPr>
              <a:defRPr lang="en-US"/>
            </a:pPr>
            <a:endParaRPr lang="en-US"/>
          </a:p>
        </c:txPr>
        <c:crossAx val="308806592"/>
        <c:crosses val="autoZero"/>
        <c:crossBetween val="midCat"/>
      </c:valAx>
      <c:valAx>
        <c:axId val="30880659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062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807376"/>
        <c:axId val="308807768"/>
      </c:scatterChart>
      <c:valAx>
        <c:axId val="308807376"/>
        <c:scaling>
          <c:orientation val="minMax"/>
        </c:scaling>
        <c:delete val="0"/>
        <c:axPos val="b"/>
        <c:numFmt formatCode="General" sourceLinked="1"/>
        <c:majorTickMark val="out"/>
        <c:minorTickMark val="none"/>
        <c:tickLblPos val="nextTo"/>
        <c:txPr>
          <a:bodyPr/>
          <a:lstStyle/>
          <a:p>
            <a:pPr>
              <a:defRPr lang="en-US"/>
            </a:pPr>
            <a:endParaRPr lang="en-US"/>
          </a:p>
        </c:txPr>
        <c:crossAx val="308807768"/>
        <c:crosses val="autoZero"/>
        <c:crossBetween val="midCat"/>
      </c:valAx>
      <c:valAx>
        <c:axId val="30880776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8073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47.477214361122584</c:v>
                </c:pt>
                <c:pt idx="1">
                  <c:v>48.046940933456078</c:v>
                </c:pt>
                <c:pt idx="2">
                  <c:v>48.623504224657538</c:v>
                </c:pt>
                <c:pt idx="3">
                  <c:v>49.206986275353451</c:v>
                </c:pt>
                <c:pt idx="4">
                  <c:v>49.797470110657677</c:v>
                </c:pt>
                <c:pt idx="5">
                  <c:v>50.395039751985571</c:v>
                </c:pt>
                <c:pt idx="6">
                  <c:v>50.99978022900941</c:v>
                </c:pt>
                <c:pt idx="7">
                  <c:v>51.611777591757516</c:v>
                </c:pt>
                <c:pt idx="8">
                  <c:v>52.231118922858606</c:v>
                </c:pt>
                <c:pt idx="9">
                  <c:v>52.86421815152336</c:v>
                </c:pt>
              </c:numCache>
            </c:numRef>
          </c:yVal>
          <c:smooth val="0"/>
        </c:ser>
        <c:dLbls>
          <c:showLegendKey val="0"/>
          <c:showVal val="0"/>
          <c:showCatName val="0"/>
          <c:showSerName val="0"/>
          <c:showPercent val="0"/>
          <c:showBubbleSize val="0"/>
        </c:dLbls>
        <c:axId val="308808552"/>
        <c:axId val="308808944"/>
      </c:scatterChart>
      <c:valAx>
        <c:axId val="308808552"/>
        <c:scaling>
          <c:orientation val="minMax"/>
        </c:scaling>
        <c:delete val="0"/>
        <c:axPos val="b"/>
        <c:numFmt formatCode="General" sourceLinked="1"/>
        <c:majorTickMark val="out"/>
        <c:minorTickMark val="none"/>
        <c:tickLblPos val="nextTo"/>
        <c:txPr>
          <a:bodyPr/>
          <a:lstStyle/>
          <a:p>
            <a:pPr>
              <a:defRPr lang="en-US"/>
            </a:pPr>
            <a:endParaRPr lang="en-US"/>
          </a:p>
        </c:txPr>
        <c:crossAx val="308808944"/>
        <c:crosses val="autoZero"/>
        <c:crossBetween val="midCat"/>
      </c:valAx>
      <c:valAx>
        <c:axId val="3088089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8085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1588.9567817514155</c:v>
                </c:pt>
                <c:pt idx="1">
                  <c:v>1639.2890067678511</c:v>
                </c:pt>
                <c:pt idx="2">
                  <c:v>1689.6212317842862</c:v>
                </c:pt>
                <c:pt idx="3">
                  <c:v>1739.9534568007209</c:v>
                </c:pt>
                <c:pt idx="4">
                  <c:v>1790.2856818171556</c:v>
                </c:pt>
                <c:pt idx="5">
                  <c:v>1840.6179068335907</c:v>
                </c:pt>
                <c:pt idx="6">
                  <c:v>1890.9501318500259</c:v>
                </c:pt>
                <c:pt idx="7">
                  <c:v>1941.2823568664608</c:v>
                </c:pt>
                <c:pt idx="8">
                  <c:v>1533.2555097568363</c:v>
                </c:pt>
                <c:pt idx="9">
                  <c:v>2041.9468068993303</c:v>
                </c:pt>
              </c:numCache>
            </c:numRef>
          </c:yVal>
          <c:smooth val="0"/>
        </c:ser>
        <c:dLbls>
          <c:showLegendKey val="0"/>
          <c:showVal val="0"/>
          <c:showCatName val="0"/>
          <c:showSerName val="0"/>
          <c:showPercent val="0"/>
          <c:showBubbleSize val="0"/>
        </c:dLbls>
        <c:axId val="308605280"/>
        <c:axId val="308605672"/>
      </c:scatterChart>
      <c:valAx>
        <c:axId val="308605280"/>
        <c:scaling>
          <c:orientation val="minMax"/>
        </c:scaling>
        <c:delete val="0"/>
        <c:axPos val="b"/>
        <c:numFmt formatCode="General" sourceLinked="1"/>
        <c:majorTickMark val="out"/>
        <c:minorTickMark val="none"/>
        <c:tickLblPos val="nextTo"/>
        <c:txPr>
          <a:bodyPr/>
          <a:lstStyle/>
          <a:p>
            <a:pPr>
              <a:defRPr lang="en-US"/>
            </a:pPr>
            <a:endParaRPr lang="en-US"/>
          </a:p>
        </c:txPr>
        <c:crossAx val="308605672"/>
        <c:crosses val="autoZero"/>
        <c:crossBetween val="midCat"/>
      </c:valAx>
      <c:valAx>
        <c:axId val="3086056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052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15810.123764069476</c:v>
                </c:pt>
                <c:pt idx="1">
                  <c:v>16837.482662954062</c:v>
                </c:pt>
                <c:pt idx="2">
                  <c:v>17864.860696840427</c:v>
                </c:pt>
                <c:pt idx="3">
                  <c:v>18892.258095348563</c:v>
                </c:pt>
                <c:pt idx="4">
                  <c:v>19919.675090853962</c:v>
                </c:pt>
                <c:pt idx="5">
                  <c:v>20947.111918520528</c:v>
                </c:pt>
                <c:pt idx="6">
                  <c:v>21974.568816334329</c:v>
                </c:pt>
                <c:pt idx="7">
                  <c:v>23002.046025136944</c:v>
                </c:pt>
                <c:pt idx="8">
                  <c:v>23571.184716534375</c:v>
                </c:pt>
                <c:pt idx="9">
                  <c:v>25057.080058578376</c:v>
                </c:pt>
              </c:numCache>
            </c:numRef>
          </c:val>
          <c:smooth val="0"/>
        </c:ser>
        <c:dLbls>
          <c:showLegendKey val="0"/>
          <c:showVal val="0"/>
          <c:showCatName val="0"/>
          <c:showSerName val="0"/>
          <c:showPercent val="0"/>
          <c:showBubbleSize val="0"/>
        </c:dLbls>
        <c:smooth val="0"/>
        <c:axId val="303815472"/>
        <c:axId val="303815864"/>
      </c:lineChart>
      <c:catAx>
        <c:axId val="303815472"/>
        <c:scaling>
          <c:orientation val="minMax"/>
        </c:scaling>
        <c:delete val="0"/>
        <c:axPos val="b"/>
        <c:numFmt formatCode="General" sourceLinked="1"/>
        <c:majorTickMark val="out"/>
        <c:minorTickMark val="none"/>
        <c:tickLblPos val="nextTo"/>
        <c:txPr>
          <a:bodyPr/>
          <a:lstStyle/>
          <a:p>
            <a:pPr>
              <a:defRPr lang="en-US"/>
            </a:pPr>
            <a:endParaRPr lang="en-US"/>
          </a:p>
        </c:txPr>
        <c:crossAx val="303815864"/>
        <c:crosses val="autoZero"/>
        <c:auto val="1"/>
        <c:lblAlgn val="ctr"/>
        <c:lblOffset val="100"/>
        <c:noMultiLvlLbl val="0"/>
      </c:catAx>
      <c:valAx>
        <c:axId val="3038158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1547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14088.285025619509</c:v>
                </c:pt>
                <c:pt idx="1">
                  <c:v>15063.717116007278</c:v>
                </c:pt>
                <c:pt idx="2">
                  <c:v>16039.149206395059</c:v>
                </c:pt>
                <c:pt idx="3">
                  <c:v>17014.581296782828</c:v>
                </c:pt>
                <c:pt idx="4">
                  <c:v>17990.013387170609</c:v>
                </c:pt>
                <c:pt idx="5">
                  <c:v>18965.445477558351</c:v>
                </c:pt>
                <c:pt idx="6">
                  <c:v>19940.877567946169</c:v>
                </c:pt>
                <c:pt idx="7">
                  <c:v>20916.309658333892</c:v>
                </c:pt>
                <c:pt idx="8">
                  <c:v>21891.74174872171</c:v>
                </c:pt>
                <c:pt idx="9">
                  <c:v>22867.17383910943</c:v>
                </c:pt>
              </c:numCache>
            </c:numRef>
          </c:yVal>
          <c:smooth val="0"/>
        </c:ser>
        <c:dLbls>
          <c:showLegendKey val="0"/>
          <c:showVal val="0"/>
          <c:showCatName val="0"/>
          <c:showSerName val="0"/>
          <c:showPercent val="0"/>
          <c:showBubbleSize val="0"/>
        </c:dLbls>
        <c:axId val="308606456"/>
        <c:axId val="308606848"/>
      </c:scatterChart>
      <c:valAx>
        <c:axId val="308606456"/>
        <c:scaling>
          <c:orientation val="minMax"/>
        </c:scaling>
        <c:delete val="0"/>
        <c:axPos val="b"/>
        <c:numFmt formatCode="General" sourceLinked="1"/>
        <c:majorTickMark val="out"/>
        <c:minorTickMark val="none"/>
        <c:tickLblPos val="nextTo"/>
        <c:txPr>
          <a:bodyPr/>
          <a:lstStyle/>
          <a:p>
            <a:pPr>
              <a:defRPr lang="en-US"/>
            </a:pPr>
            <a:endParaRPr lang="en-US"/>
          </a:p>
        </c:txPr>
        <c:crossAx val="308606848"/>
        <c:crosses val="autoZero"/>
        <c:crossBetween val="midCat"/>
      </c:valAx>
      <c:valAx>
        <c:axId val="3086068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064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56.489394085476086</c:v>
                </c:pt>
                <c:pt idx="1">
                  <c:v>57.167266814501822</c:v>
                </c:pt>
                <c:pt idx="2">
                  <c:v>57.853274016275833</c:v>
                </c:pt>
                <c:pt idx="3">
                  <c:v>58.547513304471153</c:v>
                </c:pt>
                <c:pt idx="4">
                  <c:v>59.250083464124806</c:v>
                </c:pt>
                <c:pt idx="5">
                  <c:v>59.961084465694285</c:v>
                </c:pt>
                <c:pt idx="6">
                  <c:v>60.680617479282638</c:v>
                </c:pt>
                <c:pt idx="7">
                  <c:v>61.408784889034017</c:v>
                </c:pt>
                <c:pt idx="8">
                  <c:v>62.145690307702431</c:v>
                </c:pt>
                <c:pt idx="9">
                  <c:v>62.89896516395725</c:v>
                </c:pt>
              </c:numCache>
            </c:numRef>
          </c:yVal>
          <c:smooth val="0"/>
        </c:ser>
        <c:dLbls>
          <c:showLegendKey val="0"/>
          <c:showVal val="0"/>
          <c:showCatName val="0"/>
          <c:showSerName val="0"/>
          <c:showPercent val="0"/>
          <c:showBubbleSize val="0"/>
        </c:dLbls>
        <c:axId val="308607632"/>
        <c:axId val="308608024"/>
      </c:scatterChart>
      <c:valAx>
        <c:axId val="308607632"/>
        <c:scaling>
          <c:orientation val="minMax"/>
        </c:scaling>
        <c:delete val="0"/>
        <c:axPos val="b"/>
        <c:numFmt formatCode="General" sourceLinked="1"/>
        <c:majorTickMark val="out"/>
        <c:minorTickMark val="none"/>
        <c:tickLblPos val="nextTo"/>
        <c:txPr>
          <a:bodyPr/>
          <a:lstStyle/>
          <a:p>
            <a:pPr>
              <a:defRPr lang="en-US"/>
            </a:pPr>
            <a:endParaRPr lang="en-US"/>
          </a:p>
        </c:txPr>
        <c:crossAx val="308608024"/>
        <c:crosses val="autoZero"/>
        <c:crossBetween val="midCat"/>
      </c:valAx>
      <c:valAx>
        <c:axId val="3086080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076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15810.123764069476</c:v>
                </c:pt>
                <c:pt idx="1">
                  <c:v>16837.482662954062</c:v>
                </c:pt>
                <c:pt idx="2">
                  <c:v>17864.860696840427</c:v>
                </c:pt>
                <c:pt idx="3">
                  <c:v>18892.258095348563</c:v>
                </c:pt>
                <c:pt idx="4">
                  <c:v>19919.675090853962</c:v>
                </c:pt>
                <c:pt idx="5">
                  <c:v>20947.111918520528</c:v>
                </c:pt>
                <c:pt idx="6">
                  <c:v>21974.568816334329</c:v>
                </c:pt>
                <c:pt idx="7">
                  <c:v>23002.046025136944</c:v>
                </c:pt>
                <c:pt idx="8">
                  <c:v>23571.184716534375</c:v>
                </c:pt>
                <c:pt idx="9">
                  <c:v>25057.080058578376</c:v>
                </c:pt>
              </c:numCache>
            </c:numRef>
          </c:yVal>
          <c:smooth val="0"/>
        </c:ser>
        <c:dLbls>
          <c:showLegendKey val="0"/>
          <c:showVal val="0"/>
          <c:showCatName val="0"/>
          <c:showSerName val="0"/>
          <c:showPercent val="0"/>
          <c:showBubbleSize val="0"/>
        </c:dLbls>
        <c:axId val="308608808"/>
        <c:axId val="308609200"/>
      </c:scatterChart>
      <c:valAx>
        <c:axId val="308608808"/>
        <c:scaling>
          <c:orientation val="minMax"/>
        </c:scaling>
        <c:delete val="0"/>
        <c:axPos val="b"/>
        <c:numFmt formatCode="General" sourceLinked="1"/>
        <c:majorTickMark val="out"/>
        <c:minorTickMark val="none"/>
        <c:tickLblPos val="nextTo"/>
        <c:txPr>
          <a:bodyPr/>
          <a:lstStyle/>
          <a:p>
            <a:pPr>
              <a:defRPr lang="en-US"/>
            </a:pPr>
            <a:endParaRPr lang="en-US"/>
          </a:p>
        </c:txPr>
        <c:crossAx val="308609200"/>
        <c:crosses val="autoZero"/>
        <c:crossBetween val="midCat"/>
      </c:valAx>
      <c:valAx>
        <c:axId val="3086092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088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610376"/>
        <c:axId val="308610768"/>
      </c:scatterChart>
      <c:valAx>
        <c:axId val="308610376"/>
        <c:scaling>
          <c:orientation val="minMax"/>
        </c:scaling>
        <c:delete val="0"/>
        <c:axPos val="b"/>
        <c:numFmt formatCode="General" sourceLinked="1"/>
        <c:majorTickMark val="out"/>
        <c:minorTickMark val="none"/>
        <c:tickLblPos val="nextTo"/>
        <c:txPr>
          <a:bodyPr/>
          <a:lstStyle/>
          <a:p>
            <a:pPr>
              <a:defRPr lang="en-US"/>
            </a:pPr>
            <a:endParaRPr lang="en-US"/>
          </a:p>
        </c:txPr>
        <c:crossAx val="308610768"/>
        <c:crosses val="autoZero"/>
        <c:crossBetween val="midCat"/>
      </c:valAx>
      <c:valAx>
        <c:axId val="3086107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6103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3816648"/>
        <c:axId val="303817040"/>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15810.123764069476</c:v>
                </c:pt>
                <c:pt idx="1">
                  <c:v>16837.482662954062</c:v>
                </c:pt>
                <c:pt idx="2">
                  <c:v>17864.860696840427</c:v>
                </c:pt>
                <c:pt idx="3">
                  <c:v>18892.258095348563</c:v>
                </c:pt>
                <c:pt idx="4">
                  <c:v>19919.675090853962</c:v>
                </c:pt>
                <c:pt idx="5">
                  <c:v>20947.111918520528</c:v>
                </c:pt>
                <c:pt idx="6">
                  <c:v>21974.568816334329</c:v>
                </c:pt>
                <c:pt idx="7">
                  <c:v>23002.046025136944</c:v>
                </c:pt>
                <c:pt idx="8">
                  <c:v>23571.184716534375</c:v>
                </c:pt>
                <c:pt idx="9">
                  <c:v>25057.080058578376</c:v>
                </c:pt>
                <c:pt idx="10">
                  <c:v>0</c:v>
                </c:pt>
              </c:numCache>
            </c:numRef>
          </c:yVal>
          <c:smooth val="0"/>
        </c:ser>
        <c:dLbls>
          <c:showLegendKey val="0"/>
          <c:showVal val="0"/>
          <c:showCatName val="0"/>
          <c:showSerName val="0"/>
          <c:showPercent val="0"/>
          <c:showBubbleSize val="0"/>
        </c:dLbls>
        <c:axId val="303816648"/>
        <c:axId val="303817040"/>
      </c:scatterChart>
      <c:catAx>
        <c:axId val="303816648"/>
        <c:scaling>
          <c:orientation val="minMax"/>
        </c:scaling>
        <c:delete val="0"/>
        <c:axPos val="b"/>
        <c:majorTickMark val="out"/>
        <c:minorTickMark val="none"/>
        <c:tickLblPos val="nextTo"/>
        <c:txPr>
          <a:bodyPr/>
          <a:lstStyle/>
          <a:p>
            <a:pPr>
              <a:defRPr lang="en-US"/>
            </a:pPr>
            <a:endParaRPr lang="en-US"/>
          </a:p>
        </c:txPr>
        <c:crossAx val="303817040"/>
        <c:crosses val="autoZero"/>
        <c:auto val="1"/>
        <c:lblAlgn val="ctr"/>
        <c:lblOffset val="100"/>
        <c:noMultiLvlLbl val="0"/>
      </c:catAx>
      <c:valAx>
        <c:axId val="3038170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3816648"/>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545176"/>
        <c:axId val="307545568"/>
      </c:barChart>
      <c:catAx>
        <c:axId val="307545176"/>
        <c:scaling>
          <c:orientation val="minMax"/>
        </c:scaling>
        <c:delete val="0"/>
        <c:axPos val="b"/>
        <c:majorTickMark val="out"/>
        <c:minorTickMark val="none"/>
        <c:tickLblPos val="nextTo"/>
        <c:txPr>
          <a:bodyPr/>
          <a:lstStyle/>
          <a:p>
            <a:pPr>
              <a:defRPr lang="en-US"/>
            </a:pPr>
            <a:endParaRPr lang="en-US"/>
          </a:p>
        </c:txPr>
        <c:crossAx val="307545568"/>
        <c:crosses val="autoZero"/>
        <c:auto val="1"/>
        <c:lblAlgn val="ctr"/>
        <c:lblOffset val="100"/>
        <c:noMultiLvlLbl val="0"/>
      </c:catAx>
      <c:valAx>
        <c:axId val="3075455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451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6936.0722976185598</c:v>
                </c:pt>
                <c:pt idx="1">
                  <c:v>7687.3965820211097</c:v>
                </c:pt>
                <c:pt idx="2">
                  <c:v>8438.7208664236696</c:v>
                </c:pt>
                <c:pt idx="3">
                  <c:v>9190.0451508262195</c:v>
                </c:pt>
                <c:pt idx="4">
                  <c:v>9941.3694352287803</c:v>
                </c:pt>
                <c:pt idx="5">
                  <c:v>10692.693719631299</c:v>
                </c:pt>
                <c:pt idx="6">
                  <c:v>11444.0180040339</c:v>
                </c:pt>
                <c:pt idx="7">
                  <c:v>12195.342288436401</c:v>
                </c:pt>
                <c:pt idx="8">
                  <c:v>12946.666572839</c:v>
                </c:pt>
                <c:pt idx="9">
                  <c:v>13697.990857241501</c:v>
                </c:pt>
              </c:numCache>
            </c:numRef>
          </c:val>
        </c:ser>
        <c:dLbls>
          <c:showLegendKey val="0"/>
          <c:showVal val="0"/>
          <c:showCatName val="0"/>
          <c:showSerName val="0"/>
          <c:showPercent val="0"/>
          <c:showBubbleSize val="0"/>
        </c:dLbls>
        <c:gapWidth val="150"/>
        <c:axId val="307546352"/>
        <c:axId val="307546744"/>
      </c:barChart>
      <c:catAx>
        <c:axId val="307546352"/>
        <c:scaling>
          <c:orientation val="minMax"/>
        </c:scaling>
        <c:delete val="0"/>
        <c:axPos val="b"/>
        <c:majorTickMark val="out"/>
        <c:minorTickMark val="none"/>
        <c:tickLblPos val="nextTo"/>
        <c:txPr>
          <a:bodyPr/>
          <a:lstStyle/>
          <a:p>
            <a:pPr>
              <a:defRPr lang="en-US"/>
            </a:pPr>
            <a:endParaRPr lang="en-US"/>
          </a:p>
        </c:txPr>
        <c:crossAx val="307546744"/>
        <c:crosses val="autoZero"/>
        <c:auto val="1"/>
        <c:lblAlgn val="ctr"/>
        <c:lblOffset val="100"/>
        <c:noMultiLvlLbl val="0"/>
      </c:catAx>
      <c:valAx>
        <c:axId val="3075467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463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307547920"/>
        <c:axId val="307548312"/>
      </c:barChart>
      <c:catAx>
        <c:axId val="307547920"/>
        <c:scaling>
          <c:orientation val="minMax"/>
        </c:scaling>
        <c:delete val="0"/>
        <c:axPos val="b"/>
        <c:majorTickMark val="out"/>
        <c:minorTickMark val="none"/>
        <c:tickLblPos val="nextTo"/>
        <c:txPr>
          <a:bodyPr/>
          <a:lstStyle/>
          <a:p>
            <a:pPr>
              <a:defRPr lang="en-US"/>
            </a:pPr>
            <a:endParaRPr lang="en-US"/>
          </a:p>
        </c:txPr>
        <c:crossAx val="307548312"/>
        <c:crosses val="autoZero"/>
        <c:auto val="1"/>
        <c:lblAlgn val="ctr"/>
        <c:lblOffset val="100"/>
        <c:noMultiLvlLbl val="0"/>
      </c:catAx>
      <c:valAx>
        <c:axId val="3075483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479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549096"/>
        <c:axId val="307549488"/>
      </c:barChart>
      <c:catAx>
        <c:axId val="307549096"/>
        <c:scaling>
          <c:orientation val="minMax"/>
        </c:scaling>
        <c:delete val="0"/>
        <c:axPos val="b"/>
        <c:majorTickMark val="out"/>
        <c:minorTickMark val="none"/>
        <c:tickLblPos val="nextTo"/>
        <c:txPr>
          <a:bodyPr/>
          <a:lstStyle/>
          <a:p>
            <a:pPr>
              <a:defRPr lang="en-US"/>
            </a:pPr>
            <a:endParaRPr lang="en-US"/>
          </a:p>
        </c:txPr>
        <c:crossAx val="307549488"/>
        <c:crosses val="autoZero"/>
        <c:auto val="1"/>
        <c:lblAlgn val="ctr"/>
        <c:lblOffset val="100"/>
        <c:noMultiLvlLbl val="0"/>
      </c:catAx>
      <c:valAx>
        <c:axId val="307549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549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2792.9659999999999</c:v>
                </c:pt>
                <c:pt idx="1">
                  <c:v>2837.1189999999997</c:v>
                </c:pt>
                <c:pt idx="2">
                  <c:v>2881.2719999999999</c:v>
                </c:pt>
                <c:pt idx="3">
                  <c:v>2925.4250000000002</c:v>
                </c:pt>
                <c:pt idx="4">
                  <c:v>2969.578</c:v>
                </c:pt>
                <c:pt idx="5">
                  <c:v>3013.7309999999998</c:v>
                </c:pt>
                <c:pt idx="6">
                  <c:v>3057.884</c:v>
                </c:pt>
                <c:pt idx="7">
                  <c:v>3102.0369999999998</c:v>
                </c:pt>
                <c:pt idx="8">
                  <c:v>3146.1899999999996</c:v>
                </c:pt>
                <c:pt idx="9">
                  <c:v>3190.3429999999998</c:v>
                </c:pt>
              </c:numCache>
            </c:numRef>
          </c:val>
        </c:ser>
        <c:dLbls>
          <c:showLegendKey val="0"/>
          <c:showVal val="0"/>
          <c:showCatName val="0"/>
          <c:showSerName val="0"/>
          <c:showPercent val="0"/>
          <c:showBubbleSize val="0"/>
        </c:dLbls>
        <c:gapWidth val="150"/>
        <c:axId val="303819000"/>
        <c:axId val="303818608"/>
      </c:barChart>
      <c:catAx>
        <c:axId val="303819000"/>
        <c:scaling>
          <c:orientation val="minMax"/>
        </c:scaling>
        <c:delete val="0"/>
        <c:axPos val="b"/>
        <c:majorTickMark val="out"/>
        <c:minorTickMark val="none"/>
        <c:tickLblPos val="nextTo"/>
        <c:txPr>
          <a:bodyPr/>
          <a:lstStyle/>
          <a:p>
            <a:pPr>
              <a:defRPr lang="en-US"/>
            </a:pPr>
            <a:endParaRPr lang="en-US"/>
          </a:p>
        </c:txPr>
        <c:crossAx val="303818608"/>
        <c:crosses val="autoZero"/>
        <c:auto val="1"/>
        <c:lblAlgn val="ctr"/>
        <c:lblOffset val="100"/>
        <c:noMultiLvlLbl val="0"/>
      </c:catAx>
      <c:valAx>
        <c:axId val="3038186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190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3817824"/>
        <c:axId val="307550272"/>
      </c:barChart>
      <c:catAx>
        <c:axId val="303817824"/>
        <c:scaling>
          <c:orientation val="minMax"/>
        </c:scaling>
        <c:delete val="0"/>
        <c:axPos val="b"/>
        <c:majorTickMark val="out"/>
        <c:minorTickMark val="none"/>
        <c:tickLblPos val="nextTo"/>
        <c:txPr>
          <a:bodyPr/>
          <a:lstStyle/>
          <a:p>
            <a:pPr>
              <a:defRPr lang="en-US"/>
            </a:pPr>
            <a:endParaRPr lang="en-US"/>
          </a:p>
        </c:txPr>
        <c:crossAx val="307550272"/>
        <c:crosses val="autoZero"/>
        <c:auto val="1"/>
        <c:lblAlgn val="ctr"/>
        <c:lblOffset val="100"/>
        <c:noMultiLvlLbl val="0"/>
      </c:catAx>
      <c:valAx>
        <c:axId val="307550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8178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row r="26">
          <cell r="B26">
            <v>100.86136179943227</v>
          </cell>
          <cell r="G26">
            <v>118.27439219790725</v>
          </cell>
          <cell r="N26">
            <v>6936.0722976185598</v>
          </cell>
          <cell r="O26"/>
          <cell r="P26"/>
          <cell r="Q26">
            <v>2792.9659999999999</v>
          </cell>
          <cell r="R26"/>
          <cell r="S26"/>
          <cell r="T26"/>
          <cell r="U26"/>
          <cell r="V26">
            <v>16172238</v>
          </cell>
          <cell r="W26"/>
          <cell r="X26">
            <v>2742.55</v>
          </cell>
          <cell r="Z26"/>
          <cell r="AA26"/>
          <cell r="AB26"/>
          <cell r="AC26"/>
          <cell r="AD26"/>
          <cell r="AE26"/>
        </row>
        <row r="27">
          <cell r="B27">
            <v>102.07169814102546</v>
          </cell>
          <cell r="G27">
            <v>119.69368490428214</v>
          </cell>
          <cell r="N27">
            <v>7687.3965820211097</v>
          </cell>
          <cell r="O27"/>
          <cell r="P27"/>
          <cell r="Q27">
            <v>2837.1189999999997</v>
          </cell>
          <cell r="R27"/>
          <cell r="S27"/>
          <cell r="T27"/>
          <cell r="U27"/>
          <cell r="V27">
            <v>16680067</v>
          </cell>
          <cell r="W27"/>
          <cell r="X27">
            <v>2779.0749999999998</v>
          </cell>
          <cell r="Z27"/>
          <cell r="AA27"/>
          <cell r="AB27"/>
          <cell r="AC27"/>
          <cell r="AD27"/>
          <cell r="AE27"/>
        </row>
        <row r="28">
          <cell r="B28">
            <v>103.29655851871777</v>
          </cell>
          <cell r="G28">
            <v>121.13000912313353</v>
          </cell>
          <cell r="N28">
            <v>8438.7208664236696</v>
          </cell>
          <cell r="O28"/>
          <cell r="P28"/>
          <cell r="Q28">
            <v>2881.2719999999999</v>
          </cell>
          <cell r="R28"/>
          <cell r="S28"/>
          <cell r="T28"/>
          <cell r="U28"/>
          <cell r="V28">
            <v>17187896</v>
          </cell>
          <cell r="W28"/>
          <cell r="X28">
            <v>2815.6</v>
          </cell>
          <cell r="Z28"/>
          <cell r="AA28"/>
          <cell r="AB28"/>
          <cell r="AC28"/>
          <cell r="AD28"/>
          <cell r="AE28"/>
        </row>
        <row r="29">
          <cell r="B29">
            <v>104.5361172209424</v>
          </cell>
          <cell r="G29">
            <v>122.58356923261113</v>
          </cell>
          <cell r="N29">
            <v>9190.0451508262195</v>
          </cell>
          <cell r="O29"/>
          <cell r="P29"/>
          <cell r="Q29">
            <v>2925.4250000000002</v>
          </cell>
          <cell r="R29"/>
          <cell r="S29"/>
          <cell r="T29"/>
          <cell r="U29"/>
          <cell r="V29">
            <v>17695725</v>
          </cell>
          <cell r="W29"/>
          <cell r="X29">
            <v>2852.125</v>
          </cell>
          <cell r="Z29"/>
          <cell r="AA29"/>
          <cell r="AB29"/>
          <cell r="AC29"/>
          <cell r="AD29"/>
          <cell r="AE29"/>
        </row>
        <row r="30">
          <cell r="B30">
            <v>105.7905506275937</v>
          </cell>
          <cell r="G30">
            <v>124.05457206340246</v>
          </cell>
          <cell r="N30">
            <v>9941.3694352287803</v>
          </cell>
          <cell r="O30"/>
          <cell r="P30"/>
          <cell r="Q30">
            <v>2969.578</v>
          </cell>
          <cell r="R30"/>
          <cell r="S30"/>
          <cell r="T30"/>
          <cell r="U30"/>
          <cell r="V30">
            <v>18203554</v>
          </cell>
          <cell r="W30"/>
          <cell r="X30">
            <v>2888.65</v>
          </cell>
          <cell r="Z30"/>
          <cell r="AA30"/>
          <cell r="AB30"/>
          <cell r="AC30"/>
          <cell r="AD30"/>
          <cell r="AE30"/>
        </row>
        <row r="31">
          <cell r="B31">
            <v>107.06003723512482</v>
          </cell>
          <cell r="G31">
            <v>125.54322692816329</v>
          </cell>
          <cell r="N31">
            <v>10692.693719631299</v>
          </cell>
          <cell r="O31"/>
          <cell r="P31"/>
          <cell r="Q31">
            <v>3013.7309999999998</v>
          </cell>
          <cell r="R31"/>
          <cell r="S31"/>
          <cell r="T31"/>
          <cell r="U31"/>
          <cell r="V31">
            <v>18711383</v>
          </cell>
          <cell r="W31"/>
          <cell r="X31">
            <v>2925.1750000000002</v>
          </cell>
          <cell r="Z31"/>
          <cell r="AA31"/>
          <cell r="AB31"/>
          <cell r="AC31"/>
          <cell r="AD31"/>
          <cell r="AE31"/>
        </row>
        <row r="32">
          <cell r="B32">
            <v>108.34475768194632</v>
          </cell>
          <cell r="G32">
            <v>127.04974565130125</v>
          </cell>
          <cell r="N32">
            <v>11444.0180040339</v>
          </cell>
          <cell r="O32"/>
          <cell r="P32"/>
          <cell r="Q32">
            <v>3057.884</v>
          </cell>
          <cell r="R32"/>
          <cell r="S32"/>
          <cell r="T32"/>
          <cell r="U32"/>
          <cell r="V32">
            <v>19219212</v>
          </cell>
          <cell r="W32"/>
          <cell r="X32">
            <v>2961.7</v>
          </cell>
          <cell r="Z32"/>
          <cell r="AA32"/>
          <cell r="AB32"/>
          <cell r="AC32"/>
          <cell r="AD32"/>
          <cell r="AE32"/>
        </row>
        <row r="33">
          <cell r="B33">
            <v>109.64489477412968</v>
          </cell>
          <cell r="G33">
            <v>128.57434259911687</v>
          </cell>
          <cell r="N33">
            <v>12195.342288436401</v>
          </cell>
          <cell r="O33"/>
          <cell r="P33"/>
          <cell r="Q33">
            <v>3102.0369999999998</v>
          </cell>
          <cell r="R33"/>
          <cell r="S33"/>
          <cell r="T33"/>
          <cell r="U33"/>
          <cell r="V33">
            <v>19727041</v>
          </cell>
          <cell r="W33"/>
          <cell r="X33">
            <v>2998.2249999999999</v>
          </cell>
          <cell r="Z33"/>
          <cell r="AA33"/>
          <cell r="AB33"/>
          <cell r="AC33"/>
          <cell r="AD33"/>
          <cell r="AE33"/>
        </row>
        <row r="34">
          <cell r="B34">
            <v>110.96063351141925</v>
          </cell>
          <cell r="G34">
            <v>130.11723471030626</v>
          </cell>
          <cell r="N34">
            <v>12946.666572839</v>
          </cell>
          <cell r="O34"/>
          <cell r="P34"/>
          <cell r="Q34">
            <v>3146.1899999999996</v>
          </cell>
          <cell r="R34"/>
          <cell r="S34"/>
          <cell r="T34"/>
          <cell r="U34"/>
          <cell r="V34">
            <v>20234870</v>
          </cell>
          <cell r="W34"/>
          <cell r="X34">
            <v>3034.75</v>
          </cell>
          <cell r="Z34"/>
          <cell r="AA34"/>
          <cell r="AB34"/>
          <cell r="AC34"/>
          <cell r="AD34"/>
          <cell r="AE34"/>
        </row>
        <row r="35">
          <cell r="B35">
            <v>112.30559974873046</v>
          </cell>
          <cell r="G35">
            <v>131.69440025126954</v>
          </cell>
          <cell r="N35">
            <v>13697.990857241501</v>
          </cell>
          <cell r="O35"/>
          <cell r="P35"/>
          <cell r="Q35">
            <v>3190.3429999999998</v>
          </cell>
          <cell r="R35"/>
          <cell r="S35"/>
          <cell r="T35"/>
          <cell r="U35"/>
          <cell r="V35">
            <v>20742699</v>
          </cell>
          <cell r="W35"/>
          <cell r="X35">
            <v>3071.2749999999996</v>
          </cell>
          <cell r="Z35"/>
          <cell r="AA35"/>
          <cell r="AB35"/>
          <cell r="AC35"/>
          <cell r="AD35"/>
          <cell r="AE35"/>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7">
          <cell r="F27">
            <v>98.096016046459908</v>
          </cell>
        </row>
        <row r="28">
          <cell r="F28">
            <v>125.17051647528285</v>
          </cell>
        </row>
        <row r="29">
          <cell r="F29">
            <v>159.71757902246091</v>
          </cell>
        </row>
        <row r="30">
          <cell r="F30">
            <v>203.79963083266011</v>
          </cell>
        </row>
        <row r="31">
          <cell r="F31">
            <v>260.04832894247431</v>
          </cell>
        </row>
        <row r="32">
          <cell r="F32">
            <v>331.82166773059726</v>
          </cell>
        </row>
        <row r="33">
          <cell r="F33">
            <v>423.40444802424213</v>
          </cell>
        </row>
        <row r="34">
          <cell r="F34">
            <v>540.26407567893295</v>
          </cell>
        </row>
        <row r="35">
          <cell r="F35">
            <v>689.37696056631842</v>
          </cell>
        </row>
        <row r="36">
          <cell r="F36">
            <v>879.64500168262236</v>
          </cell>
        </row>
      </sheetData>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5" t="s">
        <v>467</v>
      </c>
      <c r="G3" s="415"/>
      <c r="H3" s="415"/>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8" t="s">
        <v>65</v>
      </c>
      <c r="C18" s="409">
        <v>0.15</v>
      </c>
      <c r="D18" s="410">
        <v>0.15</v>
      </c>
      <c r="H18" s="34"/>
    </row>
    <row r="19" spans="1:8" x14ac:dyDescent="0.25">
      <c r="A19" s="57">
        <v>5</v>
      </c>
      <c r="B19" s="408" t="s">
        <v>23</v>
      </c>
      <c r="C19" s="409">
        <v>0.17</v>
      </c>
      <c r="D19" s="410">
        <v>0.17</v>
      </c>
      <c r="H19" s="34"/>
    </row>
    <row r="20" spans="1:8" x14ac:dyDescent="0.25">
      <c r="A20" s="57">
        <v>6</v>
      </c>
      <c r="B20" s="56" t="s">
        <v>66</v>
      </c>
      <c r="C20" s="58">
        <v>7</v>
      </c>
      <c r="H20" s="34"/>
    </row>
    <row r="21" spans="1:8" x14ac:dyDescent="0.25">
      <c r="A21" s="57">
        <v>7</v>
      </c>
      <c r="B21" s="408" t="s">
        <v>24</v>
      </c>
      <c r="C21" s="409">
        <v>1.64</v>
      </c>
      <c r="D21" s="410">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11" t="s">
        <v>86</v>
      </c>
      <c r="C32" s="411">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402"/>
      <c r="D3" s="496" t="s">
        <v>512</v>
      </c>
      <c r="E3" s="497" t="s">
        <v>513</v>
      </c>
      <c r="F3" s="497"/>
      <c r="G3" s="497"/>
      <c r="H3" s="497"/>
    </row>
    <row r="4" spans="3:8" x14ac:dyDescent="0.25">
      <c r="C4" s="402"/>
      <c r="D4" s="496"/>
      <c r="E4" s="403" t="s">
        <v>307</v>
      </c>
      <c r="F4" s="403" t="s">
        <v>514</v>
      </c>
      <c r="G4" s="403" t="s">
        <v>515</v>
      </c>
      <c r="H4" s="403" t="s">
        <v>516</v>
      </c>
    </row>
    <row r="5" spans="3:8" x14ac:dyDescent="0.25">
      <c r="C5" s="402"/>
      <c r="D5" s="402"/>
      <c r="E5" s="395"/>
      <c r="F5" s="395"/>
      <c r="G5" s="395"/>
      <c r="H5" s="395"/>
    </row>
    <row r="6" spans="3:8" x14ac:dyDescent="0.25">
      <c r="C6" s="404">
        <f>'Direct N2O'!A36</f>
        <v>2021</v>
      </c>
      <c r="D6" s="405">
        <f>'Direct N2O'!AA36*10^-3</f>
        <v>9.2792452855477698</v>
      </c>
      <c r="E6" s="406">
        <f>(0.0075*0.3)+(0.1*0.01)</f>
        <v>3.2499999999999999E-3</v>
      </c>
      <c r="F6" s="396">
        <f>D6*E6</f>
        <v>3.015754717803025E-2</v>
      </c>
      <c r="G6" s="396">
        <f>F6*44/28</f>
        <v>4.7390431279761822E-2</v>
      </c>
      <c r="H6" s="396">
        <f>G6*298</f>
        <v>14.122348521369023</v>
      </c>
    </row>
    <row r="7" spans="3:8" x14ac:dyDescent="0.25">
      <c r="C7" s="404">
        <f>'Direct N2O'!A37</f>
        <v>2022</v>
      </c>
      <c r="D7" s="405">
        <f>'Direct N2O'!AA37*10^-3</f>
        <v>9.3905962289743439</v>
      </c>
      <c r="E7" s="406">
        <f t="shared" ref="E7:E16" si="0">(0.0075*0.3)+(0.1*0.01)</f>
        <v>3.2499999999999999E-3</v>
      </c>
      <c r="F7" s="396">
        <f t="shared" ref="F7:F16" si="1">D7*E7</f>
        <v>3.0519437744166617E-2</v>
      </c>
      <c r="G7" s="396">
        <f t="shared" ref="G7:G16" si="2">F7*44/28</f>
        <v>4.7959116455118966E-2</v>
      </c>
      <c r="H7" s="396">
        <f t="shared" ref="H7:H16" si="3">G7*298</f>
        <v>14.291816703625452</v>
      </c>
    </row>
    <row r="8" spans="3:8" x14ac:dyDescent="0.25">
      <c r="C8" s="404">
        <f>'Direct N2O'!A38</f>
        <v>2023</v>
      </c>
      <c r="D8" s="405">
        <f>'Direct N2O'!AA38*10^-3</f>
        <v>9.5032833837220352</v>
      </c>
      <c r="E8" s="406">
        <f t="shared" si="0"/>
        <v>3.2499999999999999E-3</v>
      </c>
      <c r="F8" s="396">
        <f t="shared" si="1"/>
        <v>3.0885670997096614E-2</v>
      </c>
      <c r="G8" s="396">
        <f t="shared" si="2"/>
        <v>4.8534625852580393E-2</v>
      </c>
      <c r="H8" s="396">
        <f t="shared" si="3"/>
        <v>14.463318504068956</v>
      </c>
    </row>
    <row r="9" spans="3:8" x14ac:dyDescent="0.25">
      <c r="C9" s="404">
        <f>'Direct N2O'!A39</f>
        <v>2024</v>
      </c>
      <c r="D9" s="405">
        <f>'Direct N2O'!AA39*10^-3</f>
        <v>9.6173227843267011</v>
      </c>
      <c r="E9" s="406">
        <f t="shared" si="0"/>
        <v>3.2499999999999999E-3</v>
      </c>
      <c r="F9" s="396">
        <f t="shared" si="1"/>
        <v>3.1256299049061777E-2</v>
      </c>
      <c r="G9" s="396">
        <f t="shared" si="2"/>
        <v>4.9117041362811364E-2</v>
      </c>
      <c r="H9" s="396">
        <f t="shared" si="3"/>
        <v>14.636878326117786</v>
      </c>
    </row>
    <row r="10" spans="3:8" x14ac:dyDescent="0.25">
      <c r="C10" s="404">
        <f>'Direct N2O'!A40</f>
        <v>2025</v>
      </c>
      <c r="D10" s="405">
        <f>'Direct N2O'!AA40*10^-3</f>
        <v>9.7327306577386228</v>
      </c>
      <c r="E10" s="406">
        <f t="shared" si="0"/>
        <v>3.2499999999999999E-3</v>
      </c>
      <c r="F10" s="396">
        <f t="shared" si="1"/>
        <v>3.1631374637650519E-2</v>
      </c>
      <c r="G10" s="396">
        <f t="shared" si="2"/>
        <v>4.9706445859165102E-2</v>
      </c>
      <c r="H10" s="396">
        <f t="shared" si="3"/>
        <v>14.8125208660312</v>
      </c>
    </row>
    <row r="11" spans="3:8" x14ac:dyDescent="0.25">
      <c r="C11" s="404">
        <f>'Direct N2O'!A41</f>
        <v>2026</v>
      </c>
      <c r="D11" s="405">
        <f>'Direct N2O'!AA41*10^-3</f>
        <v>9.8495234256314834</v>
      </c>
      <c r="E11" s="406">
        <f t="shared" si="0"/>
        <v>3.2499999999999999E-3</v>
      </c>
      <c r="F11" s="396">
        <f t="shared" si="1"/>
        <v>3.2010951133302316E-2</v>
      </c>
      <c r="G11" s="396">
        <f t="shared" si="2"/>
        <v>5.0302923209475069E-2</v>
      </c>
      <c r="H11" s="396">
        <f t="shared" si="3"/>
        <v>14.990271116423571</v>
      </c>
    </row>
    <row r="12" spans="3:8" x14ac:dyDescent="0.25">
      <c r="C12" s="404">
        <f>'Direct N2O'!A42</f>
        <v>2027</v>
      </c>
      <c r="D12" s="405">
        <f>'Direct N2O'!AA42*10^-3</f>
        <v>9.9677177067390623</v>
      </c>
      <c r="E12" s="406">
        <f t="shared" si="0"/>
        <v>3.2499999999999999E-3</v>
      </c>
      <c r="F12" s="396">
        <f t="shared" si="1"/>
        <v>3.2395082546901953E-2</v>
      </c>
      <c r="G12" s="396">
        <f t="shared" si="2"/>
        <v>5.0906558287988783E-2</v>
      </c>
      <c r="H12" s="396">
        <f t="shared" si="3"/>
        <v>15.170154369820658</v>
      </c>
    </row>
    <row r="13" spans="3:8" x14ac:dyDescent="0.25">
      <c r="C13" s="404">
        <f>'Direct N2O'!A43</f>
        <v>2028</v>
      </c>
      <c r="D13" s="405">
        <f>'Direct N2O'!AA43*10^-3</f>
        <v>10.087330319219932</v>
      </c>
      <c r="E13" s="406">
        <f t="shared" si="0"/>
        <v>3.2499999999999999E-3</v>
      </c>
      <c r="F13" s="396">
        <f t="shared" si="1"/>
        <v>3.2783823537464778E-2</v>
      </c>
      <c r="G13" s="396">
        <f t="shared" si="2"/>
        <v>5.1517436987444654E-2</v>
      </c>
      <c r="H13" s="396">
        <f t="shared" si="3"/>
        <v>15.352196222258506</v>
      </c>
    </row>
    <row r="14" spans="3:8" x14ac:dyDescent="0.25">
      <c r="C14" s="404">
        <f>'Direct N2O'!A44</f>
        <v>2029</v>
      </c>
      <c r="D14" s="405">
        <f>'Direct N2O'!AA44*10^-3</f>
        <v>10.208378283050571</v>
      </c>
      <c r="E14" s="406">
        <f t="shared" si="0"/>
        <v>3.2499999999999999E-3</v>
      </c>
      <c r="F14" s="396">
        <f t="shared" si="1"/>
        <v>3.3177229419914356E-2</v>
      </c>
      <c r="G14" s="396">
        <f t="shared" si="2"/>
        <v>5.2135646231293985E-2</v>
      </c>
      <c r="H14" s="396">
        <f t="shared" si="3"/>
        <v>15.536422576925608</v>
      </c>
    </row>
    <row r="15" spans="3:8" x14ac:dyDescent="0.25">
      <c r="C15" s="404">
        <f>'Direct N2O'!A45</f>
        <v>2030</v>
      </c>
      <c r="D15" s="405">
        <f>'Direct N2O'!AA45*10^-3</f>
        <v>10.332115176883203</v>
      </c>
      <c r="E15" s="406">
        <f t="shared" si="0"/>
        <v>3.2499999999999999E-3</v>
      </c>
      <c r="F15" s="396">
        <f t="shared" si="1"/>
        <v>3.357937432487041E-2</v>
      </c>
      <c r="G15" s="396">
        <f t="shared" si="2"/>
        <v>5.2767588224796359E-2</v>
      </c>
      <c r="H15" s="396">
        <f t="shared" si="3"/>
        <v>15.724741290989314</v>
      </c>
    </row>
    <row r="16" spans="3:8" x14ac:dyDescent="0.25">
      <c r="C16" s="404">
        <f>'Direct N2O'!A46</f>
        <v>2031</v>
      </c>
      <c r="D16" s="405">
        <f>'Direct N2O'!AA46*10^-3</f>
        <v>0</v>
      </c>
      <c r="E16" s="406">
        <f t="shared" si="0"/>
        <v>3.2499999999999999E-3</v>
      </c>
      <c r="F16" s="396">
        <f t="shared" si="1"/>
        <v>0</v>
      </c>
      <c r="G16" s="396">
        <f t="shared" si="2"/>
        <v>0</v>
      </c>
      <c r="H16" s="396">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K141" sqref="K141"/>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2.260819731482028E-3</v>
      </c>
      <c r="C5" s="68"/>
      <c r="D5" s="68"/>
      <c r="E5" s="233">
        <f>B5*21*10^3</f>
        <v>47.477214361122584</v>
      </c>
    </row>
    <row r="6" spans="1:5" x14ac:dyDescent="0.25">
      <c r="A6" s="68" t="s">
        <v>395</v>
      </c>
      <c r="B6" s="232">
        <f>'Peternakan-CH4'!H23</f>
        <v>0.67087071550569088</v>
      </c>
      <c r="C6" s="68"/>
      <c r="D6" s="68"/>
      <c r="E6" s="233">
        <f>B6*21*10^3</f>
        <v>14088.285025619509</v>
      </c>
    </row>
    <row r="7" spans="1:5" x14ac:dyDescent="0.25">
      <c r="A7" s="68" t="s">
        <v>359</v>
      </c>
      <c r="B7" s="68"/>
      <c r="C7" s="232">
        <f>'Peternakan-N2O'!K23+'Peternakan-N2O'!Y23</f>
        <v>5332.0697374208576</v>
      </c>
      <c r="D7" s="68"/>
      <c r="E7" s="233">
        <f>C7*298*10^-3</f>
        <v>1588.9567817514155</v>
      </c>
    </row>
    <row r="8" spans="1:5" x14ac:dyDescent="0.25">
      <c r="A8" s="68" t="s">
        <v>360</v>
      </c>
      <c r="B8" s="68"/>
      <c r="C8" s="68"/>
      <c r="D8" s="68">
        <f>'Kapur pertanian-CO2'!G15</f>
        <v>0</v>
      </c>
      <c r="E8" s="233">
        <f>D8*44/12</f>
        <v>0</v>
      </c>
    </row>
    <row r="9" spans="1:5" x14ac:dyDescent="0.25">
      <c r="A9" s="68" t="s">
        <v>361</v>
      </c>
      <c r="B9" s="68"/>
      <c r="C9" s="68"/>
      <c r="D9" s="234">
        <f>'Pupuk Urea-CO2'!E11</f>
        <v>4.0344544719772912</v>
      </c>
      <c r="E9" s="233">
        <f>D9*44/12</f>
        <v>14.792999730583402</v>
      </c>
    </row>
    <row r="10" spans="1:5" x14ac:dyDescent="0.25">
      <c r="A10" s="68" t="s">
        <v>394</v>
      </c>
      <c r="B10" s="68"/>
      <c r="C10" s="234">
        <f>'Direct N2O'!G19</f>
        <v>189.56172511904728</v>
      </c>
      <c r="D10" s="68"/>
      <c r="E10" s="235">
        <f>C10*298*10^-3</f>
        <v>56.489394085476086</v>
      </c>
    </row>
    <row r="11" spans="1:5" x14ac:dyDescent="0.25">
      <c r="A11" s="68"/>
      <c r="B11" s="68"/>
      <c r="C11" s="68"/>
      <c r="D11" s="68" t="s">
        <v>445</v>
      </c>
      <c r="E11" s="233">
        <f>SUM(E5:E10)</f>
        <v>15796.001415548108</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2.2879495682598134E-3</v>
      </c>
      <c r="C16" s="68"/>
      <c r="D16" s="68"/>
      <c r="E16" s="233">
        <f>B16*21*10^3</f>
        <v>48.046940933456078</v>
      </c>
    </row>
    <row r="17" spans="1:5" x14ac:dyDescent="0.25">
      <c r="A17" s="68" t="s">
        <v>395</v>
      </c>
      <c r="B17" s="232">
        <f>'Peternakan-CH4'!P23</f>
        <v>0.7173198626670132</v>
      </c>
      <c r="C17" s="68"/>
      <c r="D17" s="68"/>
      <c r="E17" s="233">
        <f>B17*21*10^3</f>
        <v>15063.717116007278</v>
      </c>
    </row>
    <row r="18" spans="1:5" x14ac:dyDescent="0.25">
      <c r="A18" s="68" t="s">
        <v>359</v>
      </c>
      <c r="B18" s="68"/>
      <c r="C18" s="232">
        <f>'Peternakan-N2O'!AK23+'Peternakan-N2O'!AY23</f>
        <v>5500.9698213686279</v>
      </c>
      <c r="D18" s="68"/>
      <c r="E18" s="233">
        <f>C18*298*10^-3</f>
        <v>1639.2890067678511</v>
      </c>
    </row>
    <row r="19" spans="1:5" x14ac:dyDescent="0.25">
      <c r="A19" s="68" t="s">
        <v>360</v>
      </c>
      <c r="B19" s="68"/>
      <c r="C19" s="68"/>
      <c r="D19" s="68">
        <f>'Kapur pertanian-CO2'!G26</f>
        <v>0</v>
      </c>
      <c r="E19" s="233">
        <f>D19*44/12</f>
        <v>0</v>
      </c>
    </row>
    <row r="20" spans="1:5" x14ac:dyDescent="0.25">
      <c r="A20" s="68" t="s">
        <v>361</v>
      </c>
      <c r="B20" s="68"/>
      <c r="C20" s="68"/>
      <c r="D20" s="234">
        <f>'Pupuk Urea-CO2'!E12</f>
        <v>4.0828679256410183</v>
      </c>
      <c r="E20" s="233">
        <f>D20*44/12</f>
        <v>14.970515727350401</v>
      </c>
    </row>
    <row r="21" spans="1:5" x14ac:dyDescent="0.25">
      <c r="A21" s="68" t="s">
        <v>394</v>
      </c>
      <c r="B21" s="68"/>
      <c r="C21" s="234">
        <f>'Direct N2O'!J19</f>
        <v>191.83646582047589</v>
      </c>
      <c r="D21" s="68"/>
      <c r="E21" s="235">
        <f>C21*298*10^-3</f>
        <v>57.167266814501822</v>
      </c>
    </row>
    <row r="22" spans="1:5" x14ac:dyDescent="0.25">
      <c r="A22" s="68"/>
      <c r="B22" s="68"/>
      <c r="C22" s="68"/>
      <c r="D22" s="68" t="s">
        <v>446</v>
      </c>
      <c r="E22" s="233">
        <f>SUM(E16:E21)</f>
        <v>16823.190846250436</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2.3154049630789305E-3</v>
      </c>
      <c r="C27" s="68"/>
      <c r="D27" s="68"/>
      <c r="E27" s="233">
        <f>B27*21*10^3</f>
        <v>48.623504224657538</v>
      </c>
    </row>
    <row r="28" spans="1:5" x14ac:dyDescent="0.25">
      <c r="A28" s="68" t="s">
        <v>395</v>
      </c>
      <c r="B28" s="232">
        <f>'Peternakan-CH4'!X23</f>
        <v>0.76376900982833618</v>
      </c>
      <c r="C28" s="68"/>
      <c r="D28" s="68"/>
      <c r="E28" s="233">
        <f>B28*21*10^3</f>
        <v>16039.149206395059</v>
      </c>
    </row>
    <row r="29" spans="1:5" x14ac:dyDescent="0.25">
      <c r="A29" s="68" t="s">
        <v>359</v>
      </c>
      <c r="B29" s="68"/>
      <c r="C29" s="232">
        <f>'Peternakan-N2O'!BK23+'Peternakan-N2O'!BY23</f>
        <v>5669.8699053163964</v>
      </c>
      <c r="D29" s="68"/>
      <c r="E29" s="233">
        <f>C29*298*10^-3</f>
        <v>1689.6212317842862</v>
      </c>
    </row>
    <row r="30" spans="1:5" x14ac:dyDescent="0.25">
      <c r="A30" s="68" t="s">
        <v>360</v>
      </c>
      <c r="B30" s="68"/>
      <c r="C30" s="68"/>
      <c r="D30" s="68">
        <f>'Kapur pertanian-CO2'!G37</f>
        <v>0</v>
      </c>
      <c r="E30" s="233">
        <f>D30*44/12</f>
        <v>0</v>
      </c>
    </row>
    <row r="31" spans="1:5" x14ac:dyDescent="0.25">
      <c r="A31" s="68" t="s">
        <v>361</v>
      </c>
      <c r="B31" s="68"/>
      <c r="C31" s="68"/>
      <c r="D31" s="234">
        <f>'Pupuk Urea-CO2'!E13</f>
        <v>4.1318623407487109</v>
      </c>
      <c r="E31" s="233">
        <f>D31*44/12</f>
        <v>15.150161916078607</v>
      </c>
    </row>
    <row r="32" spans="1:5" x14ac:dyDescent="0.25">
      <c r="A32" s="68" t="s">
        <v>394</v>
      </c>
      <c r="B32" s="68"/>
      <c r="C32" s="234">
        <f>'Direct N2O'!M19</f>
        <v>194.13850341032159</v>
      </c>
      <c r="D32" s="68"/>
      <c r="E32" s="235">
        <f>C32*298*10^-3</f>
        <v>57.853274016275833</v>
      </c>
    </row>
    <row r="33" spans="1:5" x14ac:dyDescent="0.25">
      <c r="A33" s="68"/>
      <c r="B33" s="68"/>
      <c r="C33" s="68"/>
      <c r="D33" s="68" t="s">
        <v>447</v>
      </c>
      <c r="E33" s="233">
        <f>SUM(E27:E32)</f>
        <v>17850.397378336358</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2.3431898226358785E-3</v>
      </c>
      <c r="C38" s="68"/>
      <c r="D38" s="68"/>
      <c r="E38" s="233">
        <f>B38*21*10^3</f>
        <v>49.206986275353451</v>
      </c>
    </row>
    <row r="39" spans="1:5" x14ac:dyDescent="0.25">
      <c r="A39" s="68" t="s">
        <v>395</v>
      </c>
      <c r="B39" s="232">
        <f>'Peternakan-CH4'!AF23</f>
        <v>0.8102181569896586</v>
      </c>
      <c r="C39" s="68"/>
      <c r="D39" s="68"/>
      <c r="E39" s="233">
        <f>B39*21*10^3</f>
        <v>17014.581296782828</v>
      </c>
    </row>
    <row r="40" spans="1:5" x14ac:dyDescent="0.25">
      <c r="A40" s="68" t="s">
        <v>359</v>
      </c>
      <c r="B40" s="68"/>
      <c r="C40" s="232">
        <f>'Peternakan-N2O'!CK23+'Peternakan-N2O'!CY23</f>
        <v>5838.769989264164</v>
      </c>
      <c r="D40" s="68"/>
      <c r="E40" s="233">
        <f>C40*298*10^-3</f>
        <v>1739.9534568007209</v>
      </c>
    </row>
    <row r="41" spans="1:5" x14ac:dyDescent="0.25">
      <c r="A41" s="68" t="s">
        <v>360</v>
      </c>
      <c r="B41" s="68"/>
      <c r="C41" s="68"/>
      <c r="D41" s="68">
        <f>'Kapur pertanian-CO2'!G48</f>
        <v>0</v>
      </c>
      <c r="E41" s="233">
        <f>D41*44/12</f>
        <v>0</v>
      </c>
    </row>
    <row r="42" spans="1:5" x14ac:dyDescent="0.25">
      <c r="A42" s="68" t="s">
        <v>361</v>
      </c>
      <c r="B42" s="68"/>
      <c r="C42" s="68"/>
      <c r="D42" s="234">
        <f>'Pupuk Urea-CO2'!E14</f>
        <v>4.1814446888376962</v>
      </c>
      <c r="E42" s="233">
        <f>D42*44/12</f>
        <v>15.331963859071552</v>
      </c>
    </row>
    <row r="43" spans="1:5" x14ac:dyDescent="0.25">
      <c r="A43" s="68" t="s">
        <v>394</v>
      </c>
      <c r="B43" s="68"/>
      <c r="C43" s="234">
        <f>'Direct N2O'!P19</f>
        <v>196.46816545124548</v>
      </c>
      <c r="D43" s="68"/>
      <c r="E43" s="235">
        <f>C43*298*10^-3</f>
        <v>58.547513304471153</v>
      </c>
    </row>
    <row r="44" spans="1:5" x14ac:dyDescent="0.25">
      <c r="A44" s="68"/>
      <c r="B44" s="68"/>
      <c r="C44" s="68"/>
      <c r="D44" s="68" t="s">
        <v>448</v>
      </c>
      <c r="E44" s="233">
        <f>SUM(E38:E43)</f>
        <v>18877.621217022446</v>
      </c>
    </row>
    <row r="47" spans="1:5" x14ac:dyDescent="0.25">
      <c r="A47" t="s">
        <v>508</v>
      </c>
    </row>
    <row r="48" spans="1:5" x14ac:dyDescent="0.25">
      <c r="A48" s="68"/>
      <c r="B48" s="68" t="s">
        <v>363</v>
      </c>
      <c r="C48" s="68" t="s">
        <v>364</v>
      </c>
      <c r="D48" s="68" t="s">
        <v>365</v>
      </c>
      <c r="E48" s="68" t="s">
        <v>366</v>
      </c>
    </row>
    <row r="49" spans="1:5" x14ac:dyDescent="0.25">
      <c r="A49" s="68" t="s">
        <v>358</v>
      </c>
      <c r="B49" s="232">
        <f>'Lahan sawah'!K15+'Lahan sawah'!K47+'Lahan sawah'!K72</f>
        <v>2.3713081005075085E-3</v>
      </c>
      <c r="C49" s="68"/>
      <c r="D49" s="68"/>
      <c r="E49" s="233">
        <f>B49*21*10^3</f>
        <v>49.797470110657677</v>
      </c>
    </row>
    <row r="50" spans="1:5" x14ac:dyDescent="0.25">
      <c r="A50" s="68" t="s">
        <v>395</v>
      </c>
      <c r="B50" s="232">
        <f>'Peternakan-CH4'!AN23</f>
        <v>0.85666730415098136</v>
      </c>
      <c r="C50" s="68"/>
      <c r="D50" s="68"/>
      <c r="E50" s="233">
        <f>B50*21*10^3</f>
        <v>17990.013387170609</v>
      </c>
    </row>
    <row r="51" spans="1:5" x14ac:dyDescent="0.25">
      <c r="A51" s="68" t="s">
        <v>359</v>
      </c>
      <c r="B51" s="68"/>
      <c r="C51" s="232">
        <f>'Peternakan-N2O'!DK23+'Peternakan-N2O'!DY23</f>
        <v>6007.6700732119316</v>
      </c>
      <c r="D51" s="68"/>
      <c r="E51" s="233">
        <f>C51*298*10^-3</f>
        <v>1790.2856818171556</v>
      </c>
    </row>
    <row r="52" spans="1:5" x14ac:dyDescent="0.25">
      <c r="A52" s="68" t="s">
        <v>360</v>
      </c>
      <c r="B52" s="68"/>
      <c r="C52" s="68"/>
      <c r="D52" s="68">
        <f>'Kapur pertanian-CO2'!G59</f>
        <v>0</v>
      </c>
      <c r="E52" s="233">
        <f>D52*44/12</f>
        <v>0</v>
      </c>
    </row>
    <row r="53" spans="1:5" x14ac:dyDescent="0.25">
      <c r="A53" s="68" t="s">
        <v>361</v>
      </c>
      <c r="B53" s="68"/>
      <c r="C53" s="68"/>
      <c r="D53" s="234">
        <f>'Pupuk Urea-CO2'!E15</f>
        <v>4.2316220251037491</v>
      </c>
      <c r="E53" s="233">
        <f>D53*44/12</f>
        <v>15.515947425380412</v>
      </c>
    </row>
    <row r="54" spans="1:5" x14ac:dyDescent="0.25">
      <c r="A54" s="68" t="s">
        <v>394</v>
      </c>
      <c r="B54" s="68"/>
      <c r="C54" s="234">
        <f>'Direct N2O'!S19</f>
        <v>198.82578343666043</v>
      </c>
      <c r="D54" s="68"/>
      <c r="E54" s="235">
        <f>C54*298*10^-3</f>
        <v>59.250083464124806</v>
      </c>
    </row>
    <row r="55" spans="1:5" x14ac:dyDescent="0.25">
      <c r="A55" s="68"/>
      <c r="B55" s="68"/>
      <c r="C55" s="68"/>
      <c r="D55" s="68" t="s">
        <v>449</v>
      </c>
      <c r="E55" s="233">
        <f>SUM(E49:E54)</f>
        <v>19904.86256998793</v>
      </c>
    </row>
    <row r="58" spans="1:5" x14ac:dyDescent="0.25">
      <c r="A58" t="s">
        <v>507</v>
      </c>
    </row>
    <row r="59" spans="1:5" x14ac:dyDescent="0.25">
      <c r="A59" s="68"/>
      <c r="B59" s="68" t="s">
        <v>363</v>
      </c>
      <c r="C59" s="68" t="s">
        <v>364</v>
      </c>
      <c r="D59" s="68" t="s">
        <v>365</v>
      </c>
      <c r="E59" s="68" t="s">
        <v>366</v>
      </c>
    </row>
    <row r="60" spans="1:5" x14ac:dyDescent="0.25">
      <c r="A60" s="68" t="s">
        <v>358</v>
      </c>
      <c r="B60" s="232">
        <f>'Lahan sawah'!K16+'Lahan sawah'!K48+'Lahan sawah'!K73</f>
        <v>2.3997637977135988E-3</v>
      </c>
      <c r="C60" s="68"/>
      <c r="D60" s="68"/>
      <c r="E60" s="233">
        <f>B60*21*10^3</f>
        <v>50.395039751985571</v>
      </c>
    </row>
    <row r="61" spans="1:5" x14ac:dyDescent="0.25">
      <c r="A61" s="68" t="s">
        <v>395</v>
      </c>
      <c r="B61" s="232">
        <f>'Peternakan-CH4'!AV23</f>
        <v>0.90311645131230245</v>
      </c>
      <c r="C61" s="68"/>
      <c r="D61" s="68"/>
      <c r="E61" s="233">
        <f>B61*21*10^3</f>
        <v>18965.445477558351</v>
      </c>
    </row>
    <row r="62" spans="1:5" x14ac:dyDescent="0.25">
      <c r="A62" s="68" t="s">
        <v>359</v>
      </c>
      <c r="B62" s="68"/>
      <c r="C62" s="303">
        <f>'Peternakan-N2O'!EK23+'Peternakan-N2O'!EY23</f>
        <v>6176.5701571597001</v>
      </c>
      <c r="D62" s="68"/>
      <c r="E62" s="233">
        <f>C62*298*10^-3</f>
        <v>1840.6179068335907</v>
      </c>
    </row>
    <row r="63" spans="1:5" x14ac:dyDescent="0.25">
      <c r="A63" s="68" t="s">
        <v>360</v>
      </c>
      <c r="B63" s="68"/>
      <c r="C63" s="68"/>
      <c r="D63" s="68">
        <f>'Kapur pertanian-CO2'!G70</f>
        <v>0</v>
      </c>
      <c r="E63" s="233">
        <f>D63*44/12</f>
        <v>0</v>
      </c>
    </row>
    <row r="64" spans="1:5" x14ac:dyDescent="0.25">
      <c r="A64" s="68" t="s">
        <v>361</v>
      </c>
      <c r="B64" s="68"/>
      <c r="C64" s="68"/>
      <c r="D64" s="234">
        <f>'Pupuk Urea-CO2'!E16</f>
        <v>4.2824014894049931</v>
      </c>
      <c r="E64" s="233">
        <f>D64*44/12</f>
        <v>15.702138794484975</v>
      </c>
    </row>
    <row r="65" spans="1:5" x14ac:dyDescent="0.25">
      <c r="A65" s="68" t="s">
        <v>394</v>
      </c>
      <c r="B65" s="68"/>
      <c r="C65" s="234">
        <f>'Direct N2O'!V19</f>
        <v>201.2116928379003</v>
      </c>
      <c r="D65" s="68"/>
      <c r="E65" s="235">
        <f>C65*298*10^-3</f>
        <v>59.961084465694285</v>
      </c>
    </row>
    <row r="66" spans="1:5" x14ac:dyDescent="0.25">
      <c r="A66" s="68"/>
      <c r="B66" s="68"/>
      <c r="C66" s="68"/>
      <c r="D66" s="68" t="s">
        <v>450</v>
      </c>
      <c r="E66" s="233">
        <f>SUM(E60:E65)</f>
        <v>20932.121647404103</v>
      </c>
    </row>
    <row r="69" spans="1:5" x14ac:dyDescent="0.25">
      <c r="A69" t="s">
        <v>506</v>
      </c>
    </row>
    <row r="70" spans="1:5" x14ac:dyDescent="0.25">
      <c r="A70" s="68"/>
      <c r="B70" s="68" t="s">
        <v>363</v>
      </c>
      <c r="C70" s="68" t="s">
        <v>364</v>
      </c>
      <c r="D70" s="68" t="s">
        <v>365</v>
      </c>
      <c r="E70" s="68" t="s">
        <v>366</v>
      </c>
    </row>
    <row r="71" spans="1:5" x14ac:dyDescent="0.25">
      <c r="A71" s="68" t="s">
        <v>358</v>
      </c>
      <c r="B71" s="232">
        <f>'Lahan sawah'!K17+'Lahan sawah'!K49+'Lahan sawah'!K74</f>
        <v>2.4285609632861624E-3</v>
      </c>
      <c r="C71" s="68"/>
      <c r="D71" s="68"/>
      <c r="E71" s="233">
        <f>B71*21*10^3</f>
        <v>50.99978022900941</v>
      </c>
    </row>
    <row r="72" spans="1:5" x14ac:dyDescent="0.25">
      <c r="A72" s="68" t="s">
        <v>395</v>
      </c>
      <c r="B72" s="232">
        <f>'Peternakan-CH4'!BD23</f>
        <v>0.9495655984736272</v>
      </c>
      <c r="C72" s="68"/>
      <c r="D72" s="68"/>
      <c r="E72" s="233">
        <f>B72*21*10^3</f>
        <v>19940.877567946169</v>
      </c>
    </row>
    <row r="73" spans="1:5" x14ac:dyDescent="0.25">
      <c r="A73" s="68" t="s">
        <v>359</v>
      </c>
      <c r="B73" s="68"/>
      <c r="C73" s="303">
        <f>'Peternakan-N2O'!FK23+'Peternakan-N2O'!FY23</f>
        <v>6345.4702411074695</v>
      </c>
      <c r="D73" s="68"/>
      <c r="E73" s="233">
        <f>C73*298*10^-3</f>
        <v>1890.9501318500259</v>
      </c>
    </row>
    <row r="74" spans="1:5" x14ac:dyDescent="0.25">
      <c r="A74" s="68" t="s">
        <v>360</v>
      </c>
      <c r="B74" s="68"/>
      <c r="C74" s="68"/>
      <c r="D74" s="68">
        <f>'Kapur pertanian-CO2'!G81</f>
        <v>0</v>
      </c>
      <c r="E74" s="233">
        <f>D74*44/12</f>
        <v>0</v>
      </c>
    </row>
    <row r="75" spans="1:5" x14ac:dyDescent="0.25">
      <c r="A75" s="68" t="s">
        <v>361</v>
      </c>
      <c r="B75" s="68"/>
      <c r="C75" s="68"/>
      <c r="D75" s="234">
        <f>'Pupuk Urea-CO2'!E17</f>
        <v>4.3337903072778534</v>
      </c>
      <c r="E75" s="233">
        <f>D75*44/12</f>
        <v>15.890564460018796</v>
      </c>
    </row>
    <row r="76" spans="1:5" x14ac:dyDescent="0.25">
      <c r="A76" s="68" t="s">
        <v>394</v>
      </c>
      <c r="B76" s="68"/>
      <c r="C76" s="234">
        <f>'Direct N2O'!Y19</f>
        <v>203.62623315195515</v>
      </c>
      <c r="D76" s="68"/>
      <c r="E76" s="235">
        <f>C76*298*10^-3</f>
        <v>60.680617479282638</v>
      </c>
    </row>
    <row r="77" spans="1:5" x14ac:dyDescent="0.25">
      <c r="A77" s="68"/>
      <c r="B77" s="68"/>
      <c r="C77" s="68"/>
      <c r="D77" s="68" t="s">
        <v>451</v>
      </c>
      <c r="E77" s="233">
        <f>SUM(E71:E76)</f>
        <v>21959.398661964507</v>
      </c>
    </row>
    <row r="80" spans="1:5" x14ac:dyDescent="0.25">
      <c r="A80" t="s">
        <v>505</v>
      </c>
    </row>
    <row r="81" spans="1:5" x14ac:dyDescent="0.25">
      <c r="A81" s="68"/>
      <c r="B81" s="68" t="s">
        <v>363</v>
      </c>
      <c r="C81" s="68" t="s">
        <v>364</v>
      </c>
      <c r="D81" s="68" t="s">
        <v>365</v>
      </c>
      <c r="E81" s="68" t="s">
        <v>366</v>
      </c>
    </row>
    <row r="82" spans="1:5" x14ac:dyDescent="0.25">
      <c r="A82" s="68" t="s">
        <v>358</v>
      </c>
      <c r="B82" s="232">
        <f>'Lahan sawah'!K18+'Lahan sawah'!K50+'Lahan sawah'!K75</f>
        <v>2.4577036948455959E-3</v>
      </c>
      <c r="C82" s="68"/>
      <c r="D82" s="68"/>
      <c r="E82" s="233">
        <f>B82*21*10^3</f>
        <v>51.611777591757516</v>
      </c>
    </row>
    <row r="83" spans="1:5" x14ac:dyDescent="0.25">
      <c r="A83" s="68" t="s">
        <v>395</v>
      </c>
      <c r="B83" s="232">
        <f>'Peternakan-CH4'!BL23</f>
        <v>0.99601474563494719</v>
      </c>
      <c r="C83" s="68"/>
      <c r="D83" s="68"/>
      <c r="E83" s="233">
        <f>B83*21*10^3</f>
        <v>20916.309658333892</v>
      </c>
    </row>
    <row r="84" spans="1:5" x14ac:dyDescent="0.25">
      <c r="A84" s="68" t="s">
        <v>359</v>
      </c>
      <c r="B84" s="68"/>
      <c r="C84" s="232">
        <f>'Peternakan-N2O'!GK23+'Peternakan-N2O'!GY23</f>
        <v>6514.3703250552371</v>
      </c>
      <c r="D84" s="68"/>
      <c r="E84" s="233">
        <f>C84*298*10^-3</f>
        <v>1941.2823568664608</v>
      </c>
    </row>
    <row r="85" spans="1:5" x14ac:dyDescent="0.25">
      <c r="A85" s="68" t="s">
        <v>360</v>
      </c>
      <c r="B85" s="68"/>
      <c r="C85" s="68"/>
      <c r="D85" s="68">
        <f>'Kapur pertanian-CO2'!G92</f>
        <v>0</v>
      </c>
      <c r="E85" s="233">
        <f>D85*44/12</f>
        <v>0</v>
      </c>
    </row>
    <row r="86" spans="1:5" x14ac:dyDescent="0.25">
      <c r="A86" s="68" t="s">
        <v>361</v>
      </c>
      <c r="B86" s="68"/>
      <c r="C86" s="68"/>
      <c r="D86" s="234">
        <f>'Pupuk Urea-CO2'!E18</f>
        <v>4.3857957909651875</v>
      </c>
      <c r="E86" s="233">
        <f>D86*44/12</f>
        <v>16.081251233539021</v>
      </c>
    </row>
    <row r="87" spans="1:5" x14ac:dyDescent="0.25">
      <c r="A87" s="68" t="s">
        <v>394</v>
      </c>
      <c r="B87" s="68"/>
      <c r="C87" s="234">
        <f>'Direct N2O'!AB19</f>
        <v>206.06974794977859</v>
      </c>
      <c r="D87" s="68"/>
      <c r="E87" s="235">
        <f>C87*298*10^-3</f>
        <v>61.408784889034017</v>
      </c>
    </row>
    <row r="88" spans="1:5" x14ac:dyDescent="0.25">
      <c r="A88" s="68"/>
      <c r="B88" s="68"/>
      <c r="C88" s="68"/>
      <c r="D88" s="68" t="s">
        <v>452</v>
      </c>
      <c r="E88" s="233">
        <f>SUM(E82:E87)</f>
        <v>22986.693828914686</v>
      </c>
    </row>
    <row r="91" spans="1:5" x14ac:dyDescent="0.25">
      <c r="A91" t="s">
        <v>504</v>
      </c>
    </row>
    <row r="92" spans="1:5" x14ac:dyDescent="0.25">
      <c r="A92" s="68"/>
      <c r="B92" s="68" t="s">
        <v>363</v>
      </c>
      <c r="C92" s="68" t="s">
        <v>364</v>
      </c>
      <c r="D92" s="68" t="s">
        <v>365</v>
      </c>
      <c r="E92" s="68" t="s">
        <v>366</v>
      </c>
    </row>
    <row r="93" spans="1:5" x14ac:dyDescent="0.25">
      <c r="A93" s="68" t="s">
        <v>358</v>
      </c>
      <c r="B93" s="232">
        <f>'Lahan sawah'!K19+'Lahan sawah'!K51+'Lahan sawah'!K76</f>
        <v>2.4871961391837432E-3</v>
      </c>
      <c r="C93" s="68"/>
      <c r="D93" s="68"/>
      <c r="E93" s="233">
        <f>B93*21*10^3</f>
        <v>52.231118922858606</v>
      </c>
    </row>
    <row r="94" spans="1:5" x14ac:dyDescent="0.25">
      <c r="A94" s="68" t="s">
        <v>395</v>
      </c>
      <c r="B94" s="232">
        <f>'Peternakan-CH4'!BT23</f>
        <v>1.0424638927962719</v>
      </c>
      <c r="C94" s="68"/>
      <c r="D94" s="68"/>
      <c r="E94" s="233">
        <f>B94*21*10^3</f>
        <v>21891.74174872171</v>
      </c>
    </row>
    <row r="95" spans="1:5" x14ac:dyDescent="0.25">
      <c r="A95" s="68" t="s">
        <v>359</v>
      </c>
      <c r="B95" s="68"/>
      <c r="C95" s="232">
        <f>'Peternakan-N2O'!HK23+'Peternakan-N2O'!HY23</f>
        <v>5145.1527173048198</v>
      </c>
      <c r="D95" s="68"/>
      <c r="E95" s="233">
        <f>C95*298*10^-3</f>
        <v>1533.2555097568363</v>
      </c>
    </row>
    <row r="96" spans="1:5" x14ac:dyDescent="0.25">
      <c r="A96" s="68" t="s">
        <v>360</v>
      </c>
      <c r="B96" s="68"/>
      <c r="C96" s="68"/>
      <c r="D96" s="68">
        <f>'Kapur pertanian-CO2'!G103</f>
        <v>0</v>
      </c>
      <c r="E96" s="233">
        <f>D96*44/12</f>
        <v>0</v>
      </c>
    </row>
    <row r="97" spans="1:5" x14ac:dyDescent="0.25">
      <c r="A97" s="68" t="s">
        <v>361</v>
      </c>
      <c r="B97" s="68"/>
      <c r="C97" s="68"/>
      <c r="D97" s="234">
        <f>'Pupuk Urea-CO2'!E19</f>
        <v>4.43842534045677</v>
      </c>
      <c r="E97" s="233">
        <f>D97*44/12</f>
        <v>16.274226248341488</v>
      </c>
    </row>
    <row r="98" spans="1:5" x14ac:dyDescent="0.25">
      <c r="A98" s="68" t="s">
        <v>394</v>
      </c>
      <c r="B98" s="68"/>
      <c r="C98" s="234">
        <f>'Direct N2O'!AE19</f>
        <v>208.54258492517596</v>
      </c>
      <c r="D98" s="68"/>
      <c r="E98" s="235">
        <f>C98*298*10^-3</f>
        <v>62.145690307702431</v>
      </c>
    </row>
    <row r="99" spans="1:5" x14ac:dyDescent="0.25">
      <c r="A99" s="68"/>
      <c r="B99" s="68"/>
      <c r="C99" s="68"/>
      <c r="D99" s="68" t="s">
        <v>453</v>
      </c>
      <c r="E99" s="233">
        <f>SUM(E93:E98)</f>
        <v>23555.648293957449</v>
      </c>
    </row>
    <row r="102" spans="1:5" x14ac:dyDescent="0.25">
      <c r="A102" t="s">
        <v>503</v>
      </c>
    </row>
    <row r="103" spans="1:5" x14ac:dyDescent="0.25">
      <c r="A103" s="68"/>
      <c r="B103" s="68" t="s">
        <v>363</v>
      </c>
      <c r="C103" s="68" t="s">
        <v>364</v>
      </c>
      <c r="D103" s="68" t="s">
        <v>365</v>
      </c>
      <c r="E103" s="68" t="s">
        <v>366</v>
      </c>
    </row>
    <row r="104" spans="1:5" x14ac:dyDescent="0.25">
      <c r="A104" s="68" t="s">
        <v>358</v>
      </c>
      <c r="B104" s="232">
        <f>'Lahan sawah'!K20+'Lahan sawah'!K52+'Lahan sawah'!K77</f>
        <v>2.5173437215011123E-3</v>
      </c>
      <c r="C104" s="68"/>
      <c r="D104" s="68"/>
      <c r="E104" s="233">
        <f>B104*21*10^3</f>
        <v>52.86421815152336</v>
      </c>
    </row>
    <row r="105" spans="1:5" x14ac:dyDescent="0.25">
      <c r="A105" s="68" t="s">
        <v>395</v>
      </c>
      <c r="B105" s="232">
        <f>'Peternakan-CH4'!CB23</f>
        <v>1.0889130399575919</v>
      </c>
      <c r="C105" s="68"/>
      <c r="D105" s="68"/>
      <c r="E105" s="233">
        <f>B105*21*10^3</f>
        <v>22867.17383910943</v>
      </c>
    </row>
    <row r="106" spans="1:5" x14ac:dyDescent="0.25">
      <c r="A106" s="68" t="s">
        <v>359</v>
      </c>
      <c r="B106" s="68"/>
      <c r="C106" s="232">
        <f>'Peternakan-N2O'!IK23+'Peternakan-N2O'!IY23</f>
        <v>6852.1704929507732</v>
      </c>
      <c r="D106" s="68"/>
      <c r="E106" s="233">
        <f>C106*298*10^-3</f>
        <v>2041.9468068993303</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4.4922239899492187</v>
      </c>
      <c r="E108" s="233">
        <f>D108*44/12</f>
        <v>16.471487963147137</v>
      </c>
    </row>
    <row r="109" spans="1:5" x14ac:dyDescent="0.25">
      <c r="A109" s="68" t="s">
        <v>394</v>
      </c>
      <c r="B109" s="68"/>
      <c r="C109" s="234">
        <f>'Direct N2O'!AH19</f>
        <v>211.07035289918539</v>
      </c>
      <c r="D109" s="68"/>
      <c r="E109" s="235">
        <f>C109*298*10^-3</f>
        <v>62.89896516395725</v>
      </c>
    </row>
    <row r="110" spans="1:5" x14ac:dyDescent="0.25">
      <c r="A110" s="68"/>
      <c r="B110" s="68"/>
      <c r="C110" s="68"/>
      <c r="D110" s="68" t="s">
        <v>454</v>
      </c>
      <c r="E110" s="233">
        <f>SUM(E104:E109)</f>
        <v>25041.355317287387</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9" t="s">
        <v>476</v>
      </c>
      <c r="B124" s="499"/>
      <c r="C124" s="499"/>
      <c r="D124" s="499"/>
      <c r="E124" s="499"/>
      <c r="F124" s="499"/>
      <c r="G124" s="499"/>
      <c r="H124" s="499"/>
      <c r="I124" s="499"/>
      <c r="J124" s="499"/>
      <c r="K124" s="499"/>
      <c r="L124" s="499"/>
    </row>
    <row r="125" spans="1:22" x14ac:dyDescent="0.25">
      <c r="A125" s="179"/>
    </row>
    <row r="126" spans="1:22" x14ac:dyDescent="0.25">
      <c r="A126" s="243"/>
      <c r="B126" s="498" t="s">
        <v>434</v>
      </c>
      <c r="C126" s="498"/>
      <c r="D126" s="498"/>
      <c r="E126" s="498"/>
      <c r="F126" s="498"/>
      <c r="G126" s="498"/>
      <c r="H126" s="498"/>
      <c r="I126" s="498"/>
      <c r="J126" s="498"/>
      <c r="K126" s="498"/>
      <c r="L126" s="498"/>
    </row>
    <row r="127" spans="1:22" x14ac:dyDescent="0.25">
      <c r="A127" s="243" t="s">
        <v>424</v>
      </c>
      <c r="B127" s="244">
        <f>'Direct N2O'!D52</f>
        <v>2021</v>
      </c>
      <c r="C127" s="407">
        <f>'Direct N2O'!E52</f>
        <v>2022</v>
      </c>
      <c r="D127" s="407">
        <f>'Direct N2O'!F52</f>
        <v>2023</v>
      </c>
      <c r="E127" s="407">
        <f>'Direct N2O'!G52</f>
        <v>2024</v>
      </c>
      <c r="F127" s="407">
        <f>'Direct N2O'!H52</f>
        <v>2025</v>
      </c>
      <c r="G127" s="407">
        <f>'Direct N2O'!I52</f>
        <v>2026</v>
      </c>
      <c r="H127" s="407">
        <f>'Direct N2O'!J52</f>
        <v>2027</v>
      </c>
      <c r="I127" s="407">
        <f>'Direct N2O'!K52</f>
        <v>2028</v>
      </c>
      <c r="J127" s="407">
        <f>'Direct N2O'!L52</f>
        <v>2029</v>
      </c>
      <c r="K127" s="407">
        <f>'Direct N2O'!M52</f>
        <v>2030</v>
      </c>
      <c r="L127" s="407"/>
      <c r="M127" s="250"/>
      <c r="N127" s="250"/>
      <c r="O127" s="250"/>
      <c r="P127" s="250"/>
      <c r="Q127" s="250"/>
      <c r="R127" s="250"/>
      <c r="S127" s="250"/>
      <c r="T127" s="250"/>
      <c r="U127" s="250"/>
      <c r="V127" s="250"/>
    </row>
    <row r="128" spans="1:22" x14ac:dyDescent="0.25">
      <c r="A128" s="68" t="s">
        <v>358</v>
      </c>
      <c r="B128" s="400">
        <f>E5</f>
        <v>47.477214361122584</v>
      </c>
      <c r="C128" s="400">
        <f t="shared" ref="C128:C133" si="0">E16</f>
        <v>48.046940933456078</v>
      </c>
      <c r="D128" s="400">
        <f t="shared" ref="D128:D132" si="1">E27</f>
        <v>48.623504224657538</v>
      </c>
      <c r="E128" s="400">
        <f>E38</f>
        <v>49.206986275353451</v>
      </c>
      <c r="F128" s="400">
        <f>E49</f>
        <v>49.797470110657677</v>
      </c>
      <c r="G128" s="400">
        <f>E60</f>
        <v>50.395039751985571</v>
      </c>
      <c r="H128" s="400">
        <f>E71</f>
        <v>50.99978022900941</v>
      </c>
      <c r="I128" s="400">
        <f>E82</f>
        <v>51.611777591757516</v>
      </c>
      <c r="J128" s="400">
        <f>E93</f>
        <v>52.231118922858606</v>
      </c>
      <c r="K128" s="400">
        <f>E104</f>
        <v>52.86421815152336</v>
      </c>
      <c r="L128" s="400">
        <f t="shared" ref="L128:L133" si="2">E115</f>
        <v>0</v>
      </c>
    </row>
    <row r="129" spans="1:12" x14ac:dyDescent="0.25">
      <c r="A129" s="68" t="s">
        <v>395</v>
      </c>
      <c r="B129" s="400">
        <f t="shared" ref="B129:B133" si="3">E6</f>
        <v>14088.285025619509</v>
      </c>
      <c r="C129" s="400">
        <f t="shared" si="0"/>
        <v>15063.717116007278</v>
      </c>
      <c r="D129" s="400">
        <f t="shared" si="1"/>
        <v>16039.149206395059</v>
      </c>
      <c r="E129" s="400">
        <f t="shared" ref="E129:E133" si="4">E39</f>
        <v>17014.581296782828</v>
      </c>
      <c r="F129" s="400">
        <f t="shared" ref="F129:F133" si="5">E50</f>
        <v>17990.013387170609</v>
      </c>
      <c r="G129" s="400">
        <f t="shared" ref="G129:G133" si="6">E61</f>
        <v>18965.445477558351</v>
      </c>
      <c r="H129" s="400">
        <f t="shared" ref="H129:H133" si="7">E72</f>
        <v>19940.877567946169</v>
      </c>
      <c r="I129" s="400">
        <f t="shared" ref="I129:I133" si="8">E83</f>
        <v>20916.309658333892</v>
      </c>
      <c r="J129" s="400">
        <f t="shared" ref="J129:J133" si="9">E94</f>
        <v>21891.74174872171</v>
      </c>
      <c r="K129" s="400">
        <f t="shared" ref="K129:K133" si="10">E105</f>
        <v>22867.17383910943</v>
      </c>
      <c r="L129" s="400">
        <f t="shared" si="2"/>
        <v>0</v>
      </c>
    </row>
    <row r="130" spans="1:12" x14ac:dyDescent="0.25">
      <c r="A130" s="68" t="s">
        <v>359</v>
      </c>
      <c r="B130" s="400">
        <f t="shared" si="3"/>
        <v>1588.9567817514155</v>
      </c>
      <c r="C130" s="400">
        <f t="shared" si="0"/>
        <v>1639.2890067678511</v>
      </c>
      <c r="D130" s="400">
        <f t="shared" si="1"/>
        <v>1689.6212317842862</v>
      </c>
      <c r="E130" s="400">
        <f t="shared" si="4"/>
        <v>1739.9534568007209</v>
      </c>
      <c r="F130" s="400">
        <f t="shared" si="5"/>
        <v>1790.2856818171556</v>
      </c>
      <c r="G130" s="400">
        <f t="shared" si="6"/>
        <v>1840.6179068335907</v>
      </c>
      <c r="H130" s="400">
        <f t="shared" si="7"/>
        <v>1890.9501318500259</v>
      </c>
      <c r="I130" s="400">
        <f t="shared" si="8"/>
        <v>1941.2823568664608</v>
      </c>
      <c r="J130" s="400">
        <f t="shared" si="9"/>
        <v>1533.2555097568363</v>
      </c>
      <c r="K130" s="400">
        <f t="shared" si="10"/>
        <v>2041.9468068993303</v>
      </c>
      <c r="L130" s="400">
        <f t="shared" si="2"/>
        <v>0</v>
      </c>
    </row>
    <row r="131" spans="1:12" x14ac:dyDescent="0.25">
      <c r="A131" s="68" t="s">
        <v>360</v>
      </c>
      <c r="B131" s="400">
        <f t="shared" si="3"/>
        <v>0</v>
      </c>
      <c r="C131" s="400">
        <f t="shared" si="0"/>
        <v>0</v>
      </c>
      <c r="D131" s="400">
        <f t="shared" si="1"/>
        <v>0</v>
      </c>
      <c r="E131" s="400">
        <f t="shared" si="4"/>
        <v>0</v>
      </c>
      <c r="F131" s="400">
        <f t="shared" si="5"/>
        <v>0</v>
      </c>
      <c r="G131" s="400">
        <f t="shared" si="6"/>
        <v>0</v>
      </c>
      <c r="H131" s="400">
        <f t="shared" si="7"/>
        <v>0</v>
      </c>
      <c r="I131" s="400">
        <f t="shared" si="8"/>
        <v>0</v>
      </c>
      <c r="J131" s="400">
        <f t="shared" si="9"/>
        <v>0</v>
      </c>
      <c r="K131" s="400">
        <f t="shared" si="10"/>
        <v>0</v>
      </c>
      <c r="L131" s="400">
        <f t="shared" si="2"/>
        <v>0</v>
      </c>
    </row>
    <row r="132" spans="1:12" x14ac:dyDescent="0.25">
      <c r="A132" s="68" t="s">
        <v>361</v>
      </c>
      <c r="B132" s="400">
        <f t="shared" si="3"/>
        <v>14.792999730583402</v>
      </c>
      <c r="C132" s="400">
        <f t="shared" si="0"/>
        <v>14.970515727350401</v>
      </c>
      <c r="D132" s="400">
        <f t="shared" si="1"/>
        <v>15.150161916078607</v>
      </c>
      <c r="E132" s="400">
        <f t="shared" si="4"/>
        <v>15.331963859071552</v>
      </c>
      <c r="F132" s="400">
        <f t="shared" si="5"/>
        <v>15.515947425380412</v>
      </c>
      <c r="G132" s="400">
        <f t="shared" si="6"/>
        <v>15.702138794484975</v>
      </c>
      <c r="H132" s="400">
        <f t="shared" si="7"/>
        <v>15.890564460018796</v>
      </c>
      <c r="I132" s="400">
        <f t="shared" si="8"/>
        <v>16.081251233539021</v>
      </c>
      <c r="J132" s="400">
        <f t="shared" si="9"/>
        <v>16.274226248341488</v>
      </c>
      <c r="K132" s="400">
        <f t="shared" si="10"/>
        <v>16.471487963147137</v>
      </c>
      <c r="L132" s="400">
        <f t="shared" si="2"/>
        <v>0</v>
      </c>
    </row>
    <row r="133" spans="1:12" x14ac:dyDescent="0.25">
      <c r="A133" s="68" t="s">
        <v>394</v>
      </c>
      <c r="B133" s="400">
        <f t="shared" si="3"/>
        <v>56.489394085476086</v>
      </c>
      <c r="C133" s="400">
        <f t="shared" si="0"/>
        <v>57.167266814501822</v>
      </c>
      <c r="D133" s="400">
        <f>E32</f>
        <v>57.853274016275833</v>
      </c>
      <c r="E133" s="400">
        <f t="shared" si="4"/>
        <v>58.547513304471153</v>
      </c>
      <c r="F133" s="400">
        <f t="shared" si="5"/>
        <v>59.250083464124806</v>
      </c>
      <c r="G133" s="400">
        <f t="shared" si="6"/>
        <v>59.961084465694285</v>
      </c>
      <c r="H133" s="400">
        <f t="shared" si="7"/>
        <v>60.680617479282638</v>
      </c>
      <c r="I133" s="400">
        <f t="shared" si="8"/>
        <v>61.408784889034017</v>
      </c>
      <c r="J133" s="400">
        <f t="shared" si="9"/>
        <v>62.145690307702431</v>
      </c>
      <c r="K133" s="400">
        <f t="shared" si="10"/>
        <v>62.89896516395725</v>
      </c>
      <c r="L133" s="400">
        <f t="shared" si="2"/>
        <v>0</v>
      </c>
    </row>
    <row r="134" spans="1:12" x14ac:dyDescent="0.25">
      <c r="A134" s="68" t="s">
        <v>517</v>
      </c>
      <c r="B134" s="400">
        <f>'Un-Direct N2O'!H6</f>
        <v>14.122348521369023</v>
      </c>
      <c r="C134" s="400">
        <f>'Un-Direct N2O'!H7</f>
        <v>14.291816703625452</v>
      </c>
      <c r="D134" s="400">
        <f>'Un-Direct N2O'!H8</f>
        <v>14.463318504068956</v>
      </c>
      <c r="E134" s="400">
        <f>'Un-Direct N2O'!H9</f>
        <v>14.636878326117786</v>
      </c>
      <c r="F134" s="400">
        <f>'Un-Direct N2O'!H10</f>
        <v>14.8125208660312</v>
      </c>
      <c r="G134" s="400">
        <f>'Un-Direct N2O'!H11</f>
        <v>14.990271116423571</v>
      </c>
      <c r="H134" s="400">
        <f>'Un-Direct N2O'!H12</f>
        <v>15.170154369820658</v>
      </c>
      <c r="I134" s="400">
        <f>'Un-Direct N2O'!H13</f>
        <v>15.352196222258506</v>
      </c>
      <c r="J134" s="400">
        <f>'Un-Direct N2O'!H14</f>
        <v>15.536422576925608</v>
      </c>
      <c r="K134" s="400">
        <f>'Un-Direct N2O'!H15</f>
        <v>15.724741290989314</v>
      </c>
      <c r="L134" s="400">
        <f>'Un-Direct N2O'!H16</f>
        <v>0</v>
      </c>
    </row>
    <row r="135" spans="1:12" x14ac:dyDescent="0.25">
      <c r="A135" s="245" t="s">
        <v>435</v>
      </c>
      <c r="B135" s="401">
        <f>SUM(B128:B134)</f>
        <v>15810.123764069476</v>
      </c>
      <c r="C135" s="401">
        <f t="shared" ref="C135:L135" si="11">SUM(C128:C134)</f>
        <v>16837.482662954062</v>
      </c>
      <c r="D135" s="401">
        <f t="shared" si="11"/>
        <v>17864.860696840427</v>
      </c>
      <c r="E135" s="401">
        <f t="shared" si="11"/>
        <v>18892.258095348563</v>
      </c>
      <c r="F135" s="401">
        <f t="shared" si="11"/>
        <v>19919.675090853962</v>
      </c>
      <c r="G135" s="401">
        <f t="shared" si="11"/>
        <v>20947.111918520528</v>
      </c>
      <c r="H135" s="401">
        <f t="shared" si="11"/>
        <v>21974.568816334329</v>
      </c>
      <c r="I135" s="401">
        <f t="shared" si="11"/>
        <v>23002.046025136944</v>
      </c>
      <c r="J135" s="401">
        <f t="shared" si="11"/>
        <v>23571.184716534375</v>
      </c>
      <c r="K135" s="401">
        <f t="shared" si="11"/>
        <v>25057.080058578376</v>
      </c>
      <c r="L135" s="401">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0" t="s">
        <v>456</v>
      </c>
      <c r="C3" s="420"/>
      <c r="D3" s="420"/>
      <c r="E3" s="420"/>
      <c r="F3" s="420"/>
      <c r="G3" s="420"/>
      <c r="H3" s="420"/>
      <c r="I3" s="420"/>
      <c r="J3" s="420"/>
      <c r="K3" s="420"/>
      <c r="L3" s="421"/>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6936.0722976185598</v>
      </c>
      <c r="C6" s="230">
        <f>'Peternakan-CH4'!D28</f>
        <v>7687.3965820211097</v>
      </c>
      <c r="D6" s="230">
        <f>'Peternakan-CH4'!E28</f>
        <v>8438.7208664236696</v>
      </c>
      <c r="E6" s="230">
        <f>'Peternakan-CH4'!F28</f>
        <v>9190.0451508262195</v>
      </c>
      <c r="F6" s="230">
        <f>'Peternakan-CH4'!G28</f>
        <v>9941.3694352287803</v>
      </c>
      <c r="G6" s="230">
        <f>'Peternakan-CH4'!H28</f>
        <v>10692.693719631299</v>
      </c>
      <c r="H6" s="230">
        <f>'Peternakan-CH4'!I28</f>
        <v>11444.0180040339</v>
      </c>
      <c r="I6" s="230">
        <f>'Peternakan-CH4'!J28</f>
        <v>12195.342288436401</v>
      </c>
      <c r="J6" s="230">
        <f>'Peternakan-CH4'!K28</f>
        <v>12946.666572839</v>
      </c>
      <c r="K6" s="230">
        <f>'Peternakan-CH4'!L28</f>
        <v>13697.990857241501</v>
      </c>
      <c r="L6" s="226"/>
    </row>
    <row r="7" spans="1:12" x14ac:dyDescent="0.25">
      <c r="A7" s="56" t="s">
        <v>22</v>
      </c>
      <c r="B7" s="230">
        <f>'Peternakan-CH4'!C29</f>
        <v>0</v>
      </c>
      <c r="C7" s="230">
        <f>'Peternakan-CH4'!D29</f>
        <v>0</v>
      </c>
      <c r="D7" s="230">
        <f>'Peternakan-CH4'!E29</f>
        <v>0</v>
      </c>
      <c r="E7" s="230">
        <f>'Peternakan-CH4'!F29</f>
        <v>0</v>
      </c>
      <c r="F7" s="230">
        <f>'Peternakan-CH4'!G29</f>
        <v>0</v>
      </c>
      <c r="G7" s="230">
        <f>'Peternakan-CH4'!H29</f>
        <v>0</v>
      </c>
      <c r="H7" s="230">
        <f>'Peternakan-CH4'!I29</f>
        <v>0</v>
      </c>
      <c r="I7" s="230">
        <f>'Peternakan-CH4'!J29</f>
        <v>0</v>
      </c>
      <c r="J7" s="230">
        <f>'Peternakan-CH4'!K29</f>
        <v>0</v>
      </c>
      <c r="K7" s="230">
        <f>'Peternakan-CH4'!L29</f>
        <v>0</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2792.9659999999999</v>
      </c>
      <c r="C9" s="230">
        <f>'Peternakan-CH4'!D31</f>
        <v>2837.1189999999997</v>
      </c>
      <c r="D9" s="230">
        <f>'Peternakan-CH4'!E31</f>
        <v>2881.2719999999999</v>
      </c>
      <c r="E9" s="230">
        <f>'Peternakan-CH4'!F31</f>
        <v>2925.4250000000002</v>
      </c>
      <c r="F9" s="230">
        <f>'Peternakan-CH4'!G31</f>
        <v>2969.578</v>
      </c>
      <c r="G9" s="230">
        <f>'Peternakan-CH4'!H31</f>
        <v>3013.7309999999998</v>
      </c>
      <c r="H9" s="230">
        <f>'Peternakan-CH4'!I31</f>
        <v>3057.884</v>
      </c>
      <c r="I9" s="230">
        <f>'Peternakan-CH4'!J31</f>
        <v>3102.0369999999998</v>
      </c>
      <c r="J9" s="230">
        <f>'Peternakan-CH4'!K31</f>
        <v>3146.1899999999996</v>
      </c>
      <c r="K9" s="230">
        <f>'Peternakan-CH4'!L31</f>
        <v>3190.3429999999998</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0</v>
      </c>
      <c r="C11" s="230">
        <f>'Peternakan-CH4'!D33</f>
        <v>0</v>
      </c>
      <c r="D11" s="230">
        <f>'Peternakan-CH4'!E33</f>
        <v>0</v>
      </c>
      <c r="E11" s="230">
        <f>'Peternakan-CH4'!F33</f>
        <v>0</v>
      </c>
      <c r="F11" s="230">
        <f>'Peternakan-CH4'!G33</f>
        <v>0</v>
      </c>
      <c r="G11" s="230">
        <f>'Peternakan-CH4'!H33</f>
        <v>0</v>
      </c>
      <c r="H11" s="230">
        <f>'Peternakan-CH4'!I33</f>
        <v>0</v>
      </c>
      <c r="I11" s="230">
        <f>'Peternakan-CH4'!J33</f>
        <v>0</v>
      </c>
      <c r="J11" s="230">
        <f>'Peternakan-CH4'!K33</f>
        <v>0</v>
      </c>
      <c r="K11" s="230">
        <f>'Peternakan-CH4'!L33</f>
        <v>0</v>
      </c>
      <c r="L11" s="226"/>
    </row>
    <row r="12" spans="1:12" x14ac:dyDescent="0.25">
      <c r="A12" s="56" t="s">
        <v>73</v>
      </c>
      <c r="B12" s="230">
        <f>'Peternakan-CH4'!C34</f>
        <v>16172238</v>
      </c>
      <c r="C12" s="230">
        <f>'Peternakan-CH4'!D34</f>
        <v>16680067</v>
      </c>
      <c r="D12" s="230">
        <f>'Peternakan-CH4'!E34</f>
        <v>17187896</v>
      </c>
      <c r="E12" s="230">
        <f>'Peternakan-CH4'!F34</f>
        <v>17695725</v>
      </c>
      <c r="F12" s="230">
        <f>'Peternakan-CH4'!G34</f>
        <v>18203554</v>
      </c>
      <c r="G12" s="230">
        <f>'Peternakan-CH4'!H34</f>
        <v>18711383</v>
      </c>
      <c r="H12" s="230">
        <f>'Peternakan-CH4'!I34</f>
        <v>19219212</v>
      </c>
      <c r="I12" s="230">
        <f>'Peternakan-CH4'!J34</f>
        <v>19727041</v>
      </c>
      <c r="J12" s="230">
        <f>'Peternakan-CH4'!K34</f>
        <v>20234870</v>
      </c>
      <c r="K12" s="230">
        <f>'Peternakan-CH4'!L34</f>
        <v>20742699</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2742.55</v>
      </c>
      <c r="C14" s="230">
        <f>'Peternakan-CH4'!D36</f>
        <v>2779.0749999999998</v>
      </c>
      <c r="D14" s="230">
        <f>'Peternakan-CH4'!E36</f>
        <v>2815.6</v>
      </c>
      <c r="E14" s="230">
        <f>'Peternakan-CH4'!F36</f>
        <v>2852.125</v>
      </c>
      <c r="F14" s="230">
        <f>'Peternakan-CH4'!G36</f>
        <v>2888.65</v>
      </c>
      <c r="G14" s="230">
        <f>'Peternakan-CH4'!H36</f>
        <v>2925.1750000000002</v>
      </c>
      <c r="H14" s="230">
        <f>'Peternakan-CH4'!I36</f>
        <v>2961.7</v>
      </c>
      <c r="I14" s="230">
        <f>'Peternakan-CH4'!J36</f>
        <v>2998.2249999999999</v>
      </c>
      <c r="J14" s="230">
        <f>'Peternakan-CH4'!K36</f>
        <v>3034.75</v>
      </c>
      <c r="K14" s="230">
        <f>'Peternakan-CH4'!L36</f>
        <v>3071.2749999999996</v>
      </c>
      <c r="L14" s="226"/>
    </row>
    <row r="17" spans="1:2" x14ac:dyDescent="0.25">
      <c r="A17" s="236" t="s">
        <v>426</v>
      </c>
    </row>
    <row r="18" spans="1:2" s="237" customFormat="1" x14ac:dyDescent="0.25">
      <c r="A18" s="238" t="s">
        <v>396</v>
      </c>
      <c r="B18" s="239" t="s">
        <v>427</v>
      </c>
    </row>
    <row r="19" spans="1:2" x14ac:dyDescent="0.25">
      <c r="A19" s="228">
        <v>2011</v>
      </c>
      <c r="B19" s="241">
        <f>'Lahan sawah'!D11</f>
        <v>80.689089439545825</v>
      </c>
    </row>
    <row r="20" spans="1:2" x14ac:dyDescent="0.25">
      <c r="A20" s="229">
        <v>2012</v>
      </c>
      <c r="B20" s="241">
        <f>'Lahan sawah'!D12</f>
        <v>81.65735851282038</v>
      </c>
    </row>
    <row r="21" spans="1:2" x14ac:dyDescent="0.25">
      <c r="A21" s="228">
        <v>2013</v>
      </c>
      <c r="B21" s="241">
        <f>'Lahan sawah'!D13</f>
        <v>82.637246814974219</v>
      </c>
    </row>
    <row r="22" spans="1:2" x14ac:dyDescent="0.25">
      <c r="A22" s="229">
        <v>2014</v>
      </c>
      <c r="B22" s="241">
        <f>'Lahan sawah'!D14</f>
        <v>83.628893776753927</v>
      </c>
    </row>
    <row r="23" spans="1:2" x14ac:dyDescent="0.25">
      <c r="A23" s="229">
        <v>2015</v>
      </c>
      <c r="B23" s="241">
        <f>'Lahan sawah'!D15</f>
        <v>84.632440502074971</v>
      </c>
    </row>
    <row r="24" spans="1:2" x14ac:dyDescent="0.25">
      <c r="A24" s="228">
        <v>2016</v>
      </c>
      <c r="B24" s="241">
        <f>'Lahan sawah'!D16</f>
        <v>85.648029788099862</v>
      </c>
    </row>
    <row r="25" spans="1:2" x14ac:dyDescent="0.25">
      <c r="A25" s="229">
        <v>2017</v>
      </c>
      <c r="B25" s="241">
        <f>'Lahan sawah'!D17</f>
        <v>86.675806145557061</v>
      </c>
    </row>
    <row r="26" spans="1:2" x14ac:dyDescent="0.25">
      <c r="A26" s="229">
        <v>2018</v>
      </c>
      <c r="B26" s="241">
        <f>'Lahan sawah'!D18</f>
        <v>87.715915819303746</v>
      </c>
    </row>
    <row r="27" spans="1:2" x14ac:dyDescent="0.25">
      <c r="A27" s="228">
        <v>2019</v>
      </c>
      <c r="B27" s="241">
        <f>'Lahan sawah'!D19</f>
        <v>88.768506809135403</v>
      </c>
    </row>
    <row r="28" spans="1:2" x14ac:dyDescent="0.25">
      <c r="A28" s="229">
        <v>2020</v>
      </c>
      <c r="B28" s="241">
        <f>'Lahan sawah'!D20</f>
        <v>89.844479798984366</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118.27439219790725</v>
      </c>
    </row>
    <row r="35" spans="1:2" x14ac:dyDescent="0.25">
      <c r="A35" s="229">
        <v>2012</v>
      </c>
      <c r="B35" s="241">
        <f>'Direct N2O'!C37</f>
        <v>119.69368490428214</v>
      </c>
    </row>
    <row r="36" spans="1:2" x14ac:dyDescent="0.25">
      <c r="A36" s="228">
        <v>2013</v>
      </c>
      <c r="B36" s="241">
        <f>'Direct N2O'!C38</f>
        <v>121.13000912313353</v>
      </c>
    </row>
    <row r="37" spans="1:2" x14ac:dyDescent="0.25">
      <c r="A37" s="229">
        <v>2014</v>
      </c>
      <c r="B37" s="241">
        <f>'Direct N2O'!C39</f>
        <v>122.58356923261113</v>
      </c>
    </row>
    <row r="38" spans="1:2" x14ac:dyDescent="0.25">
      <c r="A38" s="229">
        <v>2015</v>
      </c>
      <c r="B38" s="241">
        <f>'Direct N2O'!C40</f>
        <v>124.05457206340246</v>
      </c>
    </row>
    <row r="39" spans="1:2" x14ac:dyDescent="0.25">
      <c r="A39" s="228">
        <v>2016</v>
      </c>
      <c r="B39" s="241">
        <f>'Direct N2O'!C41</f>
        <v>125.54322692816329</v>
      </c>
    </row>
    <row r="40" spans="1:2" x14ac:dyDescent="0.25">
      <c r="A40" s="229">
        <v>2017</v>
      </c>
      <c r="B40" s="241">
        <f>'Direct N2O'!C42</f>
        <v>127.04974565130125</v>
      </c>
    </row>
    <row r="41" spans="1:2" x14ac:dyDescent="0.25">
      <c r="A41" s="229">
        <v>2018</v>
      </c>
      <c r="B41" s="241">
        <f>'Direct N2O'!C43</f>
        <v>128.57434259911687</v>
      </c>
    </row>
    <row r="42" spans="1:2" x14ac:dyDescent="0.25">
      <c r="A42" s="228">
        <v>2019</v>
      </c>
      <c r="B42" s="241">
        <f>'Direct N2O'!C44</f>
        <v>130.11723471030626</v>
      </c>
    </row>
    <row r="43" spans="1:2" x14ac:dyDescent="0.25">
      <c r="A43" s="229">
        <v>2020</v>
      </c>
      <c r="B43" s="241">
        <f>'Direct N2O'!C45</f>
        <v>131.69440025126954</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9" t="s">
        <v>443</v>
      </c>
      <c r="B78" s="499"/>
      <c r="C78" s="499"/>
      <c r="D78" s="499"/>
      <c r="E78" s="499"/>
      <c r="F78" s="499"/>
      <c r="G78" s="499"/>
      <c r="H78" s="499"/>
      <c r="I78" s="499"/>
      <c r="J78" s="499"/>
      <c r="K78" s="499"/>
      <c r="L78" s="499"/>
    </row>
    <row r="79" spans="1:12" x14ac:dyDescent="0.25">
      <c r="A79" s="179"/>
    </row>
    <row r="80" spans="1:12" x14ac:dyDescent="0.25">
      <c r="A80" s="247"/>
      <c r="B80" s="501" t="s">
        <v>434</v>
      </c>
      <c r="C80" s="501"/>
      <c r="D80" s="501"/>
      <c r="E80" s="501"/>
      <c r="F80" s="501"/>
      <c r="G80" s="501"/>
      <c r="H80" s="501"/>
      <c r="I80" s="501"/>
      <c r="J80" s="501"/>
      <c r="K80" s="501"/>
      <c r="L80" s="501"/>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47.477214361122584</v>
      </c>
      <c r="C82" s="248">
        <f>'Perhitungan ke CO2-eq'!C128</f>
        <v>48.046940933456078</v>
      </c>
      <c r="D82" s="248">
        <f>'Perhitungan ke CO2-eq'!D128</f>
        <v>48.623504224657538</v>
      </c>
      <c r="E82" s="248">
        <f>'Perhitungan ke CO2-eq'!E128</f>
        <v>49.206986275353451</v>
      </c>
      <c r="F82" s="248">
        <f>'Perhitungan ke CO2-eq'!F128</f>
        <v>49.797470110657677</v>
      </c>
      <c r="G82" s="248">
        <f>'Perhitungan ke CO2-eq'!G128</f>
        <v>50.395039751985571</v>
      </c>
      <c r="H82" s="248">
        <f>'Perhitungan ke CO2-eq'!H128</f>
        <v>50.99978022900941</v>
      </c>
      <c r="I82" s="248">
        <f>'Perhitungan ke CO2-eq'!I128</f>
        <v>51.611777591757516</v>
      </c>
      <c r="J82" s="248">
        <f>'Perhitungan ke CO2-eq'!J128</f>
        <v>52.231118922858606</v>
      </c>
      <c r="K82" s="248">
        <f>'Perhitungan ke CO2-eq'!K128</f>
        <v>52.86421815152336</v>
      </c>
      <c r="L82" s="248">
        <f>'Perhitungan ke CO2-eq'!L128</f>
        <v>0</v>
      </c>
    </row>
    <row r="83" spans="1:12" ht="60" x14ac:dyDescent="0.25">
      <c r="A83" s="242" t="s">
        <v>436</v>
      </c>
      <c r="B83" s="248">
        <f>'Perhitungan ke CO2-eq'!B129</f>
        <v>14088.285025619509</v>
      </c>
      <c r="C83" s="248">
        <f>'Perhitungan ke CO2-eq'!C129</f>
        <v>15063.717116007278</v>
      </c>
      <c r="D83" s="248">
        <f>'Perhitungan ke CO2-eq'!D129</f>
        <v>16039.149206395059</v>
      </c>
      <c r="E83" s="248">
        <f>'Perhitungan ke CO2-eq'!E129</f>
        <v>17014.581296782828</v>
      </c>
      <c r="F83" s="248">
        <f>'Perhitungan ke CO2-eq'!F129</f>
        <v>17990.013387170609</v>
      </c>
      <c r="G83" s="248">
        <f>'Perhitungan ke CO2-eq'!G129</f>
        <v>18965.445477558351</v>
      </c>
      <c r="H83" s="248">
        <f>'Perhitungan ke CO2-eq'!H129</f>
        <v>19940.877567946169</v>
      </c>
      <c r="I83" s="248">
        <f>'Perhitungan ke CO2-eq'!I129</f>
        <v>20916.309658333892</v>
      </c>
      <c r="J83" s="248">
        <f>'Perhitungan ke CO2-eq'!J129</f>
        <v>21891.74174872171</v>
      </c>
      <c r="K83" s="248">
        <f>'Perhitungan ke CO2-eq'!K129</f>
        <v>22867.17383910943</v>
      </c>
      <c r="L83" s="248">
        <f>'Perhitungan ke CO2-eq'!L129</f>
        <v>0</v>
      </c>
    </row>
    <row r="84" spans="1:12" ht="60" x14ac:dyDescent="0.25">
      <c r="A84" s="242" t="s">
        <v>437</v>
      </c>
      <c r="B84" s="248">
        <f>'Perhitungan ke CO2-eq'!B130</f>
        <v>1588.9567817514155</v>
      </c>
      <c r="C84" s="248">
        <f>'Perhitungan ke CO2-eq'!C130</f>
        <v>1639.2890067678511</v>
      </c>
      <c r="D84" s="248">
        <f>'Perhitungan ke CO2-eq'!D130</f>
        <v>1689.6212317842862</v>
      </c>
      <c r="E84" s="248">
        <f>'Perhitungan ke CO2-eq'!E130</f>
        <v>1739.9534568007209</v>
      </c>
      <c r="F84" s="248">
        <f>'Perhitungan ke CO2-eq'!F130</f>
        <v>1790.2856818171556</v>
      </c>
      <c r="G84" s="248">
        <f>'Perhitungan ke CO2-eq'!G130</f>
        <v>1840.6179068335907</v>
      </c>
      <c r="H84" s="248">
        <f>'Perhitungan ke CO2-eq'!H130</f>
        <v>1890.9501318500259</v>
      </c>
      <c r="I84" s="248">
        <f>'Perhitungan ke CO2-eq'!I130</f>
        <v>1941.2823568664608</v>
      </c>
      <c r="J84" s="248">
        <f>'Perhitungan ke CO2-eq'!J130</f>
        <v>1533.2555097568363</v>
      </c>
      <c r="K84" s="248">
        <f>'Perhitungan ke CO2-eq'!K130</f>
        <v>2041.9468068993303</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14.792999730583402</v>
      </c>
      <c r="C86" s="248">
        <f>'Perhitungan ke CO2-eq'!C132</f>
        <v>14.970515727350401</v>
      </c>
      <c r="D86" s="248">
        <f>'Perhitungan ke CO2-eq'!D132</f>
        <v>15.150161916078607</v>
      </c>
      <c r="E86" s="248">
        <f>'Perhitungan ke CO2-eq'!E132</f>
        <v>15.331963859071552</v>
      </c>
      <c r="F86" s="248">
        <f>'Perhitungan ke CO2-eq'!F132</f>
        <v>15.515947425380412</v>
      </c>
      <c r="G86" s="248">
        <f>'Perhitungan ke CO2-eq'!G132</f>
        <v>15.702138794484975</v>
      </c>
      <c r="H86" s="248">
        <f>'Perhitungan ke CO2-eq'!H132</f>
        <v>15.890564460018796</v>
      </c>
      <c r="I86" s="248">
        <f>'Perhitungan ke CO2-eq'!I132</f>
        <v>16.081251233539021</v>
      </c>
      <c r="J86" s="248">
        <f>'Perhitungan ke CO2-eq'!J132</f>
        <v>16.274226248341488</v>
      </c>
      <c r="K86" s="248">
        <f>'Perhitungan ke CO2-eq'!K132</f>
        <v>16.471487963147137</v>
      </c>
      <c r="L86" s="248">
        <f>'Perhitungan ke CO2-eq'!L132</f>
        <v>0</v>
      </c>
    </row>
    <row r="87" spans="1:12" ht="45" x14ac:dyDescent="0.25">
      <c r="A87" s="242" t="s">
        <v>440</v>
      </c>
      <c r="B87" s="248">
        <f>'Perhitungan ke CO2-eq'!B133</f>
        <v>56.489394085476086</v>
      </c>
      <c r="C87" s="248">
        <f>'Perhitungan ke CO2-eq'!C133</f>
        <v>57.167266814501822</v>
      </c>
      <c r="D87" s="248">
        <f>'Perhitungan ke CO2-eq'!D133</f>
        <v>57.853274016275833</v>
      </c>
      <c r="E87" s="248">
        <f>'Perhitungan ke CO2-eq'!E133</f>
        <v>58.547513304471153</v>
      </c>
      <c r="F87" s="248">
        <f>'Perhitungan ke CO2-eq'!F133</f>
        <v>59.250083464124806</v>
      </c>
      <c r="G87" s="248">
        <f>'Perhitungan ke CO2-eq'!G133</f>
        <v>59.961084465694285</v>
      </c>
      <c r="H87" s="248">
        <f>'Perhitungan ke CO2-eq'!H133</f>
        <v>60.680617479282638</v>
      </c>
      <c r="I87" s="248">
        <f>'Perhitungan ke CO2-eq'!I133</f>
        <v>61.408784889034017</v>
      </c>
      <c r="J87" s="248">
        <f>'Perhitungan ke CO2-eq'!J133</f>
        <v>62.145690307702431</v>
      </c>
      <c r="K87" s="248">
        <f>'Perhitungan ke CO2-eq'!K133</f>
        <v>62.89896516395725</v>
      </c>
      <c r="L87" s="248">
        <f>'Perhitungan ke CO2-eq'!L133</f>
        <v>0</v>
      </c>
    </row>
    <row r="88" spans="1:12" s="179" customFormat="1" ht="45" x14ac:dyDescent="0.25">
      <c r="A88" s="246" t="s">
        <v>441</v>
      </c>
      <c r="B88" s="249">
        <f>'Perhitungan ke CO2-eq'!B135</f>
        <v>15810.123764069476</v>
      </c>
      <c r="C88" s="249">
        <f>'Perhitungan ke CO2-eq'!C135</f>
        <v>16837.482662954062</v>
      </c>
      <c r="D88" s="249">
        <f>'Perhitungan ke CO2-eq'!D135</f>
        <v>17864.860696840427</v>
      </c>
      <c r="E88" s="249">
        <f>'Perhitungan ke CO2-eq'!E135</f>
        <v>18892.258095348563</v>
      </c>
      <c r="F88" s="249">
        <f>'Perhitungan ke CO2-eq'!F135</f>
        <v>19919.675090853962</v>
      </c>
      <c r="G88" s="249">
        <f>'Perhitungan ke CO2-eq'!G135</f>
        <v>20947.111918520528</v>
      </c>
      <c r="H88" s="249">
        <f>'Perhitungan ke CO2-eq'!H135</f>
        <v>21974.568816334329</v>
      </c>
      <c r="I88" s="249">
        <f>'Perhitungan ke CO2-eq'!I135</f>
        <v>23002.046025136944</v>
      </c>
      <c r="J88" s="249">
        <f>'Perhitungan ke CO2-eq'!J135</f>
        <v>23571.184716534375</v>
      </c>
      <c r="K88" s="249">
        <f>'Perhitungan ke CO2-eq'!K135</f>
        <v>25057.080058578376</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E12" activePane="bottomRight" state="frozen"/>
      <selection pane="topRight" activeCell="C1" sqref="C1"/>
      <selection pane="bottomLeft" activeCell="A12" sqref="A12"/>
      <selection pane="bottomRight" activeCell="C25" sqref="C25:M25"/>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6" t="s">
        <v>4</v>
      </c>
      <c r="D6" s="418"/>
      <c r="E6" s="49" t="s">
        <v>9</v>
      </c>
      <c r="F6" s="416" t="s">
        <v>17</v>
      </c>
      <c r="G6" s="417"/>
      <c r="H6" s="209"/>
      <c r="J6" s="48" t="s">
        <v>3</v>
      </c>
      <c r="K6" s="416" t="s">
        <v>4</v>
      </c>
      <c r="L6" s="418"/>
      <c r="M6" s="49" t="s">
        <v>9</v>
      </c>
      <c r="N6" s="416" t="s">
        <v>17</v>
      </c>
      <c r="O6" s="417"/>
      <c r="P6" s="209"/>
      <c r="R6" s="48" t="s">
        <v>3</v>
      </c>
      <c r="S6" s="416" t="s">
        <v>4</v>
      </c>
      <c r="T6" s="418"/>
      <c r="U6" s="49" t="s">
        <v>9</v>
      </c>
      <c r="V6" s="416" t="s">
        <v>17</v>
      </c>
      <c r="W6" s="417"/>
      <c r="X6" s="209"/>
      <c r="Z6" s="48" t="s">
        <v>3</v>
      </c>
      <c r="AA6" s="416" t="s">
        <v>4</v>
      </c>
      <c r="AB6" s="418"/>
      <c r="AC6" s="49" t="s">
        <v>9</v>
      </c>
      <c r="AD6" s="416" t="s">
        <v>17</v>
      </c>
      <c r="AE6" s="417"/>
      <c r="AF6" s="209"/>
      <c r="AH6" s="48" t="s">
        <v>3</v>
      </c>
      <c r="AI6" s="416" t="s">
        <v>4</v>
      </c>
      <c r="AJ6" s="418"/>
      <c r="AK6" s="49" t="s">
        <v>9</v>
      </c>
      <c r="AL6" s="416" t="s">
        <v>17</v>
      </c>
      <c r="AM6" s="417"/>
      <c r="AN6" s="209"/>
      <c r="AP6" s="48" t="s">
        <v>3</v>
      </c>
      <c r="AQ6" s="416" t="s">
        <v>4</v>
      </c>
      <c r="AR6" s="418"/>
      <c r="AS6" s="49" t="s">
        <v>9</v>
      </c>
      <c r="AT6" s="416" t="s">
        <v>17</v>
      </c>
      <c r="AU6" s="417"/>
      <c r="AV6" s="209"/>
      <c r="AX6" s="48" t="s">
        <v>3</v>
      </c>
      <c r="AY6" s="416" t="s">
        <v>4</v>
      </c>
      <c r="AZ6" s="418"/>
      <c r="BA6" s="49" t="s">
        <v>9</v>
      </c>
      <c r="BB6" s="416" t="s">
        <v>17</v>
      </c>
      <c r="BC6" s="417"/>
      <c r="BD6" s="209"/>
      <c r="BF6" s="48" t="s">
        <v>3</v>
      </c>
      <c r="BG6" s="416" t="s">
        <v>4</v>
      </c>
      <c r="BH6" s="418"/>
      <c r="BI6" s="49" t="s">
        <v>9</v>
      </c>
      <c r="BJ6" s="416" t="s">
        <v>17</v>
      </c>
      <c r="BK6" s="417"/>
      <c r="BL6" s="209"/>
      <c r="BN6" s="48" t="s">
        <v>3</v>
      </c>
      <c r="BO6" s="416" t="s">
        <v>4</v>
      </c>
      <c r="BP6" s="418"/>
      <c r="BQ6" s="49" t="s">
        <v>9</v>
      </c>
      <c r="BR6" s="416" t="s">
        <v>17</v>
      </c>
      <c r="BS6" s="417"/>
      <c r="BT6" s="209"/>
      <c r="BV6" s="48" t="s">
        <v>3</v>
      </c>
      <c r="BW6" s="416" t="s">
        <v>4</v>
      </c>
      <c r="BX6" s="418"/>
      <c r="BY6" s="49" t="s">
        <v>9</v>
      </c>
      <c r="BZ6" s="416" t="s">
        <v>17</v>
      </c>
      <c r="CA6" s="417"/>
      <c r="CB6" s="209"/>
      <c r="CD6" s="48" t="s">
        <v>3</v>
      </c>
      <c r="CE6" s="416" t="s">
        <v>4</v>
      </c>
      <c r="CF6" s="418"/>
      <c r="CG6" s="49" t="s">
        <v>9</v>
      </c>
      <c r="CH6" s="416" t="s">
        <v>17</v>
      </c>
      <c r="CI6" s="417"/>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6936.0722976185598</v>
      </c>
      <c r="D13" s="87">
        <f>'EF peternakan'!$C$5</f>
        <v>47</v>
      </c>
      <c r="E13" s="43">
        <f t="shared" ref="E13:E18" si="20">C13*D13*10^-6</f>
        <v>0.32599539798807231</v>
      </c>
      <c r="F13" s="88">
        <f>'EF peternakan'!$C$15</f>
        <v>1</v>
      </c>
      <c r="G13" s="204">
        <f t="shared" ref="G13:G18" si="21">C13*F13*10^-6</f>
        <v>6.9360722976185597E-3</v>
      </c>
      <c r="H13" s="176">
        <f t="shared" ref="H13:H18" si="22">E13+G13</f>
        <v>0.33293147028569087</v>
      </c>
      <c r="J13" s="46" t="s">
        <v>71</v>
      </c>
      <c r="K13" s="86">
        <f t="shared" ref="K13:K17" si="23">D28</f>
        <v>7687.3965820211097</v>
      </c>
      <c r="L13" s="87">
        <f>'EF peternakan'!$C$5</f>
        <v>47</v>
      </c>
      <c r="M13" s="43">
        <f t="shared" si="0"/>
        <v>0.36130763935499211</v>
      </c>
      <c r="N13" s="88">
        <f>'EF peternakan'!$C$15</f>
        <v>1</v>
      </c>
      <c r="O13" s="204">
        <f t="shared" si="1"/>
        <v>7.6873965820211092E-3</v>
      </c>
      <c r="P13" s="176">
        <f t="shared" ref="P13:P18" si="24">M13+O13</f>
        <v>0.36899503593701322</v>
      </c>
      <c r="R13" s="46" t="s">
        <v>71</v>
      </c>
      <c r="S13" s="86">
        <f t="shared" ref="S13:S17" si="25">E28</f>
        <v>8438.7208664236696</v>
      </c>
      <c r="T13" s="87">
        <f>'EF peternakan'!$C$5</f>
        <v>47</v>
      </c>
      <c r="U13" s="43">
        <f t="shared" si="2"/>
        <v>0.39661988072191245</v>
      </c>
      <c r="V13" s="88">
        <f>'EF peternakan'!$C$15</f>
        <v>1</v>
      </c>
      <c r="W13" s="204">
        <f t="shared" si="3"/>
        <v>8.4387208664236692E-3</v>
      </c>
      <c r="X13" s="176">
        <f t="shared" ref="X13:X18" si="26">U13+W13</f>
        <v>0.40505860158833612</v>
      </c>
      <c r="Z13" s="46" t="s">
        <v>71</v>
      </c>
      <c r="AA13" s="86">
        <f t="shared" ref="AA13:AA17" si="27">F28</f>
        <v>9190.0451508262195</v>
      </c>
      <c r="AB13" s="87">
        <f>'EF peternakan'!$C$5</f>
        <v>47</v>
      </c>
      <c r="AC13" s="43">
        <f t="shared" si="4"/>
        <v>0.4319321220888323</v>
      </c>
      <c r="AD13" s="88">
        <f>'EF peternakan'!$C$15</f>
        <v>1</v>
      </c>
      <c r="AE13" s="204">
        <f t="shared" si="5"/>
        <v>9.1900451508262187E-3</v>
      </c>
      <c r="AF13" s="176">
        <f t="shared" ref="AF13:AF18" si="28">AC13+AE13</f>
        <v>0.44112216723965852</v>
      </c>
      <c r="AH13" s="46" t="s">
        <v>71</v>
      </c>
      <c r="AI13" s="86">
        <f t="shared" ref="AI13:AI17" si="29">G28</f>
        <v>9941.3694352287803</v>
      </c>
      <c r="AJ13" s="87">
        <f>'EF peternakan'!$C$5</f>
        <v>47</v>
      </c>
      <c r="AK13" s="43">
        <f t="shared" si="6"/>
        <v>0.46724436345575265</v>
      </c>
      <c r="AL13" s="88">
        <f>'EF peternakan'!$C$15</f>
        <v>1</v>
      </c>
      <c r="AM13" s="204">
        <f t="shared" si="7"/>
        <v>9.9413694352287803E-3</v>
      </c>
      <c r="AN13" s="176">
        <f t="shared" ref="AN13:AN18" si="30">AK13+AM13</f>
        <v>0.47718573289098143</v>
      </c>
      <c r="AP13" s="46" t="s">
        <v>71</v>
      </c>
      <c r="AQ13" s="86">
        <f t="shared" ref="AQ13:AQ17" si="31">H28</f>
        <v>10692.693719631299</v>
      </c>
      <c r="AR13" s="87">
        <f>'EF peternakan'!$C$5</f>
        <v>47</v>
      </c>
      <c r="AS13" s="43">
        <f t="shared" si="8"/>
        <v>0.50255660482267106</v>
      </c>
      <c r="AT13" s="88">
        <f>'EF peternakan'!$C$15</f>
        <v>1</v>
      </c>
      <c r="AU13" s="204">
        <f t="shared" si="9"/>
        <v>1.0692693719631299E-2</v>
      </c>
      <c r="AV13" s="176">
        <f t="shared" ref="AV13:AV18" si="32">AS13+AU13</f>
        <v>0.51324929854230239</v>
      </c>
      <c r="AX13" s="46" t="s">
        <v>71</v>
      </c>
      <c r="AY13" s="86">
        <f t="shared" ref="AY13:AY17" si="33">I28</f>
        <v>11444.0180040339</v>
      </c>
      <c r="AZ13" s="87">
        <f>'EF peternakan'!$C$5</f>
        <v>47</v>
      </c>
      <c r="BA13" s="43">
        <f t="shared" si="10"/>
        <v>0.5378688461895933</v>
      </c>
      <c r="BB13" s="88">
        <f>'EF peternakan'!$C$15</f>
        <v>1</v>
      </c>
      <c r="BC13" s="204">
        <f t="shared" si="11"/>
        <v>1.14440180040339E-2</v>
      </c>
      <c r="BD13" s="176">
        <f t="shared" ref="BD13:BD18" si="34">BA13+BC13</f>
        <v>0.54931286419362724</v>
      </c>
      <c r="BF13" s="46" t="s">
        <v>71</v>
      </c>
      <c r="BG13" s="86">
        <f t="shared" ref="BG13:BG17" si="35">J28</f>
        <v>12195.342288436401</v>
      </c>
      <c r="BH13" s="87">
        <f>'EF peternakan'!$C$5</f>
        <v>47</v>
      </c>
      <c r="BI13" s="43">
        <f t="shared" si="12"/>
        <v>0.57318108755651076</v>
      </c>
      <c r="BJ13" s="88">
        <f>'EF peternakan'!$C$15</f>
        <v>1</v>
      </c>
      <c r="BK13" s="204">
        <f t="shared" si="13"/>
        <v>1.2195342288436401E-2</v>
      </c>
      <c r="BL13" s="176">
        <f t="shared" ref="BL13:BL18" si="36">BI13+BK13</f>
        <v>0.5853764298449472</v>
      </c>
      <c r="BN13" s="46" t="s">
        <v>71</v>
      </c>
      <c r="BO13" s="86">
        <f t="shared" ref="BO13:BO17" si="37">K28</f>
        <v>12946.666572839</v>
      </c>
      <c r="BP13" s="87">
        <f>'EF peternakan'!$C$5</f>
        <v>47</v>
      </c>
      <c r="BQ13" s="43">
        <f t="shared" si="14"/>
        <v>0.608493328923433</v>
      </c>
      <c r="BR13" s="88">
        <f>'EF peternakan'!$C$15</f>
        <v>1</v>
      </c>
      <c r="BS13" s="204">
        <f t="shared" si="15"/>
        <v>1.2946666572838999E-2</v>
      </c>
      <c r="BT13" s="176">
        <f t="shared" ref="BT13:BT18" si="38">BQ13+BS13</f>
        <v>0.62143999549627205</v>
      </c>
      <c r="BV13" s="46" t="s">
        <v>71</v>
      </c>
      <c r="BW13" s="86">
        <f t="shared" ref="BW13:BW17" si="39">L28</f>
        <v>13697.990857241501</v>
      </c>
      <c r="BX13" s="87">
        <f>'EF peternakan'!$C$5</f>
        <v>47</v>
      </c>
      <c r="BY13" s="43">
        <f t="shared" si="16"/>
        <v>0.64380557029035057</v>
      </c>
      <c r="BZ13" s="88">
        <f>'EF peternakan'!$C$15</f>
        <v>1</v>
      </c>
      <c r="CA13" s="204">
        <f t="shared" si="17"/>
        <v>1.36979908572415E-2</v>
      </c>
      <c r="CB13" s="176">
        <f t="shared" ref="CB13:CB18" si="40">BY13+CA13</f>
        <v>0.65750356114759212</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0</v>
      </c>
      <c r="D14" s="87">
        <f>'EF peternakan'!$C$7</f>
        <v>55</v>
      </c>
      <c r="E14" s="43">
        <f t="shared" si="20"/>
        <v>0</v>
      </c>
      <c r="F14" s="88">
        <f>'EF peternakan'!$C$17</f>
        <v>2</v>
      </c>
      <c r="G14" s="204">
        <f t="shared" si="21"/>
        <v>0</v>
      </c>
      <c r="H14" s="176">
        <f t="shared" si="22"/>
        <v>0</v>
      </c>
      <c r="J14" s="46" t="s">
        <v>22</v>
      </c>
      <c r="K14" s="86">
        <f t="shared" si="23"/>
        <v>0</v>
      </c>
      <c r="L14" s="87">
        <f>'EF peternakan'!$C$7</f>
        <v>55</v>
      </c>
      <c r="M14" s="43">
        <f t="shared" si="0"/>
        <v>0</v>
      </c>
      <c r="N14" s="88">
        <f>'EF peternakan'!$C$17</f>
        <v>2</v>
      </c>
      <c r="O14" s="204">
        <f t="shared" si="1"/>
        <v>0</v>
      </c>
      <c r="P14" s="176">
        <f t="shared" si="24"/>
        <v>0</v>
      </c>
      <c r="R14" s="46" t="s">
        <v>22</v>
      </c>
      <c r="S14" s="86">
        <f t="shared" si="25"/>
        <v>0</v>
      </c>
      <c r="T14" s="87">
        <f>'EF peternakan'!$C$7</f>
        <v>55</v>
      </c>
      <c r="U14" s="43">
        <f t="shared" si="2"/>
        <v>0</v>
      </c>
      <c r="V14" s="88">
        <f>'EF peternakan'!$C$17</f>
        <v>2</v>
      </c>
      <c r="W14" s="204">
        <f t="shared" si="3"/>
        <v>0</v>
      </c>
      <c r="X14" s="176">
        <f t="shared" si="26"/>
        <v>0</v>
      </c>
      <c r="Z14" s="46" t="s">
        <v>22</v>
      </c>
      <c r="AA14" s="86">
        <f t="shared" si="27"/>
        <v>0</v>
      </c>
      <c r="AB14" s="87">
        <f>'EF peternakan'!$C$7</f>
        <v>55</v>
      </c>
      <c r="AC14" s="43">
        <f t="shared" si="4"/>
        <v>0</v>
      </c>
      <c r="AD14" s="88">
        <f>'EF peternakan'!$C$17</f>
        <v>2</v>
      </c>
      <c r="AE14" s="204">
        <f t="shared" si="5"/>
        <v>0</v>
      </c>
      <c r="AF14" s="176">
        <f t="shared" si="28"/>
        <v>0</v>
      </c>
      <c r="AH14" s="46" t="s">
        <v>22</v>
      </c>
      <c r="AI14" s="86">
        <f t="shared" si="29"/>
        <v>0</v>
      </c>
      <c r="AJ14" s="87">
        <f>'EF peternakan'!$C$7</f>
        <v>55</v>
      </c>
      <c r="AK14" s="43">
        <f t="shared" si="6"/>
        <v>0</v>
      </c>
      <c r="AL14" s="88">
        <f>'EF peternakan'!$C$17</f>
        <v>2</v>
      </c>
      <c r="AM14" s="204">
        <f t="shared" si="7"/>
        <v>0</v>
      </c>
      <c r="AN14" s="176">
        <f t="shared" si="30"/>
        <v>0</v>
      </c>
      <c r="AP14" s="46" t="s">
        <v>22</v>
      </c>
      <c r="AQ14" s="86">
        <f t="shared" si="31"/>
        <v>0</v>
      </c>
      <c r="AR14" s="87">
        <f>'EF peternakan'!$C$7</f>
        <v>55</v>
      </c>
      <c r="AS14" s="43">
        <f t="shared" si="8"/>
        <v>0</v>
      </c>
      <c r="AT14" s="88">
        <f>'EF peternakan'!$C$17</f>
        <v>2</v>
      </c>
      <c r="AU14" s="204">
        <f t="shared" si="9"/>
        <v>0</v>
      </c>
      <c r="AV14" s="176">
        <f t="shared" si="32"/>
        <v>0</v>
      </c>
      <c r="AX14" s="46" t="s">
        <v>22</v>
      </c>
      <c r="AY14" s="86">
        <f t="shared" si="33"/>
        <v>0</v>
      </c>
      <c r="AZ14" s="87">
        <f>'EF peternakan'!$C$7</f>
        <v>55</v>
      </c>
      <c r="BA14" s="43">
        <f t="shared" si="10"/>
        <v>0</v>
      </c>
      <c r="BB14" s="88">
        <f>'EF peternakan'!$C$17</f>
        <v>2</v>
      </c>
      <c r="BC14" s="204">
        <f t="shared" si="11"/>
        <v>0</v>
      </c>
      <c r="BD14" s="176">
        <f t="shared" si="34"/>
        <v>0</v>
      </c>
      <c r="BF14" s="46" t="s">
        <v>22</v>
      </c>
      <c r="BG14" s="86">
        <f t="shared" si="35"/>
        <v>0</v>
      </c>
      <c r="BH14" s="87">
        <f>'EF peternakan'!$C$7</f>
        <v>55</v>
      </c>
      <c r="BI14" s="43">
        <f t="shared" si="12"/>
        <v>0</v>
      </c>
      <c r="BJ14" s="88">
        <f>'EF peternakan'!$C$17</f>
        <v>2</v>
      </c>
      <c r="BK14" s="204">
        <f t="shared" si="13"/>
        <v>0</v>
      </c>
      <c r="BL14" s="176">
        <f t="shared" si="36"/>
        <v>0</v>
      </c>
      <c r="BN14" s="46" t="s">
        <v>22</v>
      </c>
      <c r="BO14" s="86">
        <f t="shared" si="37"/>
        <v>0</v>
      </c>
      <c r="BP14" s="87">
        <f>'EF peternakan'!$C$7</f>
        <v>55</v>
      </c>
      <c r="BQ14" s="43">
        <f t="shared" si="14"/>
        <v>0</v>
      </c>
      <c r="BR14" s="88">
        <f>'EF peternakan'!$C$17</f>
        <v>2</v>
      </c>
      <c r="BS14" s="204">
        <f t="shared" si="15"/>
        <v>0</v>
      </c>
      <c r="BT14" s="176">
        <f t="shared" si="38"/>
        <v>0</v>
      </c>
      <c r="BV14" s="46" t="s">
        <v>22</v>
      </c>
      <c r="BW14" s="86">
        <f t="shared" si="39"/>
        <v>0</v>
      </c>
      <c r="BX14" s="87">
        <f>'EF peternakan'!$C$7</f>
        <v>55</v>
      </c>
      <c r="BY14" s="43">
        <f t="shared" si="16"/>
        <v>0</v>
      </c>
      <c r="BZ14" s="88">
        <f>'EF peternakan'!$C$17</f>
        <v>2</v>
      </c>
      <c r="CA14" s="204">
        <f t="shared" si="17"/>
        <v>0</v>
      </c>
      <c r="CB14" s="176">
        <f t="shared" si="40"/>
        <v>0</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2792.9659999999999</v>
      </c>
      <c r="D16" s="87">
        <f>'EF peternakan'!$C$9</f>
        <v>5</v>
      </c>
      <c r="E16" s="43">
        <f t="shared" si="20"/>
        <v>1.3964829999999999E-2</v>
      </c>
      <c r="F16" s="305">
        <f>'EF peternakan'!$C$19</f>
        <v>0.17</v>
      </c>
      <c r="G16" s="204">
        <f t="shared" si="21"/>
        <v>4.7480422000000005E-4</v>
      </c>
      <c r="H16" s="176">
        <f t="shared" si="22"/>
        <v>1.4439634219999999E-2</v>
      </c>
      <c r="J16" s="46" t="s">
        <v>23</v>
      </c>
      <c r="K16" s="86">
        <f t="shared" si="23"/>
        <v>2837.1189999999997</v>
      </c>
      <c r="L16" s="87">
        <f>'EF peternakan'!$C$9</f>
        <v>5</v>
      </c>
      <c r="M16" s="43">
        <f t="shared" si="0"/>
        <v>1.4185594999999997E-2</v>
      </c>
      <c r="N16" s="88">
        <f>'EF peternakan'!$C$19</f>
        <v>0.17</v>
      </c>
      <c r="O16" s="204">
        <f t="shared" si="1"/>
        <v>4.8231022999999996E-4</v>
      </c>
      <c r="P16" s="176">
        <f t="shared" si="24"/>
        <v>1.4667905229999997E-2</v>
      </c>
      <c r="R16" s="46" t="s">
        <v>23</v>
      </c>
      <c r="S16" s="86">
        <f t="shared" si="25"/>
        <v>2881.2719999999999</v>
      </c>
      <c r="T16" s="87">
        <f>'EF peternakan'!$C$9</f>
        <v>5</v>
      </c>
      <c r="U16" s="43">
        <f t="shared" si="2"/>
        <v>1.440636E-2</v>
      </c>
      <c r="V16" s="88">
        <f>'EF peternakan'!$C$19</f>
        <v>0.17</v>
      </c>
      <c r="W16" s="204">
        <f t="shared" si="3"/>
        <v>4.8981624000000003E-4</v>
      </c>
      <c r="X16" s="176">
        <f t="shared" si="26"/>
        <v>1.489617624E-2</v>
      </c>
      <c r="Z16" s="46" t="s">
        <v>23</v>
      </c>
      <c r="AA16" s="86">
        <f t="shared" si="27"/>
        <v>2925.4250000000002</v>
      </c>
      <c r="AB16" s="87">
        <f>'EF peternakan'!$C$9</f>
        <v>5</v>
      </c>
      <c r="AC16" s="43">
        <f t="shared" si="4"/>
        <v>1.4627125E-2</v>
      </c>
      <c r="AD16" s="88">
        <f>'EF peternakan'!$C$19</f>
        <v>0.17</v>
      </c>
      <c r="AE16" s="204">
        <f t="shared" si="5"/>
        <v>4.9732225E-4</v>
      </c>
      <c r="AF16" s="176">
        <f t="shared" si="28"/>
        <v>1.5124447249999999E-2</v>
      </c>
      <c r="AH16" s="46" t="s">
        <v>23</v>
      </c>
      <c r="AI16" s="86">
        <f t="shared" si="29"/>
        <v>2969.578</v>
      </c>
      <c r="AJ16" s="87">
        <f>'EF peternakan'!$C$9</f>
        <v>5</v>
      </c>
      <c r="AK16" s="43">
        <f t="shared" si="6"/>
        <v>1.4847889999999999E-2</v>
      </c>
      <c r="AL16" s="88">
        <f>'EF peternakan'!$C$19</f>
        <v>0.17</v>
      </c>
      <c r="AM16" s="204">
        <f t="shared" si="7"/>
        <v>5.0482826000000007E-4</v>
      </c>
      <c r="AN16" s="176">
        <f t="shared" si="30"/>
        <v>1.5352718259999999E-2</v>
      </c>
      <c r="AP16" s="46" t="s">
        <v>23</v>
      </c>
      <c r="AQ16" s="86">
        <f t="shared" si="31"/>
        <v>3013.7309999999998</v>
      </c>
      <c r="AR16" s="87">
        <f>'EF peternakan'!$C$9</f>
        <v>5</v>
      </c>
      <c r="AS16" s="43">
        <f t="shared" si="8"/>
        <v>1.5068654999999999E-2</v>
      </c>
      <c r="AT16" s="88">
        <f>'EF peternakan'!$C$19</f>
        <v>0.17</v>
      </c>
      <c r="AU16" s="204">
        <f t="shared" si="9"/>
        <v>5.1233426999999993E-4</v>
      </c>
      <c r="AV16" s="176">
        <f t="shared" si="32"/>
        <v>1.5580989269999998E-2</v>
      </c>
      <c r="AX16" s="46" t="s">
        <v>23</v>
      </c>
      <c r="AY16" s="86">
        <f t="shared" si="33"/>
        <v>3057.884</v>
      </c>
      <c r="AZ16" s="87">
        <f>'EF peternakan'!$C$9</f>
        <v>5</v>
      </c>
      <c r="BA16" s="43">
        <f t="shared" si="10"/>
        <v>1.528942E-2</v>
      </c>
      <c r="BB16" s="88">
        <f>'EF peternakan'!$C$19</f>
        <v>0.17</v>
      </c>
      <c r="BC16" s="204">
        <f t="shared" si="11"/>
        <v>5.1984028E-4</v>
      </c>
      <c r="BD16" s="176">
        <f t="shared" si="34"/>
        <v>1.5809260280000001E-2</v>
      </c>
      <c r="BF16" s="46" t="s">
        <v>23</v>
      </c>
      <c r="BG16" s="86">
        <f t="shared" si="35"/>
        <v>3102.0369999999998</v>
      </c>
      <c r="BH16" s="87">
        <f>'EF peternakan'!$C$9</f>
        <v>5</v>
      </c>
      <c r="BI16" s="43">
        <f t="shared" si="12"/>
        <v>1.5510184999999999E-2</v>
      </c>
      <c r="BJ16" s="88">
        <f>'EF peternakan'!$C$19</f>
        <v>0.17</v>
      </c>
      <c r="BK16" s="204">
        <f t="shared" si="13"/>
        <v>5.2734628999999997E-4</v>
      </c>
      <c r="BL16" s="176">
        <f t="shared" si="36"/>
        <v>1.603753129E-2</v>
      </c>
      <c r="BN16" s="46" t="s">
        <v>23</v>
      </c>
      <c r="BO16" s="86">
        <f t="shared" si="37"/>
        <v>3146.1899999999996</v>
      </c>
      <c r="BP16" s="87">
        <f>'EF peternakan'!$C$9</f>
        <v>5</v>
      </c>
      <c r="BQ16" s="43">
        <f t="shared" si="14"/>
        <v>1.5730949999999997E-2</v>
      </c>
      <c r="BR16" s="88">
        <f>'EF peternakan'!$C$19</f>
        <v>0.17</v>
      </c>
      <c r="BS16" s="204">
        <f t="shared" si="15"/>
        <v>5.3485230000000004E-4</v>
      </c>
      <c r="BT16" s="176">
        <f t="shared" si="38"/>
        <v>1.6265802299999996E-2</v>
      </c>
      <c r="BV16" s="46" t="s">
        <v>23</v>
      </c>
      <c r="BW16" s="86">
        <f t="shared" si="39"/>
        <v>3190.3429999999998</v>
      </c>
      <c r="BX16" s="87">
        <f>'EF peternakan'!$C$9</f>
        <v>5</v>
      </c>
      <c r="BY16" s="43">
        <f t="shared" si="16"/>
        <v>1.5951714999999998E-2</v>
      </c>
      <c r="BZ16" s="88">
        <f>'EF peternakan'!$C$19</f>
        <v>0.17</v>
      </c>
      <c r="CA16" s="204">
        <f t="shared" si="17"/>
        <v>5.423583099999999E-4</v>
      </c>
      <c r="CB16" s="176">
        <f t="shared" si="40"/>
        <v>1.6494073309999999E-2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0</v>
      </c>
      <c r="D18" s="87">
        <f>'EF peternakan'!$C$10</f>
        <v>1</v>
      </c>
      <c r="E18" s="43">
        <f t="shared" si="20"/>
        <v>0</v>
      </c>
      <c r="F18" s="88">
        <f>'EF peternakan'!$C$20</f>
        <v>7</v>
      </c>
      <c r="G18" s="204">
        <f t="shared" si="21"/>
        <v>0</v>
      </c>
      <c r="H18" s="176">
        <f t="shared" si="22"/>
        <v>0</v>
      </c>
      <c r="J18" s="268" t="s">
        <v>66</v>
      </c>
      <c r="K18" s="86">
        <f>$D37</f>
        <v>0</v>
      </c>
      <c r="L18" s="87">
        <f>'EF peternakan'!$C$10</f>
        <v>1</v>
      </c>
      <c r="M18" s="43"/>
      <c r="N18" s="88">
        <f>'EF peternakan'!$C$20</f>
        <v>7</v>
      </c>
      <c r="O18" s="204">
        <f t="shared" si="1"/>
        <v>0</v>
      </c>
      <c r="P18" s="176">
        <f t="shared" si="24"/>
        <v>0</v>
      </c>
      <c r="R18" s="268" t="s">
        <v>66</v>
      </c>
      <c r="S18" s="86">
        <f>E37</f>
        <v>0</v>
      </c>
      <c r="T18" s="87">
        <f>'EF peternakan'!$C$10</f>
        <v>1</v>
      </c>
      <c r="U18" s="43">
        <f t="shared" si="2"/>
        <v>0</v>
      </c>
      <c r="V18" s="88">
        <f>'EF peternakan'!$C$20</f>
        <v>7</v>
      </c>
      <c r="W18" s="204">
        <f t="shared" si="3"/>
        <v>0</v>
      </c>
      <c r="X18" s="176">
        <f t="shared" si="26"/>
        <v>0</v>
      </c>
      <c r="Z18" s="268" t="s">
        <v>66</v>
      </c>
      <c r="AA18" s="86">
        <f>F37</f>
        <v>0</v>
      </c>
      <c r="AB18" s="87">
        <f>'EF peternakan'!$C$10</f>
        <v>1</v>
      </c>
      <c r="AC18" s="43">
        <f t="shared" si="4"/>
        <v>0</v>
      </c>
      <c r="AD18" s="88">
        <f>'EF peternakan'!$C$20</f>
        <v>7</v>
      </c>
      <c r="AE18" s="204">
        <f t="shared" si="5"/>
        <v>0</v>
      </c>
      <c r="AF18" s="176">
        <f t="shared" si="28"/>
        <v>0</v>
      </c>
      <c r="AH18" s="268" t="s">
        <v>66</v>
      </c>
      <c r="AI18" s="86">
        <f>G37</f>
        <v>0</v>
      </c>
      <c r="AJ18" s="87">
        <f>'EF peternakan'!$C$10</f>
        <v>1</v>
      </c>
      <c r="AK18" s="43">
        <f t="shared" si="6"/>
        <v>0</v>
      </c>
      <c r="AL18" s="88">
        <f>'EF peternakan'!$C$20</f>
        <v>7</v>
      </c>
      <c r="AM18" s="204">
        <f>AI18*AL18*10^-6</f>
        <v>0</v>
      </c>
      <c r="AN18" s="176">
        <f t="shared" si="30"/>
        <v>0</v>
      </c>
      <c r="AP18" s="268" t="s">
        <v>66</v>
      </c>
      <c r="AQ18" s="86">
        <f>H37</f>
        <v>0</v>
      </c>
      <c r="AR18" s="87">
        <f>'EF peternakan'!$C$10</f>
        <v>1</v>
      </c>
      <c r="AS18" s="43">
        <f t="shared" si="8"/>
        <v>0</v>
      </c>
      <c r="AT18" s="88">
        <f>'EF peternakan'!$C$20</f>
        <v>7</v>
      </c>
      <c r="AU18" s="204">
        <f t="shared" si="9"/>
        <v>0</v>
      </c>
      <c r="AV18" s="176">
        <f t="shared" si="32"/>
        <v>0</v>
      </c>
      <c r="AX18" s="268" t="s">
        <v>66</v>
      </c>
      <c r="AY18" s="86">
        <f>I37</f>
        <v>0</v>
      </c>
      <c r="AZ18" s="87">
        <f>'EF peternakan'!$C$10</f>
        <v>1</v>
      </c>
      <c r="BA18" s="43">
        <f t="shared" si="10"/>
        <v>0</v>
      </c>
      <c r="BB18" s="88">
        <f>'EF peternakan'!$C$20</f>
        <v>7</v>
      </c>
      <c r="BC18" s="204">
        <f t="shared" si="11"/>
        <v>0</v>
      </c>
      <c r="BD18" s="176">
        <f t="shared" si="34"/>
        <v>0</v>
      </c>
      <c r="BF18" s="268" t="s">
        <v>66</v>
      </c>
      <c r="BG18" s="86">
        <f>J37</f>
        <v>0</v>
      </c>
      <c r="BH18" s="87">
        <f>'EF peternakan'!$C$10</f>
        <v>1</v>
      </c>
      <c r="BI18" s="43">
        <f t="shared" si="12"/>
        <v>0</v>
      </c>
      <c r="BJ18" s="88">
        <f>'EF peternakan'!$C$20</f>
        <v>7</v>
      </c>
      <c r="BK18" s="204">
        <f t="shared" si="13"/>
        <v>0</v>
      </c>
      <c r="BL18" s="176">
        <f t="shared" si="36"/>
        <v>0</v>
      </c>
      <c r="BN18" s="268" t="s">
        <v>461</v>
      </c>
      <c r="BO18" s="86">
        <f>K37</f>
        <v>0</v>
      </c>
      <c r="BP18" s="87">
        <f>'EF peternakan'!$C$10</f>
        <v>1</v>
      </c>
      <c r="BQ18" s="43">
        <f t="shared" si="14"/>
        <v>0</v>
      </c>
      <c r="BR18" s="88">
        <f>'EF peternakan'!$C$20</f>
        <v>7</v>
      </c>
      <c r="BS18" s="204">
        <f t="shared" si="15"/>
        <v>0</v>
      </c>
      <c r="BT18" s="176">
        <f t="shared" si="38"/>
        <v>0</v>
      </c>
      <c r="BV18" s="268" t="s">
        <v>461</v>
      </c>
      <c r="BW18" s="86">
        <f>L37</f>
        <v>0</v>
      </c>
      <c r="BX18" s="87">
        <f>'EF peternakan'!$C$10</f>
        <v>1</v>
      </c>
      <c r="BY18" s="43">
        <f t="shared" si="16"/>
        <v>0</v>
      </c>
      <c r="BZ18" s="88">
        <f>'EF peternakan'!$C$20</f>
        <v>7</v>
      </c>
      <c r="CA18" s="204">
        <f t="shared" si="17"/>
        <v>0</v>
      </c>
      <c r="CB18" s="176">
        <f t="shared" si="40"/>
        <v>0</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0</v>
      </c>
      <c r="D19" s="9"/>
      <c r="E19" s="12"/>
      <c r="F19" s="88">
        <f>'EF peternakan'!$C$22</f>
        <v>0.02</v>
      </c>
      <c r="G19" s="204">
        <f t="shared" ref="G19:G22" si="44">C19*F19*10^-6</f>
        <v>0</v>
      </c>
      <c r="H19" s="176">
        <f t="shared" ref="H19:H22" si="45">E19+G19</f>
        <v>0</v>
      </c>
      <c r="J19" s="46" t="s">
        <v>67</v>
      </c>
      <c r="K19" s="44">
        <f>D33</f>
        <v>0</v>
      </c>
      <c r="L19" s="9"/>
      <c r="M19" s="12"/>
      <c r="N19" s="88">
        <f>'EF peternakan'!$C$22</f>
        <v>0.02</v>
      </c>
      <c r="O19" s="204">
        <f t="shared" ref="O19:O22" si="46">K19*N19*10^-6</f>
        <v>0</v>
      </c>
      <c r="P19" s="176">
        <f t="shared" ref="P19:P22" si="47">M19+O19</f>
        <v>0</v>
      </c>
      <c r="R19" s="46" t="s">
        <v>67</v>
      </c>
      <c r="S19" s="44">
        <f>E33</f>
        <v>0</v>
      </c>
      <c r="T19" s="9"/>
      <c r="U19" s="12"/>
      <c r="V19" s="88">
        <f>'EF peternakan'!$C$22</f>
        <v>0.02</v>
      </c>
      <c r="W19" s="204">
        <f t="shared" ref="W19:W22" si="48">S19*V19*10^-6</f>
        <v>0</v>
      </c>
      <c r="X19" s="176">
        <f t="shared" ref="X19:X22" si="49">U19+W19</f>
        <v>0</v>
      </c>
      <c r="Z19" s="46" t="s">
        <v>67</v>
      </c>
      <c r="AA19" s="44">
        <f>F33</f>
        <v>0</v>
      </c>
      <c r="AB19" s="9"/>
      <c r="AC19" s="12"/>
      <c r="AD19" s="88">
        <f>'EF peternakan'!$C$22</f>
        <v>0.02</v>
      </c>
      <c r="AE19" s="204">
        <f t="shared" ref="AE19:AE22" si="50">AA19*AD19*10^-6</f>
        <v>0</v>
      </c>
      <c r="AF19" s="176">
        <f t="shared" ref="AF19:AF22" si="51">AC19+AE19</f>
        <v>0</v>
      </c>
      <c r="AH19" s="46" t="s">
        <v>67</v>
      </c>
      <c r="AI19" s="44">
        <f>G33</f>
        <v>0</v>
      </c>
      <c r="AJ19" s="9"/>
      <c r="AK19" s="12"/>
      <c r="AL19" s="88">
        <f>'EF peternakan'!$C$22</f>
        <v>0.02</v>
      </c>
      <c r="AM19" s="204">
        <f t="shared" ref="AM19:AM22" si="52">AI19*AL19*10^-6</f>
        <v>0</v>
      </c>
      <c r="AN19" s="176">
        <f t="shared" ref="AN19:AN22" si="53">AK19+AM19</f>
        <v>0</v>
      </c>
      <c r="AP19" s="46" t="s">
        <v>67</v>
      </c>
      <c r="AQ19" s="44">
        <f>H33</f>
        <v>0</v>
      </c>
      <c r="AR19" s="9"/>
      <c r="AS19" s="12"/>
      <c r="AT19" s="88">
        <f>'EF peternakan'!$C$22</f>
        <v>0.02</v>
      </c>
      <c r="AU19" s="204">
        <f t="shared" ref="AU19:AU21" si="54">AQ19*AT19*10^-6</f>
        <v>0</v>
      </c>
      <c r="AV19" s="176">
        <f t="shared" ref="AV19:AV21" si="55">AS19+AU19</f>
        <v>0</v>
      </c>
      <c r="AX19" s="46" t="s">
        <v>67</v>
      </c>
      <c r="AY19" s="44">
        <f>I33</f>
        <v>0</v>
      </c>
      <c r="AZ19" s="9"/>
      <c r="BA19" s="12"/>
      <c r="BB19" s="88">
        <f>'EF peternakan'!$C$22</f>
        <v>0.02</v>
      </c>
      <c r="BC19" s="204">
        <f t="shared" ref="BC19:BC22" si="56">AY19*BB19*10^-6</f>
        <v>0</v>
      </c>
      <c r="BD19" s="176">
        <f t="shared" ref="BD19:BD22" si="57">BA19+BC19</f>
        <v>0</v>
      </c>
      <c r="BF19" s="46" t="s">
        <v>67</v>
      </c>
      <c r="BG19" s="44">
        <f>J33</f>
        <v>0</v>
      </c>
      <c r="BH19" s="9"/>
      <c r="BI19" s="12"/>
      <c r="BJ19" s="88">
        <f>'EF peternakan'!$C$22</f>
        <v>0.02</v>
      </c>
      <c r="BK19" s="204">
        <f t="shared" ref="BK19:BK22" si="58">BG19*BJ19*10^-6</f>
        <v>0</v>
      </c>
      <c r="BL19" s="176">
        <f t="shared" ref="BL19:BL22" si="59">BI19+BK19</f>
        <v>0</v>
      </c>
      <c r="BN19" s="46" t="s">
        <v>67</v>
      </c>
      <c r="BO19" s="44">
        <f>K33</f>
        <v>0</v>
      </c>
      <c r="BP19" s="9"/>
      <c r="BQ19" s="12"/>
      <c r="BR19" s="88">
        <f>'EF peternakan'!$C$22</f>
        <v>0.02</v>
      </c>
      <c r="BS19" s="204">
        <f t="shared" ref="BS19:BS22" si="60">BO19*BR19*10^-6</f>
        <v>0</v>
      </c>
      <c r="BT19" s="176">
        <f t="shared" ref="BT19:BT22" si="61">BQ19+BS19</f>
        <v>0</v>
      </c>
      <c r="BV19" s="46" t="s">
        <v>67</v>
      </c>
      <c r="BW19" s="44">
        <f>L33</f>
        <v>0</v>
      </c>
      <c r="BX19" s="9"/>
      <c r="BY19" s="12"/>
      <c r="BZ19" s="88">
        <f>'EF peternakan'!$C$22</f>
        <v>0.02</v>
      </c>
      <c r="CA19" s="204">
        <f t="shared" ref="CA19:CA22" si="62">BW19*BZ19*10^-6</f>
        <v>0</v>
      </c>
      <c r="CB19" s="176">
        <f t="shared" ref="CB19:CB22" si="63">BY19+CA19</f>
        <v>0</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16172238</v>
      </c>
      <c r="D20" s="9"/>
      <c r="E20" s="12"/>
      <c r="F20" s="88">
        <f>'EF peternakan'!$C$23</f>
        <v>0.02</v>
      </c>
      <c r="G20" s="204">
        <f t="shared" si="44"/>
        <v>0.32344476</v>
      </c>
      <c r="H20" s="176">
        <f t="shared" si="45"/>
        <v>0.32344476</v>
      </c>
      <c r="J20" s="46" t="s">
        <v>68</v>
      </c>
      <c r="K20" s="44">
        <f t="shared" ref="K20:K21" si="67">D34</f>
        <v>16680067</v>
      </c>
      <c r="L20" s="9"/>
      <c r="M20" s="12"/>
      <c r="N20" s="88">
        <f>'EF peternakan'!$C$23</f>
        <v>0.02</v>
      </c>
      <c r="O20" s="204">
        <f t="shared" si="46"/>
        <v>0.33360134000000002</v>
      </c>
      <c r="P20" s="176">
        <f t="shared" si="47"/>
        <v>0.33360134000000002</v>
      </c>
      <c r="R20" s="46" t="s">
        <v>68</v>
      </c>
      <c r="S20" s="44">
        <f t="shared" ref="S20:S21" si="68">E34</f>
        <v>17187896</v>
      </c>
      <c r="T20" s="9"/>
      <c r="U20" s="12"/>
      <c r="V20" s="88">
        <f>'EF peternakan'!$C$23</f>
        <v>0.02</v>
      </c>
      <c r="W20" s="204">
        <f t="shared" si="48"/>
        <v>0.34375791999999999</v>
      </c>
      <c r="X20" s="176">
        <f t="shared" si="49"/>
        <v>0.34375791999999999</v>
      </c>
      <c r="Z20" s="46" t="s">
        <v>68</v>
      </c>
      <c r="AA20" s="44">
        <f t="shared" ref="AA20:AA21" si="69">F34</f>
        <v>17695725</v>
      </c>
      <c r="AB20" s="9"/>
      <c r="AC20" s="12"/>
      <c r="AD20" s="88">
        <f>'EF peternakan'!$C$23</f>
        <v>0.02</v>
      </c>
      <c r="AE20" s="204">
        <f t="shared" si="50"/>
        <v>0.35391449999999997</v>
      </c>
      <c r="AF20" s="176">
        <f t="shared" si="51"/>
        <v>0.35391449999999997</v>
      </c>
      <c r="AH20" s="46" t="s">
        <v>68</v>
      </c>
      <c r="AI20" s="44">
        <f>G34</f>
        <v>18203554</v>
      </c>
      <c r="AJ20" s="9"/>
      <c r="AK20" s="12"/>
      <c r="AL20" s="88">
        <f>'EF peternakan'!$C$23</f>
        <v>0.02</v>
      </c>
      <c r="AM20" s="204">
        <f t="shared" si="52"/>
        <v>0.36407107999999999</v>
      </c>
      <c r="AN20" s="176">
        <f t="shared" si="53"/>
        <v>0.36407107999999999</v>
      </c>
      <c r="AP20" s="46" t="s">
        <v>68</v>
      </c>
      <c r="AQ20" s="44">
        <f>H34</f>
        <v>18711383</v>
      </c>
      <c r="AR20" s="9"/>
      <c r="AS20" s="12"/>
      <c r="AT20" s="88">
        <f>'EF peternakan'!$C$23</f>
        <v>0.02</v>
      </c>
      <c r="AU20" s="204">
        <f t="shared" si="54"/>
        <v>0.37422766000000002</v>
      </c>
      <c r="AV20" s="176">
        <f t="shared" si="55"/>
        <v>0.37422766000000002</v>
      </c>
      <c r="AX20" s="46" t="s">
        <v>68</v>
      </c>
      <c r="AY20" s="44">
        <f>I34</f>
        <v>19219212</v>
      </c>
      <c r="AZ20" s="9"/>
      <c r="BA20" s="12"/>
      <c r="BB20" s="88">
        <f>'EF peternakan'!$C$23</f>
        <v>0.02</v>
      </c>
      <c r="BC20" s="204">
        <f t="shared" si="56"/>
        <v>0.38438423999999999</v>
      </c>
      <c r="BD20" s="176">
        <f t="shared" si="57"/>
        <v>0.38438423999999999</v>
      </c>
      <c r="BF20" s="46" t="s">
        <v>68</v>
      </c>
      <c r="BG20" s="44">
        <f>J34</f>
        <v>19727041</v>
      </c>
      <c r="BH20" s="9"/>
      <c r="BI20" s="12"/>
      <c r="BJ20" s="88">
        <f>'EF peternakan'!$C$23</f>
        <v>0.02</v>
      </c>
      <c r="BK20" s="204">
        <f t="shared" si="58"/>
        <v>0.39454082000000001</v>
      </c>
      <c r="BL20" s="176">
        <f t="shared" si="59"/>
        <v>0.39454082000000001</v>
      </c>
      <c r="BN20" s="46" t="s">
        <v>68</v>
      </c>
      <c r="BO20" s="44">
        <f>K34</f>
        <v>20234870</v>
      </c>
      <c r="BP20" s="9"/>
      <c r="BQ20" s="12"/>
      <c r="BR20" s="88">
        <f>'EF peternakan'!$C$23</f>
        <v>0.02</v>
      </c>
      <c r="BS20" s="204">
        <f t="shared" si="60"/>
        <v>0.40469739999999998</v>
      </c>
      <c r="BT20" s="176">
        <f t="shared" si="61"/>
        <v>0.40469739999999998</v>
      </c>
      <c r="BV20" s="46" t="s">
        <v>68</v>
      </c>
      <c r="BW20" s="44">
        <f>L34</f>
        <v>20742699</v>
      </c>
      <c r="BX20" s="9"/>
      <c r="BY20" s="12"/>
      <c r="BZ20" s="88">
        <f>'EF peternakan'!$C$23</f>
        <v>0.02</v>
      </c>
      <c r="CA20" s="204">
        <f t="shared" si="62"/>
        <v>0.41485397999999996</v>
      </c>
      <c r="CB20" s="176">
        <f t="shared" si="63"/>
        <v>0.41485397999999996</v>
      </c>
      <c r="CD20" s="46" t="s">
        <v>68</v>
      </c>
      <c r="CE20" s="44">
        <f>M34</f>
        <v>0</v>
      </c>
      <c r="CF20" s="9"/>
      <c r="CG20" s="12"/>
      <c r="CH20" s="88">
        <f>'EF peternakan'!$C$23</f>
        <v>0.02</v>
      </c>
      <c r="CI20" s="204">
        <f t="shared" si="64"/>
        <v>0</v>
      </c>
      <c r="CJ20" s="176">
        <f t="shared" si="65"/>
        <v>0</v>
      </c>
    </row>
    <row r="21" spans="2:88" x14ac:dyDescent="0.25">
      <c r="B21" s="46" t="s">
        <v>69</v>
      </c>
      <c r="C21" s="44">
        <f t="shared" si="66"/>
        <v>0</v>
      </c>
      <c r="D21" s="9"/>
      <c r="E21" s="12"/>
      <c r="F21" s="88">
        <f>'EF peternakan'!$C$24</f>
        <v>0.02</v>
      </c>
      <c r="G21" s="204">
        <f t="shared" si="44"/>
        <v>0</v>
      </c>
      <c r="H21" s="176">
        <f t="shared" si="45"/>
        <v>0</v>
      </c>
      <c r="J21" s="46" t="s">
        <v>69</v>
      </c>
      <c r="K21" s="44">
        <f t="shared" si="67"/>
        <v>0</v>
      </c>
      <c r="L21" s="9"/>
      <c r="M21" s="12"/>
      <c r="N21" s="88">
        <f>'EF peternakan'!$C$24</f>
        <v>0.02</v>
      </c>
      <c r="O21" s="204">
        <f t="shared" si="46"/>
        <v>0</v>
      </c>
      <c r="P21" s="176">
        <f t="shared" si="47"/>
        <v>0</v>
      </c>
      <c r="R21" s="46" t="s">
        <v>69</v>
      </c>
      <c r="S21" s="44">
        <f t="shared" si="68"/>
        <v>0</v>
      </c>
      <c r="T21" s="9"/>
      <c r="U21" s="12"/>
      <c r="V21" s="88">
        <f>'EF peternakan'!$C$24</f>
        <v>0.02</v>
      </c>
      <c r="W21" s="204">
        <f t="shared" si="48"/>
        <v>0</v>
      </c>
      <c r="X21" s="176">
        <f t="shared" si="49"/>
        <v>0</v>
      </c>
      <c r="Z21" s="46" t="s">
        <v>69</v>
      </c>
      <c r="AA21" s="44">
        <f t="shared" si="69"/>
        <v>0</v>
      </c>
      <c r="AB21" s="9"/>
      <c r="AC21" s="12"/>
      <c r="AD21" s="88">
        <f>'EF peternakan'!$C$24</f>
        <v>0.02</v>
      </c>
      <c r="AE21" s="204">
        <f t="shared" si="50"/>
        <v>0</v>
      </c>
      <c r="AF21" s="176">
        <f t="shared" si="51"/>
        <v>0</v>
      </c>
      <c r="AH21" s="46" t="s">
        <v>69</v>
      </c>
      <c r="AI21" s="44">
        <f>G35</f>
        <v>0</v>
      </c>
      <c r="AJ21" s="9"/>
      <c r="AK21" s="12"/>
      <c r="AL21" s="88">
        <f>'EF peternakan'!$C$24</f>
        <v>0.02</v>
      </c>
      <c r="AM21" s="204">
        <f t="shared" si="52"/>
        <v>0</v>
      </c>
      <c r="AN21" s="176">
        <f t="shared" si="53"/>
        <v>0</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2742.55</v>
      </c>
      <c r="D22" s="9"/>
      <c r="E22" s="12"/>
      <c r="F22" s="88">
        <f>'EF peternakan'!$C$25</f>
        <v>0.02</v>
      </c>
      <c r="G22" s="204">
        <f t="shared" si="44"/>
        <v>5.4851000000000001E-5</v>
      </c>
      <c r="H22" s="176">
        <f t="shared" si="45"/>
        <v>5.4851000000000001E-5</v>
      </c>
      <c r="J22" s="268" t="s">
        <v>462</v>
      </c>
      <c r="K22" s="44">
        <f>D36</f>
        <v>2779.0749999999998</v>
      </c>
      <c r="L22" s="9"/>
      <c r="M22" s="12"/>
      <c r="N22" s="88">
        <f>'EF peternakan'!$C$25</f>
        <v>0.02</v>
      </c>
      <c r="O22" s="204">
        <f t="shared" si="46"/>
        <v>5.5581499999999996E-5</v>
      </c>
      <c r="P22" s="176">
        <f t="shared" si="47"/>
        <v>5.5581499999999996E-5</v>
      </c>
      <c r="R22" s="268" t="s">
        <v>462</v>
      </c>
      <c r="S22" s="44">
        <f>E36</f>
        <v>2815.6</v>
      </c>
      <c r="T22" s="9"/>
      <c r="U22" s="12"/>
      <c r="V22" s="88">
        <f>'EF peternakan'!$C$25</f>
        <v>0.02</v>
      </c>
      <c r="W22" s="204">
        <f t="shared" si="48"/>
        <v>5.6311999999999992E-5</v>
      </c>
      <c r="X22" s="176">
        <f t="shared" si="49"/>
        <v>5.6311999999999992E-5</v>
      </c>
      <c r="Z22" s="268" t="s">
        <v>462</v>
      </c>
      <c r="AA22" s="44">
        <f>F36</f>
        <v>2852.125</v>
      </c>
      <c r="AB22" s="9"/>
      <c r="AC22" s="12"/>
      <c r="AD22" s="88">
        <f>'EF peternakan'!$C$25</f>
        <v>0.02</v>
      </c>
      <c r="AE22" s="204">
        <f t="shared" si="50"/>
        <v>5.7042500000000001E-5</v>
      </c>
      <c r="AF22" s="176">
        <f t="shared" si="51"/>
        <v>5.7042500000000001E-5</v>
      </c>
      <c r="AH22" s="268" t="s">
        <v>462</v>
      </c>
      <c r="AI22" s="44">
        <f>G36</f>
        <v>2888.65</v>
      </c>
      <c r="AJ22" s="9"/>
      <c r="AK22" s="12"/>
      <c r="AL22" s="88">
        <f>'EF peternakan'!$C$25</f>
        <v>0.02</v>
      </c>
      <c r="AM22" s="204">
        <f t="shared" si="52"/>
        <v>5.7772999999999997E-5</v>
      </c>
      <c r="AN22" s="176">
        <f t="shared" si="53"/>
        <v>5.7772999999999997E-5</v>
      </c>
      <c r="AP22" s="268" t="s">
        <v>462</v>
      </c>
      <c r="AQ22" s="44">
        <f>H36</f>
        <v>2925.1750000000002</v>
      </c>
      <c r="AR22" s="9"/>
      <c r="AS22" s="12"/>
      <c r="AT22" s="88">
        <f>'EF peternakan'!$C$25</f>
        <v>0.02</v>
      </c>
      <c r="AU22" s="204">
        <f t="shared" ref="AU22" si="70">AQ22*AT22*10^-6</f>
        <v>5.85035E-5</v>
      </c>
      <c r="AV22" s="176">
        <f t="shared" ref="AV22" si="71">AS22+AU22</f>
        <v>5.85035E-5</v>
      </c>
      <c r="AX22" s="268" t="s">
        <v>462</v>
      </c>
      <c r="AY22" s="44">
        <f>I36</f>
        <v>2961.7</v>
      </c>
      <c r="AZ22" s="9"/>
      <c r="BA22" s="12"/>
      <c r="BB22" s="88">
        <f>'EF peternakan'!$C$25</f>
        <v>0.02</v>
      </c>
      <c r="BC22" s="204">
        <f t="shared" si="56"/>
        <v>5.9233999999999989E-5</v>
      </c>
      <c r="BD22" s="176">
        <f t="shared" si="57"/>
        <v>5.9233999999999989E-5</v>
      </c>
      <c r="BF22" s="268" t="s">
        <v>462</v>
      </c>
      <c r="BG22" s="44">
        <f>J36</f>
        <v>2998.2249999999999</v>
      </c>
      <c r="BH22" s="9"/>
      <c r="BI22" s="12"/>
      <c r="BJ22" s="88">
        <f>'EF peternakan'!$C$25</f>
        <v>0.02</v>
      </c>
      <c r="BK22" s="204">
        <f t="shared" si="58"/>
        <v>5.9964499999999998E-5</v>
      </c>
      <c r="BL22" s="176">
        <f t="shared" si="59"/>
        <v>5.9964499999999998E-5</v>
      </c>
      <c r="BN22" s="268" t="s">
        <v>462</v>
      </c>
      <c r="BO22" s="44">
        <f>K36</f>
        <v>3034.75</v>
      </c>
      <c r="BP22" s="9"/>
      <c r="BQ22" s="12"/>
      <c r="BR22" s="88">
        <f>'EF peternakan'!$C$25</f>
        <v>0.02</v>
      </c>
      <c r="BS22" s="204">
        <f t="shared" si="60"/>
        <v>6.0695000000000001E-5</v>
      </c>
      <c r="BT22" s="176">
        <f t="shared" si="61"/>
        <v>6.0695000000000001E-5</v>
      </c>
      <c r="BV22" s="268" t="s">
        <v>462</v>
      </c>
      <c r="BW22" s="44">
        <f>L36</f>
        <v>3071.2749999999996</v>
      </c>
      <c r="BX22" s="9"/>
      <c r="BY22" s="12"/>
      <c r="BZ22" s="88">
        <f>'EF peternakan'!$C$25</f>
        <v>0.02</v>
      </c>
      <c r="CA22" s="204">
        <f t="shared" si="62"/>
        <v>6.1425499999999983E-5</v>
      </c>
      <c r="CB22" s="176">
        <f t="shared" si="63"/>
        <v>6.1425499999999983E-5</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16184709.588297619</v>
      </c>
      <c r="D23" s="50"/>
      <c r="E23" s="52">
        <f>SUM(E12:E21)</f>
        <v>0.33996022798807229</v>
      </c>
      <c r="F23" s="51"/>
      <c r="G23" s="205">
        <f>SUM(G12:G22)</f>
        <v>0.33091048751761859</v>
      </c>
      <c r="H23" s="211">
        <f>SUM(H12:H22)</f>
        <v>0.67087071550569088</v>
      </c>
      <c r="J23" s="47" t="s">
        <v>76</v>
      </c>
      <c r="K23" s="45">
        <f>SUM(K12:K22)</f>
        <v>16693370.590582021</v>
      </c>
      <c r="L23" s="50"/>
      <c r="M23" s="52">
        <f>SUM(M12:M22)</f>
        <v>0.3754932343549921</v>
      </c>
      <c r="N23" s="51"/>
      <c r="O23" s="205">
        <f>SUM(O12:O22)</f>
        <v>0.34182662831202115</v>
      </c>
      <c r="P23" s="211">
        <f>SUM(P12:P22)</f>
        <v>0.7173198626670132</v>
      </c>
      <c r="R23" s="47" t="s">
        <v>76</v>
      </c>
      <c r="S23" s="45">
        <f>SUM(S12:S22)</f>
        <v>17202031.592866424</v>
      </c>
      <c r="T23" s="50"/>
      <c r="U23" s="52">
        <f>SUM(U12:U22)</f>
        <v>0.41102624072191246</v>
      </c>
      <c r="V23" s="51"/>
      <c r="W23" s="205">
        <f>SUM(W12:W22)</f>
        <v>0.35274276910642366</v>
      </c>
      <c r="X23" s="211">
        <f>SUM(X12:X22)</f>
        <v>0.76376900982833618</v>
      </c>
      <c r="Z23" s="47" t="s">
        <v>76</v>
      </c>
      <c r="AA23" s="45">
        <f>SUM(AA12:AA22)</f>
        <v>17710692.595150825</v>
      </c>
      <c r="AB23" s="50"/>
      <c r="AC23" s="52">
        <f>SUM(AC12:AC22)</f>
        <v>0.44655924708883232</v>
      </c>
      <c r="AD23" s="51"/>
      <c r="AE23" s="205">
        <f>SUM(AE12:AE22)</f>
        <v>0.36365890990082617</v>
      </c>
      <c r="AF23" s="211">
        <f>SUM(AF12:AF22)</f>
        <v>0.8102181569896586</v>
      </c>
      <c r="AH23" s="47" t="s">
        <v>76</v>
      </c>
      <c r="AI23" s="45">
        <f>SUM(AI12:AI22)</f>
        <v>18219353.597435229</v>
      </c>
      <c r="AJ23" s="50"/>
      <c r="AK23" s="52">
        <f>SUM(AK12:AK22)</f>
        <v>0.48209225345575263</v>
      </c>
      <c r="AL23" s="51"/>
      <c r="AM23" s="205">
        <f>SUM(AM12:AM22)</f>
        <v>0.37457505069522873</v>
      </c>
      <c r="AN23" s="211">
        <f>SUM(AN12:AN22)</f>
        <v>0.85666730415098136</v>
      </c>
      <c r="AP23" s="47" t="s">
        <v>76</v>
      </c>
      <c r="AQ23" s="45">
        <f>SUM(AQ12:AQ22)</f>
        <v>18728014.599719632</v>
      </c>
      <c r="AR23" s="50"/>
      <c r="AS23" s="52">
        <f>SUM(AS12:AS22)</f>
        <v>0.51762525982267105</v>
      </c>
      <c r="AT23" s="51"/>
      <c r="AU23" s="205">
        <f>SUM(AU12:AU22)</f>
        <v>0.38549119148963129</v>
      </c>
      <c r="AV23" s="211">
        <f>SUM(AV12:AV22)</f>
        <v>0.90311645131230245</v>
      </c>
      <c r="AX23" s="47" t="s">
        <v>76</v>
      </c>
      <c r="AY23" s="45">
        <f>SUM(AY12:AY22)</f>
        <v>19236675.602004033</v>
      </c>
      <c r="AZ23" s="50"/>
      <c r="BA23" s="52">
        <f>SUM(BA12:BA22)</f>
        <v>0.5531582661895933</v>
      </c>
      <c r="BB23" s="51"/>
      <c r="BC23" s="205">
        <f>SUM(BC12:BC22)</f>
        <v>0.39640733228403391</v>
      </c>
      <c r="BD23" s="211">
        <f>SUM(BD12:BD22)</f>
        <v>0.9495655984736272</v>
      </c>
      <c r="BF23" s="47" t="s">
        <v>76</v>
      </c>
      <c r="BG23" s="45">
        <f>SUM(BG12:BG22)</f>
        <v>19745336.604288436</v>
      </c>
      <c r="BH23" s="50"/>
      <c r="BI23" s="52">
        <f>SUM(BI12:BI22)</f>
        <v>0.58869127255651077</v>
      </c>
      <c r="BJ23" s="51"/>
      <c r="BK23" s="205">
        <f>SUM(BK12:BK22)</f>
        <v>0.40732347307843642</v>
      </c>
      <c r="BL23" s="211">
        <f>SUM(BL12:BL22)</f>
        <v>0.99601474563494719</v>
      </c>
      <c r="BN23" s="47" t="s">
        <v>76</v>
      </c>
      <c r="BO23" s="45">
        <f>SUM(BO12:BO22)</f>
        <v>20253997.60657284</v>
      </c>
      <c r="BP23" s="50"/>
      <c r="BQ23" s="52">
        <f>SUM(BQ12:BQ22)</f>
        <v>0.62422427892343302</v>
      </c>
      <c r="BR23" s="51"/>
      <c r="BS23" s="205">
        <f>SUM(BS12:BS22)</f>
        <v>0.41823961387283898</v>
      </c>
      <c r="BT23" s="211">
        <f>SUM(BT12:BT22)</f>
        <v>1.0424638927962719</v>
      </c>
      <c r="BV23" s="47" t="s">
        <v>76</v>
      </c>
      <c r="BW23" s="45">
        <f>SUM(BW12:BW22)</f>
        <v>20762658.608857241</v>
      </c>
      <c r="BX23" s="50"/>
      <c r="BY23" s="52">
        <f>SUM(BY12:BY22)</f>
        <v>0.6597572852903506</v>
      </c>
      <c r="BZ23" s="51"/>
      <c r="CA23" s="205">
        <f>SUM(CA12:CA22)</f>
        <v>0.42915575466724143</v>
      </c>
      <c r="CB23" s="211">
        <f>SUM(CB12:CB22)</f>
        <v>1.0889130399575919</v>
      </c>
      <c r="CD23" s="47" t="s">
        <v>76</v>
      </c>
      <c r="CE23" s="45">
        <f>SUM(CE12:CE22)</f>
        <v>0</v>
      </c>
      <c r="CF23" s="50"/>
      <c r="CG23" s="52">
        <f>SUM(CG12:CG22)</f>
        <v>0</v>
      </c>
      <c r="CH23" s="51"/>
      <c r="CI23" s="205">
        <f>SUM(CI12:CI22)</f>
        <v>0</v>
      </c>
      <c r="CJ23" s="211">
        <f>SUM(CJ12:CJ22)</f>
        <v>0</v>
      </c>
    </row>
    <row r="25" spans="2:88" x14ac:dyDescent="0.25">
      <c r="B25" s="227"/>
      <c r="C25" s="419" t="s">
        <v>477</v>
      </c>
      <c r="D25" s="420"/>
      <c r="E25" s="420"/>
      <c r="F25" s="420"/>
      <c r="G25" s="420"/>
      <c r="H25" s="420"/>
      <c r="I25" s="420"/>
      <c r="J25" s="420"/>
      <c r="K25" s="420"/>
      <c r="L25" s="420"/>
      <c r="M25" s="421"/>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[1]Balikpapan!$O$26</f>
        <v>0</v>
      </c>
      <c r="D27" s="230">
        <f>[1]Balikpapan!$O$27</f>
        <v>0</v>
      </c>
      <c r="E27" s="230">
        <f>[1]Balikpapan!$O$28</f>
        <v>0</v>
      </c>
      <c r="F27" s="230">
        <f>[1]Balikpapan!$O$29</f>
        <v>0</v>
      </c>
      <c r="G27" s="230">
        <f>[1]Balikpapan!$O$30</f>
        <v>0</v>
      </c>
      <c r="H27" s="230">
        <f>[1]Balikpapan!$O$31</f>
        <v>0</v>
      </c>
      <c r="I27" s="230">
        <f>[1]Balikpapan!$O$32</f>
        <v>0</v>
      </c>
      <c r="J27" s="230">
        <f>[1]Balikpapan!$O$33</f>
        <v>0</v>
      </c>
      <c r="K27" s="230">
        <f>[1]Balikpapan!$O$34</f>
        <v>0</v>
      </c>
      <c r="L27" s="230">
        <f>[1]Balikpapan!$O$35</f>
        <v>0</v>
      </c>
      <c r="M27" s="230"/>
    </row>
    <row r="28" spans="2:88" x14ac:dyDescent="0.25">
      <c r="B28" s="56" t="s">
        <v>71</v>
      </c>
      <c r="C28" s="230">
        <f>[1]Balikpapan!$N$26</f>
        <v>6936.0722976185598</v>
      </c>
      <c r="D28" s="230">
        <f>[1]Balikpapan!$N$27</f>
        <v>7687.3965820211097</v>
      </c>
      <c r="E28" s="230">
        <f>[1]Balikpapan!$N$28</f>
        <v>8438.7208664236696</v>
      </c>
      <c r="F28" s="230">
        <f>[1]Balikpapan!$N$29</f>
        <v>9190.0451508262195</v>
      </c>
      <c r="G28" s="230">
        <f>[1]Balikpapan!$N$30</f>
        <v>9941.3694352287803</v>
      </c>
      <c r="H28" s="230">
        <f>[1]Balikpapan!$N$31</f>
        <v>10692.693719631299</v>
      </c>
      <c r="I28" s="230">
        <f>[1]Balikpapan!$N$32</f>
        <v>11444.0180040339</v>
      </c>
      <c r="J28" s="230">
        <f>[1]Balikpapan!$N$33</f>
        <v>12195.342288436401</v>
      </c>
      <c r="K28" s="230">
        <f>[1]Balikpapan!$N$34</f>
        <v>12946.666572839</v>
      </c>
      <c r="L28" s="230">
        <f>[1]Balikpapan!$N$35</f>
        <v>13697.990857241501</v>
      </c>
      <c r="M28" s="230"/>
      <c r="N28" s="230"/>
    </row>
    <row r="29" spans="2:88" x14ac:dyDescent="0.25">
      <c r="B29" s="56" t="s">
        <v>22</v>
      </c>
      <c r="C29" s="230">
        <f>[1]Balikpapan!$P$26</f>
        <v>0</v>
      </c>
      <c r="D29" s="230">
        <f>[1]Balikpapan!$P$27</f>
        <v>0</v>
      </c>
      <c r="E29" s="230">
        <f>[1]Balikpapan!$P$28</f>
        <v>0</v>
      </c>
      <c r="F29" s="230">
        <f>[1]Balikpapan!$P$29</f>
        <v>0</v>
      </c>
      <c r="G29" s="230">
        <f>[1]Balikpapan!$P$30</f>
        <v>0</v>
      </c>
      <c r="H29" s="230">
        <f>[1]Balikpapan!$P$31</f>
        <v>0</v>
      </c>
      <c r="I29" s="230">
        <f>[1]Balikpapan!$P$32</f>
        <v>0</v>
      </c>
      <c r="J29" s="230">
        <f>[1]Balikpapan!$P$33</f>
        <v>0</v>
      </c>
      <c r="K29" s="230">
        <f>[1]Balikpapan!$P$34</f>
        <v>0</v>
      </c>
      <c r="L29" s="230">
        <f>[1]Balikpapan!$P$35</f>
        <v>0</v>
      </c>
      <c r="M29" s="230"/>
    </row>
    <row r="30" spans="2:88" x14ac:dyDescent="0.25">
      <c r="B30" s="56" t="s">
        <v>65</v>
      </c>
      <c r="C30" s="230">
        <f>[1]Balikpapan!$R$26</f>
        <v>0</v>
      </c>
      <c r="D30" s="230">
        <f>[1]Balikpapan!$R$27</f>
        <v>0</v>
      </c>
      <c r="E30" s="230">
        <f>[1]Balikpapan!$R$28</f>
        <v>0</v>
      </c>
      <c r="F30" s="230">
        <f>[1]Balikpapan!$R$29</f>
        <v>0</v>
      </c>
      <c r="G30" s="230">
        <f>[1]Balikpapan!$R$30</f>
        <v>0</v>
      </c>
      <c r="H30" s="230">
        <f>[1]Balikpapan!$R$31</f>
        <v>0</v>
      </c>
      <c r="I30" s="230">
        <f>[1]Balikpapan!$R$32</f>
        <v>0</v>
      </c>
      <c r="J30" s="230">
        <f>[1]Balikpapan!$R$33</f>
        <v>0</v>
      </c>
      <c r="K30" s="230">
        <f>[1]Balikpapan!$R$34</f>
        <v>0</v>
      </c>
      <c r="L30" s="230">
        <f>[1]Balikpapan!$R$35</f>
        <v>0</v>
      </c>
      <c r="M30" s="226"/>
    </row>
    <row r="31" spans="2:88" x14ac:dyDescent="0.25">
      <c r="B31" s="56" t="s">
        <v>23</v>
      </c>
      <c r="C31" s="230">
        <f>[1]Balikpapan!$Q$26</f>
        <v>2792.9659999999999</v>
      </c>
      <c r="D31" s="230">
        <f>[1]Balikpapan!$Q$27</f>
        <v>2837.1189999999997</v>
      </c>
      <c r="E31" s="230">
        <f>[1]Balikpapan!$Q$28</f>
        <v>2881.2719999999999</v>
      </c>
      <c r="F31" s="230">
        <f>[1]Balikpapan!$Q$29</f>
        <v>2925.4250000000002</v>
      </c>
      <c r="G31" s="230">
        <f>[1]Balikpapan!$Q$30</f>
        <v>2969.578</v>
      </c>
      <c r="H31" s="230">
        <f>[1]Balikpapan!$Q$31</f>
        <v>3013.7309999999998</v>
      </c>
      <c r="I31" s="230">
        <f>[1]Balikpapan!$Q$32</f>
        <v>3057.884</v>
      </c>
      <c r="J31" s="230">
        <f>[1]Balikpapan!$Q$33</f>
        <v>3102.0369999999998</v>
      </c>
      <c r="K31" s="230">
        <f>[1]Balikpapan!$Q$34</f>
        <v>3146.1899999999996</v>
      </c>
      <c r="L31" s="230">
        <f>[1]Balikpapan!$Q$35</f>
        <v>3190.3429999999998</v>
      </c>
      <c r="M31" s="230"/>
    </row>
    <row r="32" spans="2:88" x14ac:dyDescent="0.25">
      <c r="B32" s="56" t="s">
        <v>24</v>
      </c>
      <c r="C32" s="230">
        <f>[1]Balikpapan!$T$26</f>
        <v>0</v>
      </c>
      <c r="D32" s="230">
        <f>[1]Balikpapan!$T$27</f>
        <v>0</v>
      </c>
      <c r="E32" s="230">
        <f>[1]Balikpapan!$T$28</f>
        <v>0</v>
      </c>
      <c r="F32" s="230">
        <f>[1]Balikpapan!$T$29</f>
        <v>0</v>
      </c>
      <c r="G32" s="230">
        <f>[1]Balikpapan!$T$30</f>
        <v>0</v>
      </c>
      <c r="H32" s="230">
        <f>[1]Balikpapan!$T$31</f>
        <v>0</v>
      </c>
      <c r="I32" s="230">
        <f>[1]Balikpapan!$T$32</f>
        <v>0</v>
      </c>
      <c r="J32" s="230">
        <f>[1]Balikpapan!$T$33</f>
        <v>0</v>
      </c>
      <c r="K32" s="230">
        <f>[1]Balikpapan!$T$34</f>
        <v>0</v>
      </c>
      <c r="L32" s="230">
        <f>[1]Balikpapan!$T$35</f>
        <v>0</v>
      </c>
      <c r="M32" s="230"/>
    </row>
    <row r="33" spans="2:13" x14ac:dyDescent="0.25">
      <c r="B33" s="56" t="s">
        <v>72</v>
      </c>
      <c r="C33" s="230">
        <f>[1]Balikpapan!$U$26</f>
        <v>0</v>
      </c>
      <c r="D33" s="230">
        <f>[1]Balikpapan!$U$27</f>
        <v>0</v>
      </c>
      <c r="E33" s="230">
        <f>[1]Balikpapan!$U$28</f>
        <v>0</v>
      </c>
      <c r="F33" s="230">
        <f>[1]Balikpapan!$U$29</f>
        <v>0</v>
      </c>
      <c r="G33" s="230">
        <f>[1]Balikpapan!$U$30</f>
        <v>0</v>
      </c>
      <c r="H33" s="230">
        <f>[1]Balikpapan!$U$31</f>
        <v>0</v>
      </c>
      <c r="I33" s="230">
        <f>[1]Balikpapan!$U$32</f>
        <v>0</v>
      </c>
      <c r="J33" s="230">
        <f>[1]Balikpapan!$U$33</f>
        <v>0</v>
      </c>
      <c r="K33" s="230">
        <f>[1]Balikpapan!$U$34</f>
        <v>0</v>
      </c>
      <c r="L33" s="230">
        <f>[1]Balikpapan!$U$35</f>
        <v>0</v>
      </c>
      <c r="M33" s="230"/>
    </row>
    <row r="34" spans="2:13" x14ac:dyDescent="0.25">
      <c r="B34" s="56" t="s">
        <v>73</v>
      </c>
      <c r="C34" s="230">
        <f>[1]Balikpapan!$V$26</f>
        <v>16172238</v>
      </c>
      <c r="D34" s="230">
        <f>[1]Balikpapan!$V$27</f>
        <v>16680067</v>
      </c>
      <c r="E34" s="230">
        <f>[1]Balikpapan!$V$28</f>
        <v>17187896</v>
      </c>
      <c r="F34" s="230">
        <f>[1]Balikpapan!$V$29</f>
        <v>17695725</v>
      </c>
      <c r="G34" s="230">
        <f>[1]Balikpapan!$V$30</f>
        <v>18203554</v>
      </c>
      <c r="H34" s="230">
        <f>[1]Balikpapan!$V$31</f>
        <v>18711383</v>
      </c>
      <c r="I34" s="230">
        <f>[1]Balikpapan!$V$32</f>
        <v>19219212</v>
      </c>
      <c r="J34" s="230">
        <f>[1]Balikpapan!$V$33</f>
        <v>19727041</v>
      </c>
      <c r="K34" s="230">
        <f>[1]Balikpapan!$V$34</f>
        <v>20234870</v>
      </c>
      <c r="L34" s="230">
        <f>[1]Balikpapan!$V$35</f>
        <v>20742699</v>
      </c>
      <c r="M34" s="230"/>
    </row>
    <row r="35" spans="2:13" x14ac:dyDescent="0.25">
      <c r="B35" s="56" t="s">
        <v>74</v>
      </c>
      <c r="C35" s="230">
        <f>[1]Balikpapan!$W$26</f>
        <v>0</v>
      </c>
      <c r="D35" s="230">
        <f>[1]Balikpapan!$W$27</f>
        <v>0</v>
      </c>
      <c r="E35" s="230">
        <f>[1]Balikpapan!$W$28</f>
        <v>0</v>
      </c>
      <c r="F35" s="230">
        <f>[1]Balikpapan!$W$29</f>
        <v>0</v>
      </c>
      <c r="G35" s="230">
        <f>[1]Balikpapan!$W$30</f>
        <v>0</v>
      </c>
      <c r="H35" s="230">
        <f>[1]Balikpapan!$W$31</f>
        <v>0</v>
      </c>
      <c r="I35" s="230">
        <f>[1]Balikpapan!$W$32</f>
        <v>0</v>
      </c>
      <c r="J35" s="230">
        <f>[1]Balikpapan!$W$33</f>
        <v>0</v>
      </c>
      <c r="K35" s="230">
        <f>[1]Balikpapan!$W$34</f>
        <v>0</v>
      </c>
      <c r="L35" s="230">
        <f>[1]Balikpapan!$W$35</f>
        <v>0</v>
      </c>
      <c r="M35" s="226"/>
    </row>
    <row r="36" spans="2:13" x14ac:dyDescent="0.25">
      <c r="B36" s="56" t="s">
        <v>75</v>
      </c>
      <c r="C36" s="230">
        <f>[1]Balikpapan!$X$26</f>
        <v>2742.55</v>
      </c>
      <c r="D36" s="230">
        <f>[1]Balikpapan!$X$27</f>
        <v>2779.0749999999998</v>
      </c>
      <c r="E36" s="230">
        <f>[1]Balikpapan!$X$28</f>
        <v>2815.6</v>
      </c>
      <c r="F36" s="230">
        <f>[1]Balikpapan!$X$29</f>
        <v>2852.125</v>
      </c>
      <c r="G36" s="230">
        <f>[1]Balikpapan!$X$30</f>
        <v>2888.65</v>
      </c>
      <c r="H36" s="230">
        <f>[1]Balikpapan!$X$31</f>
        <v>2925.1750000000002</v>
      </c>
      <c r="I36" s="230">
        <f>[1]Balikpapan!$X$32</f>
        <v>2961.7</v>
      </c>
      <c r="J36" s="230">
        <f>[1]Balikpapan!$X$33</f>
        <v>2998.2249999999999</v>
      </c>
      <c r="K36" s="230">
        <f>[1]Balikpapan!$X$34</f>
        <v>3034.75</v>
      </c>
      <c r="L36" s="230">
        <f>[1]Balikpapan!$X$35</f>
        <v>3071.2749999999996</v>
      </c>
      <c r="M36" s="226"/>
    </row>
    <row r="37" spans="2:13" x14ac:dyDescent="0.25">
      <c r="B37" s="270" t="s">
        <v>66</v>
      </c>
      <c r="C37" s="233">
        <f>[1]Balikpapan!$S$26</f>
        <v>0</v>
      </c>
      <c r="D37" s="233">
        <f>[1]Balikpapan!$S$27</f>
        <v>0</v>
      </c>
      <c r="E37" s="233">
        <f>[1]Balikpapan!$S$28</f>
        <v>0</v>
      </c>
      <c r="F37" s="233">
        <f>[1]Balikpapan!$S$29</f>
        <v>0</v>
      </c>
      <c r="G37" s="233">
        <f>[1]Balikpapan!$S$30</f>
        <v>0</v>
      </c>
      <c r="H37" s="233">
        <f>[1]Balikpapan!$S$31</f>
        <v>0</v>
      </c>
      <c r="I37" s="233">
        <f>[1]Balikpapan!$S$32</f>
        <v>0</v>
      </c>
      <c r="J37" s="233">
        <f>[1]Balikpapan!$S$33</f>
        <v>0</v>
      </c>
      <c r="K37" s="233">
        <f>[1]Balikpapan!$S$34</f>
        <v>0</v>
      </c>
      <c r="L37" s="233">
        <f>[1]Balikpapan!$S$35</f>
        <v>0</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2" t="s">
        <v>102</v>
      </c>
      <c r="C5" s="301" t="s">
        <v>3</v>
      </c>
      <c r="D5" s="302" t="s">
        <v>89</v>
      </c>
      <c r="E5" s="424" t="s">
        <v>98</v>
      </c>
      <c r="F5" s="425"/>
      <c r="G5" s="431"/>
      <c r="H5" s="424" t="s">
        <v>89</v>
      </c>
      <c r="I5" s="425"/>
      <c r="J5" s="425"/>
      <c r="K5" s="426"/>
      <c r="S5" s="422" t="s">
        <v>102</v>
      </c>
      <c r="T5" s="301" t="s">
        <v>3</v>
      </c>
      <c r="U5" s="302" t="s">
        <v>89</v>
      </c>
      <c r="V5" s="424" t="s">
        <v>145</v>
      </c>
      <c r="W5" s="425"/>
      <c r="X5" s="424" t="s">
        <v>146</v>
      </c>
      <c r="Y5" s="426"/>
      <c r="AB5" s="422" t="s">
        <v>102</v>
      </c>
      <c r="AC5" s="301" t="s">
        <v>3</v>
      </c>
      <c r="AD5" s="302" t="s">
        <v>89</v>
      </c>
      <c r="AE5" s="424" t="s">
        <v>98</v>
      </c>
      <c r="AF5" s="425"/>
      <c r="AG5" s="431"/>
      <c r="AH5" s="424" t="s">
        <v>89</v>
      </c>
      <c r="AI5" s="425"/>
      <c r="AJ5" s="425"/>
      <c r="AK5" s="426"/>
      <c r="AS5" s="422" t="s">
        <v>102</v>
      </c>
      <c r="AT5" s="301" t="s">
        <v>3</v>
      </c>
      <c r="AU5" s="302" t="s">
        <v>89</v>
      </c>
      <c r="AV5" s="424" t="s">
        <v>145</v>
      </c>
      <c r="AW5" s="425"/>
      <c r="AX5" s="424" t="s">
        <v>146</v>
      </c>
      <c r="AY5" s="426"/>
      <c r="BB5" s="422" t="s">
        <v>102</v>
      </c>
      <c r="BC5" s="301" t="s">
        <v>3</v>
      </c>
      <c r="BD5" s="302" t="s">
        <v>89</v>
      </c>
      <c r="BE5" s="424" t="s">
        <v>98</v>
      </c>
      <c r="BF5" s="425"/>
      <c r="BG5" s="431"/>
      <c r="BH5" s="424" t="s">
        <v>89</v>
      </c>
      <c r="BI5" s="425"/>
      <c r="BJ5" s="425"/>
      <c r="BK5" s="426"/>
      <c r="BS5" s="422" t="s">
        <v>102</v>
      </c>
      <c r="BT5" s="301" t="s">
        <v>3</v>
      </c>
      <c r="BU5" s="302" t="s">
        <v>89</v>
      </c>
      <c r="BV5" s="424" t="s">
        <v>145</v>
      </c>
      <c r="BW5" s="425"/>
      <c r="BX5" s="424" t="s">
        <v>146</v>
      </c>
      <c r="BY5" s="426"/>
      <c r="CB5" s="422" t="s">
        <v>102</v>
      </c>
      <c r="CC5" s="301" t="s">
        <v>3</v>
      </c>
      <c r="CD5" s="302" t="s">
        <v>89</v>
      </c>
      <c r="CE5" s="424" t="s">
        <v>98</v>
      </c>
      <c r="CF5" s="425"/>
      <c r="CG5" s="431"/>
      <c r="CH5" s="424" t="s">
        <v>89</v>
      </c>
      <c r="CI5" s="425"/>
      <c r="CJ5" s="425"/>
      <c r="CK5" s="426"/>
      <c r="CS5" s="422" t="s">
        <v>102</v>
      </c>
      <c r="CT5" s="301" t="s">
        <v>3</v>
      </c>
      <c r="CU5" s="302" t="s">
        <v>89</v>
      </c>
      <c r="CV5" s="424" t="s">
        <v>145</v>
      </c>
      <c r="CW5" s="425"/>
      <c r="CX5" s="424" t="s">
        <v>146</v>
      </c>
      <c r="CY5" s="426"/>
      <c r="DB5" s="422" t="s">
        <v>102</v>
      </c>
      <c r="DC5" s="301" t="s">
        <v>3</v>
      </c>
      <c r="DD5" s="302" t="s">
        <v>89</v>
      </c>
      <c r="DE5" s="424" t="s">
        <v>98</v>
      </c>
      <c r="DF5" s="425"/>
      <c r="DG5" s="431"/>
      <c r="DH5" s="424" t="s">
        <v>89</v>
      </c>
      <c r="DI5" s="425"/>
      <c r="DJ5" s="425"/>
      <c r="DK5" s="426"/>
      <c r="DS5" s="422" t="s">
        <v>102</v>
      </c>
      <c r="DT5" s="301" t="s">
        <v>3</v>
      </c>
      <c r="DU5" s="302" t="s">
        <v>89</v>
      </c>
      <c r="DV5" s="424" t="s">
        <v>145</v>
      </c>
      <c r="DW5" s="425"/>
      <c r="DX5" s="424" t="s">
        <v>146</v>
      </c>
      <c r="DY5" s="426"/>
      <c r="EB5" s="422" t="s">
        <v>102</v>
      </c>
      <c r="EC5" s="301" t="s">
        <v>3</v>
      </c>
      <c r="ED5" s="302" t="s">
        <v>89</v>
      </c>
      <c r="EE5" s="424" t="s">
        <v>98</v>
      </c>
      <c r="EF5" s="425"/>
      <c r="EG5" s="431"/>
      <c r="EH5" s="424" t="s">
        <v>89</v>
      </c>
      <c r="EI5" s="425"/>
      <c r="EJ5" s="425"/>
      <c r="EK5" s="426"/>
      <c r="ES5" s="422" t="s">
        <v>102</v>
      </c>
      <c r="ET5" s="301" t="s">
        <v>3</v>
      </c>
      <c r="EU5" s="302" t="s">
        <v>89</v>
      </c>
      <c r="EV5" s="424" t="s">
        <v>145</v>
      </c>
      <c r="EW5" s="425"/>
      <c r="EX5" s="424" t="s">
        <v>146</v>
      </c>
      <c r="EY5" s="426"/>
      <c r="FB5" s="422" t="s">
        <v>102</v>
      </c>
      <c r="FC5" s="301" t="s">
        <v>3</v>
      </c>
      <c r="FD5" s="302" t="s">
        <v>89</v>
      </c>
      <c r="FE5" s="424" t="s">
        <v>98</v>
      </c>
      <c r="FF5" s="425"/>
      <c r="FG5" s="431"/>
      <c r="FH5" s="424" t="s">
        <v>89</v>
      </c>
      <c r="FI5" s="425"/>
      <c r="FJ5" s="425"/>
      <c r="FK5" s="426"/>
      <c r="FS5" s="422" t="s">
        <v>102</v>
      </c>
      <c r="FT5" s="301" t="s">
        <v>3</v>
      </c>
      <c r="FU5" s="302" t="s">
        <v>89</v>
      </c>
      <c r="FV5" s="424" t="s">
        <v>145</v>
      </c>
      <c r="FW5" s="425"/>
      <c r="FX5" s="424" t="s">
        <v>146</v>
      </c>
      <c r="FY5" s="426"/>
      <c r="GB5" s="422" t="s">
        <v>102</v>
      </c>
      <c r="GC5" s="301" t="s">
        <v>3</v>
      </c>
      <c r="GD5" s="302" t="s">
        <v>89</v>
      </c>
      <c r="GE5" s="424" t="s">
        <v>98</v>
      </c>
      <c r="GF5" s="425"/>
      <c r="GG5" s="431"/>
      <c r="GH5" s="424" t="s">
        <v>89</v>
      </c>
      <c r="GI5" s="425"/>
      <c r="GJ5" s="425"/>
      <c r="GK5" s="426"/>
      <c r="GS5" s="422" t="s">
        <v>102</v>
      </c>
      <c r="GT5" s="301" t="s">
        <v>3</v>
      </c>
      <c r="GU5" s="302" t="s">
        <v>89</v>
      </c>
      <c r="GV5" s="424" t="s">
        <v>145</v>
      </c>
      <c r="GW5" s="425"/>
      <c r="GX5" s="424" t="s">
        <v>146</v>
      </c>
      <c r="GY5" s="426"/>
      <c r="HB5" s="422" t="s">
        <v>102</v>
      </c>
      <c r="HC5" s="301" t="s">
        <v>3</v>
      </c>
      <c r="HD5" s="302" t="s">
        <v>89</v>
      </c>
      <c r="HE5" s="424" t="s">
        <v>98</v>
      </c>
      <c r="HF5" s="425"/>
      <c r="HG5" s="431"/>
      <c r="HH5" s="424" t="s">
        <v>89</v>
      </c>
      <c r="HI5" s="425"/>
      <c r="HJ5" s="425"/>
      <c r="HK5" s="426"/>
      <c r="HS5" s="422" t="s">
        <v>102</v>
      </c>
      <c r="HT5" s="301" t="s">
        <v>3</v>
      </c>
      <c r="HU5" s="302" t="s">
        <v>89</v>
      </c>
      <c r="HV5" s="424" t="s">
        <v>145</v>
      </c>
      <c r="HW5" s="425"/>
      <c r="HX5" s="424" t="s">
        <v>146</v>
      </c>
      <c r="HY5" s="426"/>
      <c r="IB5" s="422" t="s">
        <v>102</v>
      </c>
      <c r="IC5" s="301" t="s">
        <v>3</v>
      </c>
      <c r="ID5" s="302" t="s">
        <v>89</v>
      </c>
      <c r="IE5" s="424" t="s">
        <v>98</v>
      </c>
      <c r="IF5" s="425"/>
      <c r="IG5" s="431"/>
      <c r="IH5" s="424" t="s">
        <v>89</v>
      </c>
      <c r="II5" s="425"/>
      <c r="IJ5" s="425"/>
      <c r="IK5" s="426"/>
      <c r="IS5" s="422" t="s">
        <v>102</v>
      </c>
      <c r="IT5" s="301" t="s">
        <v>3</v>
      </c>
      <c r="IU5" s="302" t="s">
        <v>89</v>
      </c>
      <c r="IV5" s="424" t="s">
        <v>145</v>
      </c>
      <c r="IW5" s="425"/>
      <c r="IX5" s="424" t="s">
        <v>146</v>
      </c>
      <c r="IY5" s="426"/>
      <c r="JB5" s="422" t="s">
        <v>102</v>
      </c>
      <c r="JC5" s="301" t="s">
        <v>3</v>
      </c>
      <c r="JD5" s="302" t="s">
        <v>89</v>
      </c>
      <c r="JE5" s="424" t="s">
        <v>98</v>
      </c>
      <c r="JF5" s="425"/>
      <c r="JG5" s="431"/>
      <c r="JH5" s="424" t="s">
        <v>89</v>
      </c>
      <c r="JI5" s="425"/>
      <c r="JJ5" s="425"/>
      <c r="JK5" s="426"/>
      <c r="JS5" s="422" t="s">
        <v>102</v>
      </c>
      <c r="JT5" s="301" t="s">
        <v>3</v>
      </c>
      <c r="JU5" s="302" t="s">
        <v>89</v>
      </c>
      <c r="JV5" s="424" t="s">
        <v>145</v>
      </c>
      <c r="JW5" s="425"/>
      <c r="JX5" s="424" t="s">
        <v>146</v>
      </c>
      <c r="JY5" s="426"/>
    </row>
    <row r="6" spans="1:285" s="253" customFormat="1" ht="93" x14ac:dyDescent="0.25">
      <c r="B6" s="423"/>
      <c r="C6" s="432" t="s">
        <v>12</v>
      </c>
      <c r="D6" s="25" t="s">
        <v>5</v>
      </c>
      <c r="E6" s="25" t="s">
        <v>88</v>
      </c>
      <c r="F6" s="25" t="s">
        <v>93</v>
      </c>
      <c r="G6" s="25" t="s">
        <v>96</v>
      </c>
      <c r="H6" s="432" t="s">
        <v>349</v>
      </c>
      <c r="I6" s="203" t="s">
        <v>110</v>
      </c>
      <c r="J6" s="293" t="s">
        <v>106</v>
      </c>
      <c r="K6" s="21" t="s">
        <v>133</v>
      </c>
      <c r="S6" s="423"/>
      <c r="T6" s="433" t="s">
        <v>12</v>
      </c>
      <c r="U6" s="25" t="s">
        <v>121</v>
      </c>
      <c r="V6" s="432" t="s">
        <v>130</v>
      </c>
      <c r="W6" s="25" t="s">
        <v>124</v>
      </c>
      <c r="X6" s="25" t="s">
        <v>126</v>
      </c>
      <c r="Y6" s="158" t="s">
        <v>129</v>
      </c>
      <c r="AB6" s="423"/>
      <c r="AC6" s="432" t="s">
        <v>12</v>
      </c>
      <c r="AD6" s="25" t="s">
        <v>5</v>
      </c>
      <c r="AE6" s="25" t="s">
        <v>88</v>
      </c>
      <c r="AF6" s="25" t="s">
        <v>93</v>
      </c>
      <c r="AG6" s="25" t="s">
        <v>96</v>
      </c>
      <c r="AH6" s="432" t="s">
        <v>349</v>
      </c>
      <c r="AI6" s="203" t="s">
        <v>110</v>
      </c>
      <c r="AJ6" s="293" t="s">
        <v>106</v>
      </c>
      <c r="AK6" s="21" t="s">
        <v>133</v>
      </c>
      <c r="AS6" s="423"/>
      <c r="AT6" s="433" t="s">
        <v>12</v>
      </c>
      <c r="AU6" s="25" t="s">
        <v>121</v>
      </c>
      <c r="AV6" s="432" t="s">
        <v>130</v>
      </c>
      <c r="AW6" s="25" t="s">
        <v>124</v>
      </c>
      <c r="AX6" s="25" t="s">
        <v>126</v>
      </c>
      <c r="AY6" s="158" t="s">
        <v>129</v>
      </c>
      <c r="BB6" s="423"/>
      <c r="BC6" s="432" t="s">
        <v>12</v>
      </c>
      <c r="BD6" s="25" t="s">
        <v>5</v>
      </c>
      <c r="BE6" s="25" t="s">
        <v>88</v>
      </c>
      <c r="BF6" s="25" t="s">
        <v>93</v>
      </c>
      <c r="BG6" s="25" t="s">
        <v>96</v>
      </c>
      <c r="BH6" s="432" t="s">
        <v>349</v>
      </c>
      <c r="BI6" s="203" t="s">
        <v>110</v>
      </c>
      <c r="BJ6" s="293" t="s">
        <v>106</v>
      </c>
      <c r="BK6" s="21" t="s">
        <v>133</v>
      </c>
      <c r="BS6" s="423"/>
      <c r="BT6" s="433" t="s">
        <v>12</v>
      </c>
      <c r="BU6" s="25" t="s">
        <v>121</v>
      </c>
      <c r="BV6" s="432" t="s">
        <v>130</v>
      </c>
      <c r="BW6" s="25" t="s">
        <v>124</v>
      </c>
      <c r="BX6" s="25" t="s">
        <v>126</v>
      </c>
      <c r="BY6" s="158" t="s">
        <v>129</v>
      </c>
      <c r="CB6" s="423"/>
      <c r="CC6" s="432" t="s">
        <v>12</v>
      </c>
      <c r="CD6" s="25" t="s">
        <v>5</v>
      </c>
      <c r="CE6" s="25" t="s">
        <v>88</v>
      </c>
      <c r="CF6" s="25" t="s">
        <v>93</v>
      </c>
      <c r="CG6" s="25" t="s">
        <v>96</v>
      </c>
      <c r="CH6" s="432" t="s">
        <v>349</v>
      </c>
      <c r="CI6" s="203" t="s">
        <v>110</v>
      </c>
      <c r="CJ6" s="293" t="s">
        <v>106</v>
      </c>
      <c r="CK6" s="21" t="s">
        <v>133</v>
      </c>
      <c r="CS6" s="423"/>
      <c r="CT6" s="433" t="s">
        <v>12</v>
      </c>
      <c r="CU6" s="25" t="s">
        <v>121</v>
      </c>
      <c r="CV6" s="432" t="s">
        <v>130</v>
      </c>
      <c r="CW6" s="25" t="s">
        <v>124</v>
      </c>
      <c r="CX6" s="25" t="s">
        <v>126</v>
      </c>
      <c r="CY6" s="158" t="s">
        <v>129</v>
      </c>
      <c r="DB6" s="423"/>
      <c r="DC6" s="432" t="s">
        <v>12</v>
      </c>
      <c r="DD6" s="25" t="s">
        <v>5</v>
      </c>
      <c r="DE6" s="25" t="s">
        <v>88</v>
      </c>
      <c r="DF6" s="25" t="s">
        <v>93</v>
      </c>
      <c r="DG6" s="25" t="s">
        <v>96</v>
      </c>
      <c r="DH6" s="432" t="s">
        <v>349</v>
      </c>
      <c r="DI6" s="203" t="s">
        <v>110</v>
      </c>
      <c r="DJ6" s="293" t="s">
        <v>106</v>
      </c>
      <c r="DK6" s="21" t="s">
        <v>133</v>
      </c>
      <c r="DS6" s="423"/>
      <c r="DT6" s="433" t="s">
        <v>12</v>
      </c>
      <c r="DU6" s="25" t="s">
        <v>121</v>
      </c>
      <c r="DV6" s="432" t="s">
        <v>130</v>
      </c>
      <c r="DW6" s="25" t="s">
        <v>124</v>
      </c>
      <c r="DX6" s="25" t="s">
        <v>126</v>
      </c>
      <c r="DY6" s="158" t="s">
        <v>129</v>
      </c>
      <c r="EB6" s="423"/>
      <c r="EC6" s="432" t="s">
        <v>12</v>
      </c>
      <c r="ED6" s="25" t="s">
        <v>5</v>
      </c>
      <c r="EE6" s="25" t="s">
        <v>88</v>
      </c>
      <c r="EF6" s="25" t="s">
        <v>93</v>
      </c>
      <c r="EG6" s="25" t="s">
        <v>96</v>
      </c>
      <c r="EH6" s="432" t="s">
        <v>349</v>
      </c>
      <c r="EI6" s="203" t="s">
        <v>110</v>
      </c>
      <c r="EJ6" s="293" t="s">
        <v>106</v>
      </c>
      <c r="EK6" s="21" t="s">
        <v>133</v>
      </c>
      <c r="ES6" s="423"/>
      <c r="ET6" s="433" t="s">
        <v>12</v>
      </c>
      <c r="EU6" s="25" t="s">
        <v>121</v>
      </c>
      <c r="EV6" s="432" t="s">
        <v>130</v>
      </c>
      <c r="EW6" s="25" t="s">
        <v>124</v>
      </c>
      <c r="EX6" s="25" t="s">
        <v>126</v>
      </c>
      <c r="EY6" s="158" t="s">
        <v>129</v>
      </c>
      <c r="FB6" s="423"/>
      <c r="FC6" s="432" t="s">
        <v>12</v>
      </c>
      <c r="FD6" s="25" t="s">
        <v>5</v>
      </c>
      <c r="FE6" s="25" t="s">
        <v>88</v>
      </c>
      <c r="FF6" s="25" t="s">
        <v>93</v>
      </c>
      <c r="FG6" s="25" t="s">
        <v>96</v>
      </c>
      <c r="FH6" s="432" t="s">
        <v>349</v>
      </c>
      <c r="FI6" s="203" t="s">
        <v>110</v>
      </c>
      <c r="FJ6" s="293" t="s">
        <v>106</v>
      </c>
      <c r="FK6" s="21" t="s">
        <v>133</v>
      </c>
      <c r="FS6" s="423"/>
      <c r="FT6" s="433" t="s">
        <v>12</v>
      </c>
      <c r="FU6" s="25" t="s">
        <v>121</v>
      </c>
      <c r="FV6" s="432" t="s">
        <v>130</v>
      </c>
      <c r="FW6" s="25" t="s">
        <v>124</v>
      </c>
      <c r="FX6" s="25" t="s">
        <v>126</v>
      </c>
      <c r="FY6" s="158" t="s">
        <v>129</v>
      </c>
      <c r="GB6" s="423"/>
      <c r="GC6" s="432" t="s">
        <v>12</v>
      </c>
      <c r="GD6" s="25" t="s">
        <v>5</v>
      </c>
      <c r="GE6" s="25" t="s">
        <v>88</v>
      </c>
      <c r="GF6" s="25" t="s">
        <v>93</v>
      </c>
      <c r="GG6" s="25" t="s">
        <v>96</v>
      </c>
      <c r="GH6" s="432" t="s">
        <v>349</v>
      </c>
      <c r="GI6" s="203" t="s">
        <v>110</v>
      </c>
      <c r="GJ6" s="293" t="s">
        <v>106</v>
      </c>
      <c r="GK6" s="21" t="s">
        <v>133</v>
      </c>
      <c r="GS6" s="423"/>
      <c r="GT6" s="433" t="s">
        <v>12</v>
      </c>
      <c r="GU6" s="25" t="s">
        <v>121</v>
      </c>
      <c r="GV6" s="432" t="s">
        <v>130</v>
      </c>
      <c r="GW6" s="25" t="s">
        <v>124</v>
      </c>
      <c r="GX6" s="25" t="s">
        <v>126</v>
      </c>
      <c r="GY6" s="158" t="s">
        <v>129</v>
      </c>
      <c r="HB6" s="423"/>
      <c r="HC6" s="432" t="s">
        <v>12</v>
      </c>
      <c r="HD6" s="25" t="s">
        <v>5</v>
      </c>
      <c r="HE6" s="25" t="s">
        <v>88</v>
      </c>
      <c r="HF6" s="25" t="s">
        <v>93</v>
      </c>
      <c r="HG6" s="25" t="s">
        <v>96</v>
      </c>
      <c r="HH6" s="432" t="s">
        <v>349</v>
      </c>
      <c r="HI6" s="203" t="s">
        <v>110</v>
      </c>
      <c r="HJ6" s="293" t="s">
        <v>106</v>
      </c>
      <c r="HK6" s="21" t="s">
        <v>133</v>
      </c>
      <c r="HS6" s="423"/>
      <c r="HT6" s="433" t="s">
        <v>12</v>
      </c>
      <c r="HU6" s="25" t="s">
        <v>121</v>
      </c>
      <c r="HV6" s="432" t="s">
        <v>130</v>
      </c>
      <c r="HW6" s="25" t="s">
        <v>124</v>
      </c>
      <c r="HX6" s="25" t="s">
        <v>126</v>
      </c>
      <c r="HY6" s="158" t="s">
        <v>129</v>
      </c>
      <c r="IB6" s="423"/>
      <c r="IC6" s="432" t="s">
        <v>12</v>
      </c>
      <c r="ID6" s="25" t="s">
        <v>5</v>
      </c>
      <c r="IE6" s="25" t="s">
        <v>88</v>
      </c>
      <c r="IF6" s="25" t="s">
        <v>93</v>
      </c>
      <c r="IG6" s="25" t="s">
        <v>96</v>
      </c>
      <c r="IH6" s="432" t="s">
        <v>349</v>
      </c>
      <c r="II6" s="203" t="s">
        <v>110</v>
      </c>
      <c r="IJ6" s="293" t="s">
        <v>106</v>
      </c>
      <c r="IK6" s="21" t="s">
        <v>133</v>
      </c>
      <c r="IS6" s="423"/>
      <c r="IT6" s="433" t="s">
        <v>12</v>
      </c>
      <c r="IU6" s="25" t="s">
        <v>121</v>
      </c>
      <c r="IV6" s="432" t="s">
        <v>130</v>
      </c>
      <c r="IW6" s="25" t="s">
        <v>124</v>
      </c>
      <c r="IX6" s="25" t="s">
        <v>126</v>
      </c>
      <c r="IY6" s="158" t="s">
        <v>129</v>
      </c>
      <c r="JB6" s="423"/>
      <c r="JC6" s="432" t="s">
        <v>12</v>
      </c>
      <c r="JD6" s="25" t="s">
        <v>5</v>
      </c>
      <c r="JE6" s="25" t="s">
        <v>88</v>
      </c>
      <c r="JF6" s="25" t="s">
        <v>93</v>
      </c>
      <c r="JG6" s="25" t="s">
        <v>96</v>
      </c>
      <c r="JH6" s="432" t="s">
        <v>349</v>
      </c>
      <c r="JI6" s="203" t="s">
        <v>110</v>
      </c>
      <c r="JJ6" s="293" t="s">
        <v>106</v>
      </c>
      <c r="JK6" s="21" t="s">
        <v>133</v>
      </c>
      <c r="JS6" s="423"/>
      <c r="JT6" s="433" t="s">
        <v>12</v>
      </c>
      <c r="JU6" s="25" t="s">
        <v>121</v>
      </c>
      <c r="JV6" s="432" t="s">
        <v>130</v>
      </c>
      <c r="JW6" s="25" t="s">
        <v>124</v>
      </c>
      <c r="JX6" s="25" t="s">
        <v>126</v>
      </c>
      <c r="JY6" s="158" t="s">
        <v>129</v>
      </c>
    </row>
    <row r="7" spans="1:285" s="20" customFormat="1" ht="45" x14ac:dyDescent="0.25">
      <c r="A7" s="20" t="s">
        <v>348</v>
      </c>
      <c r="B7" s="423"/>
      <c r="C7" s="432"/>
      <c r="D7" s="254" t="s">
        <v>6</v>
      </c>
      <c r="E7" s="25" t="s">
        <v>95</v>
      </c>
      <c r="F7" s="254" t="s">
        <v>94</v>
      </c>
      <c r="G7" s="254" t="s">
        <v>97</v>
      </c>
      <c r="H7" s="432"/>
      <c r="I7" s="272" t="s">
        <v>109</v>
      </c>
      <c r="J7" s="293" t="s">
        <v>107</v>
      </c>
      <c r="K7" s="273" t="s">
        <v>108</v>
      </c>
      <c r="S7" s="423"/>
      <c r="T7" s="433"/>
      <c r="U7" s="203" t="s">
        <v>109</v>
      </c>
      <c r="V7" s="432"/>
      <c r="W7" s="203" t="s">
        <v>109</v>
      </c>
      <c r="X7" s="25" t="s">
        <v>128</v>
      </c>
      <c r="Y7" s="274" t="s">
        <v>143</v>
      </c>
      <c r="AB7" s="423"/>
      <c r="AC7" s="432"/>
      <c r="AD7" s="254" t="s">
        <v>6</v>
      </c>
      <c r="AE7" s="25" t="s">
        <v>95</v>
      </c>
      <c r="AF7" s="254" t="s">
        <v>94</v>
      </c>
      <c r="AG7" s="254" t="s">
        <v>97</v>
      </c>
      <c r="AH7" s="432"/>
      <c r="AI7" s="272" t="s">
        <v>109</v>
      </c>
      <c r="AJ7" s="293" t="s">
        <v>107</v>
      </c>
      <c r="AK7" s="273" t="s">
        <v>108</v>
      </c>
      <c r="AS7" s="423"/>
      <c r="AT7" s="433"/>
      <c r="AU7" s="203" t="s">
        <v>109</v>
      </c>
      <c r="AV7" s="432"/>
      <c r="AW7" s="203" t="s">
        <v>109</v>
      </c>
      <c r="AX7" s="25" t="s">
        <v>128</v>
      </c>
      <c r="AY7" s="274" t="s">
        <v>143</v>
      </c>
      <c r="BB7" s="423"/>
      <c r="BC7" s="432"/>
      <c r="BD7" s="254" t="s">
        <v>6</v>
      </c>
      <c r="BE7" s="25" t="s">
        <v>95</v>
      </c>
      <c r="BF7" s="254" t="s">
        <v>94</v>
      </c>
      <c r="BG7" s="254" t="s">
        <v>97</v>
      </c>
      <c r="BH7" s="432"/>
      <c r="BI7" s="272" t="s">
        <v>109</v>
      </c>
      <c r="BJ7" s="293" t="s">
        <v>107</v>
      </c>
      <c r="BK7" s="273" t="s">
        <v>108</v>
      </c>
      <c r="BS7" s="423"/>
      <c r="BT7" s="433"/>
      <c r="BU7" s="203" t="s">
        <v>109</v>
      </c>
      <c r="BV7" s="432"/>
      <c r="BW7" s="203" t="s">
        <v>109</v>
      </c>
      <c r="BX7" s="25" t="s">
        <v>128</v>
      </c>
      <c r="BY7" s="274" t="s">
        <v>143</v>
      </c>
      <c r="CB7" s="423"/>
      <c r="CC7" s="432"/>
      <c r="CD7" s="254" t="s">
        <v>6</v>
      </c>
      <c r="CE7" s="25" t="s">
        <v>95</v>
      </c>
      <c r="CF7" s="254" t="s">
        <v>94</v>
      </c>
      <c r="CG7" s="254" t="s">
        <v>97</v>
      </c>
      <c r="CH7" s="432"/>
      <c r="CI7" s="272" t="s">
        <v>109</v>
      </c>
      <c r="CJ7" s="293" t="s">
        <v>107</v>
      </c>
      <c r="CK7" s="273" t="s">
        <v>108</v>
      </c>
      <c r="CS7" s="423"/>
      <c r="CT7" s="433"/>
      <c r="CU7" s="203" t="s">
        <v>109</v>
      </c>
      <c r="CV7" s="432"/>
      <c r="CW7" s="203" t="s">
        <v>109</v>
      </c>
      <c r="CX7" s="25" t="s">
        <v>128</v>
      </c>
      <c r="CY7" s="274" t="s">
        <v>143</v>
      </c>
      <c r="DB7" s="423"/>
      <c r="DC7" s="432"/>
      <c r="DD7" s="254" t="s">
        <v>6</v>
      </c>
      <c r="DE7" s="25" t="s">
        <v>95</v>
      </c>
      <c r="DF7" s="254" t="s">
        <v>94</v>
      </c>
      <c r="DG7" s="254" t="s">
        <v>97</v>
      </c>
      <c r="DH7" s="432"/>
      <c r="DI7" s="272" t="s">
        <v>109</v>
      </c>
      <c r="DJ7" s="293" t="s">
        <v>107</v>
      </c>
      <c r="DK7" s="273" t="s">
        <v>108</v>
      </c>
      <c r="DS7" s="423"/>
      <c r="DT7" s="433"/>
      <c r="DU7" s="203" t="s">
        <v>109</v>
      </c>
      <c r="DV7" s="432"/>
      <c r="DW7" s="203" t="s">
        <v>109</v>
      </c>
      <c r="DX7" s="25" t="s">
        <v>128</v>
      </c>
      <c r="DY7" s="274" t="s">
        <v>143</v>
      </c>
      <c r="EB7" s="423"/>
      <c r="EC7" s="432"/>
      <c r="ED7" s="254" t="s">
        <v>6</v>
      </c>
      <c r="EE7" s="25" t="s">
        <v>95</v>
      </c>
      <c r="EF7" s="254" t="s">
        <v>94</v>
      </c>
      <c r="EG7" s="254" t="s">
        <v>97</v>
      </c>
      <c r="EH7" s="432"/>
      <c r="EI7" s="272" t="s">
        <v>109</v>
      </c>
      <c r="EJ7" s="293" t="s">
        <v>107</v>
      </c>
      <c r="EK7" s="273" t="s">
        <v>108</v>
      </c>
      <c r="ES7" s="423"/>
      <c r="ET7" s="433"/>
      <c r="EU7" s="203" t="s">
        <v>109</v>
      </c>
      <c r="EV7" s="432"/>
      <c r="EW7" s="203" t="s">
        <v>109</v>
      </c>
      <c r="EX7" s="25" t="s">
        <v>128</v>
      </c>
      <c r="EY7" s="274" t="s">
        <v>143</v>
      </c>
      <c r="FB7" s="423"/>
      <c r="FC7" s="432"/>
      <c r="FD7" s="254" t="s">
        <v>6</v>
      </c>
      <c r="FE7" s="25" t="s">
        <v>95</v>
      </c>
      <c r="FF7" s="254" t="s">
        <v>94</v>
      </c>
      <c r="FG7" s="254" t="s">
        <v>97</v>
      </c>
      <c r="FH7" s="432"/>
      <c r="FI7" s="272" t="s">
        <v>109</v>
      </c>
      <c r="FJ7" s="293" t="s">
        <v>107</v>
      </c>
      <c r="FK7" s="273" t="s">
        <v>108</v>
      </c>
      <c r="FS7" s="423"/>
      <c r="FT7" s="433"/>
      <c r="FU7" s="203" t="s">
        <v>109</v>
      </c>
      <c r="FV7" s="432"/>
      <c r="FW7" s="203" t="s">
        <v>109</v>
      </c>
      <c r="FX7" s="25" t="s">
        <v>128</v>
      </c>
      <c r="FY7" s="274" t="s">
        <v>143</v>
      </c>
      <c r="GB7" s="423"/>
      <c r="GC7" s="432"/>
      <c r="GD7" s="254" t="s">
        <v>6</v>
      </c>
      <c r="GE7" s="25" t="s">
        <v>95</v>
      </c>
      <c r="GF7" s="254" t="s">
        <v>94</v>
      </c>
      <c r="GG7" s="254" t="s">
        <v>97</v>
      </c>
      <c r="GH7" s="432"/>
      <c r="GI7" s="272" t="s">
        <v>109</v>
      </c>
      <c r="GJ7" s="293" t="s">
        <v>107</v>
      </c>
      <c r="GK7" s="273" t="s">
        <v>108</v>
      </c>
      <c r="GS7" s="423"/>
      <c r="GT7" s="433"/>
      <c r="GU7" s="203" t="s">
        <v>109</v>
      </c>
      <c r="GV7" s="432"/>
      <c r="GW7" s="203" t="s">
        <v>109</v>
      </c>
      <c r="GX7" s="25" t="s">
        <v>128</v>
      </c>
      <c r="GY7" s="274" t="s">
        <v>143</v>
      </c>
      <c r="HB7" s="423"/>
      <c r="HC7" s="432"/>
      <c r="HD7" s="254" t="s">
        <v>6</v>
      </c>
      <c r="HE7" s="25" t="s">
        <v>95</v>
      </c>
      <c r="HF7" s="254" t="s">
        <v>94</v>
      </c>
      <c r="HG7" s="254" t="s">
        <v>97</v>
      </c>
      <c r="HH7" s="432"/>
      <c r="HI7" s="272" t="s">
        <v>109</v>
      </c>
      <c r="HJ7" s="293" t="s">
        <v>107</v>
      </c>
      <c r="HK7" s="273" t="s">
        <v>108</v>
      </c>
      <c r="HS7" s="423"/>
      <c r="HT7" s="433"/>
      <c r="HU7" s="203" t="s">
        <v>109</v>
      </c>
      <c r="HV7" s="432"/>
      <c r="HW7" s="203" t="s">
        <v>109</v>
      </c>
      <c r="HX7" s="25" t="s">
        <v>128</v>
      </c>
      <c r="HY7" s="274" t="s">
        <v>143</v>
      </c>
      <c r="IB7" s="423"/>
      <c r="IC7" s="432"/>
      <c r="ID7" s="254" t="s">
        <v>6</v>
      </c>
      <c r="IE7" s="25" t="s">
        <v>95</v>
      </c>
      <c r="IF7" s="254" t="s">
        <v>94</v>
      </c>
      <c r="IG7" s="254" t="s">
        <v>97</v>
      </c>
      <c r="IH7" s="432"/>
      <c r="II7" s="272" t="s">
        <v>109</v>
      </c>
      <c r="IJ7" s="293" t="s">
        <v>107</v>
      </c>
      <c r="IK7" s="273" t="s">
        <v>108</v>
      </c>
      <c r="IS7" s="423"/>
      <c r="IT7" s="433"/>
      <c r="IU7" s="203" t="s">
        <v>109</v>
      </c>
      <c r="IV7" s="432"/>
      <c r="IW7" s="203" t="s">
        <v>109</v>
      </c>
      <c r="IX7" s="25" t="s">
        <v>128</v>
      </c>
      <c r="IY7" s="274" t="s">
        <v>143</v>
      </c>
      <c r="JB7" s="423"/>
      <c r="JC7" s="432"/>
      <c r="JD7" s="254" t="s">
        <v>6</v>
      </c>
      <c r="JE7" s="25" t="s">
        <v>95</v>
      </c>
      <c r="JF7" s="254" t="s">
        <v>94</v>
      </c>
      <c r="JG7" s="254" t="s">
        <v>97</v>
      </c>
      <c r="JH7" s="432"/>
      <c r="JI7" s="272" t="s">
        <v>109</v>
      </c>
      <c r="JJ7" s="293" t="s">
        <v>107</v>
      </c>
      <c r="JK7" s="273" t="s">
        <v>108</v>
      </c>
      <c r="JS7" s="423"/>
      <c r="JT7" s="433"/>
      <c r="JU7" s="203" t="s">
        <v>109</v>
      </c>
      <c r="JV7" s="432"/>
      <c r="JW7" s="203" t="s">
        <v>109</v>
      </c>
      <c r="JX7" s="25" t="s">
        <v>128</v>
      </c>
      <c r="JY7" s="274" t="s">
        <v>143</v>
      </c>
    </row>
    <row r="8" spans="1:285" s="20" customFormat="1" ht="54" x14ac:dyDescent="0.25">
      <c r="B8" s="423"/>
      <c r="C8" s="254"/>
      <c r="D8" s="254"/>
      <c r="E8" s="254"/>
      <c r="F8" s="254"/>
      <c r="G8" s="25" t="s">
        <v>100</v>
      </c>
      <c r="H8" s="271" t="s">
        <v>99</v>
      </c>
      <c r="I8" s="293" t="s">
        <v>104</v>
      </c>
      <c r="J8" s="271"/>
      <c r="K8" s="21" t="s">
        <v>111</v>
      </c>
      <c r="S8" s="423"/>
      <c r="T8" s="254"/>
      <c r="U8" s="25"/>
      <c r="V8" s="25" t="s">
        <v>99</v>
      </c>
      <c r="W8" s="25" t="s">
        <v>135</v>
      </c>
      <c r="X8" s="25"/>
      <c r="Y8" s="158" t="s">
        <v>147</v>
      </c>
      <c r="AB8" s="423"/>
      <c r="AC8" s="254"/>
      <c r="AD8" s="254"/>
      <c r="AE8" s="254"/>
      <c r="AF8" s="254"/>
      <c r="AG8" s="25" t="s">
        <v>100</v>
      </c>
      <c r="AH8" s="271" t="s">
        <v>99</v>
      </c>
      <c r="AI8" s="293" t="s">
        <v>104</v>
      </c>
      <c r="AJ8" s="271"/>
      <c r="AK8" s="21" t="s">
        <v>111</v>
      </c>
      <c r="AS8" s="423"/>
      <c r="AT8" s="254"/>
      <c r="AU8" s="25"/>
      <c r="AV8" s="25" t="s">
        <v>99</v>
      </c>
      <c r="AW8" s="25" t="s">
        <v>135</v>
      </c>
      <c r="AX8" s="25"/>
      <c r="AY8" s="158" t="s">
        <v>147</v>
      </c>
      <c r="BB8" s="423"/>
      <c r="BC8" s="254"/>
      <c r="BD8" s="254"/>
      <c r="BE8" s="254"/>
      <c r="BF8" s="254"/>
      <c r="BG8" s="25" t="s">
        <v>100</v>
      </c>
      <c r="BH8" s="271" t="s">
        <v>99</v>
      </c>
      <c r="BI8" s="293" t="s">
        <v>104</v>
      </c>
      <c r="BJ8" s="271"/>
      <c r="BK8" s="21" t="s">
        <v>111</v>
      </c>
      <c r="BS8" s="423"/>
      <c r="BT8" s="254"/>
      <c r="BU8" s="25"/>
      <c r="BV8" s="25" t="s">
        <v>99</v>
      </c>
      <c r="BW8" s="25" t="s">
        <v>135</v>
      </c>
      <c r="BX8" s="25"/>
      <c r="BY8" s="158" t="s">
        <v>147</v>
      </c>
      <c r="CB8" s="423"/>
      <c r="CC8" s="254"/>
      <c r="CD8" s="254"/>
      <c r="CE8" s="254"/>
      <c r="CF8" s="254"/>
      <c r="CG8" s="25" t="s">
        <v>100</v>
      </c>
      <c r="CH8" s="271" t="s">
        <v>99</v>
      </c>
      <c r="CI8" s="293" t="s">
        <v>104</v>
      </c>
      <c r="CJ8" s="271"/>
      <c r="CK8" s="21" t="s">
        <v>111</v>
      </c>
      <c r="CS8" s="423"/>
      <c r="CT8" s="254"/>
      <c r="CU8" s="25"/>
      <c r="CV8" s="25" t="s">
        <v>99</v>
      </c>
      <c r="CW8" s="25" t="s">
        <v>135</v>
      </c>
      <c r="CX8" s="25"/>
      <c r="CY8" s="158" t="s">
        <v>147</v>
      </c>
      <c r="DB8" s="423"/>
      <c r="DC8" s="254"/>
      <c r="DD8" s="254"/>
      <c r="DE8" s="254"/>
      <c r="DF8" s="254"/>
      <c r="DG8" s="25" t="s">
        <v>100</v>
      </c>
      <c r="DH8" s="271" t="s">
        <v>99</v>
      </c>
      <c r="DI8" s="293" t="s">
        <v>104</v>
      </c>
      <c r="DJ8" s="271"/>
      <c r="DK8" s="21" t="s">
        <v>111</v>
      </c>
      <c r="DS8" s="423"/>
      <c r="DT8" s="254"/>
      <c r="DU8" s="25"/>
      <c r="DV8" s="25" t="s">
        <v>99</v>
      </c>
      <c r="DW8" s="25" t="s">
        <v>135</v>
      </c>
      <c r="DX8" s="25"/>
      <c r="DY8" s="158" t="s">
        <v>147</v>
      </c>
      <c r="EB8" s="423"/>
      <c r="EC8" s="254"/>
      <c r="ED8" s="254"/>
      <c r="EE8" s="254"/>
      <c r="EF8" s="254"/>
      <c r="EG8" s="25" t="s">
        <v>100</v>
      </c>
      <c r="EH8" s="271" t="s">
        <v>99</v>
      </c>
      <c r="EI8" s="293" t="s">
        <v>104</v>
      </c>
      <c r="EJ8" s="271"/>
      <c r="EK8" s="21" t="s">
        <v>111</v>
      </c>
      <c r="ES8" s="423"/>
      <c r="ET8" s="254"/>
      <c r="EU8" s="25"/>
      <c r="EV8" s="25" t="s">
        <v>99</v>
      </c>
      <c r="EW8" s="25" t="s">
        <v>135</v>
      </c>
      <c r="EX8" s="25"/>
      <c r="EY8" s="158" t="s">
        <v>147</v>
      </c>
      <c r="FB8" s="423"/>
      <c r="FC8" s="254"/>
      <c r="FD8" s="254"/>
      <c r="FE8" s="254"/>
      <c r="FF8" s="254"/>
      <c r="FG8" s="25" t="s">
        <v>100</v>
      </c>
      <c r="FH8" s="271" t="s">
        <v>99</v>
      </c>
      <c r="FI8" s="293" t="s">
        <v>104</v>
      </c>
      <c r="FJ8" s="271"/>
      <c r="FK8" s="21" t="s">
        <v>111</v>
      </c>
      <c r="FS8" s="423"/>
      <c r="FT8" s="254"/>
      <c r="FU8" s="25"/>
      <c r="FV8" s="25" t="s">
        <v>99</v>
      </c>
      <c r="FW8" s="25" t="s">
        <v>135</v>
      </c>
      <c r="FX8" s="25"/>
      <c r="FY8" s="158" t="s">
        <v>147</v>
      </c>
      <c r="GB8" s="423"/>
      <c r="GC8" s="254"/>
      <c r="GD8" s="254"/>
      <c r="GE8" s="254"/>
      <c r="GF8" s="254"/>
      <c r="GG8" s="25" t="s">
        <v>100</v>
      </c>
      <c r="GH8" s="271" t="s">
        <v>99</v>
      </c>
      <c r="GI8" s="293" t="s">
        <v>104</v>
      </c>
      <c r="GJ8" s="271"/>
      <c r="GK8" s="21" t="s">
        <v>111</v>
      </c>
      <c r="GS8" s="423"/>
      <c r="GT8" s="254"/>
      <c r="GU8" s="25"/>
      <c r="GV8" s="25" t="s">
        <v>99</v>
      </c>
      <c r="GW8" s="25" t="s">
        <v>135</v>
      </c>
      <c r="GX8" s="25"/>
      <c r="GY8" s="158" t="s">
        <v>147</v>
      </c>
      <c r="HB8" s="423"/>
      <c r="HC8" s="254"/>
      <c r="HD8" s="254"/>
      <c r="HE8" s="254"/>
      <c r="HF8" s="254"/>
      <c r="HG8" s="25" t="s">
        <v>100</v>
      </c>
      <c r="HH8" s="271" t="s">
        <v>99</v>
      </c>
      <c r="HI8" s="293" t="s">
        <v>104</v>
      </c>
      <c r="HJ8" s="271"/>
      <c r="HK8" s="21" t="s">
        <v>111</v>
      </c>
      <c r="HS8" s="423"/>
      <c r="HT8" s="254"/>
      <c r="HU8" s="25"/>
      <c r="HV8" s="25" t="s">
        <v>99</v>
      </c>
      <c r="HW8" s="25" t="s">
        <v>135</v>
      </c>
      <c r="HX8" s="25"/>
      <c r="HY8" s="158" t="s">
        <v>147</v>
      </c>
      <c r="IB8" s="423"/>
      <c r="IC8" s="254"/>
      <c r="ID8" s="254"/>
      <c r="IE8" s="254"/>
      <c r="IF8" s="254"/>
      <c r="IG8" s="25" t="s">
        <v>100</v>
      </c>
      <c r="IH8" s="271" t="s">
        <v>99</v>
      </c>
      <c r="II8" s="293" t="s">
        <v>104</v>
      </c>
      <c r="IJ8" s="271"/>
      <c r="IK8" s="21" t="s">
        <v>111</v>
      </c>
      <c r="IS8" s="423"/>
      <c r="IT8" s="254"/>
      <c r="IU8" s="25"/>
      <c r="IV8" s="25" t="s">
        <v>99</v>
      </c>
      <c r="IW8" s="25" t="s">
        <v>135</v>
      </c>
      <c r="IX8" s="25"/>
      <c r="IY8" s="158" t="s">
        <v>147</v>
      </c>
      <c r="JB8" s="423"/>
      <c r="JC8" s="254"/>
      <c r="JD8" s="254"/>
      <c r="JE8" s="254"/>
      <c r="JF8" s="254"/>
      <c r="JG8" s="25" t="s">
        <v>100</v>
      </c>
      <c r="JH8" s="271" t="s">
        <v>99</v>
      </c>
      <c r="JI8" s="293" t="s">
        <v>104</v>
      </c>
      <c r="JJ8" s="271"/>
      <c r="JK8" s="21" t="s">
        <v>111</v>
      </c>
      <c r="JS8" s="423"/>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6936.0722976185598</v>
      </c>
      <c r="E12" s="87">
        <f>'EF peternakan'!$G$6</f>
        <v>0.34</v>
      </c>
      <c r="F12" s="292">
        <f>'EF peternakan'!$H$6</f>
        <v>250</v>
      </c>
      <c r="G12" s="92">
        <f>E12*(F12/10^3)*365</f>
        <v>31.025000000000002</v>
      </c>
      <c r="H12" s="89">
        <f t="shared" ref="H12:H21" si="77">I$26/100</f>
        <v>0.02</v>
      </c>
      <c r="I12" s="83">
        <f>D12*G12*H12</f>
        <v>4303.8328606723171</v>
      </c>
      <c r="J12" s="305">
        <f>'EF peternakan'!$C$30</f>
        <v>0</v>
      </c>
      <c r="K12" s="85">
        <f t="shared" si="0"/>
        <v>0</v>
      </c>
      <c r="S12" s="6"/>
      <c r="T12" s="81" t="s">
        <v>71</v>
      </c>
      <c r="U12" s="86">
        <f t="shared" si="1"/>
        <v>4303.8328606723171</v>
      </c>
      <c r="V12" s="87">
        <f t="shared" ref="V12:V16" si="78">V27</f>
        <v>0.3</v>
      </c>
      <c r="W12" s="299">
        <f t="shared" si="2"/>
        <v>79554.152244063691</v>
      </c>
      <c r="X12" s="92">
        <f t="shared" si="3"/>
        <v>0.01</v>
      </c>
      <c r="Y12" s="99">
        <f t="shared" si="4"/>
        <v>1250.1366781210008</v>
      </c>
      <c r="AB12" s="6"/>
      <c r="AC12" s="81" t="s">
        <v>71</v>
      </c>
      <c r="AD12" s="86">
        <f t="shared" ref="AD12:AD20" si="79">D40</f>
        <v>7687.3965820211097</v>
      </c>
      <c r="AE12" s="87">
        <f>'EF peternakan'!$G$6</f>
        <v>0.34</v>
      </c>
      <c r="AF12" s="87">
        <f>'EF peternakan'!$H$6</f>
        <v>250</v>
      </c>
      <c r="AG12" s="92">
        <f t="shared" si="5"/>
        <v>31.025000000000002</v>
      </c>
      <c r="AH12" s="89">
        <f t="shared" si="6"/>
        <v>0.02</v>
      </c>
      <c r="AI12" s="83">
        <f t="shared" si="7"/>
        <v>4770.0295791440985</v>
      </c>
      <c r="AJ12" s="305">
        <f>'EF peternakan'!$C$30</f>
        <v>0</v>
      </c>
      <c r="AK12" s="85">
        <f t="shared" si="8"/>
        <v>0</v>
      </c>
      <c r="AS12" s="6"/>
      <c r="AT12" s="81" t="s">
        <v>71</v>
      </c>
      <c r="AU12" s="86">
        <f t="shared" si="9"/>
        <v>4770.0295791440985</v>
      </c>
      <c r="AV12" s="87">
        <f t="shared" si="10"/>
        <v>0.3</v>
      </c>
      <c r="AW12" s="299">
        <f t="shared" ref="AW12:AW16" si="80">$AU$23*AV12</f>
        <v>82146.163054426244</v>
      </c>
      <c r="AX12" s="92">
        <f t="shared" si="11"/>
        <v>0.01</v>
      </c>
      <c r="AY12" s="99">
        <f t="shared" si="12"/>
        <v>1290.8682765695553</v>
      </c>
      <c r="BB12" s="6"/>
      <c r="BC12" s="81" t="s">
        <v>71</v>
      </c>
      <c r="BD12" s="86">
        <f t="shared" ref="BD12:BD16" si="81">E40</f>
        <v>8438.7208664236696</v>
      </c>
      <c r="BE12" s="87">
        <f>'EF peternakan'!$G$6</f>
        <v>0.34</v>
      </c>
      <c r="BF12" s="87">
        <f>'EF peternakan'!$H$6</f>
        <v>250</v>
      </c>
      <c r="BG12" s="92">
        <f t="shared" ref="BG12:BG16" si="82">BE12*(BF12/10^3)*365</f>
        <v>31.025000000000002</v>
      </c>
      <c r="BH12" s="89">
        <f t="shared" si="13"/>
        <v>0.02</v>
      </c>
      <c r="BI12" s="83">
        <f t="shared" ref="BI12" si="83">BD12*BG12*BH12</f>
        <v>5236.2262976158881</v>
      </c>
      <c r="BJ12" s="305">
        <f>'EF peternakan'!$C$30</f>
        <v>0</v>
      </c>
      <c r="BK12" s="85">
        <f t="shared" si="14"/>
        <v>0</v>
      </c>
      <c r="BS12" s="6"/>
      <c r="BT12" s="81" t="s">
        <v>71</v>
      </c>
      <c r="BU12" s="86">
        <f t="shared" ref="BU12:BU15" si="84">BI12</f>
        <v>5236.2262976158881</v>
      </c>
      <c r="BV12" s="87">
        <f t="shared" si="15"/>
        <v>0.3</v>
      </c>
      <c r="BW12" s="299">
        <f t="shared" ref="BW12:BW16" si="85">$BU$23*BV12</f>
        <v>84738.173864788769</v>
      </c>
      <c r="BX12" s="92">
        <f t="shared" si="16"/>
        <v>0.01</v>
      </c>
      <c r="BY12" s="99">
        <f t="shared" si="17"/>
        <v>1331.5998750181093</v>
      </c>
      <c r="CB12" s="6"/>
      <c r="CC12" s="81" t="s">
        <v>71</v>
      </c>
      <c r="CD12" s="86">
        <f t="shared" ref="CD12:CD16" si="86">F40</f>
        <v>9190.0451508262195</v>
      </c>
      <c r="CE12" s="87">
        <f>'EF peternakan'!$G$6</f>
        <v>0.34</v>
      </c>
      <c r="CF12" s="87">
        <f>'EF peternakan'!$H$6</f>
        <v>250</v>
      </c>
      <c r="CG12" s="92">
        <f t="shared" si="18"/>
        <v>31.025000000000002</v>
      </c>
      <c r="CH12" s="89">
        <f t="shared" si="19"/>
        <v>0.02</v>
      </c>
      <c r="CI12" s="83">
        <f t="shared" si="20"/>
        <v>5702.4230160876705</v>
      </c>
      <c r="CJ12" s="305">
        <f>'EF peternakan'!$C$30</f>
        <v>0</v>
      </c>
      <c r="CK12" s="85">
        <f t="shared" si="21"/>
        <v>0</v>
      </c>
      <c r="CS12" s="6"/>
      <c r="CT12" s="81" t="s">
        <v>71</v>
      </c>
      <c r="CU12" s="86">
        <f>CI12</f>
        <v>5702.4230160876705</v>
      </c>
      <c r="CV12" s="87">
        <f t="shared" si="22"/>
        <v>0.3</v>
      </c>
      <c r="CW12" s="299">
        <f t="shared" ref="CW12:CW16" si="87">$CU$23*CV12</f>
        <v>87330.184675151322</v>
      </c>
      <c r="CX12" s="92">
        <f t="shared" si="23"/>
        <v>0.01</v>
      </c>
      <c r="CY12" s="99">
        <f t="shared" si="24"/>
        <v>1372.3314734666637</v>
      </c>
      <c r="DB12" s="6"/>
      <c r="DC12" s="81" t="s">
        <v>71</v>
      </c>
      <c r="DD12" s="86">
        <f t="shared" ref="DD12:DD16" si="88">G40</f>
        <v>9941.3694352287803</v>
      </c>
      <c r="DE12" s="87">
        <f>'EF peternakan'!$G$6</f>
        <v>0.34</v>
      </c>
      <c r="DF12" s="87">
        <f>'EF peternakan'!$H$6</f>
        <v>250</v>
      </c>
      <c r="DG12" s="92">
        <f t="shared" si="25"/>
        <v>31.025000000000002</v>
      </c>
      <c r="DH12" s="89">
        <f t="shared" si="26"/>
        <v>0.02</v>
      </c>
      <c r="DI12" s="83">
        <f t="shared" si="27"/>
        <v>6168.6197345594583</v>
      </c>
      <c r="DJ12" s="305">
        <f>'EF peternakan'!$C$30</f>
        <v>0</v>
      </c>
      <c r="DK12" s="85">
        <f t="shared" si="28"/>
        <v>0</v>
      </c>
      <c r="DS12" s="6"/>
      <c r="DT12" s="81" t="s">
        <v>71</v>
      </c>
      <c r="DU12" s="86">
        <f t="shared" ref="DU12:DU15" si="89">DI12</f>
        <v>6168.6197345594583</v>
      </c>
      <c r="DV12" s="87">
        <f t="shared" si="29"/>
        <v>0.3</v>
      </c>
      <c r="DW12" s="299">
        <f t="shared" ref="DW12:DW16" si="90">$DU$23*DV12</f>
        <v>89922.195485513832</v>
      </c>
      <c r="DX12" s="92">
        <f t="shared" si="30"/>
        <v>0.01</v>
      </c>
      <c r="DY12" s="99">
        <f t="shared" si="31"/>
        <v>1413.0630719152175</v>
      </c>
      <c r="EB12" s="6"/>
      <c r="EC12" s="81" t="s">
        <v>71</v>
      </c>
      <c r="ED12" s="86">
        <f t="shared" ref="ED12:ED21" si="91">H40</f>
        <v>10692.693719631299</v>
      </c>
      <c r="EE12" s="87">
        <f>'EF peternakan'!$G$6</f>
        <v>0.34</v>
      </c>
      <c r="EF12" s="87">
        <f>'EF peternakan'!$H$6</f>
        <v>250</v>
      </c>
      <c r="EG12" s="92">
        <f t="shared" si="32"/>
        <v>31.025000000000002</v>
      </c>
      <c r="EH12" s="89">
        <f t="shared" si="33"/>
        <v>0.02</v>
      </c>
      <c r="EI12" s="83">
        <f t="shared" si="34"/>
        <v>6634.8164530312215</v>
      </c>
      <c r="EJ12" s="305">
        <f>'EF peternakan'!$C$30</f>
        <v>0</v>
      </c>
      <c r="EK12" s="85">
        <f t="shared" si="35"/>
        <v>0</v>
      </c>
      <c r="ES12" s="6"/>
      <c r="ET12" s="81" t="s">
        <v>71</v>
      </c>
      <c r="EU12" s="86">
        <f>EI12</f>
        <v>6634.8164530312215</v>
      </c>
      <c r="EV12" s="87">
        <f t="shared" si="36"/>
        <v>0.3</v>
      </c>
      <c r="EW12" s="299">
        <f t="shared" ref="EW12:EW16" si="92">$EU$23*EV12</f>
        <v>92514.206295876371</v>
      </c>
      <c r="EX12" s="92">
        <f t="shared" si="37"/>
        <v>0.01</v>
      </c>
      <c r="EY12" s="99">
        <f t="shared" si="38"/>
        <v>1453.7946703637715</v>
      </c>
      <c r="FB12" s="6"/>
      <c r="FC12" s="81" t="s">
        <v>71</v>
      </c>
      <c r="FD12" s="86">
        <f t="shared" ref="FD12:FD21" si="93">I40</f>
        <v>11444.0180040339</v>
      </c>
      <c r="FE12" s="87">
        <f>'EF peternakan'!$G$6</f>
        <v>0.34</v>
      </c>
      <c r="FF12" s="87">
        <f>'EF peternakan'!$H$6</f>
        <v>250</v>
      </c>
      <c r="FG12" s="92">
        <f t="shared" si="39"/>
        <v>31.025000000000002</v>
      </c>
      <c r="FH12" s="89">
        <f t="shared" si="40"/>
        <v>0.02</v>
      </c>
      <c r="FI12" s="83">
        <f t="shared" si="41"/>
        <v>7101.0131715030357</v>
      </c>
      <c r="FJ12" s="305">
        <f>'EF peternakan'!$C$30</f>
        <v>0</v>
      </c>
      <c r="FK12" s="85">
        <f t="shared" si="42"/>
        <v>0</v>
      </c>
      <c r="FS12" s="6"/>
      <c r="FT12" s="81" t="s">
        <v>71</v>
      </c>
      <c r="FU12" s="86">
        <f t="shared" ref="FU12:FU21" si="94">FI12</f>
        <v>7101.0131715030357</v>
      </c>
      <c r="FV12" s="87">
        <f t="shared" si="43"/>
        <v>0.3</v>
      </c>
      <c r="FW12" s="299">
        <f t="shared" ref="FW12:FW16" si="95">$FU$23*FV12</f>
        <v>95106.217106238924</v>
      </c>
      <c r="FX12" s="92">
        <f t="shared" si="44"/>
        <v>0.01</v>
      </c>
      <c r="FY12" s="99">
        <f t="shared" ref="FY12:FY16" si="96">FW12*FX12*(44/28)</f>
        <v>1494.526268812326</v>
      </c>
      <c r="GB12" s="6"/>
      <c r="GC12" s="81" t="s">
        <v>71</v>
      </c>
      <c r="GD12" s="86">
        <f t="shared" ref="GD12:GD21" si="97">J40</f>
        <v>12195.342288436401</v>
      </c>
      <c r="GE12" s="87">
        <f>'EF peternakan'!$G$6</f>
        <v>0.34</v>
      </c>
      <c r="GF12" s="87">
        <f>'EF peternakan'!$H$6</f>
        <v>250</v>
      </c>
      <c r="GG12" s="92">
        <f t="shared" si="45"/>
        <v>31.025000000000002</v>
      </c>
      <c r="GH12" s="89">
        <f t="shared" si="46"/>
        <v>0.02</v>
      </c>
      <c r="GI12" s="83">
        <f t="shared" si="47"/>
        <v>7567.2098899747871</v>
      </c>
      <c r="GJ12" s="305">
        <f>'EF peternakan'!$C$30</f>
        <v>0</v>
      </c>
      <c r="GK12" s="85">
        <f t="shared" si="48"/>
        <v>0</v>
      </c>
      <c r="GS12" s="6"/>
      <c r="GT12" s="81" t="s">
        <v>71</v>
      </c>
      <c r="GU12" s="86">
        <f>GI12</f>
        <v>7567.2098899747871</v>
      </c>
      <c r="GV12" s="87">
        <f t="shared" si="50"/>
        <v>0.3</v>
      </c>
      <c r="GW12" s="299">
        <f t="shared" ref="GW12:GW16" si="98">$GU$23*GV12</f>
        <v>97698.227916601449</v>
      </c>
      <c r="GX12" s="92">
        <f t="shared" si="51"/>
        <v>0.01</v>
      </c>
      <c r="GY12" s="99">
        <f t="shared" si="52"/>
        <v>1535.2578672608797</v>
      </c>
      <c r="HB12" s="6"/>
      <c r="HC12" s="81" t="s">
        <v>71</v>
      </c>
      <c r="HD12" s="86">
        <f t="shared" ref="HD12:HD21" si="99">K40</f>
        <v>12946.666572839</v>
      </c>
      <c r="HE12" s="87">
        <f>'EF peternakan'!$G$6</f>
        <v>0.34</v>
      </c>
      <c r="HF12" s="87">
        <f>'EF peternakan'!$H$6</f>
        <v>250</v>
      </c>
      <c r="HG12" s="92">
        <f t="shared" si="53"/>
        <v>31.025000000000002</v>
      </c>
      <c r="HH12" s="89">
        <f t="shared" si="54"/>
        <v>0.02</v>
      </c>
      <c r="HI12" s="83">
        <f t="shared" si="55"/>
        <v>8033.4066084466003</v>
      </c>
      <c r="HJ12" s="305">
        <f>'EF peternakan'!$C$30</f>
        <v>0</v>
      </c>
      <c r="HK12" s="85">
        <f t="shared" si="56"/>
        <v>0</v>
      </c>
      <c r="HS12" s="6"/>
      <c r="HT12" s="81" t="s">
        <v>71</v>
      </c>
      <c r="HU12" s="86">
        <f t="shared" ref="HU12:HU21" si="100">HI12</f>
        <v>8033.4066084466003</v>
      </c>
      <c r="HV12" s="87">
        <f t="shared" si="57"/>
        <v>0.3</v>
      </c>
      <c r="HW12" s="91">
        <f t="shared" ref="HW12:HW16" si="101">HU12*HV12</f>
        <v>2410.02198253398</v>
      </c>
      <c r="HX12" s="92">
        <f t="shared" si="58"/>
        <v>0.01</v>
      </c>
      <c r="HY12" s="99">
        <f t="shared" si="59"/>
        <v>37.871774011248256</v>
      </c>
      <c r="IB12" s="6"/>
      <c r="IC12" s="81" t="s">
        <v>71</v>
      </c>
      <c r="ID12" s="86">
        <f t="shared" ref="ID12:ID21" si="102">L40</f>
        <v>13697.990857241501</v>
      </c>
      <c r="IE12" s="87">
        <f>'EF peternakan'!$G$6</f>
        <v>0.34</v>
      </c>
      <c r="IF12" s="87">
        <f>'EF peternakan'!$H$6</f>
        <v>250</v>
      </c>
      <c r="IG12" s="92">
        <f t="shared" si="60"/>
        <v>31.025000000000002</v>
      </c>
      <c r="IH12" s="89">
        <f t="shared" si="61"/>
        <v>0.02</v>
      </c>
      <c r="II12" s="83">
        <f t="shared" si="62"/>
        <v>8499.6033269183517</v>
      </c>
      <c r="IJ12" s="305">
        <f>'EF peternakan'!$C$30</f>
        <v>0</v>
      </c>
      <c r="IK12" s="85">
        <f t="shared" si="63"/>
        <v>0</v>
      </c>
      <c r="IS12" s="6"/>
      <c r="IT12" s="81" t="s">
        <v>71</v>
      </c>
      <c r="IU12" s="86">
        <f t="shared" si="64"/>
        <v>8499.6033269183517</v>
      </c>
      <c r="IV12" s="87">
        <f t="shared" si="65"/>
        <v>0.3</v>
      </c>
      <c r="IW12" s="299">
        <f t="shared" ref="IW12:IW16" si="103">$IU$23*IV12</f>
        <v>102882.2495373265</v>
      </c>
      <c r="IX12" s="92">
        <f t="shared" si="66"/>
        <v>0.01</v>
      </c>
      <c r="IY12" s="99">
        <f t="shared" si="67"/>
        <v>1616.7210641579877</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0</v>
      </c>
      <c r="E13" s="87">
        <f>'EF peternakan'!$G$17</f>
        <v>0.32</v>
      </c>
      <c r="F13" s="292">
        <f>'EF peternakan'!$H$17</f>
        <v>300</v>
      </c>
      <c r="G13" s="92">
        <f t="shared" ref="G13:G21" si="106">E13*(F13/10^3)*365</f>
        <v>35.04</v>
      </c>
      <c r="H13" s="89">
        <f t="shared" si="77"/>
        <v>0.02</v>
      </c>
      <c r="I13" s="83">
        <f t="shared" ref="I13:I20" si="107">D13*G13*H13</f>
        <v>0</v>
      </c>
      <c r="J13" s="305">
        <f>'EF peternakan'!$C$30</f>
        <v>0</v>
      </c>
      <c r="K13" s="85">
        <f t="shared" si="0"/>
        <v>0</v>
      </c>
      <c r="S13" s="6"/>
      <c r="T13" s="81" t="s">
        <v>22</v>
      </c>
      <c r="U13" s="86">
        <f t="shared" si="1"/>
        <v>0</v>
      </c>
      <c r="V13" s="87">
        <f t="shared" si="78"/>
        <v>0</v>
      </c>
      <c r="W13" s="299">
        <f t="shared" si="2"/>
        <v>0</v>
      </c>
      <c r="X13" s="92">
        <f t="shared" si="3"/>
        <v>0.01</v>
      </c>
      <c r="Y13" s="99">
        <f t="shared" si="4"/>
        <v>0</v>
      </c>
      <c r="AB13" s="6"/>
      <c r="AC13" s="81" t="s">
        <v>22</v>
      </c>
      <c r="AD13" s="86">
        <f t="shared" si="79"/>
        <v>0</v>
      </c>
      <c r="AE13" s="87">
        <f>'EF peternakan'!$G$17</f>
        <v>0.32</v>
      </c>
      <c r="AF13" s="87">
        <f>'EF peternakan'!$H$17</f>
        <v>300</v>
      </c>
      <c r="AG13" s="92">
        <f t="shared" si="5"/>
        <v>35.04</v>
      </c>
      <c r="AH13" s="89">
        <f t="shared" si="6"/>
        <v>0.02</v>
      </c>
      <c r="AI13" s="83">
        <f t="shared" si="7"/>
        <v>0</v>
      </c>
      <c r="AJ13" s="305">
        <f>'EF peternakan'!$C$30</f>
        <v>0</v>
      </c>
      <c r="AK13" s="85">
        <f t="shared" si="8"/>
        <v>0</v>
      </c>
      <c r="AS13" s="6"/>
      <c r="AT13" s="81" t="s">
        <v>22</v>
      </c>
      <c r="AU13" s="86">
        <f t="shared" si="9"/>
        <v>0</v>
      </c>
      <c r="AV13" s="87">
        <f t="shared" si="10"/>
        <v>0</v>
      </c>
      <c r="AW13" s="299">
        <f t="shared" si="80"/>
        <v>0</v>
      </c>
      <c r="AX13" s="92">
        <f t="shared" si="11"/>
        <v>0.01</v>
      </c>
      <c r="AY13" s="99">
        <f t="shared" si="12"/>
        <v>0</v>
      </c>
      <c r="BB13" s="6"/>
      <c r="BC13" s="81" t="s">
        <v>22</v>
      </c>
      <c r="BD13" s="86">
        <f t="shared" si="81"/>
        <v>0</v>
      </c>
      <c r="BE13" s="87">
        <f>'EF peternakan'!$G$17</f>
        <v>0.32</v>
      </c>
      <c r="BF13" s="87">
        <f>'EF peternakan'!$H$17</f>
        <v>300</v>
      </c>
      <c r="BG13" s="92">
        <f t="shared" si="82"/>
        <v>35.04</v>
      </c>
      <c r="BH13" s="89">
        <f t="shared" si="13"/>
        <v>0.02</v>
      </c>
      <c r="BI13" s="83">
        <f t="shared" ref="BI13:BI21" si="108">BD13*BG13*BH13</f>
        <v>0</v>
      </c>
      <c r="BJ13" s="305">
        <f>'EF peternakan'!$C$30</f>
        <v>0</v>
      </c>
      <c r="BK13" s="85">
        <f t="shared" si="14"/>
        <v>0</v>
      </c>
      <c r="BS13" s="6"/>
      <c r="BT13" s="81" t="s">
        <v>22</v>
      </c>
      <c r="BU13" s="86">
        <f t="shared" si="84"/>
        <v>0</v>
      </c>
      <c r="BV13" s="87">
        <f t="shared" si="15"/>
        <v>0</v>
      </c>
      <c r="BW13" s="299">
        <f t="shared" si="85"/>
        <v>0</v>
      </c>
      <c r="BX13" s="92">
        <f t="shared" si="16"/>
        <v>0.01</v>
      </c>
      <c r="BY13" s="99">
        <f t="shared" si="17"/>
        <v>0</v>
      </c>
      <c r="CB13" s="6"/>
      <c r="CC13" s="81" t="s">
        <v>22</v>
      </c>
      <c r="CD13" s="86">
        <f t="shared" si="86"/>
        <v>0</v>
      </c>
      <c r="CE13" s="87">
        <f>'EF peternakan'!$G$17</f>
        <v>0.32</v>
      </c>
      <c r="CF13" s="87">
        <f>'EF peternakan'!$H$17</f>
        <v>300</v>
      </c>
      <c r="CG13" s="92">
        <f t="shared" si="18"/>
        <v>35.04</v>
      </c>
      <c r="CH13" s="89">
        <f t="shared" si="19"/>
        <v>0.02</v>
      </c>
      <c r="CI13" s="83">
        <f t="shared" si="20"/>
        <v>0</v>
      </c>
      <c r="CJ13" s="305">
        <f>'EF peternakan'!$C$30</f>
        <v>0</v>
      </c>
      <c r="CK13" s="85">
        <f t="shared" si="21"/>
        <v>0</v>
      </c>
      <c r="CS13" s="6"/>
      <c r="CT13" s="81" t="s">
        <v>22</v>
      </c>
      <c r="CU13" s="86">
        <f t="shared" ref="CU13:CU15" si="109">CI13</f>
        <v>0</v>
      </c>
      <c r="CV13" s="87">
        <f t="shared" si="22"/>
        <v>0</v>
      </c>
      <c r="CW13" s="299">
        <f t="shared" si="87"/>
        <v>0</v>
      </c>
      <c r="CX13" s="92">
        <f t="shared" si="23"/>
        <v>0.01</v>
      </c>
      <c r="CY13" s="99">
        <f t="shared" si="24"/>
        <v>0</v>
      </c>
      <c r="DB13" s="6"/>
      <c r="DC13" s="81" t="s">
        <v>22</v>
      </c>
      <c r="DD13" s="86">
        <f t="shared" si="88"/>
        <v>0</v>
      </c>
      <c r="DE13" s="87">
        <f>'EF peternakan'!$G$17</f>
        <v>0.32</v>
      </c>
      <c r="DF13" s="87">
        <f>'EF peternakan'!$H$17</f>
        <v>300</v>
      </c>
      <c r="DG13" s="92">
        <f t="shared" si="25"/>
        <v>35.04</v>
      </c>
      <c r="DH13" s="89">
        <f t="shared" si="26"/>
        <v>0.02</v>
      </c>
      <c r="DI13" s="83">
        <f t="shared" si="27"/>
        <v>0</v>
      </c>
      <c r="DJ13" s="305">
        <f>'EF peternakan'!$C$30</f>
        <v>0</v>
      </c>
      <c r="DK13" s="85">
        <f t="shared" si="28"/>
        <v>0</v>
      </c>
      <c r="DS13" s="6"/>
      <c r="DT13" s="81" t="s">
        <v>22</v>
      </c>
      <c r="DU13" s="86">
        <f t="shared" si="89"/>
        <v>0</v>
      </c>
      <c r="DV13" s="87">
        <f t="shared" si="29"/>
        <v>0</v>
      </c>
      <c r="DW13" s="299">
        <f t="shared" si="90"/>
        <v>0</v>
      </c>
      <c r="DX13" s="92">
        <f t="shared" si="30"/>
        <v>0.01</v>
      </c>
      <c r="DY13" s="99">
        <f t="shared" si="31"/>
        <v>0</v>
      </c>
      <c r="EB13" s="6"/>
      <c r="EC13" s="81" t="s">
        <v>22</v>
      </c>
      <c r="ED13" s="86">
        <f t="shared" si="91"/>
        <v>0</v>
      </c>
      <c r="EE13" s="87">
        <f>'EF peternakan'!$G$17</f>
        <v>0.32</v>
      </c>
      <c r="EF13" s="87">
        <f>'EF peternakan'!$H$17</f>
        <v>300</v>
      </c>
      <c r="EG13" s="92">
        <f t="shared" si="32"/>
        <v>35.04</v>
      </c>
      <c r="EH13" s="89">
        <f t="shared" si="33"/>
        <v>0.02</v>
      </c>
      <c r="EI13" s="83">
        <f t="shared" si="34"/>
        <v>0</v>
      </c>
      <c r="EJ13" s="305">
        <f>'EF peternakan'!$C$30</f>
        <v>0</v>
      </c>
      <c r="EK13" s="85">
        <f t="shared" si="35"/>
        <v>0</v>
      </c>
      <c r="ES13" s="6"/>
      <c r="ET13" s="81" t="s">
        <v>22</v>
      </c>
      <c r="EU13" s="86">
        <f>EI13</f>
        <v>0</v>
      </c>
      <c r="EV13" s="87">
        <f t="shared" si="36"/>
        <v>0</v>
      </c>
      <c r="EW13" s="299">
        <f t="shared" si="92"/>
        <v>0</v>
      </c>
      <c r="EX13" s="92">
        <f t="shared" si="37"/>
        <v>0.01</v>
      </c>
      <c r="EY13" s="99">
        <f t="shared" si="38"/>
        <v>0</v>
      </c>
      <c r="FB13" s="6"/>
      <c r="FC13" s="81" t="s">
        <v>22</v>
      </c>
      <c r="FD13" s="86">
        <f t="shared" si="93"/>
        <v>0</v>
      </c>
      <c r="FE13" s="87">
        <f>'EF peternakan'!$G$17</f>
        <v>0.32</v>
      </c>
      <c r="FF13" s="87">
        <f>'EF peternakan'!$H$17</f>
        <v>300</v>
      </c>
      <c r="FG13" s="92">
        <f t="shared" si="39"/>
        <v>35.04</v>
      </c>
      <c r="FH13" s="89">
        <f t="shared" si="40"/>
        <v>0.02</v>
      </c>
      <c r="FI13" s="83">
        <f t="shared" si="41"/>
        <v>0</v>
      </c>
      <c r="FJ13" s="305">
        <f>'EF peternakan'!$C$30</f>
        <v>0</v>
      </c>
      <c r="FK13" s="85">
        <f t="shared" si="42"/>
        <v>0</v>
      </c>
      <c r="FS13" s="6"/>
      <c r="FT13" s="81" t="s">
        <v>22</v>
      </c>
      <c r="FU13" s="86">
        <f t="shared" si="94"/>
        <v>0</v>
      </c>
      <c r="FV13" s="87">
        <f t="shared" si="43"/>
        <v>0</v>
      </c>
      <c r="FW13" s="299">
        <f t="shared" si="95"/>
        <v>0</v>
      </c>
      <c r="FX13" s="92">
        <f t="shared" si="44"/>
        <v>0.01</v>
      </c>
      <c r="FY13" s="99">
        <f t="shared" si="96"/>
        <v>0</v>
      </c>
      <c r="GB13" s="6"/>
      <c r="GC13" s="81" t="s">
        <v>22</v>
      </c>
      <c r="GD13" s="86">
        <f t="shared" si="97"/>
        <v>0</v>
      </c>
      <c r="GE13" s="87">
        <f>'EF peternakan'!$G$17</f>
        <v>0.32</v>
      </c>
      <c r="GF13" s="87">
        <f>'EF peternakan'!$H$17</f>
        <v>300</v>
      </c>
      <c r="GG13" s="92">
        <f t="shared" si="45"/>
        <v>35.04</v>
      </c>
      <c r="GH13" s="89">
        <f t="shared" si="46"/>
        <v>0.02</v>
      </c>
      <c r="GI13" s="83">
        <f t="shared" si="47"/>
        <v>0</v>
      </c>
      <c r="GJ13" s="305">
        <f>'EF peternakan'!$C$30</f>
        <v>0</v>
      </c>
      <c r="GK13" s="85">
        <f t="shared" si="48"/>
        <v>0</v>
      </c>
      <c r="GS13" s="6"/>
      <c r="GT13" s="81" t="s">
        <v>22</v>
      </c>
      <c r="GU13" s="86">
        <f t="shared" si="49"/>
        <v>0</v>
      </c>
      <c r="GV13" s="87">
        <f t="shared" si="50"/>
        <v>0</v>
      </c>
      <c r="GW13" s="299">
        <f t="shared" si="98"/>
        <v>0</v>
      </c>
      <c r="GX13" s="92">
        <f t="shared" si="51"/>
        <v>0.01</v>
      </c>
      <c r="GY13" s="99">
        <f t="shared" si="52"/>
        <v>0</v>
      </c>
      <c r="HB13" s="6"/>
      <c r="HC13" s="81" t="s">
        <v>22</v>
      </c>
      <c r="HD13" s="86">
        <f t="shared" si="99"/>
        <v>0</v>
      </c>
      <c r="HE13" s="87">
        <f>'EF peternakan'!$G$17</f>
        <v>0.32</v>
      </c>
      <c r="HF13" s="87">
        <f>'EF peternakan'!$H$17</f>
        <v>300</v>
      </c>
      <c r="HG13" s="92">
        <f t="shared" si="53"/>
        <v>35.04</v>
      </c>
      <c r="HH13" s="89">
        <f t="shared" si="54"/>
        <v>0.02</v>
      </c>
      <c r="HI13" s="83">
        <f t="shared" si="55"/>
        <v>0</v>
      </c>
      <c r="HJ13" s="305">
        <f>'EF peternakan'!$C$30</f>
        <v>0</v>
      </c>
      <c r="HK13" s="85">
        <f t="shared" si="56"/>
        <v>0</v>
      </c>
      <c r="HS13" s="6"/>
      <c r="HT13" s="81" t="s">
        <v>22</v>
      </c>
      <c r="HU13" s="86">
        <f t="shared" si="100"/>
        <v>0</v>
      </c>
      <c r="HV13" s="87">
        <f t="shared" si="57"/>
        <v>0</v>
      </c>
      <c r="HW13" s="91">
        <f t="shared" si="101"/>
        <v>0</v>
      </c>
      <c r="HX13" s="92">
        <f t="shared" si="58"/>
        <v>0.01</v>
      </c>
      <c r="HY13" s="99">
        <f t="shared" si="59"/>
        <v>0</v>
      </c>
      <c r="IB13" s="6"/>
      <c r="IC13" s="81" t="s">
        <v>22</v>
      </c>
      <c r="ID13" s="86">
        <f t="shared" si="102"/>
        <v>0</v>
      </c>
      <c r="IE13" s="87">
        <f>'EF peternakan'!$G$17</f>
        <v>0.32</v>
      </c>
      <c r="IF13" s="87">
        <f>'EF peternakan'!$H$17</f>
        <v>300</v>
      </c>
      <c r="IG13" s="92">
        <f t="shared" si="60"/>
        <v>35.04</v>
      </c>
      <c r="IH13" s="89">
        <f t="shared" si="61"/>
        <v>0.02</v>
      </c>
      <c r="II13" s="83">
        <f t="shared" si="62"/>
        <v>0</v>
      </c>
      <c r="IJ13" s="305">
        <f>'EF peternakan'!$C$30</f>
        <v>0</v>
      </c>
      <c r="IK13" s="85">
        <f t="shared" si="63"/>
        <v>0</v>
      </c>
      <c r="IS13" s="6"/>
      <c r="IT13" s="81" t="s">
        <v>22</v>
      </c>
      <c r="IU13" s="86">
        <f t="shared" si="64"/>
        <v>0</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2792.9659999999999</v>
      </c>
      <c r="E15" s="87">
        <f>'EF peternakan'!$G$15</f>
        <v>1.37</v>
      </c>
      <c r="F15" s="292">
        <f>'EF peternakan'!$H$15</f>
        <v>40</v>
      </c>
      <c r="G15" s="92">
        <f t="shared" si="106"/>
        <v>20.002000000000002</v>
      </c>
      <c r="H15" s="89">
        <f t="shared" si="77"/>
        <v>0.02</v>
      </c>
      <c r="I15" s="83">
        <f t="shared" si="107"/>
        <v>1117.29811864</v>
      </c>
      <c r="J15" s="305">
        <f>'EF peternakan'!$C$30</f>
        <v>0</v>
      </c>
      <c r="K15" s="85">
        <f t="shared" si="0"/>
        <v>0</v>
      </c>
      <c r="S15" s="6"/>
      <c r="T15" s="290" t="s">
        <v>23</v>
      </c>
      <c r="U15" s="86">
        <f t="shared" si="1"/>
        <v>1117.29811864</v>
      </c>
      <c r="V15" s="87">
        <f t="shared" si="78"/>
        <v>0</v>
      </c>
      <c r="W15" s="299">
        <f t="shared" si="2"/>
        <v>0</v>
      </c>
      <c r="X15" s="92">
        <f t="shared" si="3"/>
        <v>0.01</v>
      </c>
      <c r="Y15" s="99">
        <f t="shared" si="4"/>
        <v>0</v>
      </c>
      <c r="AB15" s="6"/>
      <c r="AC15" s="290" t="s">
        <v>23</v>
      </c>
      <c r="AD15" s="86">
        <f t="shared" si="79"/>
        <v>2837.1189999999997</v>
      </c>
      <c r="AE15" s="87">
        <f>'EF peternakan'!$G$15</f>
        <v>1.37</v>
      </c>
      <c r="AF15" s="87">
        <f>'EF peternakan'!$H$15</f>
        <v>40</v>
      </c>
      <c r="AG15" s="92">
        <f t="shared" si="5"/>
        <v>20.002000000000002</v>
      </c>
      <c r="AH15" s="89">
        <f t="shared" si="6"/>
        <v>0.02</v>
      </c>
      <c r="AI15" s="83">
        <f t="shared" si="7"/>
        <v>1134.9610847600002</v>
      </c>
      <c r="AJ15" s="305">
        <f>'EF peternakan'!$C$30</f>
        <v>0</v>
      </c>
      <c r="AK15" s="85">
        <f t="shared" si="8"/>
        <v>0</v>
      </c>
      <c r="AS15" s="6"/>
      <c r="AT15" s="290" t="s">
        <v>23</v>
      </c>
      <c r="AU15" s="86">
        <f t="shared" si="9"/>
        <v>1134.9610847600002</v>
      </c>
      <c r="AV15" s="87">
        <f t="shared" si="10"/>
        <v>0</v>
      </c>
      <c r="AW15" s="299">
        <f t="shared" si="80"/>
        <v>0</v>
      </c>
      <c r="AX15" s="92">
        <f t="shared" si="11"/>
        <v>0.01</v>
      </c>
      <c r="AY15" s="99">
        <f t="shared" si="12"/>
        <v>0</v>
      </c>
      <c r="BB15" s="6"/>
      <c r="BC15" s="290" t="s">
        <v>23</v>
      </c>
      <c r="BD15" s="86">
        <f t="shared" si="81"/>
        <v>2881.2719999999999</v>
      </c>
      <c r="BE15" s="87">
        <f>'EF peternakan'!$G$15</f>
        <v>1.37</v>
      </c>
      <c r="BF15" s="87">
        <f>'EF peternakan'!$H$15</f>
        <v>40</v>
      </c>
      <c r="BG15" s="92">
        <f t="shared" si="82"/>
        <v>20.002000000000002</v>
      </c>
      <c r="BH15" s="89">
        <f t="shared" si="13"/>
        <v>0.02</v>
      </c>
      <c r="BI15" s="83">
        <f t="shared" si="108"/>
        <v>1152.6240508800001</v>
      </c>
      <c r="BJ15" s="305">
        <f>'EF peternakan'!$C$30</f>
        <v>0</v>
      </c>
      <c r="BK15" s="85">
        <f t="shared" si="14"/>
        <v>0</v>
      </c>
      <c r="BS15" s="6"/>
      <c r="BT15" s="290" t="s">
        <v>23</v>
      </c>
      <c r="BU15" s="86">
        <f t="shared" si="84"/>
        <v>1152.6240508800001</v>
      </c>
      <c r="BV15" s="87">
        <f t="shared" si="15"/>
        <v>0</v>
      </c>
      <c r="BW15" s="299">
        <f t="shared" si="85"/>
        <v>0</v>
      </c>
      <c r="BX15" s="92">
        <f t="shared" si="16"/>
        <v>0.01</v>
      </c>
      <c r="BY15" s="99">
        <f t="shared" si="17"/>
        <v>0</v>
      </c>
      <c r="CB15" s="6"/>
      <c r="CC15" s="290" t="s">
        <v>23</v>
      </c>
      <c r="CD15" s="86">
        <f t="shared" si="86"/>
        <v>2925.4250000000002</v>
      </c>
      <c r="CE15" s="87">
        <f>'EF peternakan'!$G$15</f>
        <v>1.37</v>
      </c>
      <c r="CF15" s="87">
        <f>'EF peternakan'!$H$15</f>
        <v>40</v>
      </c>
      <c r="CG15" s="92">
        <f t="shared" si="18"/>
        <v>20.002000000000002</v>
      </c>
      <c r="CH15" s="89">
        <f t="shared" si="19"/>
        <v>0.02</v>
      </c>
      <c r="CI15" s="83">
        <f t="shared" si="20"/>
        <v>1170.2870170000003</v>
      </c>
      <c r="CJ15" s="305">
        <f>'EF peternakan'!$C$30</f>
        <v>0</v>
      </c>
      <c r="CK15" s="85">
        <f t="shared" si="21"/>
        <v>0</v>
      </c>
      <c r="CS15" s="6"/>
      <c r="CT15" s="290" t="s">
        <v>23</v>
      </c>
      <c r="CU15" s="86">
        <f t="shared" si="109"/>
        <v>1170.2870170000003</v>
      </c>
      <c r="CV15" s="87">
        <f t="shared" si="22"/>
        <v>0</v>
      </c>
      <c r="CW15" s="299">
        <f t="shared" si="87"/>
        <v>0</v>
      </c>
      <c r="CX15" s="92">
        <f t="shared" si="23"/>
        <v>0.01</v>
      </c>
      <c r="CY15" s="99">
        <f t="shared" si="24"/>
        <v>0</v>
      </c>
      <c r="DB15" s="6"/>
      <c r="DC15" s="290" t="s">
        <v>23</v>
      </c>
      <c r="DD15" s="86">
        <f t="shared" si="88"/>
        <v>2969.578</v>
      </c>
      <c r="DE15" s="87">
        <f>'EF peternakan'!$G$15</f>
        <v>1.37</v>
      </c>
      <c r="DF15" s="87">
        <f>'EF peternakan'!$H$15</f>
        <v>40</v>
      </c>
      <c r="DG15" s="92">
        <f t="shared" si="25"/>
        <v>20.002000000000002</v>
      </c>
      <c r="DH15" s="89">
        <f t="shared" si="26"/>
        <v>0.02</v>
      </c>
      <c r="DI15" s="83">
        <f t="shared" si="27"/>
        <v>1187.9499831200001</v>
      </c>
      <c r="DJ15" s="305">
        <f>'EF peternakan'!$C$30</f>
        <v>0</v>
      </c>
      <c r="DK15" s="85">
        <f t="shared" si="28"/>
        <v>0</v>
      </c>
      <c r="DS15" s="6"/>
      <c r="DT15" s="290" t="s">
        <v>23</v>
      </c>
      <c r="DU15" s="86">
        <f t="shared" si="89"/>
        <v>1187.9499831200001</v>
      </c>
      <c r="DV15" s="87">
        <f t="shared" si="29"/>
        <v>0</v>
      </c>
      <c r="DW15" s="299">
        <f t="shared" si="90"/>
        <v>0</v>
      </c>
      <c r="DX15" s="92">
        <f t="shared" si="30"/>
        <v>0.01</v>
      </c>
      <c r="DY15" s="99">
        <f t="shared" si="31"/>
        <v>0</v>
      </c>
      <c r="EB15" s="6"/>
      <c r="EC15" s="290" t="s">
        <v>23</v>
      </c>
      <c r="ED15" s="86">
        <f t="shared" si="91"/>
        <v>3013.7309999999998</v>
      </c>
      <c r="EE15" s="87">
        <f>'EF peternakan'!$G$15</f>
        <v>1.37</v>
      </c>
      <c r="EF15" s="87">
        <f>'EF peternakan'!$H$15</f>
        <v>40</v>
      </c>
      <c r="EG15" s="92">
        <f t="shared" si="32"/>
        <v>20.002000000000002</v>
      </c>
      <c r="EH15" s="89">
        <f t="shared" si="33"/>
        <v>0.02</v>
      </c>
      <c r="EI15" s="83">
        <f t="shared" si="34"/>
        <v>1205.61294924</v>
      </c>
      <c r="EJ15" s="305">
        <f>'EF peternakan'!$C$30</f>
        <v>0</v>
      </c>
      <c r="EK15" s="85">
        <f t="shared" si="35"/>
        <v>0</v>
      </c>
      <c r="ES15" s="6"/>
      <c r="ET15" s="290" t="s">
        <v>23</v>
      </c>
      <c r="EU15" s="86">
        <f t="shared" si="110"/>
        <v>1205.61294924</v>
      </c>
      <c r="EV15" s="87">
        <f t="shared" si="36"/>
        <v>0</v>
      </c>
      <c r="EW15" s="299">
        <f t="shared" si="92"/>
        <v>0</v>
      </c>
      <c r="EX15" s="92">
        <f t="shared" si="37"/>
        <v>0.01</v>
      </c>
      <c r="EY15" s="99">
        <f t="shared" si="38"/>
        <v>0</v>
      </c>
      <c r="FB15" s="6"/>
      <c r="FC15" s="290" t="s">
        <v>23</v>
      </c>
      <c r="FD15" s="86">
        <f t="shared" si="93"/>
        <v>3057.884</v>
      </c>
      <c r="FE15" s="87">
        <f>'EF peternakan'!$G$15</f>
        <v>1.37</v>
      </c>
      <c r="FF15" s="87">
        <f>'EF peternakan'!$H$15</f>
        <v>40</v>
      </c>
      <c r="FG15" s="92">
        <f t="shared" si="39"/>
        <v>20.002000000000002</v>
      </c>
      <c r="FH15" s="89">
        <f t="shared" si="40"/>
        <v>0.02</v>
      </c>
      <c r="FI15" s="83">
        <f t="shared" si="41"/>
        <v>1223.2759153600002</v>
      </c>
      <c r="FJ15" s="305">
        <f>'EF peternakan'!$C$30</f>
        <v>0</v>
      </c>
      <c r="FK15" s="85">
        <f t="shared" si="42"/>
        <v>0</v>
      </c>
      <c r="FS15" s="6"/>
      <c r="FT15" s="290" t="s">
        <v>23</v>
      </c>
      <c r="FU15" s="86">
        <f t="shared" si="94"/>
        <v>1223.2759153600002</v>
      </c>
      <c r="FV15" s="87">
        <f t="shared" si="43"/>
        <v>0</v>
      </c>
      <c r="FW15" s="299">
        <f t="shared" si="95"/>
        <v>0</v>
      </c>
      <c r="FX15" s="92">
        <f t="shared" si="44"/>
        <v>0.01</v>
      </c>
      <c r="FY15" s="99">
        <f t="shared" si="96"/>
        <v>0</v>
      </c>
      <c r="GB15" s="6"/>
      <c r="GC15" s="290" t="s">
        <v>23</v>
      </c>
      <c r="GD15" s="86">
        <f t="shared" si="97"/>
        <v>3102.0369999999998</v>
      </c>
      <c r="GE15" s="87">
        <f>'EF peternakan'!$G$15</f>
        <v>1.37</v>
      </c>
      <c r="GF15" s="87">
        <f>'EF peternakan'!$H$15</f>
        <v>40</v>
      </c>
      <c r="GG15" s="92">
        <f t="shared" si="45"/>
        <v>20.002000000000002</v>
      </c>
      <c r="GH15" s="89">
        <f t="shared" si="46"/>
        <v>0.02</v>
      </c>
      <c r="GI15" s="83">
        <f t="shared" si="47"/>
        <v>1240.9388814800002</v>
      </c>
      <c r="GJ15" s="305">
        <f>'EF peternakan'!$C$30</f>
        <v>0</v>
      </c>
      <c r="GK15" s="85">
        <f t="shared" si="48"/>
        <v>0</v>
      </c>
      <c r="GS15" s="6"/>
      <c r="GT15" s="290" t="s">
        <v>23</v>
      </c>
      <c r="GU15" s="86">
        <f t="shared" si="49"/>
        <v>1240.9388814800002</v>
      </c>
      <c r="GV15" s="87">
        <f t="shared" si="50"/>
        <v>0</v>
      </c>
      <c r="GW15" s="299">
        <f t="shared" si="98"/>
        <v>0</v>
      </c>
      <c r="GX15" s="92">
        <f t="shared" si="51"/>
        <v>0.01</v>
      </c>
      <c r="GY15" s="99">
        <f t="shared" si="52"/>
        <v>0</v>
      </c>
      <c r="HB15" s="6"/>
      <c r="HC15" s="290" t="s">
        <v>23</v>
      </c>
      <c r="HD15" s="86">
        <f t="shared" si="99"/>
        <v>3146.1899999999996</v>
      </c>
      <c r="HE15" s="87">
        <f>'EF peternakan'!$G$15</f>
        <v>1.37</v>
      </c>
      <c r="HF15" s="87">
        <f>'EF peternakan'!$H$15</f>
        <v>40</v>
      </c>
      <c r="HG15" s="92">
        <f t="shared" si="53"/>
        <v>20.002000000000002</v>
      </c>
      <c r="HH15" s="89">
        <f t="shared" si="54"/>
        <v>0.02</v>
      </c>
      <c r="HI15" s="83">
        <f t="shared" si="55"/>
        <v>1258.6018476000002</v>
      </c>
      <c r="HJ15" s="305">
        <f>'EF peternakan'!$C$30</f>
        <v>0</v>
      </c>
      <c r="HK15" s="85">
        <f t="shared" si="56"/>
        <v>0</v>
      </c>
      <c r="HS15" s="6"/>
      <c r="HT15" s="290" t="s">
        <v>23</v>
      </c>
      <c r="HU15" s="86">
        <f t="shared" si="100"/>
        <v>1258.6018476000002</v>
      </c>
      <c r="HV15" s="87">
        <f t="shared" si="57"/>
        <v>0</v>
      </c>
      <c r="HW15" s="91">
        <f t="shared" si="101"/>
        <v>0</v>
      </c>
      <c r="HX15" s="92">
        <f t="shared" si="58"/>
        <v>0.01</v>
      </c>
      <c r="HY15" s="99">
        <f t="shared" si="59"/>
        <v>0</v>
      </c>
      <c r="IB15" s="6"/>
      <c r="IC15" s="290" t="s">
        <v>23</v>
      </c>
      <c r="ID15" s="86">
        <f t="shared" si="102"/>
        <v>3190.3429999999998</v>
      </c>
      <c r="IE15" s="87">
        <f>'EF peternakan'!$G$15</f>
        <v>1.37</v>
      </c>
      <c r="IF15" s="87">
        <f>'EF peternakan'!$H$15</f>
        <v>40</v>
      </c>
      <c r="IG15" s="92">
        <f t="shared" si="60"/>
        <v>20.002000000000002</v>
      </c>
      <c r="IH15" s="89">
        <f t="shared" si="61"/>
        <v>0.02</v>
      </c>
      <c r="II15" s="83">
        <f t="shared" si="62"/>
        <v>1276.2648137200001</v>
      </c>
      <c r="IJ15" s="305">
        <f>'EF peternakan'!$C$30</f>
        <v>0</v>
      </c>
      <c r="IK15" s="85">
        <f t="shared" si="63"/>
        <v>0</v>
      </c>
      <c r="IS15" s="6"/>
      <c r="IT15" s="290" t="s">
        <v>23</v>
      </c>
      <c r="IU15" s="86">
        <f t="shared" si="64"/>
        <v>1276.2648137200001</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0</v>
      </c>
      <c r="E17" s="87">
        <f>'EF peternakan'!$G$10</f>
        <v>0.82</v>
      </c>
      <c r="F17" s="292">
        <f>'EF peternakan'!$H$10</f>
        <v>2</v>
      </c>
      <c r="G17" s="9">
        <f t="shared" si="106"/>
        <v>0.59860000000000002</v>
      </c>
      <c r="H17" s="89">
        <f t="shared" si="77"/>
        <v>0.02</v>
      </c>
      <c r="I17" s="83">
        <f t="shared" si="107"/>
        <v>0</v>
      </c>
      <c r="J17" s="88">
        <f>'EF peternakan'!$C$32</f>
        <v>0.01</v>
      </c>
      <c r="K17" s="85">
        <f t="shared" si="0"/>
        <v>0</v>
      </c>
      <c r="S17" s="6"/>
      <c r="T17" s="290" t="s">
        <v>72</v>
      </c>
      <c r="U17" s="86">
        <f t="shared" si="1"/>
        <v>0</v>
      </c>
      <c r="V17" s="9"/>
      <c r="W17" s="9"/>
      <c r="X17" s="9"/>
      <c r="Y17" s="97"/>
      <c r="AB17" s="6"/>
      <c r="AC17" s="290" t="s">
        <v>72</v>
      </c>
      <c r="AD17" s="86">
        <f t="shared" si="79"/>
        <v>0</v>
      </c>
      <c r="AE17" s="87">
        <f>'EF peternakan'!$G$10</f>
        <v>0.82</v>
      </c>
      <c r="AF17" s="87">
        <f>'EF peternakan'!$H$10</f>
        <v>2</v>
      </c>
      <c r="AG17" s="92">
        <f t="shared" si="5"/>
        <v>0.59860000000000002</v>
      </c>
      <c r="AH17" s="89">
        <f t="shared" si="6"/>
        <v>0.02</v>
      </c>
      <c r="AI17" s="83">
        <f t="shared" si="7"/>
        <v>0</v>
      </c>
      <c r="AJ17" s="88">
        <f>'EF peternakan'!$C$32</f>
        <v>0.01</v>
      </c>
      <c r="AK17" s="85">
        <f t="shared" si="8"/>
        <v>0</v>
      </c>
      <c r="AS17" s="6"/>
      <c r="AT17" s="290" t="s">
        <v>72</v>
      </c>
      <c r="AU17" s="86">
        <f t="shared" ref="AU17:AU20" si="111">AI17</f>
        <v>0</v>
      </c>
      <c r="AV17" s="9"/>
      <c r="AW17" s="9"/>
      <c r="AX17" s="9"/>
      <c r="AY17" s="97"/>
      <c r="BB17" s="6"/>
      <c r="BC17" s="290" t="s">
        <v>72</v>
      </c>
      <c r="BD17" s="44">
        <f>E45</f>
        <v>0</v>
      </c>
      <c r="BE17" s="87">
        <f>'EF peternakan'!$G$10</f>
        <v>0.82</v>
      </c>
      <c r="BF17" s="87">
        <f>'EF peternakan'!$H$10</f>
        <v>2</v>
      </c>
      <c r="BG17" s="92">
        <f t="shared" ref="BG17:BG21" si="112">BE17*(BF17/10^3)*365</f>
        <v>0.59860000000000002</v>
      </c>
      <c r="BH17" s="89">
        <f t="shared" ref="BH17:BH21" si="113">BI$26/100</f>
        <v>0.02</v>
      </c>
      <c r="BI17" s="83">
        <f t="shared" si="108"/>
        <v>0</v>
      </c>
      <c r="BJ17" s="88">
        <f>'EF peternakan'!$C$32</f>
        <v>0.01</v>
      </c>
      <c r="BK17" s="85">
        <f t="shared" si="14"/>
        <v>0</v>
      </c>
      <c r="BS17" s="6"/>
      <c r="BT17" s="290" t="s">
        <v>72</v>
      </c>
      <c r="BU17" s="86">
        <f t="shared" ref="BU17:BU21" si="114">BI17</f>
        <v>0</v>
      </c>
      <c r="BV17" s="9"/>
      <c r="BW17" s="9"/>
      <c r="BX17" s="9"/>
      <c r="BY17" s="97"/>
      <c r="CB17" s="6"/>
      <c r="CC17" s="290" t="s">
        <v>72</v>
      </c>
      <c r="CD17" s="86">
        <f>F45</f>
        <v>0</v>
      </c>
      <c r="CE17" s="87">
        <f>'EF peternakan'!$G$10</f>
        <v>0.82</v>
      </c>
      <c r="CF17" s="87">
        <f>'EF peternakan'!$H$10</f>
        <v>2</v>
      </c>
      <c r="CG17" s="92">
        <f t="shared" si="18"/>
        <v>0.59860000000000002</v>
      </c>
      <c r="CH17" s="89">
        <f t="shared" si="19"/>
        <v>0.02</v>
      </c>
      <c r="CI17" s="83">
        <f t="shared" ref="CI17:CI21" si="115">CD17*CG17*CH17</f>
        <v>0</v>
      </c>
      <c r="CJ17" s="88">
        <f>'EF peternakan'!$C$32</f>
        <v>0.01</v>
      </c>
      <c r="CK17" s="85">
        <f t="shared" si="21"/>
        <v>0</v>
      </c>
      <c r="CS17" s="6"/>
      <c r="CT17" s="290" t="s">
        <v>72</v>
      </c>
      <c r="CU17" s="86">
        <f t="shared" ref="CU17:CU21" si="116">CI17</f>
        <v>0</v>
      </c>
      <c r="CV17" s="9"/>
      <c r="CW17" s="9"/>
      <c r="CX17" s="9"/>
      <c r="CY17" s="97"/>
      <c r="DB17" s="6"/>
      <c r="DC17" s="290" t="s">
        <v>72</v>
      </c>
      <c r="DD17" s="44">
        <f>G45</f>
        <v>0</v>
      </c>
      <c r="DE17" s="87">
        <f>'EF peternakan'!$G$10</f>
        <v>0.82</v>
      </c>
      <c r="DF17" s="87">
        <f>'EF peternakan'!$H$10</f>
        <v>2</v>
      </c>
      <c r="DG17" s="92">
        <f t="shared" si="25"/>
        <v>0.59860000000000002</v>
      </c>
      <c r="DH17" s="89">
        <f t="shared" si="26"/>
        <v>0.02</v>
      </c>
      <c r="DI17" s="83">
        <f>DD17*DG17*DH17</f>
        <v>0</v>
      </c>
      <c r="DJ17" s="88">
        <f>'EF peternakan'!$C$32</f>
        <v>0.01</v>
      </c>
      <c r="DK17" s="85">
        <f t="shared" ref="DK17:DK21" si="117">DI17*DJ17*(44/28)</f>
        <v>0</v>
      </c>
      <c r="DS17" s="6"/>
      <c r="DT17" s="290" t="s">
        <v>72</v>
      </c>
      <c r="DU17" s="86">
        <f t="shared" ref="DU17:DU21" si="118">DI17</f>
        <v>0</v>
      </c>
      <c r="DV17" s="9"/>
      <c r="DW17" s="9"/>
      <c r="DX17" s="9"/>
      <c r="DY17" s="97"/>
      <c r="EB17" s="6"/>
      <c r="EC17" s="290" t="s">
        <v>72</v>
      </c>
      <c r="ED17" s="86">
        <f t="shared" si="91"/>
        <v>0</v>
      </c>
      <c r="EE17" s="87">
        <f>'EF peternakan'!$G$10</f>
        <v>0.82</v>
      </c>
      <c r="EF17" s="87">
        <f>'EF peternakan'!$H$10</f>
        <v>2</v>
      </c>
      <c r="EG17" s="92">
        <f t="shared" si="32"/>
        <v>0.59860000000000002</v>
      </c>
      <c r="EH17" s="89">
        <f t="shared" si="33"/>
        <v>0.02</v>
      </c>
      <c r="EI17" s="83">
        <f t="shared" si="34"/>
        <v>0</v>
      </c>
      <c r="EJ17" s="88">
        <f>'EF peternakan'!$C$32</f>
        <v>0.01</v>
      </c>
      <c r="EK17" s="85">
        <f t="shared" si="35"/>
        <v>0</v>
      </c>
      <c r="ES17" s="6"/>
      <c r="ET17" s="290" t="s">
        <v>72</v>
      </c>
      <c r="EU17" s="86">
        <f t="shared" si="110"/>
        <v>0</v>
      </c>
      <c r="EV17" s="9"/>
      <c r="EW17" s="9"/>
      <c r="EX17" s="9"/>
      <c r="EY17" s="97"/>
      <c r="FB17" s="6"/>
      <c r="FC17" s="290" t="s">
        <v>72</v>
      </c>
      <c r="FD17" s="86">
        <f t="shared" si="93"/>
        <v>0</v>
      </c>
      <c r="FE17" s="87">
        <f>'EF peternakan'!$G$10</f>
        <v>0.82</v>
      </c>
      <c r="FF17" s="87">
        <f>'EF peternakan'!$H$10</f>
        <v>2</v>
      </c>
      <c r="FG17" s="92">
        <f t="shared" si="39"/>
        <v>0.59860000000000002</v>
      </c>
      <c r="FH17" s="89">
        <f t="shared" si="40"/>
        <v>0.02</v>
      </c>
      <c r="FI17" s="83">
        <f t="shared" ref="FI17:FI21" si="119">FD17*FG17*FH17</f>
        <v>0</v>
      </c>
      <c r="FJ17" s="88">
        <f>'EF peternakan'!$C$32</f>
        <v>0.01</v>
      </c>
      <c r="FK17" s="85">
        <f t="shared" ref="FK17:FK21" si="120">FI17*FJ17*(44/28)</f>
        <v>0</v>
      </c>
      <c r="FS17" s="6"/>
      <c r="FT17" s="290" t="s">
        <v>72</v>
      </c>
      <c r="FU17" s="86">
        <f t="shared" si="94"/>
        <v>0</v>
      </c>
      <c r="FV17" s="9"/>
      <c r="FW17" s="9"/>
      <c r="FX17" s="9"/>
      <c r="FY17" s="97"/>
      <c r="GB17" s="6"/>
      <c r="GC17" s="290" t="s">
        <v>72</v>
      </c>
      <c r="GD17" s="86">
        <f t="shared" si="97"/>
        <v>0</v>
      </c>
      <c r="GE17" s="87">
        <f>'EF peternakan'!$G$10</f>
        <v>0.82</v>
      </c>
      <c r="GF17" s="87">
        <f>'EF peternakan'!$H$10</f>
        <v>2</v>
      </c>
      <c r="GG17" s="92">
        <f t="shared" si="45"/>
        <v>0.59860000000000002</v>
      </c>
      <c r="GH17" s="89">
        <f t="shared" si="46"/>
        <v>0.02</v>
      </c>
      <c r="GI17" s="83">
        <f t="shared" ref="GI17:GI21" si="121">GD17*GG17*GH17</f>
        <v>0</v>
      </c>
      <c r="GJ17" s="88">
        <f>'EF peternakan'!$C$32</f>
        <v>0.01</v>
      </c>
      <c r="GK17" s="85">
        <f t="shared" ref="GK17:GK21" si="122">GI17*GJ17*(44/28)</f>
        <v>0</v>
      </c>
      <c r="GS17" s="6"/>
      <c r="GT17" s="290" t="s">
        <v>72</v>
      </c>
      <c r="GU17" s="86">
        <f t="shared" si="49"/>
        <v>0</v>
      </c>
      <c r="GV17" s="9"/>
      <c r="GW17" s="9"/>
      <c r="GX17" s="9"/>
      <c r="GY17" s="97"/>
      <c r="HB17" s="6"/>
      <c r="HC17" s="290" t="s">
        <v>72</v>
      </c>
      <c r="HD17" s="86">
        <f t="shared" si="99"/>
        <v>0</v>
      </c>
      <c r="HE17" s="87">
        <f>'EF peternakan'!$G$10</f>
        <v>0.82</v>
      </c>
      <c r="HF17" s="87">
        <f>'EF peternakan'!$H$10</f>
        <v>2</v>
      </c>
      <c r="HG17" s="92">
        <f t="shared" si="53"/>
        <v>0.59860000000000002</v>
      </c>
      <c r="HH17" s="89">
        <f t="shared" si="54"/>
        <v>0.02</v>
      </c>
      <c r="HI17" s="83">
        <f t="shared" si="55"/>
        <v>0</v>
      </c>
      <c r="HJ17" s="88">
        <f>'EF peternakan'!$C$32</f>
        <v>0.01</v>
      </c>
      <c r="HK17" s="85">
        <f t="shared" si="56"/>
        <v>0</v>
      </c>
      <c r="HS17" s="6"/>
      <c r="HT17" s="290" t="s">
        <v>72</v>
      </c>
      <c r="HU17" s="86">
        <f t="shared" si="100"/>
        <v>0</v>
      </c>
      <c r="HV17" s="9"/>
      <c r="HW17" s="9"/>
      <c r="HX17" s="9"/>
      <c r="HY17" s="97"/>
      <c r="IB17" s="6"/>
      <c r="IC17" s="290" t="s">
        <v>72</v>
      </c>
      <c r="ID17" s="86">
        <f t="shared" si="102"/>
        <v>0</v>
      </c>
      <c r="IE17" s="87">
        <f>'EF peternakan'!$G$10</f>
        <v>0.82</v>
      </c>
      <c r="IF17" s="87">
        <f>'EF peternakan'!$H$10</f>
        <v>2</v>
      </c>
      <c r="IG17" s="92">
        <f t="shared" si="60"/>
        <v>0.59860000000000002</v>
      </c>
      <c r="IH17" s="89">
        <f t="shared" si="61"/>
        <v>0.02</v>
      </c>
      <c r="II17" s="83">
        <f t="shared" si="62"/>
        <v>0</v>
      </c>
      <c r="IJ17" s="88">
        <f>'EF peternakan'!$C$32</f>
        <v>0.01</v>
      </c>
      <c r="IK17" s="85">
        <f t="shared" si="63"/>
        <v>0</v>
      </c>
      <c r="IS17" s="6"/>
      <c r="IT17" s="290" t="s">
        <v>72</v>
      </c>
      <c r="IU17" s="86">
        <f t="shared" si="64"/>
        <v>0</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16172238</v>
      </c>
      <c r="E18" s="87">
        <f>'EF peternakan'!$G$11</f>
        <v>1.1000000000000001</v>
      </c>
      <c r="F18" s="292">
        <f>'EF peternakan'!$H$11</f>
        <v>2</v>
      </c>
      <c r="G18" s="9">
        <f t="shared" si="106"/>
        <v>0.80300000000000005</v>
      </c>
      <c r="H18" s="89">
        <f t="shared" si="77"/>
        <v>0.02</v>
      </c>
      <c r="I18" s="83">
        <f t="shared" si="107"/>
        <v>259726.14228</v>
      </c>
      <c r="J18" s="88">
        <f>'EF peternakan'!$C$32</f>
        <v>0.01</v>
      </c>
      <c r="K18" s="85">
        <f t="shared" si="0"/>
        <v>4081.410807257143</v>
      </c>
      <c r="S18" s="6"/>
      <c r="T18" s="290" t="s">
        <v>73</v>
      </c>
      <c r="U18" s="86">
        <f t="shared" si="1"/>
        <v>259726.14228</v>
      </c>
      <c r="V18" s="9"/>
      <c r="W18" s="9"/>
      <c r="X18" s="9"/>
      <c r="Y18" s="97"/>
      <c r="AB18" s="6"/>
      <c r="AC18" s="290" t="s">
        <v>73</v>
      </c>
      <c r="AD18" s="86">
        <f t="shared" si="79"/>
        <v>16680067</v>
      </c>
      <c r="AE18" s="87">
        <f>'EF peternakan'!$G$11</f>
        <v>1.1000000000000001</v>
      </c>
      <c r="AF18" s="87">
        <f>'EF peternakan'!$H$11</f>
        <v>2</v>
      </c>
      <c r="AG18" s="92">
        <f t="shared" si="5"/>
        <v>0.80300000000000005</v>
      </c>
      <c r="AH18" s="89">
        <f t="shared" si="6"/>
        <v>0.02</v>
      </c>
      <c r="AI18" s="83">
        <f t="shared" si="7"/>
        <v>267881.87602000003</v>
      </c>
      <c r="AJ18" s="88">
        <f>'EF peternakan'!$C$32</f>
        <v>0.01</v>
      </c>
      <c r="AK18" s="85">
        <f t="shared" si="8"/>
        <v>4209.5723374571435</v>
      </c>
      <c r="AS18" s="6"/>
      <c r="AT18" s="290" t="s">
        <v>73</v>
      </c>
      <c r="AU18" s="86">
        <f t="shared" si="111"/>
        <v>267881.87602000003</v>
      </c>
      <c r="AV18" s="9"/>
      <c r="AW18" s="9"/>
      <c r="AX18" s="9"/>
      <c r="AY18" s="97"/>
      <c r="BB18" s="6"/>
      <c r="BC18" s="290" t="s">
        <v>73</v>
      </c>
      <c r="BD18" s="44">
        <f t="shared" ref="BD18:BD20" si="124">E46</f>
        <v>17187896</v>
      </c>
      <c r="BE18" s="87">
        <f>'EF peternakan'!$G$11</f>
        <v>1.1000000000000001</v>
      </c>
      <c r="BF18" s="87">
        <f>'EF peternakan'!$H$11</f>
        <v>2</v>
      </c>
      <c r="BG18" s="92">
        <f t="shared" si="112"/>
        <v>0.80300000000000005</v>
      </c>
      <c r="BH18" s="89">
        <f t="shared" si="113"/>
        <v>0.02</v>
      </c>
      <c r="BI18" s="83">
        <f t="shared" si="108"/>
        <v>276037.60976000002</v>
      </c>
      <c r="BJ18" s="88">
        <f>'EF peternakan'!$C$32</f>
        <v>0.01</v>
      </c>
      <c r="BK18" s="85">
        <f t="shared" si="14"/>
        <v>4337.7338676571435</v>
      </c>
      <c r="BS18" s="6"/>
      <c r="BT18" s="290" t="s">
        <v>73</v>
      </c>
      <c r="BU18" s="86">
        <f t="shared" si="114"/>
        <v>276037.60976000002</v>
      </c>
      <c r="BV18" s="9"/>
      <c r="BW18" s="9"/>
      <c r="BX18" s="9"/>
      <c r="BY18" s="97"/>
      <c r="CB18" s="6"/>
      <c r="CC18" s="290" t="s">
        <v>73</v>
      </c>
      <c r="CD18" s="86">
        <f t="shared" ref="CD18:CD20" si="125">F46</f>
        <v>17695725</v>
      </c>
      <c r="CE18" s="87">
        <f>'EF peternakan'!$G$11</f>
        <v>1.1000000000000001</v>
      </c>
      <c r="CF18" s="87">
        <f>'EF peternakan'!$H$11</f>
        <v>2</v>
      </c>
      <c r="CG18" s="92">
        <f t="shared" si="18"/>
        <v>0.80300000000000005</v>
      </c>
      <c r="CH18" s="89">
        <f t="shared" si="19"/>
        <v>0.02</v>
      </c>
      <c r="CI18" s="83">
        <f t="shared" si="115"/>
        <v>284193.34350000002</v>
      </c>
      <c r="CJ18" s="88">
        <f>'EF peternakan'!$C$32</f>
        <v>0.01</v>
      </c>
      <c r="CK18" s="85">
        <f t="shared" si="21"/>
        <v>4465.8953978571435</v>
      </c>
      <c r="CS18" s="6"/>
      <c r="CT18" s="290" t="s">
        <v>73</v>
      </c>
      <c r="CU18" s="86">
        <f t="shared" si="116"/>
        <v>284193.34350000002</v>
      </c>
      <c r="CV18" s="9"/>
      <c r="CW18" s="9"/>
      <c r="CX18" s="9"/>
      <c r="CY18" s="97"/>
      <c r="DB18" s="6"/>
      <c r="DC18" s="290" t="s">
        <v>73</v>
      </c>
      <c r="DD18" s="44">
        <f t="shared" ref="DD18:DD21" si="126">G46</f>
        <v>18203554</v>
      </c>
      <c r="DE18" s="87">
        <f>'EF peternakan'!$G$11</f>
        <v>1.1000000000000001</v>
      </c>
      <c r="DF18" s="87">
        <f>'EF peternakan'!$H$11</f>
        <v>2</v>
      </c>
      <c r="DG18" s="92">
        <f t="shared" si="25"/>
        <v>0.80300000000000005</v>
      </c>
      <c r="DH18" s="89">
        <f t="shared" si="26"/>
        <v>0.02</v>
      </c>
      <c r="DI18" s="83">
        <f t="shared" si="27"/>
        <v>292349.07724000001</v>
      </c>
      <c r="DJ18" s="88">
        <f>'EF peternakan'!$C$32</f>
        <v>0.01</v>
      </c>
      <c r="DK18" s="85">
        <f t="shared" si="117"/>
        <v>4594.0569280571426</v>
      </c>
      <c r="DS18" s="6"/>
      <c r="DT18" s="290" t="s">
        <v>73</v>
      </c>
      <c r="DU18" s="86">
        <f t="shared" si="118"/>
        <v>292349.07724000001</v>
      </c>
      <c r="DV18" s="9"/>
      <c r="DW18" s="9"/>
      <c r="DX18" s="9"/>
      <c r="DY18" s="97"/>
      <c r="EB18" s="6"/>
      <c r="EC18" s="290" t="s">
        <v>73</v>
      </c>
      <c r="ED18" s="86">
        <f t="shared" si="91"/>
        <v>18711383</v>
      </c>
      <c r="EE18" s="87">
        <f>'EF peternakan'!$G$11</f>
        <v>1.1000000000000001</v>
      </c>
      <c r="EF18" s="87">
        <f>'EF peternakan'!$H$11</f>
        <v>2</v>
      </c>
      <c r="EG18" s="92">
        <f t="shared" si="32"/>
        <v>0.80300000000000005</v>
      </c>
      <c r="EH18" s="89">
        <f t="shared" si="33"/>
        <v>0.02</v>
      </c>
      <c r="EI18" s="83">
        <f>ED18*EG18*EH18</f>
        <v>300504.81098000001</v>
      </c>
      <c r="EJ18" s="88">
        <f>'EF peternakan'!$C$32</f>
        <v>0.01</v>
      </c>
      <c r="EK18" s="85">
        <f>EI18*EJ18*(44/28)</f>
        <v>4722.2184582571426</v>
      </c>
      <c r="ES18" s="6"/>
      <c r="ET18" s="290" t="s">
        <v>73</v>
      </c>
      <c r="EU18" s="86">
        <f t="shared" si="110"/>
        <v>300504.81098000001</v>
      </c>
      <c r="EV18" s="9"/>
      <c r="EW18" s="9"/>
      <c r="EX18" s="9"/>
      <c r="EY18" s="97"/>
      <c r="FB18" s="6"/>
      <c r="FC18" s="290" t="s">
        <v>73</v>
      </c>
      <c r="FD18" s="86">
        <f t="shared" si="93"/>
        <v>19219212</v>
      </c>
      <c r="FE18" s="87">
        <f>'EF peternakan'!$G$11</f>
        <v>1.1000000000000001</v>
      </c>
      <c r="FF18" s="87">
        <f>'EF peternakan'!$H$11</f>
        <v>2</v>
      </c>
      <c r="FG18" s="92">
        <f t="shared" si="39"/>
        <v>0.80300000000000005</v>
      </c>
      <c r="FH18" s="89">
        <f t="shared" si="40"/>
        <v>0.02</v>
      </c>
      <c r="FI18" s="83">
        <f>FD18*FG18*FH18</f>
        <v>308660.54472000006</v>
      </c>
      <c r="FJ18" s="88">
        <f>'EF peternakan'!$C$32</f>
        <v>0.01</v>
      </c>
      <c r="FK18" s="85">
        <f>FI18*FJ18*(44/28)</f>
        <v>4850.3799884571436</v>
      </c>
      <c r="FS18" s="6"/>
      <c r="FT18" s="290" t="s">
        <v>73</v>
      </c>
      <c r="FU18" s="86">
        <f t="shared" si="94"/>
        <v>308660.54472000006</v>
      </c>
      <c r="FV18" s="9"/>
      <c r="FW18" s="9"/>
      <c r="FX18" s="9"/>
      <c r="FY18" s="97"/>
      <c r="GB18" s="6"/>
      <c r="GC18" s="290" t="s">
        <v>73</v>
      </c>
      <c r="GD18" s="86">
        <f t="shared" si="97"/>
        <v>19727041</v>
      </c>
      <c r="GE18" s="87">
        <f>'EF peternakan'!$G$11</f>
        <v>1.1000000000000001</v>
      </c>
      <c r="GF18" s="87">
        <f>'EF peternakan'!$H$11</f>
        <v>2</v>
      </c>
      <c r="GG18" s="92">
        <f t="shared" si="45"/>
        <v>0.80300000000000005</v>
      </c>
      <c r="GH18" s="89">
        <f t="shared" si="46"/>
        <v>0.02</v>
      </c>
      <c r="GI18" s="83">
        <f t="shared" si="121"/>
        <v>316816.27846</v>
      </c>
      <c r="GJ18" s="88">
        <f>'EF peternakan'!$C$32</f>
        <v>0.01</v>
      </c>
      <c r="GK18" s="85">
        <f t="shared" si="122"/>
        <v>4978.5415186571427</v>
      </c>
      <c r="GS18" s="6"/>
      <c r="GT18" s="290" t="s">
        <v>73</v>
      </c>
      <c r="GU18" s="86">
        <f t="shared" si="49"/>
        <v>316816.27846</v>
      </c>
      <c r="GV18" s="9"/>
      <c r="GW18" s="9"/>
      <c r="GX18" s="9"/>
      <c r="GY18" s="97"/>
      <c r="HB18" s="6"/>
      <c r="HC18" s="290" t="s">
        <v>73</v>
      </c>
      <c r="HD18" s="86">
        <f t="shared" si="99"/>
        <v>20234870</v>
      </c>
      <c r="HE18" s="87">
        <f>'EF peternakan'!$G$11</f>
        <v>1.1000000000000001</v>
      </c>
      <c r="HF18" s="87">
        <f>'EF peternakan'!$H$11</f>
        <v>2</v>
      </c>
      <c r="HG18" s="92">
        <f t="shared" si="53"/>
        <v>0.80300000000000005</v>
      </c>
      <c r="HH18" s="89">
        <f t="shared" si="54"/>
        <v>0.02</v>
      </c>
      <c r="HI18" s="83">
        <f t="shared" si="55"/>
        <v>324972.01220000006</v>
      </c>
      <c r="HJ18" s="88">
        <f>'EF peternakan'!$C$32</f>
        <v>0.01</v>
      </c>
      <c r="HK18" s="85">
        <f t="shared" si="56"/>
        <v>5106.7030488571436</v>
      </c>
      <c r="HS18" s="6"/>
      <c r="HT18" s="290" t="s">
        <v>73</v>
      </c>
      <c r="HU18" s="86">
        <f t="shared" si="100"/>
        <v>324972.01220000006</v>
      </c>
      <c r="HV18" s="9"/>
      <c r="HW18" s="9"/>
      <c r="HX18" s="9"/>
      <c r="HY18" s="97"/>
      <c r="IB18" s="6"/>
      <c r="IC18" s="290" t="s">
        <v>73</v>
      </c>
      <c r="ID18" s="86">
        <f t="shared" si="102"/>
        <v>20742699</v>
      </c>
      <c r="IE18" s="87">
        <f>'EF peternakan'!$G$11</f>
        <v>1.1000000000000001</v>
      </c>
      <c r="IF18" s="87">
        <f>'EF peternakan'!$H$11</f>
        <v>2</v>
      </c>
      <c r="IG18" s="92">
        <f t="shared" si="60"/>
        <v>0.80300000000000005</v>
      </c>
      <c r="IH18" s="89">
        <f t="shared" si="61"/>
        <v>0.02</v>
      </c>
      <c r="II18" s="83">
        <f t="shared" si="62"/>
        <v>333127.74593999999</v>
      </c>
      <c r="IJ18" s="88">
        <f>'EF peternakan'!$C$32</f>
        <v>0.01</v>
      </c>
      <c r="IK18" s="85">
        <f t="shared" si="63"/>
        <v>5234.8645790571427</v>
      </c>
      <c r="IS18" s="6"/>
      <c r="IT18" s="290" t="s">
        <v>73</v>
      </c>
      <c r="IU18" s="86">
        <f t="shared" si="64"/>
        <v>333127.74593999999</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0</v>
      </c>
      <c r="E19" s="87">
        <f>'EF peternakan'!$G$10</f>
        <v>0.82</v>
      </c>
      <c r="F19" s="292">
        <f>'EF peternakan'!$H$10</f>
        <v>2</v>
      </c>
      <c r="G19" s="9">
        <f t="shared" si="106"/>
        <v>0.59860000000000002</v>
      </c>
      <c r="H19" s="89">
        <f t="shared" si="77"/>
        <v>0.02</v>
      </c>
      <c r="I19" s="83">
        <f t="shared" si="107"/>
        <v>0</v>
      </c>
      <c r="J19" s="88">
        <f>'EF peternakan'!$C$32</f>
        <v>0.01</v>
      </c>
      <c r="K19" s="85">
        <f t="shared" si="0"/>
        <v>0</v>
      </c>
      <c r="S19" s="6"/>
      <c r="T19" s="290" t="s">
        <v>74</v>
      </c>
      <c r="U19" s="86">
        <f t="shared" si="1"/>
        <v>0</v>
      </c>
      <c r="V19" s="9"/>
      <c r="W19" s="9"/>
      <c r="X19" s="9"/>
      <c r="Y19" s="97"/>
      <c r="AB19" s="6"/>
      <c r="AC19" s="290" t="s">
        <v>74</v>
      </c>
      <c r="AD19" s="86">
        <f t="shared" si="79"/>
        <v>0</v>
      </c>
      <c r="AE19" s="87">
        <f>'EF peternakan'!$G$10</f>
        <v>0.82</v>
      </c>
      <c r="AF19" s="87">
        <f>'EF peternakan'!$H$10</f>
        <v>2</v>
      </c>
      <c r="AG19" s="92">
        <f t="shared" si="5"/>
        <v>0.59860000000000002</v>
      </c>
      <c r="AH19" s="89">
        <f t="shared" si="6"/>
        <v>0.02</v>
      </c>
      <c r="AI19" s="83">
        <f t="shared" si="7"/>
        <v>0</v>
      </c>
      <c r="AJ19" s="88">
        <f>'EF peternakan'!$C$32</f>
        <v>0.01</v>
      </c>
      <c r="AK19" s="85">
        <f t="shared" si="8"/>
        <v>0</v>
      </c>
      <c r="AS19" s="6"/>
      <c r="AT19" s="290" t="s">
        <v>74</v>
      </c>
      <c r="AU19" s="86">
        <f t="shared" si="111"/>
        <v>0</v>
      </c>
      <c r="AV19" s="9"/>
      <c r="AW19" s="9"/>
      <c r="AX19" s="9"/>
      <c r="AY19" s="97"/>
      <c r="BB19" s="6"/>
      <c r="BC19" s="290" t="s">
        <v>74</v>
      </c>
      <c r="BD19" s="44">
        <f t="shared" si="124"/>
        <v>0</v>
      </c>
      <c r="BE19" s="87">
        <f>'EF peternakan'!$G$10</f>
        <v>0.82</v>
      </c>
      <c r="BF19" s="87">
        <f>'EF peternakan'!$H$10</f>
        <v>2</v>
      </c>
      <c r="BG19" s="92">
        <f t="shared" si="112"/>
        <v>0.59860000000000002</v>
      </c>
      <c r="BH19" s="89">
        <f t="shared" si="113"/>
        <v>0.02</v>
      </c>
      <c r="BI19" s="83">
        <f t="shared" si="108"/>
        <v>0</v>
      </c>
      <c r="BJ19" s="88">
        <f>'EF peternakan'!$C$32</f>
        <v>0.01</v>
      </c>
      <c r="BK19" s="85">
        <f t="shared" si="14"/>
        <v>0</v>
      </c>
      <c r="BS19" s="6"/>
      <c r="BT19" s="290" t="s">
        <v>74</v>
      </c>
      <c r="BU19" s="86">
        <f t="shared" si="114"/>
        <v>0</v>
      </c>
      <c r="BV19" s="9"/>
      <c r="BW19" s="9"/>
      <c r="BX19" s="9"/>
      <c r="BY19" s="97"/>
      <c r="CB19" s="6"/>
      <c r="CC19" s="290" t="s">
        <v>74</v>
      </c>
      <c r="CD19" s="86">
        <f t="shared" si="125"/>
        <v>0</v>
      </c>
      <c r="CE19" s="87">
        <f>'EF peternakan'!$G$10</f>
        <v>0.82</v>
      </c>
      <c r="CF19" s="87">
        <f>'EF peternakan'!$H$10</f>
        <v>2</v>
      </c>
      <c r="CG19" s="92">
        <f t="shared" si="18"/>
        <v>0.59860000000000002</v>
      </c>
      <c r="CH19" s="89">
        <f t="shared" si="19"/>
        <v>0.02</v>
      </c>
      <c r="CI19" s="83">
        <f t="shared" si="115"/>
        <v>0</v>
      </c>
      <c r="CJ19" s="88">
        <f>'EF peternakan'!$C$32</f>
        <v>0.01</v>
      </c>
      <c r="CK19" s="85">
        <f t="shared" si="21"/>
        <v>0</v>
      </c>
      <c r="CS19" s="6"/>
      <c r="CT19" s="290" t="s">
        <v>74</v>
      </c>
      <c r="CU19" s="86">
        <f t="shared" si="116"/>
        <v>0</v>
      </c>
      <c r="CV19" s="9"/>
      <c r="CW19" s="9"/>
      <c r="CX19" s="9"/>
      <c r="CY19" s="97"/>
      <c r="DB19" s="6"/>
      <c r="DC19" s="290" t="s">
        <v>74</v>
      </c>
      <c r="DD19" s="44">
        <f t="shared" si="126"/>
        <v>0</v>
      </c>
      <c r="DE19" s="87">
        <f>'EF peternakan'!$G$10</f>
        <v>0.82</v>
      </c>
      <c r="DF19" s="87">
        <f>'EF peternakan'!$H$10</f>
        <v>2</v>
      </c>
      <c r="DG19" s="92">
        <f t="shared" si="25"/>
        <v>0.59860000000000002</v>
      </c>
      <c r="DH19" s="89">
        <f t="shared" si="26"/>
        <v>0.02</v>
      </c>
      <c r="DI19" s="83">
        <f t="shared" si="27"/>
        <v>0</v>
      </c>
      <c r="DJ19" s="88">
        <f>'EF peternakan'!$C$32</f>
        <v>0.01</v>
      </c>
      <c r="DK19" s="85">
        <f t="shared" si="117"/>
        <v>0</v>
      </c>
      <c r="DS19" s="6"/>
      <c r="DT19" s="290" t="s">
        <v>74</v>
      </c>
      <c r="DU19" s="86">
        <f t="shared" si="118"/>
        <v>0</v>
      </c>
      <c r="DV19" s="9"/>
      <c r="DW19" s="9"/>
      <c r="DX19" s="9"/>
      <c r="DY19" s="97"/>
      <c r="EB19" s="6"/>
      <c r="EC19" s="290" t="s">
        <v>74</v>
      </c>
      <c r="ED19" s="86">
        <f t="shared" si="91"/>
        <v>0</v>
      </c>
      <c r="EE19" s="87">
        <f>'EF peternakan'!$G$10</f>
        <v>0.82</v>
      </c>
      <c r="EF19" s="87">
        <f>'EF peternakan'!$H$10</f>
        <v>2</v>
      </c>
      <c r="EG19" s="92">
        <f t="shared" si="32"/>
        <v>0.59860000000000002</v>
      </c>
      <c r="EH19" s="89">
        <f t="shared" si="33"/>
        <v>0.02</v>
      </c>
      <c r="EI19" s="83">
        <f t="shared" si="34"/>
        <v>0</v>
      </c>
      <c r="EJ19" s="88">
        <f>'EF peternakan'!$C$32</f>
        <v>0.01</v>
      </c>
      <c r="EK19" s="85">
        <f t="shared" si="35"/>
        <v>0</v>
      </c>
      <c r="ES19" s="6"/>
      <c r="ET19" s="290" t="s">
        <v>74</v>
      </c>
      <c r="EU19" s="86">
        <f t="shared" si="110"/>
        <v>0</v>
      </c>
      <c r="EV19" s="9"/>
      <c r="EW19" s="9"/>
      <c r="EX19" s="9"/>
      <c r="EY19" s="97"/>
      <c r="FB19" s="6"/>
      <c r="FC19" s="290"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0" t="s">
        <v>74</v>
      </c>
      <c r="FU19" s="86">
        <f t="shared" si="94"/>
        <v>0</v>
      </c>
      <c r="FV19" s="9"/>
      <c r="FW19" s="9"/>
      <c r="FX19" s="9"/>
      <c r="FY19" s="97"/>
      <c r="GB19" s="6"/>
      <c r="GC19" s="290"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0" t="s">
        <v>74</v>
      </c>
      <c r="GU19" s="86">
        <f t="shared" si="49"/>
        <v>0</v>
      </c>
      <c r="GV19" s="9"/>
      <c r="GW19" s="9"/>
      <c r="GX19" s="9"/>
      <c r="GY19" s="97"/>
      <c r="HB19" s="6"/>
      <c r="HC19" s="290"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0" t="s">
        <v>74</v>
      </c>
      <c r="HU19" s="86">
        <f t="shared" si="100"/>
        <v>0</v>
      </c>
      <c r="HV19" s="9"/>
      <c r="HW19" s="9"/>
      <c r="HX19" s="9"/>
      <c r="HY19" s="97"/>
      <c r="IB19" s="6"/>
      <c r="IC19" s="290"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0" t="s">
        <v>74</v>
      </c>
      <c r="IU19" s="86">
        <f t="shared" si="64"/>
        <v>0</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2742.55</v>
      </c>
      <c r="E20" s="87">
        <f>'EF peternakan'!$G$13</f>
        <v>0.83</v>
      </c>
      <c r="F20" s="292">
        <f>'EF peternakan'!$H$13</f>
        <v>2</v>
      </c>
      <c r="G20" s="9">
        <f t="shared" si="106"/>
        <v>0.60589999999999999</v>
      </c>
      <c r="H20" s="89">
        <f t="shared" si="77"/>
        <v>0.02</v>
      </c>
      <c r="I20" s="83">
        <f t="shared" si="107"/>
        <v>33.234220900000004</v>
      </c>
      <c r="J20" s="88">
        <f>'EF peternakan'!$C$32</f>
        <v>0.01</v>
      </c>
      <c r="K20" s="85">
        <f t="shared" si="0"/>
        <v>0.52225204271428582</v>
      </c>
      <c r="S20" s="289"/>
      <c r="T20" s="290" t="s">
        <v>75</v>
      </c>
      <c r="U20" s="86">
        <f t="shared" si="1"/>
        <v>33.234220900000004</v>
      </c>
      <c r="V20" s="9"/>
      <c r="W20" s="9"/>
      <c r="X20" s="9"/>
      <c r="Y20" s="97"/>
      <c r="AB20" s="289"/>
      <c r="AC20" s="290" t="s">
        <v>75</v>
      </c>
      <c r="AD20" s="86">
        <f t="shared" si="79"/>
        <v>2779.0749999999998</v>
      </c>
      <c r="AE20" s="87">
        <f>'EF peternakan'!$G$13</f>
        <v>0.83</v>
      </c>
      <c r="AF20" s="87">
        <f>'EF peternakan'!$H$13</f>
        <v>2</v>
      </c>
      <c r="AG20" s="92">
        <f t="shared" si="5"/>
        <v>0.60589999999999999</v>
      </c>
      <c r="AH20" s="89">
        <f t="shared" si="6"/>
        <v>0.02</v>
      </c>
      <c r="AI20" s="83">
        <f t="shared" si="7"/>
        <v>33.676830849999995</v>
      </c>
      <c r="AJ20" s="88">
        <f>'EF peternakan'!$C$32</f>
        <v>0.01</v>
      </c>
      <c r="AK20" s="85">
        <f t="shared" si="8"/>
        <v>0.52920734192857133</v>
      </c>
      <c r="AS20" s="289"/>
      <c r="AT20" s="290" t="s">
        <v>75</v>
      </c>
      <c r="AU20" s="86">
        <f t="shared" si="111"/>
        <v>33.676830849999995</v>
      </c>
      <c r="AV20" s="9"/>
      <c r="AW20" s="9"/>
      <c r="AX20" s="9"/>
      <c r="AY20" s="97"/>
      <c r="BB20" s="289"/>
      <c r="BC20" s="290" t="s">
        <v>75</v>
      </c>
      <c r="BD20" s="44">
        <f t="shared" si="124"/>
        <v>2815.6</v>
      </c>
      <c r="BE20" s="87">
        <f>'EF peternakan'!$G$13</f>
        <v>0.83</v>
      </c>
      <c r="BF20" s="87">
        <f>'EF peternakan'!$H$13</f>
        <v>2</v>
      </c>
      <c r="BG20" s="92">
        <f t="shared" si="112"/>
        <v>0.60589999999999999</v>
      </c>
      <c r="BH20" s="89">
        <f t="shared" si="113"/>
        <v>0.02</v>
      </c>
      <c r="BI20" s="83">
        <f t="shared" si="108"/>
        <v>34.1194408</v>
      </c>
      <c r="BJ20" s="88">
        <f>'EF peternakan'!$C$32</f>
        <v>0.01</v>
      </c>
      <c r="BK20" s="85">
        <f t="shared" si="14"/>
        <v>0.53616264114285717</v>
      </c>
      <c r="BS20" s="289"/>
      <c r="BT20" s="290" t="s">
        <v>75</v>
      </c>
      <c r="BU20" s="86">
        <f t="shared" si="114"/>
        <v>34.1194408</v>
      </c>
      <c r="BV20" s="9"/>
      <c r="BW20" s="9"/>
      <c r="BX20" s="9"/>
      <c r="BY20" s="97"/>
      <c r="CB20" s="289"/>
      <c r="CC20" s="290" t="s">
        <v>75</v>
      </c>
      <c r="CD20" s="86">
        <f t="shared" si="125"/>
        <v>2852.125</v>
      </c>
      <c r="CE20" s="87">
        <f>'EF peternakan'!$G$13</f>
        <v>0.83</v>
      </c>
      <c r="CF20" s="87">
        <f>'EF peternakan'!$H$13</f>
        <v>2</v>
      </c>
      <c r="CG20" s="92">
        <f t="shared" si="18"/>
        <v>0.60589999999999999</v>
      </c>
      <c r="CH20" s="89">
        <f t="shared" si="19"/>
        <v>0.02</v>
      </c>
      <c r="CI20" s="83">
        <f t="shared" si="115"/>
        <v>34.562050749999997</v>
      </c>
      <c r="CJ20" s="88">
        <f>'EF peternakan'!$C$32</f>
        <v>0.01</v>
      </c>
      <c r="CK20" s="85">
        <f t="shared" si="21"/>
        <v>0.54311794035714289</v>
      </c>
      <c r="CS20" s="289"/>
      <c r="CT20" s="290" t="s">
        <v>75</v>
      </c>
      <c r="CU20" s="86">
        <f t="shared" si="116"/>
        <v>34.562050749999997</v>
      </c>
      <c r="CV20" s="9"/>
      <c r="CW20" s="9"/>
      <c r="CX20" s="9"/>
      <c r="CY20" s="97"/>
      <c r="DB20" s="289"/>
      <c r="DC20" s="290" t="s">
        <v>75</v>
      </c>
      <c r="DD20" s="44">
        <f t="shared" si="126"/>
        <v>2888.65</v>
      </c>
      <c r="DE20" s="87">
        <f>'EF peternakan'!$G$13</f>
        <v>0.83</v>
      </c>
      <c r="DF20" s="87">
        <f>'EF peternakan'!$H$13</f>
        <v>2</v>
      </c>
      <c r="DG20" s="92">
        <f t="shared" si="25"/>
        <v>0.60589999999999999</v>
      </c>
      <c r="DH20" s="89">
        <f t="shared" si="26"/>
        <v>0.02</v>
      </c>
      <c r="DI20" s="83">
        <f t="shared" si="27"/>
        <v>35.004660700000002</v>
      </c>
      <c r="DJ20" s="88">
        <f>'EF peternakan'!$C$32</f>
        <v>0.01</v>
      </c>
      <c r="DK20" s="85">
        <f t="shared" si="117"/>
        <v>0.55007323957142862</v>
      </c>
      <c r="DS20" s="289"/>
      <c r="DT20" s="290" t="s">
        <v>75</v>
      </c>
      <c r="DU20" s="86">
        <f t="shared" si="118"/>
        <v>35.004660700000002</v>
      </c>
      <c r="DV20" s="9"/>
      <c r="DW20" s="9"/>
      <c r="DX20" s="9"/>
      <c r="DY20" s="97"/>
      <c r="EB20" s="289"/>
      <c r="EC20" s="290" t="s">
        <v>75</v>
      </c>
      <c r="ED20" s="86">
        <f t="shared" si="91"/>
        <v>2925.1750000000002</v>
      </c>
      <c r="EE20" s="87">
        <f>'EF peternakan'!$G$13</f>
        <v>0.83</v>
      </c>
      <c r="EF20" s="87">
        <f>'EF peternakan'!$H$13</f>
        <v>2</v>
      </c>
      <c r="EG20" s="92">
        <f t="shared" si="32"/>
        <v>0.60589999999999999</v>
      </c>
      <c r="EH20" s="89">
        <f t="shared" si="33"/>
        <v>0.02</v>
      </c>
      <c r="EI20" s="83">
        <f t="shared" si="34"/>
        <v>35.44727065</v>
      </c>
      <c r="EJ20" s="88">
        <f>'EF peternakan'!$C$32</f>
        <v>0.01</v>
      </c>
      <c r="EK20" s="85">
        <f t="shared" si="35"/>
        <v>0.55702853878571434</v>
      </c>
      <c r="ES20" s="289"/>
      <c r="ET20" s="290" t="s">
        <v>75</v>
      </c>
      <c r="EU20" s="86">
        <f t="shared" si="110"/>
        <v>35.44727065</v>
      </c>
      <c r="EV20" s="9"/>
      <c r="EW20" s="9"/>
      <c r="EX20" s="9"/>
      <c r="EY20" s="97"/>
      <c r="FB20" s="289"/>
      <c r="FC20" s="290" t="s">
        <v>75</v>
      </c>
      <c r="FD20" s="86">
        <f t="shared" si="93"/>
        <v>2961.7</v>
      </c>
      <c r="FE20" s="87">
        <f>'EF peternakan'!$G$13</f>
        <v>0.83</v>
      </c>
      <c r="FF20" s="87">
        <f>'EF peternakan'!$H$13</f>
        <v>2</v>
      </c>
      <c r="FG20" s="92">
        <f t="shared" si="39"/>
        <v>0.60589999999999999</v>
      </c>
      <c r="FH20" s="89">
        <f t="shared" si="40"/>
        <v>0.02</v>
      </c>
      <c r="FI20" s="83">
        <f t="shared" si="119"/>
        <v>35.889880599999998</v>
      </c>
      <c r="FJ20" s="88">
        <f>'EF peternakan'!$C$32</f>
        <v>0.01</v>
      </c>
      <c r="FK20" s="85">
        <f t="shared" si="120"/>
        <v>0.56398383799999996</v>
      </c>
      <c r="FS20" s="289"/>
      <c r="FT20" s="290" t="s">
        <v>75</v>
      </c>
      <c r="FU20" s="86">
        <f t="shared" si="94"/>
        <v>35.889880599999998</v>
      </c>
      <c r="FV20" s="9"/>
      <c r="FW20" s="9"/>
      <c r="FX20" s="9"/>
      <c r="FY20" s="97"/>
      <c r="GB20" s="289"/>
      <c r="GC20" s="290" t="s">
        <v>75</v>
      </c>
      <c r="GD20" s="86">
        <f t="shared" si="97"/>
        <v>2998.2249999999999</v>
      </c>
      <c r="GE20" s="87">
        <f>'EF peternakan'!$G$13</f>
        <v>0.83</v>
      </c>
      <c r="GF20" s="87">
        <f>'EF peternakan'!$H$13</f>
        <v>2</v>
      </c>
      <c r="GG20" s="92">
        <f t="shared" si="45"/>
        <v>0.60589999999999999</v>
      </c>
      <c r="GH20" s="89">
        <f t="shared" si="46"/>
        <v>0.02</v>
      </c>
      <c r="GI20" s="83">
        <f t="shared" si="121"/>
        <v>36.332490549999996</v>
      </c>
      <c r="GJ20" s="88">
        <f>'EF peternakan'!$C$32</f>
        <v>0.01</v>
      </c>
      <c r="GK20" s="85">
        <f t="shared" si="122"/>
        <v>0.57093913721428569</v>
      </c>
      <c r="GS20" s="289"/>
      <c r="GT20" s="290" t="s">
        <v>75</v>
      </c>
      <c r="GU20" s="86">
        <f t="shared" si="49"/>
        <v>36.332490549999996</v>
      </c>
      <c r="GV20" s="9"/>
      <c r="GW20" s="9"/>
      <c r="GX20" s="9"/>
      <c r="GY20" s="97"/>
      <c r="HB20" s="289"/>
      <c r="HC20" s="290" t="s">
        <v>75</v>
      </c>
      <c r="HD20" s="86">
        <f t="shared" si="99"/>
        <v>3034.75</v>
      </c>
      <c r="HE20" s="87">
        <f>'EF peternakan'!$G$13</f>
        <v>0.83</v>
      </c>
      <c r="HF20" s="87">
        <f>'EF peternakan'!$H$13</f>
        <v>2</v>
      </c>
      <c r="HG20" s="92">
        <f t="shared" si="53"/>
        <v>0.60589999999999999</v>
      </c>
      <c r="HH20" s="89">
        <f t="shared" si="54"/>
        <v>0.02</v>
      </c>
      <c r="HI20" s="83">
        <f t="shared" si="55"/>
        <v>36.775100500000001</v>
      </c>
      <c r="HJ20" s="88">
        <f>'EF peternakan'!$C$32</f>
        <v>0.01</v>
      </c>
      <c r="HK20" s="85">
        <f t="shared" si="56"/>
        <v>0.57789443642857141</v>
      </c>
      <c r="HS20" s="289"/>
      <c r="HT20" s="290" t="s">
        <v>75</v>
      </c>
      <c r="HU20" s="86">
        <f t="shared" si="100"/>
        <v>36.775100500000001</v>
      </c>
      <c r="HV20" s="9"/>
      <c r="HW20" s="9"/>
      <c r="HX20" s="9"/>
      <c r="HY20" s="97"/>
      <c r="IB20" s="289"/>
      <c r="IC20" s="290" t="s">
        <v>75</v>
      </c>
      <c r="ID20" s="86">
        <f t="shared" si="102"/>
        <v>3071.2749999999996</v>
      </c>
      <c r="IE20" s="87">
        <f>'EF peternakan'!$G$13</f>
        <v>0.83</v>
      </c>
      <c r="IF20" s="87">
        <f>'EF peternakan'!$H$13</f>
        <v>2</v>
      </c>
      <c r="IG20" s="92">
        <f t="shared" si="60"/>
        <v>0.60589999999999999</v>
      </c>
      <c r="IH20" s="89">
        <f t="shared" si="61"/>
        <v>0.02</v>
      </c>
      <c r="II20" s="83">
        <f t="shared" si="62"/>
        <v>37.217710449999998</v>
      </c>
      <c r="IJ20" s="88">
        <f>'EF peternakan'!$C$32</f>
        <v>0.01</v>
      </c>
      <c r="IK20" s="85">
        <f t="shared" si="63"/>
        <v>0.58484973564285703</v>
      </c>
      <c r="IS20" s="289"/>
      <c r="IT20" s="290" t="s">
        <v>75</v>
      </c>
      <c r="IU20" s="86">
        <f t="shared" si="64"/>
        <v>37.217710449999998</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0</v>
      </c>
      <c r="E21" s="87">
        <f>'EF peternakan'!$G$7</f>
        <v>0.5</v>
      </c>
      <c r="F21" s="292">
        <f>'EF peternakan'!$H$7</f>
        <v>100</v>
      </c>
      <c r="G21" s="9">
        <f t="shared" si="106"/>
        <v>18.25</v>
      </c>
      <c r="H21" s="89">
        <f t="shared" si="77"/>
        <v>0.02</v>
      </c>
      <c r="I21" s="83">
        <f>D21*G21*H21</f>
        <v>0</v>
      </c>
      <c r="J21" s="305">
        <f>'EF peternakan'!$C$30</f>
        <v>0</v>
      </c>
      <c r="K21" s="85">
        <f t="shared" si="0"/>
        <v>0</v>
      </c>
      <c r="S21" s="289"/>
      <c r="T21" s="269" t="s">
        <v>66</v>
      </c>
      <c r="U21" s="86">
        <f t="shared" si="1"/>
        <v>0</v>
      </c>
      <c r="V21" s="9"/>
      <c r="W21" s="9"/>
      <c r="X21" s="9"/>
      <c r="Y21" s="97"/>
      <c r="AB21" s="289"/>
      <c r="AC21" s="269" t="s">
        <v>66</v>
      </c>
      <c r="AD21" s="86">
        <f>D49</f>
        <v>0</v>
      </c>
      <c r="AE21" s="87">
        <f>'EF peternakan'!$G$7</f>
        <v>0.5</v>
      </c>
      <c r="AF21" s="87">
        <f>'EF peternakan'!$H$7</f>
        <v>100</v>
      </c>
      <c r="AG21" s="92">
        <f t="shared" si="5"/>
        <v>18.25</v>
      </c>
      <c r="AH21" s="89">
        <f t="shared" si="6"/>
        <v>0.02</v>
      </c>
      <c r="AI21" s="83">
        <f>AD21*AG21*AH21</f>
        <v>0</v>
      </c>
      <c r="AJ21" s="305">
        <f>'EF peternakan'!$C$30</f>
        <v>0</v>
      </c>
      <c r="AK21" s="85">
        <f t="shared" si="8"/>
        <v>0</v>
      </c>
      <c r="AS21" s="289"/>
      <c r="AT21" s="269" t="s">
        <v>66</v>
      </c>
      <c r="AU21" s="86">
        <f>AI21</f>
        <v>0</v>
      </c>
      <c r="AV21" s="9"/>
      <c r="AW21" s="9"/>
      <c r="AX21" s="9"/>
      <c r="AY21" s="97"/>
      <c r="BB21" s="289"/>
      <c r="BC21" s="269" t="s">
        <v>66</v>
      </c>
      <c r="BD21" s="44">
        <f>E49</f>
        <v>0</v>
      </c>
      <c r="BE21" s="87">
        <f>'EF peternakan'!$G$7</f>
        <v>0.5</v>
      </c>
      <c r="BF21" s="87">
        <f>'EF peternakan'!$H$7</f>
        <v>100</v>
      </c>
      <c r="BG21" s="92">
        <f t="shared" si="112"/>
        <v>18.25</v>
      </c>
      <c r="BH21" s="89">
        <f t="shared" si="113"/>
        <v>0.02</v>
      </c>
      <c r="BI21" s="83">
        <f t="shared" si="108"/>
        <v>0</v>
      </c>
      <c r="BJ21" s="305">
        <f>'EF peternakan'!$C$30</f>
        <v>0</v>
      </c>
      <c r="BK21" s="85">
        <f t="shared" si="14"/>
        <v>0</v>
      </c>
      <c r="BS21" s="289"/>
      <c r="BT21" s="269" t="s">
        <v>66</v>
      </c>
      <c r="BU21" s="86">
        <f t="shared" si="114"/>
        <v>0</v>
      </c>
      <c r="BV21" s="9"/>
      <c r="BW21" s="9"/>
      <c r="BX21" s="9"/>
      <c r="BY21" s="97"/>
      <c r="CB21" s="289"/>
      <c r="CC21" s="269" t="s">
        <v>66</v>
      </c>
      <c r="CD21" s="86">
        <f>F49</f>
        <v>0</v>
      </c>
      <c r="CE21" s="87">
        <f>'EF peternakan'!$G$7</f>
        <v>0.5</v>
      </c>
      <c r="CF21" s="87">
        <f>'EF peternakan'!$H$7</f>
        <v>100</v>
      </c>
      <c r="CG21" s="92">
        <f t="shared" si="18"/>
        <v>18.25</v>
      </c>
      <c r="CH21" s="89">
        <f t="shared" si="19"/>
        <v>0.02</v>
      </c>
      <c r="CI21" s="83">
        <f t="shared" si="115"/>
        <v>0</v>
      </c>
      <c r="CJ21" s="305">
        <f>'EF peternakan'!$C$30</f>
        <v>0</v>
      </c>
      <c r="CK21" s="85">
        <f t="shared" si="21"/>
        <v>0</v>
      </c>
      <c r="CS21" s="289"/>
      <c r="CT21" s="269" t="s">
        <v>66</v>
      </c>
      <c r="CU21" s="86">
        <f t="shared" si="116"/>
        <v>0</v>
      </c>
      <c r="CV21" s="9"/>
      <c r="CW21" s="9"/>
      <c r="CX21" s="9"/>
      <c r="CY21" s="97"/>
      <c r="DB21" s="289"/>
      <c r="DC21" s="269" t="s">
        <v>66</v>
      </c>
      <c r="DD21" s="44">
        <f t="shared" si="126"/>
        <v>0</v>
      </c>
      <c r="DE21" s="87">
        <f>'EF peternakan'!$G$7</f>
        <v>0.5</v>
      </c>
      <c r="DF21" s="87">
        <f>'EF peternakan'!$H$7</f>
        <v>100</v>
      </c>
      <c r="DG21" s="92">
        <f t="shared" si="25"/>
        <v>18.25</v>
      </c>
      <c r="DH21" s="89">
        <f t="shared" si="26"/>
        <v>0.02</v>
      </c>
      <c r="DI21" s="83">
        <f t="shared" si="27"/>
        <v>0</v>
      </c>
      <c r="DJ21" s="305">
        <f>'EF peternakan'!$C$30</f>
        <v>0</v>
      </c>
      <c r="DK21" s="85">
        <f t="shared" si="117"/>
        <v>0</v>
      </c>
      <c r="DS21" s="289"/>
      <c r="DT21" s="269" t="s">
        <v>66</v>
      </c>
      <c r="DU21" s="86">
        <f t="shared" si="118"/>
        <v>0</v>
      </c>
      <c r="DV21" s="9"/>
      <c r="DW21" s="9"/>
      <c r="DX21" s="9"/>
      <c r="DY21" s="97"/>
      <c r="EB21" s="289"/>
      <c r="EC21" s="269" t="s">
        <v>66</v>
      </c>
      <c r="ED21" s="86">
        <f t="shared" si="91"/>
        <v>0</v>
      </c>
      <c r="EE21" s="87">
        <f>'EF peternakan'!$G$7</f>
        <v>0.5</v>
      </c>
      <c r="EF21" s="87">
        <f>'EF peternakan'!$H$7</f>
        <v>100</v>
      </c>
      <c r="EG21" s="92">
        <f t="shared" si="32"/>
        <v>18.25</v>
      </c>
      <c r="EH21" s="89">
        <f t="shared" si="33"/>
        <v>0.02</v>
      </c>
      <c r="EI21" s="83">
        <f t="shared" si="34"/>
        <v>0</v>
      </c>
      <c r="EJ21" s="305">
        <f>'EF peternakan'!$C$30</f>
        <v>0</v>
      </c>
      <c r="EK21" s="85">
        <f t="shared" si="35"/>
        <v>0</v>
      </c>
      <c r="ES21" s="289"/>
      <c r="ET21" s="269" t="s">
        <v>66</v>
      </c>
      <c r="EU21" s="86">
        <f t="shared" si="110"/>
        <v>0</v>
      </c>
      <c r="EV21" s="9"/>
      <c r="EW21" s="9"/>
      <c r="EX21" s="9"/>
      <c r="EY21" s="97"/>
      <c r="FB21" s="289"/>
      <c r="FC21" s="269" t="s">
        <v>66</v>
      </c>
      <c r="FD21" s="86">
        <f t="shared" si="93"/>
        <v>0</v>
      </c>
      <c r="FE21" s="87">
        <f>'EF peternakan'!$G$7</f>
        <v>0.5</v>
      </c>
      <c r="FF21" s="87">
        <f>'EF peternakan'!$H$7</f>
        <v>100</v>
      </c>
      <c r="FG21" s="92">
        <f t="shared" si="39"/>
        <v>18.25</v>
      </c>
      <c r="FH21" s="89">
        <f t="shared" si="40"/>
        <v>0.02</v>
      </c>
      <c r="FI21" s="83">
        <f t="shared" si="119"/>
        <v>0</v>
      </c>
      <c r="FJ21" s="305">
        <f>'EF peternakan'!$C$30</f>
        <v>0</v>
      </c>
      <c r="FK21" s="85">
        <f t="shared" si="120"/>
        <v>0</v>
      </c>
      <c r="FS21" s="289"/>
      <c r="FT21" s="269" t="s">
        <v>66</v>
      </c>
      <c r="FU21" s="86">
        <f t="shared" si="94"/>
        <v>0</v>
      </c>
      <c r="FV21" s="9"/>
      <c r="FW21" s="9"/>
      <c r="FX21" s="9"/>
      <c r="FY21" s="97"/>
      <c r="GB21" s="289"/>
      <c r="GC21" s="269" t="s">
        <v>66</v>
      </c>
      <c r="GD21" s="86">
        <f t="shared" si="97"/>
        <v>0</v>
      </c>
      <c r="GE21" s="87">
        <f>'EF peternakan'!$G$7</f>
        <v>0.5</v>
      </c>
      <c r="GF21" s="87">
        <f>'EF peternakan'!$H$7</f>
        <v>100</v>
      </c>
      <c r="GG21" s="92">
        <f t="shared" si="45"/>
        <v>18.25</v>
      </c>
      <c r="GH21" s="89">
        <f t="shared" si="46"/>
        <v>0.02</v>
      </c>
      <c r="GI21" s="83">
        <f t="shared" si="121"/>
        <v>0</v>
      </c>
      <c r="GJ21" s="305">
        <f>'EF peternakan'!$C$30</f>
        <v>0</v>
      </c>
      <c r="GK21" s="85">
        <f t="shared" si="122"/>
        <v>0</v>
      </c>
      <c r="GS21" s="289"/>
      <c r="GT21" s="269" t="s">
        <v>66</v>
      </c>
      <c r="GU21" s="86">
        <f t="shared" si="49"/>
        <v>0</v>
      </c>
      <c r="GV21" s="9"/>
      <c r="GW21" s="9"/>
      <c r="GX21" s="9"/>
      <c r="GY21" s="97"/>
      <c r="HB21" s="289"/>
      <c r="HC21" s="269" t="s">
        <v>66</v>
      </c>
      <c r="HD21" s="86">
        <f t="shared" si="99"/>
        <v>0</v>
      </c>
      <c r="HE21" s="87">
        <f>'EF peternakan'!$G$7</f>
        <v>0.5</v>
      </c>
      <c r="HF21" s="87">
        <f>'EF peternakan'!$H$7</f>
        <v>100</v>
      </c>
      <c r="HG21" s="92">
        <f t="shared" si="53"/>
        <v>18.25</v>
      </c>
      <c r="HH21" s="89">
        <f t="shared" si="54"/>
        <v>0.02</v>
      </c>
      <c r="HI21" s="83">
        <f t="shared" si="55"/>
        <v>0</v>
      </c>
      <c r="HJ21" s="305">
        <f>'EF peternakan'!$C$30</f>
        <v>0</v>
      </c>
      <c r="HK21" s="85">
        <f t="shared" si="56"/>
        <v>0</v>
      </c>
      <c r="HS21" s="289"/>
      <c r="HT21" s="269" t="s">
        <v>66</v>
      </c>
      <c r="HU21" s="86">
        <f t="shared" si="100"/>
        <v>0</v>
      </c>
      <c r="HV21" s="9"/>
      <c r="HW21" s="9"/>
      <c r="HX21" s="9"/>
      <c r="HY21" s="97"/>
      <c r="IB21" s="289"/>
      <c r="IC21" s="269" t="s">
        <v>66</v>
      </c>
      <c r="ID21" s="86">
        <f t="shared" si="102"/>
        <v>0</v>
      </c>
      <c r="IE21" s="87">
        <f>'EF peternakan'!$G$7</f>
        <v>0.5</v>
      </c>
      <c r="IF21" s="87">
        <f>'EF peternakan'!$H$7</f>
        <v>100</v>
      </c>
      <c r="IG21" s="92">
        <f t="shared" si="60"/>
        <v>18.25</v>
      </c>
      <c r="IH21" s="89">
        <f t="shared" si="61"/>
        <v>0.02</v>
      </c>
      <c r="II21" s="83">
        <f t="shared" si="62"/>
        <v>0</v>
      </c>
      <c r="IJ21" s="305">
        <f>'EF peternakan'!$C$30</f>
        <v>0</v>
      </c>
      <c r="IK21" s="85">
        <f t="shared" si="63"/>
        <v>0</v>
      </c>
      <c r="IS21" s="289"/>
      <c r="IT21" s="269" t="s">
        <v>66</v>
      </c>
      <c r="IU21" s="86">
        <f t="shared" si="64"/>
        <v>0</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7" t="s">
        <v>76</v>
      </c>
      <c r="C23" s="428"/>
      <c r="D23" s="294">
        <f>SUM(D11:D21)</f>
        <v>16184709.588297619</v>
      </c>
      <c r="E23" s="295"/>
      <c r="F23" s="294">
        <f>SUM(F11:F21)</f>
        <v>1593</v>
      </c>
      <c r="G23" s="294">
        <f>SUM(G11:G21)</f>
        <v>269.95035000000007</v>
      </c>
      <c r="H23" s="296"/>
      <c r="I23" s="297">
        <f>SUM(I11:I21)</f>
        <v>265180.50748021231</v>
      </c>
      <c r="J23" s="296"/>
      <c r="K23" s="298">
        <f>SUM(K11:K21)</f>
        <v>4081.9330592998572</v>
      </c>
      <c r="S23" s="427" t="s">
        <v>76</v>
      </c>
      <c r="T23" s="429"/>
      <c r="U23" s="45">
        <f>SUM(U11:U21)</f>
        <v>265180.50748021231</v>
      </c>
      <c r="V23" s="102"/>
      <c r="W23" s="45">
        <f>SUM(W11:W21)</f>
        <v>79554.152244063691</v>
      </c>
      <c r="X23" s="102"/>
      <c r="Y23" s="98">
        <f>SUM(Y11:Y22)</f>
        <v>1250.1366781210008</v>
      </c>
      <c r="AB23" s="427" t="s">
        <v>76</v>
      </c>
      <c r="AC23" s="428"/>
      <c r="AD23" s="45">
        <f>SUM(AD11:AD21)</f>
        <v>16693370.590582021</v>
      </c>
      <c r="AE23" s="50"/>
      <c r="AF23" s="294">
        <f>SUM(AF11:AF21)</f>
        <v>1593</v>
      </c>
      <c r="AG23" s="294">
        <f>SUM(AG11:AG21)</f>
        <v>269.95035000000007</v>
      </c>
      <c r="AH23" s="296"/>
      <c r="AI23" s="297">
        <f>SUM(AI11:AI21)</f>
        <v>273820.54351475416</v>
      </c>
      <c r="AJ23" s="296"/>
      <c r="AK23" s="298">
        <f>SUM(AK11:AK21)</f>
        <v>4210.1015447990721</v>
      </c>
      <c r="AS23" s="427" t="s">
        <v>76</v>
      </c>
      <c r="AT23" s="429"/>
      <c r="AU23" s="45">
        <f>SUM(AU11:AU21)</f>
        <v>273820.54351475416</v>
      </c>
      <c r="AV23" s="102"/>
      <c r="AW23" s="45">
        <f>SUM(AW11:AW21)</f>
        <v>82146.163054426244</v>
      </c>
      <c r="AX23" s="102"/>
      <c r="AY23" s="98">
        <f>SUM(AY11:AY22)</f>
        <v>1290.8682765695553</v>
      </c>
      <c r="BB23" s="427" t="s">
        <v>76</v>
      </c>
      <c r="BC23" s="428"/>
      <c r="BD23" s="45">
        <f>SUM(BD11:BD21)</f>
        <v>17202031.592866424</v>
      </c>
      <c r="BE23" s="50"/>
      <c r="BF23" s="100">
        <f>SUM(BF11:BF21)</f>
        <v>1593</v>
      </c>
      <c r="BG23" s="300">
        <f>SUM(BG11:BG21)</f>
        <v>269.95035000000007</v>
      </c>
      <c r="BH23" s="101"/>
      <c r="BI23" s="52">
        <f>SUM(BI11:BI21)</f>
        <v>282460.57954929589</v>
      </c>
      <c r="BJ23" s="101"/>
      <c r="BK23" s="53">
        <f>SUM(BK11:BK21)</f>
        <v>4338.2700302982867</v>
      </c>
      <c r="BS23" s="427" t="s">
        <v>76</v>
      </c>
      <c r="BT23" s="429"/>
      <c r="BU23" s="45">
        <f>SUM(BU11:BU21)</f>
        <v>282460.57954929589</v>
      </c>
      <c r="BV23" s="102"/>
      <c r="BW23" s="45">
        <f>SUM(BW11:BW21)</f>
        <v>84738.173864788769</v>
      </c>
      <c r="BX23" s="102"/>
      <c r="BY23" s="98">
        <f>SUM(BY11:BY22)</f>
        <v>1331.5998750181093</v>
      </c>
      <c r="CB23" s="427" t="s">
        <v>76</v>
      </c>
      <c r="CC23" s="428"/>
      <c r="CD23" s="45">
        <f>SUM(CD11:CD21)</f>
        <v>17710692.595150825</v>
      </c>
      <c r="CE23" s="50"/>
      <c r="CF23" s="100">
        <f>SUM(CF11:CF21)</f>
        <v>1593</v>
      </c>
      <c r="CG23" s="300">
        <f>SUM(CG11:CG21)</f>
        <v>269.95035000000007</v>
      </c>
      <c r="CH23" s="101"/>
      <c r="CI23" s="52">
        <f>SUM(CI11:CI21)</f>
        <v>291100.61558383773</v>
      </c>
      <c r="CJ23" s="101"/>
      <c r="CK23" s="53">
        <f>SUM(CK11:CK21)</f>
        <v>4466.4385157975003</v>
      </c>
      <c r="CS23" s="427" t="s">
        <v>76</v>
      </c>
      <c r="CT23" s="429"/>
      <c r="CU23" s="45">
        <f>SUM(CU11:CU21)</f>
        <v>291100.61558383773</v>
      </c>
      <c r="CV23" s="102"/>
      <c r="CW23" s="45">
        <f>SUM(CW11:CW21)</f>
        <v>87330.184675151322</v>
      </c>
      <c r="CX23" s="102"/>
      <c r="CY23" s="98">
        <f>SUM(CY11:CY22)</f>
        <v>1372.3314734666637</v>
      </c>
      <c r="DB23" s="427" t="s">
        <v>76</v>
      </c>
      <c r="DC23" s="428"/>
      <c r="DD23" s="45">
        <f>SUM(DD11:DD21)</f>
        <v>18219353.597435229</v>
      </c>
      <c r="DE23" s="50"/>
      <c r="DF23" s="100">
        <f>SUM(DF11:DF21)</f>
        <v>1593</v>
      </c>
      <c r="DG23" s="300">
        <f>SUM(DG11:DG21)</f>
        <v>269.95035000000007</v>
      </c>
      <c r="DH23" s="101"/>
      <c r="DI23" s="52">
        <f>SUM(DI11:DI21)</f>
        <v>299740.65161837946</v>
      </c>
      <c r="DJ23" s="101"/>
      <c r="DK23" s="53">
        <f>SUM(DK11:DK21)</f>
        <v>4594.6070012967139</v>
      </c>
      <c r="DS23" s="427" t="s">
        <v>76</v>
      </c>
      <c r="DT23" s="429"/>
      <c r="DU23" s="45">
        <f>SUM(DU11:DU21)</f>
        <v>299740.65161837946</v>
      </c>
      <c r="DV23" s="102"/>
      <c r="DW23" s="45">
        <f>SUM(DW11:DW21)</f>
        <v>89922.195485513832</v>
      </c>
      <c r="DX23" s="102"/>
      <c r="DY23" s="98">
        <f>SUM(DY11:DY22)</f>
        <v>1413.0630719152175</v>
      </c>
      <c r="EB23" s="427" t="s">
        <v>76</v>
      </c>
      <c r="EC23" s="428"/>
      <c r="ED23" s="45">
        <f>SUM(ED11:ED21)</f>
        <v>18728014.599719632</v>
      </c>
      <c r="EE23" s="50"/>
      <c r="EF23" s="100">
        <f>SUM(EF11:EF21)</f>
        <v>1593</v>
      </c>
      <c r="EG23" s="300">
        <f>SUM(EG11:EG21)</f>
        <v>269.95035000000007</v>
      </c>
      <c r="EH23" s="101"/>
      <c r="EI23" s="52">
        <f>SUM(EI11:EI21)</f>
        <v>308380.68765292125</v>
      </c>
      <c r="EJ23" s="101"/>
      <c r="EK23" s="53">
        <f>SUM(EK11:EK21)</f>
        <v>4722.7754867959284</v>
      </c>
      <c r="ES23" s="427" t="s">
        <v>76</v>
      </c>
      <c r="ET23" s="429"/>
      <c r="EU23" s="45">
        <f>SUM(EU11:EU21)</f>
        <v>308380.68765292125</v>
      </c>
      <c r="EV23" s="102"/>
      <c r="EW23" s="45">
        <f>SUM(EW11:EW21)</f>
        <v>92514.206295876371</v>
      </c>
      <c r="EX23" s="102"/>
      <c r="EY23" s="98">
        <f>SUM(EY11:EY22)</f>
        <v>1453.7946703637715</v>
      </c>
      <c r="FB23" s="427" t="s">
        <v>76</v>
      </c>
      <c r="FC23" s="428"/>
      <c r="FD23" s="45">
        <f>SUM(FD11:FD21)</f>
        <v>19236675.602004033</v>
      </c>
      <c r="FE23" s="50"/>
      <c r="FF23" s="100">
        <f>SUM(FF11:FF21)</f>
        <v>1593</v>
      </c>
      <c r="FG23" s="300">
        <f>SUM(FG11:FG21)</f>
        <v>269.95035000000007</v>
      </c>
      <c r="FH23" s="101"/>
      <c r="FI23" s="297">
        <f>SUM(FI11:FI21)</f>
        <v>317020.72368746309</v>
      </c>
      <c r="FJ23" s="101"/>
      <c r="FK23" s="298">
        <f>SUM(FK11:FK21)</f>
        <v>4850.9439722951438</v>
      </c>
      <c r="FS23" s="427" t="s">
        <v>76</v>
      </c>
      <c r="FT23" s="429"/>
      <c r="FU23" s="45">
        <f>SUM(FU11:FU21)</f>
        <v>317020.72368746309</v>
      </c>
      <c r="FV23" s="102"/>
      <c r="FW23" s="45">
        <f>SUM(FW11:FW21)</f>
        <v>95106.217106238924</v>
      </c>
      <c r="FX23" s="102"/>
      <c r="FY23" s="98">
        <f>SUM(FY11:FY22)</f>
        <v>1494.526268812326</v>
      </c>
      <c r="GB23" s="427" t="s">
        <v>76</v>
      </c>
      <c r="GC23" s="428"/>
      <c r="GD23" s="45">
        <f>SUM(GD11:GD21)</f>
        <v>19745336.604288436</v>
      </c>
      <c r="GE23" s="50"/>
      <c r="GF23" s="100">
        <f>SUM(GF11:GF21)</f>
        <v>1593</v>
      </c>
      <c r="GG23" s="300">
        <f>SUM(GG11:GG21)</f>
        <v>269.95035000000007</v>
      </c>
      <c r="GH23" s="101"/>
      <c r="GI23" s="52">
        <f>SUM(GI11:GI21)</f>
        <v>325660.75972200482</v>
      </c>
      <c r="GJ23" s="101"/>
      <c r="GK23" s="53">
        <f>SUM(GK11:GK21)</f>
        <v>4979.1124577943574</v>
      </c>
      <c r="GS23" s="427" t="s">
        <v>76</v>
      </c>
      <c r="GT23" s="429"/>
      <c r="GU23" s="45">
        <f>SUM(GU11:GU21)</f>
        <v>325660.75972200482</v>
      </c>
      <c r="GV23" s="102"/>
      <c r="GW23" s="45">
        <f>SUM(GW11:GW21)</f>
        <v>97698.227916601449</v>
      </c>
      <c r="GX23" s="102"/>
      <c r="GY23" s="98">
        <f>SUM(GY11:GY22)</f>
        <v>1535.2578672608797</v>
      </c>
      <c r="HB23" s="427" t="s">
        <v>76</v>
      </c>
      <c r="HC23" s="428"/>
      <c r="HD23" s="45">
        <f>SUM(HD11:HD21)</f>
        <v>20253997.60657284</v>
      </c>
      <c r="HE23" s="50"/>
      <c r="HF23" s="100">
        <f>SUM(HF11:HF21)</f>
        <v>1593</v>
      </c>
      <c r="HG23" s="300">
        <f>SUM(HG11:HG21)</f>
        <v>269.95035000000007</v>
      </c>
      <c r="HH23" s="101"/>
      <c r="HI23" s="52">
        <f>SUM(HI11:HI21)</f>
        <v>334300.79575654661</v>
      </c>
      <c r="HJ23" s="101"/>
      <c r="HK23" s="53">
        <f>SUM(HK11:HK21)</f>
        <v>5107.2809432935719</v>
      </c>
      <c r="HS23" s="427" t="s">
        <v>76</v>
      </c>
      <c r="HT23" s="429"/>
      <c r="HU23" s="45">
        <f>SUM(HU11:HU21)</f>
        <v>334300.79575654661</v>
      </c>
      <c r="HV23" s="102"/>
      <c r="HW23" s="45">
        <f>SUM(HW11:HW21)</f>
        <v>2410.02198253398</v>
      </c>
      <c r="HX23" s="102"/>
      <c r="HY23" s="98">
        <f>SUM(HY11:HY22)</f>
        <v>37.871774011248256</v>
      </c>
      <c r="IB23" s="427" t="s">
        <v>76</v>
      </c>
      <c r="IC23" s="428"/>
      <c r="ID23" s="45">
        <f>SUM(ID11:ID21)</f>
        <v>20762658.608857241</v>
      </c>
      <c r="IE23" s="50"/>
      <c r="IF23" s="100">
        <f>SUM(IF11:IF21)</f>
        <v>1593</v>
      </c>
      <c r="IG23" s="300">
        <f>SUM(IG11:IG21)</f>
        <v>269.95035000000007</v>
      </c>
      <c r="IH23" s="101"/>
      <c r="II23" s="52">
        <f>SUM(II11:II21)</f>
        <v>342940.83179108833</v>
      </c>
      <c r="IJ23" s="101"/>
      <c r="IK23" s="53">
        <f>SUM(IK11:IK21)</f>
        <v>5235.4494287927855</v>
      </c>
      <c r="IS23" s="427" t="s">
        <v>76</v>
      </c>
      <c r="IT23" s="429"/>
      <c r="IU23" s="45">
        <f>SUM(IU11:IU21)</f>
        <v>342940.83179108833</v>
      </c>
      <c r="IV23" s="102"/>
      <c r="IW23" s="45">
        <f>SUM(IW11:IW21)</f>
        <v>102882.2495373265</v>
      </c>
      <c r="IX23" s="102"/>
      <c r="IY23" s="98">
        <f>SUM(IY11:IY22)</f>
        <v>1616.7210641579877</v>
      </c>
      <c r="JB23" s="427" t="s">
        <v>76</v>
      </c>
      <c r="JC23" s="428"/>
      <c r="JD23" s="45">
        <f>SUM(JD11:JD21)</f>
        <v>0</v>
      </c>
      <c r="JE23" s="50"/>
      <c r="JF23" s="100">
        <f>SUM(JF11:JF21)</f>
        <v>1593</v>
      </c>
      <c r="JG23" s="300">
        <f>SUM(JG11:JG21)</f>
        <v>269.95035000000007</v>
      </c>
      <c r="JH23" s="101"/>
      <c r="JI23" s="52">
        <f>SUM(JI11:JI21)</f>
        <v>0</v>
      </c>
      <c r="JJ23" s="101"/>
      <c r="JK23" s="53">
        <f>SUM(JK11:JK21)</f>
        <v>0</v>
      </c>
      <c r="JS23" s="427" t="s">
        <v>76</v>
      </c>
      <c r="JT23" s="429"/>
      <c r="JU23" s="45">
        <f>SUM(JU11:JU21)</f>
        <v>0</v>
      </c>
      <c r="JV23" s="102"/>
      <c r="JW23" s="45">
        <f>SUM(JW11:JW21)</f>
        <v>0</v>
      </c>
      <c r="JX23" s="102"/>
      <c r="JY23" s="98">
        <f>SUM(JY11:JY22)</f>
        <v>0</v>
      </c>
    </row>
    <row r="25" spans="2:286" ht="16.5" customHeight="1" x14ac:dyDescent="0.35">
      <c r="B25" s="40"/>
      <c r="C25" s="33"/>
      <c r="D25" s="33"/>
      <c r="E25" s="200"/>
      <c r="F25" s="200"/>
      <c r="G25" s="200"/>
      <c r="H25" s="200"/>
      <c r="I25" s="430" t="s">
        <v>113</v>
      </c>
      <c r="J25" s="430"/>
      <c r="K25" t="s">
        <v>463</v>
      </c>
      <c r="S25" s="40"/>
      <c r="T25" s="33"/>
      <c r="U25" s="33"/>
      <c r="V25" s="54" t="s">
        <v>134</v>
      </c>
      <c r="W25" s="54" t="s">
        <v>136</v>
      </c>
      <c r="AB25" s="40"/>
      <c r="AC25" s="33"/>
      <c r="AD25" s="33"/>
      <c r="AE25" s="200"/>
      <c r="AF25" s="200"/>
      <c r="AG25" s="200"/>
      <c r="AH25" s="200"/>
      <c r="AI25" s="430" t="s">
        <v>113</v>
      </c>
      <c r="AJ25" s="430"/>
      <c r="AK25" t="s">
        <v>115</v>
      </c>
      <c r="AS25" s="40"/>
      <c r="AT25" s="33"/>
      <c r="AU25" s="33"/>
      <c r="AV25" s="200" t="s">
        <v>134</v>
      </c>
      <c r="AW25" s="200" t="s">
        <v>136</v>
      </c>
      <c r="BB25" s="40"/>
      <c r="BC25" s="33"/>
      <c r="BD25" s="33"/>
      <c r="BE25" s="200"/>
      <c r="BF25" s="200"/>
      <c r="BG25" s="200"/>
      <c r="BH25" s="200"/>
      <c r="BI25" s="430" t="s">
        <v>113</v>
      </c>
      <c r="BJ25" s="430"/>
      <c r="BK25" t="s">
        <v>115</v>
      </c>
      <c r="BS25" s="40"/>
      <c r="BT25" s="33"/>
      <c r="BU25" s="33"/>
      <c r="BV25" s="200" t="s">
        <v>134</v>
      </c>
      <c r="BW25" s="200" t="s">
        <v>136</v>
      </c>
      <c r="CB25" s="40"/>
      <c r="CC25" s="33"/>
      <c r="CD25" s="33"/>
      <c r="CE25" s="200"/>
      <c r="CF25" s="200"/>
      <c r="CG25" s="200"/>
      <c r="CH25" s="200"/>
      <c r="CI25" s="430" t="s">
        <v>113</v>
      </c>
      <c r="CJ25" s="430"/>
      <c r="CK25" t="s">
        <v>115</v>
      </c>
      <c r="CS25" s="40"/>
      <c r="CT25" s="33"/>
      <c r="CU25" s="33"/>
      <c r="CV25" s="200" t="s">
        <v>134</v>
      </c>
      <c r="CW25" s="200" t="s">
        <v>136</v>
      </c>
      <c r="DB25" s="40"/>
      <c r="DC25" s="33"/>
      <c r="DD25" s="33"/>
      <c r="DE25" s="200"/>
      <c r="DF25" s="200"/>
      <c r="DG25" s="200"/>
      <c r="DH25" s="200"/>
      <c r="DI25" s="430" t="s">
        <v>113</v>
      </c>
      <c r="DJ25" s="430"/>
      <c r="DK25" t="s">
        <v>115</v>
      </c>
      <c r="DS25" s="40"/>
      <c r="DT25" s="33"/>
      <c r="DU25" s="33"/>
      <c r="DV25" s="200" t="s">
        <v>134</v>
      </c>
      <c r="DW25" s="200" t="s">
        <v>136</v>
      </c>
      <c r="EB25" s="40"/>
      <c r="EC25" s="33"/>
      <c r="ED25" s="33"/>
      <c r="EE25" s="200"/>
      <c r="EF25" s="200"/>
      <c r="EG25" s="200"/>
      <c r="EH25" s="200"/>
      <c r="EI25" s="430" t="s">
        <v>113</v>
      </c>
      <c r="EJ25" s="430"/>
      <c r="EK25" t="s">
        <v>115</v>
      </c>
      <c r="ES25" s="40"/>
      <c r="ET25" s="33"/>
      <c r="EU25" s="33"/>
      <c r="EV25" s="200" t="s">
        <v>134</v>
      </c>
      <c r="EW25" s="200" t="s">
        <v>136</v>
      </c>
      <c r="FB25" s="40"/>
      <c r="FC25" s="33"/>
      <c r="FD25" s="33"/>
      <c r="FE25" s="200"/>
      <c r="FF25" s="200"/>
      <c r="FG25" s="200"/>
      <c r="FH25" s="200"/>
      <c r="FI25" s="430" t="s">
        <v>113</v>
      </c>
      <c r="FJ25" s="430"/>
      <c r="FK25" t="s">
        <v>115</v>
      </c>
      <c r="FS25" s="40"/>
      <c r="FT25" s="33"/>
      <c r="FU25" s="33"/>
      <c r="FV25" s="200" t="s">
        <v>134</v>
      </c>
      <c r="FW25" s="200" t="s">
        <v>136</v>
      </c>
      <c r="GB25" s="40"/>
      <c r="GC25" s="33"/>
      <c r="GD25" s="33"/>
      <c r="GE25" s="200"/>
      <c r="GF25" s="200"/>
      <c r="GG25" s="200"/>
      <c r="GH25" s="200"/>
      <c r="GI25" s="430" t="s">
        <v>113</v>
      </c>
      <c r="GJ25" s="430"/>
      <c r="GK25" t="s">
        <v>115</v>
      </c>
      <c r="GS25" s="40"/>
      <c r="GT25" s="33"/>
      <c r="GU25" s="33"/>
      <c r="GV25" s="200" t="s">
        <v>134</v>
      </c>
      <c r="GW25" s="200" t="s">
        <v>136</v>
      </c>
      <c r="HB25" s="40"/>
      <c r="HC25" s="33"/>
      <c r="HD25" s="33"/>
      <c r="HE25" s="200"/>
      <c r="HF25" s="200"/>
      <c r="HG25" s="200"/>
      <c r="HH25" s="200"/>
      <c r="HI25" s="430" t="s">
        <v>113</v>
      </c>
      <c r="HJ25" s="430"/>
      <c r="HK25" t="s">
        <v>115</v>
      </c>
      <c r="HS25" s="40"/>
      <c r="HT25" s="33"/>
      <c r="HU25" s="33"/>
      <c r="HV25" s="200" t="s">
        <v>134</v>
      </c>
      <c r="HW25" s="200" t="s">
        <v>136</v>
      </c>
      <c r="IB25" s="40"/>
      <c r="IC25" s="33"/>
      <c r="ID25" s="33"/>
      <c r="IE25" s="200"/>
      <c r="IF25" s="200"/>
      <c r="IG25" s="200"/>
      <c r="IH25" s="200"/>
      <c r="II25" s="430" t="s">
        <v>113</v>
      </c>
      <c r="IJ25" s="430"/>
      <c r="IK25" t="s">
        <v>115</v>
      </c>
      <c r="IS25" s="40"/>
      <c r="IT25" s="33"/>
      <c r="IU25" s="33"/>
      <c r="IV25" s="200" t="s">
        <v>134</v>
      </c>
      <c r="IW25" s="200" t="s">
        <v>136</v>
      </c>
      <c r="JB25" s="40"/>
      <c r="JC25" s="33"/>
      <c r="JD25" s="33"/>
      <c r="JE25" s="200"/>
      <c r="JF25" s="200"/>
      <c r="JG25" s="200"/>
      <c r="JH25" s="200"/>
      <c r="JI25" s="430" t="s">
        <v>113</v>
      </c>
      <c r="JJ25" s="430"/>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19" t="str">
        <f>'Peternakan-CH4'!C25:M25</f>
        <v>Data populasi ternak BALIKPAPAN (ekor)</v>
      </c>
      <c r="D37" s="420"/>
      <c r="E37" s="420"/>
      <c r="F37" s="420"/>
      <c r="G37" s="420"/>
      <c r="H37" s="420"/>
      <c r="I37" s="420"/>
      <c r="J37" s="420"/>
      <c r="K37" s="420"/>
      <c r="L37" s="420"/>
      <c r="M37" s="421"/>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6936.0722976185598</v>
      </c>
      <c r="D40" s="230">
        <f>'Peternakan-CH4'!D28</f>
        <v>7687.3965820211097</v>
      </c>
      <c r="E40" s="230">
        <f>'Peternakan-CH4'!E28</f>
        <v>8438.7208664236696</v>
      </c>
      <c r="F40" s="230">
        <f>'Peternakan-CH4'!F28</f>
        <v>9190.0451508262195</v>
      </c>
      <c r="G40" s="230">
        <f>'Peternakan-CH4'!G28</f>
        <v>9941.3694352287803</v>
      </c>
      <c r="H40" s="230">
        <f>'Peternakan-CH4'!H28</f>
        <v>10692.693719631299</v>
      </c>
      <c r="I40" s="230">
        <f>'Peternakan-CH4'!I28</f>
        <v>11444.0180040339</v>
      </c>
      <c r="J40" s="230">
        <f>'Peternakan-CH4'!J28</f>
        <v>12195.342288436401</v>
      </c>
      <c r="K40" s="230">
        <f>'Peternakan-CH4'!K28</f>
        <v>12946.666572839</v>
      </c>
      <c r="L40" s="230">
        <f>'Peternakan-CH4'!L28</f>
        <v>13697.990857241501</v>
      </c>
      <c r="M40" s="226"/>
    </row>
    <row r="41" spans="2:284" x14ac:dyDescent="0.25">
      <c r="B41" s="56" t="s">
        <v>22</v>
      </c>
      <c r="C41" s="230">
        <f>'Peternakan-CH4'!C29</f>
        <v>0</v>
      </c>
      <c r="D41" s="230">
        <f>'Peternakan-CH4'!D29</f>
        <v>0</v>
      </c>
      <c r="E41" s="230">
        <f>'Peternakan-CH4'!E29</f>
        <v>0</v>
      </c>
      <c r="F41" s="230">
        <f>'Peternakan-CH4'!F29</f>
        <v>0</v>
      </c>
      <c r="G41" s="230">
        <f>'Peternakan-CH4'!G29</f>
        <v>0</v>
      </c>
      <c r="H41" s="230">
        <f>'Peternakan-CH4'!H29</f>
        <v>0</v>
      </c>
      <c r="I41" s="230">
        <f>'Peternakan-CH4'!I29</f>
        <v>0</v>
      </c>
      <c r="J41" s="230">
        <f>'Peternakan-CH4'!J29</f>
        <v>0</v>
      </c>
      <c r="K41" s="230">
        <f>'Peternakan-CH4'!K29</f>
        <v>0</v>
      </c>
      <c r="L41" s="230">
        <f>'Peternakan-CH4'!L29</f>
        <v>0</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2792.9659999999999</v>
      </c>
      <c r="D43" s="230">
        <f>'Peternakan-CH4'!D31</f>
        <v>2837.1189999999997</v>
      </c>
      <c r="E43" s="230">
        <f>'Peternakan-CH4'!E31</f>
        <v>2881.2719999999999</v>
      </c>
      <c r="F43" s="230">
        <f>'Peternakan-CH4'!F31</f>
        <v>2925.4250000000002</v>
      </c>
      <c r="G43" s="230">
        <f>'Peternakan-CH4'!G31</f>
        <v>2969.578</v>
      </c>
      <c r="H43" s="230">
        <f>'Peternakan-CH4'!H31</f>
        <v>3013.7309999999998</v>
      </c>
      <c r="I43" s="230">
        <f>'Peternakan-CH4'!I31</f>
        <v>3057.884</v>
      </c>
      <c r="J43" s="230">
        <f>'Peternakan-CH4'!J31</f>
        <v>3102.0369999999998</v>
      </c>
      <c r="K43" s="230">
        <f>'Peternakan-CH4'!K31</f>
        <v>3146.1899999999996</v>
      </c>
      <c r="L43" s="230">
        <f>'Peternakan-CH4'!L31</f>
        <v>3190.3429999999998</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0</v>
      </c>
      <c r="D45" s="230">
        <f>'Peternakan-CH4'!D33</f>
        <v>0</v>
      </c>
      <c r="E45" s="230">
        <f>'Peternakan-CH4'!E33</f>
        <v>0</v>
      </c>
      <c r="F45" s="230">
        <f>'Peternakan-CH4'!F33</f>
        <v>0</v>
      </c>
      <c r="G45" s="230">
        <f>'Peternakan-CH4'!G33</f>
        <v>0</v>
      </c>
      <c r="H45" s="230">
        <f>'Peternakan-CH4'!H33</f>
        <v>0</v>
      </c>
      <c r="I45" s="230">
        <f>'Peternakan-CH4'!I33</f>
        <v>0</v>
      </c>
      <c r="J45" s="230">
        <f>'Peternakan-CH4'!J33</f>
        <v>0</v>
      </c>
      <c r="K45" s="230">
        <f>'Peternakan-CH4'!K33</f>
        <v>0</v>
      </c>
      <c r="L45" s="230">
        <f>'Peternakan-CH4'!L33</f>
        <v>0</v>
      </c>
      <c r="M45" s="226"/>
    </row>
    <row r="46" spans="2:284" x14ac:dyDescent="0.25">
      <c r="B46" s="56" t="s">
        <v>73</v>
      </c>
      <c r="C46" s="230">
        <f>'Peternakan-CH4'!C34</f>
        <v>16172238</v>
      </c>
      <c r="D46" s="230">
        <f>'Peternakan-CH4'!D34</f>
        <v>16680067</v>
      </c>
      <c r="E46" s="230">
        <f>'Peternakan-CH4'!E34</f>
        <v>17187896</v>
      </c>
      <c r="F46" s="230">
        <f>'Peternakan-CH4'!F34</f>
        <v>17695725</v>
      </c>
      <c r="G46" s="230">
        <f>'Peternakan-CH4'!G34</f>
        <v>18203554</v>
      </c>
      <c r="H46" s="230">
        <f>'Peternakan-CH4'!H34</f>
        <v>18711383</v>
      </c>
      <c r="I46" s="230">
        <f>'Peternakan-CH4'!I34</f>
        <v>19219212</v>
      </c>
      <c r="J46" s="230">
        <f>'Peternakan-CH4'!J34</f>
        <v>19727041</v>
      </c>
      <c r="K46" s="230">
        <f>'Peternakan-CH4'!K34</f>
        <v>20234870</v>
      </c>
      <c r="L46" s="230">
        <f>'Peternakan-CH4'!L34</f>
        <v>20742699</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8"/>
    </row>
    <row r="48" spans="2:284" x14ac:dyDescent="0.25">
      <c r="B48" s="56" t="s">
        <v>75</v>
      </c>
      <c r="C48" s="230">
        <f>'Peternakan-CH4'!C36</f>
        <v>2742.55</v>
      </c>
      <c r="D48" s="230">
        <f>'Peternakan-CH4'!D36</f>
        <v>2779.0749999999998</v>
      </c>
      <c r="E48" s="230">
        <f>'Peternakan-CH4'!E36</f>
        <v>2815.6</v>
      </c>
      <c r="F48" s="230">
        <f>'Peternakan-CH4'!F36</f>
        <v>2852.125</v>
      </c>
      <c r="G48" s="230">
        <f>'Peternakan-CH4'!G36</f>
        <v>2888.65</v>
      </c>
      <c r="H48" s="230">
        <f>'Peternakan-CH4'!H36</f>
        <v>2925.1750000000002</v>
      </c>
      <c r="I48" s="230">
        <f>'Peternakan-CH4'!I36</f>
        <v>2961.7</v>
      </c>
      <c r="J48" s="230">
        <f>'Peternakan-CH4'!J36</f>
        <v>2998.2249999999999</v>
      </c>
      <c r="K48" s="230">
        <f>'Peternakan-CH4'!K36</f>
        <v>3034.75</v>
      </c>
      <c r="L48" s="230">
        <f>'Peternakan-CH4'!L36</f>
        <v>3071.2749999999996</v>
      </c>
      <c r="M48" s="288"/>
    </row>
    <row r="49" spans="2:12" x14ac:dyDescent="0.25">
      <c r="B49" s="270" t="s">
        <v>66</v>
      </c>
      <c r="C49" s="233">
        <f>'Peternakan-CH4'!C37</f>
        <v>0</v>
      </c>
      <c r="D49" s="233">
        <f>'Peternakan-CH4'!D37</f>
        <v>0</v>
      </c>
      <c r="E49" s="233">
        <f>'Peternakan-CH4'!E37</f>
        <v>0</v>
      </c>
      <c r="F49" s="233">
        <f>'Peternakan-CH4'!F37</f>
        <v>0</v>
      </c>
      <c r="G49" s="233">
        <f>'Peternakan-CH4'!G37</f>
        <v>0</v>
      </c>
      <c r="H49" s="233">
        <f>'Peternakan-CH4'!H37</f>
        <v>0</v>
      </c>
      <c r="I49" s="233">
        <f>'Peternakan-CH4'!I37</f>
        <v>0</v>
      </c>
      <c r="J49" s="233">
        <f>'Peternakan-CH4'!J37</f>
        <v>0</v>
      </c>
      <c r="K49" s="233">
        <f>'Peternakan-CH4'!K37</f>
        <v>0</v>
      </c>
      <c r="L49" s="233">
        <f>'Peternakan-CH4'!L37</f>
        <v>0</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5" t="s">
        <v>181</v>
      </c>
      <c r="D3" s="446"/>
      <c r="E3" s="446"/>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7" t="s">
        <v>174</v>
      </c>
      <c r="D4" s="448"/>
      <c r="E4" s="448"/>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0" t="s">
        <v>171</v>
      </c>
      <c r="C5" s="451" t="s">
        <v>43</v>
      </c>
      <c r="D5" s="452" t="s">
        <v>175</v>
      </c>
      <c r="E5" s="453"/>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0"/>
      <c r="C6" s="450"/>
      <c r="D6" s="441" t="s">
        <v>176</v>
      </c>
      <c r="E6" s="188" t="s">
        <v>152</v>
      </c>
      <c r="F6" s="113" t="s">
        <v>153</v>
      </c>
      <c r="G6" s="456">
        <v>0.46</v>
      </c>
      <c r="H6" s="112"/>
      <c r="I6" s="439" t="s">
        <v>200</v>
      </c>
      <c r="K6" s="133">
        <v>3</v>
      </c>
      <c r="L6" s="133" t="s">
        <v>217</v>
      </c>
      <c r="M6" s="134">
        <v>273.60000000000002</v>
      </c>
      <c r="N6" s="135">
        <f>M6/M10</f>
        <v>1.3525055863402704</v>
      </c>
      <c r="P6" s="137">
        <v>3</v>
      </c>
      <c r="Q6" s="137" t="s">
        <v>218</v>
      </c>
      <c r="R6" s="138">
        <v>235.2</v>
      </c>
      <c r="S6" s="139">
        <v>1</v>
      </c>
    </row>
    <row r="7" spans="2:19" ht="16.5" customHeight="1" x14ac:dyDescent="0.25">
      <c r="B7" s="450"/>
      <c r="C7" s="450"/>
      <c r="D7" s="442"/>
      <c r="E7" s="114" t="s">
        <v>154</v>
      </c>
      <c r="F7" s="113" t="s">
        <v>155</v>
      </c>
      <c r="G7" s="449"/>
      <c r="H7" s="112"/>
      <c r="I7" s="449"/>
      <c r="K7" s="133">
        <v>4</v>
      </c>
      <c r="L7" s="133" t="s">
        <v>219</v>
      </c>
      <c r="M7" s="134">
        <v>244.16499999999999</v>
      </c>
      <c r="N7" s="135">
        <f>M7/M10</f>
        <v>1.2069975383361553</v>
      </c>
      <c r="P7" s="133">
        <v>4</v>
      </c>
      <c r="Q7" s="133" t="s">
        <v>220</v>
      </c>
      <c r="R7" s="134">
        <v>152.56</v>
      </c>
      <c r="S7" s="135">
        <f>R7/R6</f>
        <v>0.64863945578231297</v>
      </c>
    </row>
    <row r="8" spans="2:19" x14ac:dyDescent="0.25">
      <c r="B8" s="450"/>
      <c r="C8" s="454" t="s">
        <v>44</v>
      </c>
      <c r="D8" s="441" t="s">
        <v>177</v>
      </c>
      <c r="E8" s="442"/>
      <c r="F8" s="113" t="s">
        <v>156</v>
      </c>
      <c r="G8" s="439">
        <v>0.49</v>
      </c>
      <c r="H8" s="112"/>
      <c r="I8" s="439" t="s">
        <v>201</v>
      </c>
      <c r="K8" s="133">
        <v>5</v>
      </c>
      <c r="L8" s="133" t="s">
        <v>221</v>
      </c>
      <c r="M8" s="134">
        <v>223.2</v>
      </c>
      <c r="N8" s="135">
        <f>M8/M10</f>
        <v>1.1033598204354835</v>
      </c>
      <c r="P8" s="133">
        <v>5</v>
      </c>
      <c r="Q8" s="133" t="s">
        <v>222</v>
      </c>
      <c r="R8" s="140">
        <v>144.22</v>
      </c>
      <c r="S8" s="135">
        <f>R8/R6</f>
        <v>0.61318027210884352</v>
      </c>
    </row>
    <row r="9" spans="2:19" x14ac:dyDescent="0.25">
      <c r="B9" s="450"/>
      <c r="C9" s="455"/>
      <c r="D9" s="441" t="s">
        <v>178</v>
      </c>
      <c r="E9" s="442"/>
      <c r="F9" s="113" t="s">
        <v>157</v>
      </c>
      <c r="G9" s="440"/>
      <c r="H9" s="112"/>
      <c r="I9" s="440"/>
      <c r="K9" s="133">
        <v>6</v>
      </c>
      <c r="L9" s="133" t="s">
        <v>223</v>
      </c>
      <c r="M9" s="134">
        <v>204.64</v>
      </c>
      <c r="N9" s="135">
        <f>M9/M10</f>
        <v>1.0116109034673717</v>
      </c>
      <c r="P9" s="133">
        <v>6</v>
      </c>
      <c r="Q9" s="133" t="s">
        <v>224</v>
      </c>
      <c r="R9" s="134">
        <v>141.12</v>
      </c>
      <c r="S9" s="135">
        <f>R9/R6</f>
        <v>0.60000000000000009</v>
      </c>
    </row>
    <row r="10" spans="2:19" x14ac:dyDescent="0.25">
      <c r="B10" s="450"/>
      <c r="C10" s="454" t="s">
        <v>173</v>
      </c>
      <c r="D10" s="441" t="s">
        <v>179</v>
      </c>
      <c r="E10" s="442"/>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0"/>
      <c r="C11" s="454"/>
      <c r="D11" s="441" t="s">
        <v>180</v>
      </c>
      <c r="E11" s="442"/>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3" t="s">
        <v>172</v>
      </c>
      <c r="C12" s="115" t="s">
        <v>160</v>
      </c>
      <c r="D12" s="438"/>
      <c r="E12" s="438"/>
      <c r="F12" s="56"/>
      <c r="G12" s="112"/>
      <c r="H12" s="116">
        <v>1.1200000000000001</v>
      </c>
      <c r="I12" s="112" t="s">
        <v>185</v>
      </c>
      <c r="K12" s="133">
        <v>9</v>
      </c>
      <c r="L12" s="133" t="s">
        <v>229</v>
      </c>
      <c r="M12" s="134">
        <v>186.655</v>
      </c>
      <c r="N12" s="135">
        <f>M12/M10</f>
        <v>0.92270442331265767</v>
      </c>
    </row>
    <row r="13" spans="2:19" x14ac:dyDescent="0.25">
      <c r="B13" s="443"/>
      <c r="C13" s="198" t="s">
        <v>354</v>
      </c>
      <c r="D13" s="438"/>
      <c r="E13" s="438"/>
      <c r="F13" s="56"/>
      <c r="G13" s="112"/>
      <c r="H13" s="116">
        <v>0.28999999999999998</v>
      </c>
      <c r="I13" s="112" t="s">
        <v>186</v>
      </c>
      <c r="K13" s="133">
        <v>10</v>
      </c>
      <c r="L13" s="133" t="s">
        <v>230</v>
      </c>
      <c r="M13" s="134">
        <v>157.77000000000001</v>
      </c>
      <c r="N13" s="135">
        <f>M13/M10</f>
        <v>0.77991522791266243</v>
      </c>
    </row>
    <row r="14" spans="2:19" x14ac:dyDescent="0.25">
      <c r="B14" s="443"/>
      <c r="C14" s="115" t="s">
        <v>161</v>
      </c>
      <c r="D14" s="438"/>
      <c r="E14" s="438"/>
      <c r="F14" s="56"/>
      <c r="G14" s="112"/>
      <c r="H14" s="116">
        <v>1.02</v>
      </c>
      <c r="I14" s="112" t="s">
        <v>187</v>
      </c>
      <c r="K14" s="133">
        <v>11</v>
      </c>
      <c r="L14" s="133" t="s">
        <v>231</v>
      </c>
      <c r="M14" s="134">
        <v>153.5</v>
      </c>
      <c r="N14" s="135">
        <f>M14/M10</f>
        <v>0.75880704496795126</v>
      </c>
    </row>
    <row r="15" spans="2:19" x14ac:dyDescent="0.25">
      <c r="B15" s="443"/>
      <c r="C15" s="117" t="s">
        <v>162</v>
      </c>
      <c r="D15" s="444"/>
      <c r="E15" s="444"/>
      <c r="F15" s="56"/>
      <c r="G15" s="112"/>
      <c r="H15" s="118">
        <v>1.02</v>
      </c>
      <c r="I15" s="118" t="s">
        <v>188</v>
      </c>
      <c r="K15" s="133">
        <v>12</v>
      </c>
      <c r="L15" s="133" t="s">
        <v>232</v>
      </c>
      <c r="M15" s="134">
        <v>147.54</v>
      </c>
      <c r="N15" s="135">
        <f>M15/M10</f>
        <v>0.72934456947603599</v>
      </c>
    </row>
    <row r="16" spans="2:19" x14ac:dyDescent="0.25">
      <c r="B16" s="443"/>
      <c r="C16" s="117" t="s">
        <v>163</v>
      </c>
      <c r="D16" s="438"/>
      <c r="E16" s="438"/>
      <c r="F16" s="56"/>
      <c r="G16" s="112"/>
      <c r="H16" s="118">
        <v>0.84</v>
      </c>
      <c r="I16" s="118" t="s">
        <v>189</v>
      </c>
      <c r="K16" s="133">
        <v>13</v>
      </c>
      <c r="L16" s="133" t="s">
        <v>233</v>
      </c>
      <c r="M16" s="134">
        <v>146.18671875000001</v>
      </c>
      <c r="N16" s="135">
        <f>M16/M10</f>
        <v>0.72265480174754726</v>
      </c>
    </row>
    <row r="17" spans="2:26" x14ac:dyDescent="0.25">
      <c r="B17" s="443"/>
      <c r="C17" s="117" t="s">
        <v>164</v>
      </c>
      <c r="D17" s="438"/>
      <c r="E17" s="438"/>
      <c r="F17" s="56"/>
      <c r="G17" s="56"/>
      <c r="H17" s="112">
        <v>2.39</v>
      </c>
      <c r="I17" s="112" t="s">
        <v>190</v>
      </c>
      <c r="K17" s="133">
        <v>14</v>
      </c>
      <c r="L17" s="133" t="s">
        <v>234</v>
      </c>
      <c r="M17" s="142">
        <v>145.63885714285715</v>
      </c>
      <c r="N17" s="135">
        <f>M17/M10</f>
        <v>0.71994652000704262</v>
      </c>
      <c r="Y17" s="187"/>
      <c r="Z17" s="187"/>
    </row>
    <row r="18" spans="2:26" x14ac:dyDescent="0.25">
      <c r="B18" s="443"/>
      <c r="C18" s="117" t="s">
        <v>165</v>
      </c>
      <c r="D18" s="438"/>
      <c r="E18" s="438"/>
      <c r="F18" s="56"/>
      <c r="G18" s="56"/>
      <c r="H18" s="116" t="s">
        <v>83</v>
      </c>
      <c r="I18" s="116" t="s">
        <v>83</v>
      </c>
      <c r="K18" s="133">
        <v>15</v>
      </c>
      <c r="L18" s="133" t="s">
        <v>235</v>
      </c>
      <c r="M18" s="134">
        <v>145.53861111111109</v>
      </c>
      <c r="N18" s="135">
        <f>M18/M10</f>
        <v>0.71945096694437816</v>
      </c>
      <c r="Y18" s="187"/>
      <c r="Z18" s="187"/>
    </row>
    <row r="19" spans="2:26" x14ac:dyDescent="0.25">
      <c r="B19" s="443"/>
      <c r="C19" s="117" t="s">
        <v>166</v>
      </c>
      <c r="D19" s="438"/>
      <c r="E19" s="438"/>
      <c r="F19" s="56"/>
      <c r="G19" s="56"/>
      <c r="H19" s="112" t="s">
        <v>167</v>
      </c>
      <c r="I19" s="112" t="s">
        <v>167</v>
      </c>
      <c r="K19" s="133">
        <v>16</v>
      </c>
      <c r="L19" s="133" t="s">
        <v>236</v>
      </c>
      <c r="M19" s="134">
        <v>127</v>
      </c>
      <c r="N19" s="135">
        <f>M19/M10</f>
        <v>0.62780778313309327</v>
      </c>
      <c r="Y19" s="187"/>
      <c r="Z19" s="187"/>
    </row>
    <row r="20" spans="2:26" x14ac:dyDescent="0.25">
      <c r="B20" s="443"/>
      <c r="C20" s="117" t="s">
        <v>168</v>
      </c>
      <c r="D20" s="438"/>
      <c r="E20" s="438"/>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5" t="s">
        <v>256</v>
      </c>
      <c r="C36" s="434" t="s">
        <v>257</v>
      </c>
      <c r="D36" s="434"/>
      <c r="E36" s="434" t="s">
        <v>259</v>
      </c>
      <c r="F36" s="434"/>
      <c r="K36" s="133">
        <v>33</v>
      </c>
      <c r="L36" s="133" t="s">
        <v>251</v>
      </c>
      <c r="M36" s="145">
        <v>323.44704032083536</v>
      </c>
      <c r="N36" s="135">
        <f t="shared" si="0"/>
        <v>1.5989178688565659</v>
      </c>
    </row>
    <row r="37" spans="2:14" ht="15" customHeight="1" x14ac:dyDescent="0.25">
      <c r="B37" s="435"/>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6" t="s">
        <v>263</v>
      </c>
      <c r="D38" s="437">
        <v>1.4</v>
      </c>
      <c r="E38" s="112">
        <v>1</v>
      </c>
      <c r="F38" s="112" t="s">
        <v>264</v>
      </c>
      <c r="K38" s="133">
        <v>35</v>
      </c>
      <c r="L38" s="133" t="s">
        <v>253</v>
      </c>
      <c r="M38" s="145">
        <v>270.79611936186569</v>
      </c>
      <c r="N38" s="135">
        <f t="shared" si="0"/>
        <v>1.3386449714773025</v>
      </c>
    </row>
    <row r="39" spans="2:14" ht="15" customHeight="1" x14ac:dyDescent="0.25">
      <c r="B39" s="149" t="s">
        <v>260</v>
      </c>
      <c r="C39" s="436"/>
      <c r="D39" s="437"/>
      <c r="E39" s="112">
        <v>0.68</v>
      </c>
      <c r="F39" s="112" t="s">
        <v>265</v>
      </c>
      <c r="K39" s="133">
        <v>36</v>
      </c>
      <c r="L39" s="133" t="s">
        <v>254</v>
      </c>
      <c r="M39" s="145">
        <v>271.88698926542628</v>
      </c>
      <c r="N39" s="135">
        <f t="shared" si="0"/>
        <v>1.344037543255578</v>
      </c>
    </row>
    <row r="40" spans="2:14" ht="15" customHeight="1" x14ac:dyDescent="0.25">
      <c r="B40" s="149" t="s">
        <v>262</v>
      </c>
      <c r="C40" s="436"/>
      <c r="D40" s="437"/>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13" zoomScale="85" zoomScaleNormal="85" workbookViewId="0">
      <selection activeCell="E11" sqref="E11:F21"/>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7" t="s">
        <v>27</v>
      </c>
      <c r="E5" s="458"/>
      <c r="F5" s="457" t="s">
        <v>29</v>
      </c>
      <c r="G5" s="459"/>
      <c r="H5" s="172"/>
      <c r="I5" s="457" t="s">
        <v>29</v>
      </c>
      <c r="J5" s="458"/>
      <c r="K5" s="80" t="s">
        <v>27</v>
      </c>
    </row>
    <row r="6" spans="2:11" s="20" customFormat="1" ht="90.75" customHeight="1" x14ac:dyDescent="0.25">
      <c r="B6" s="460" t="s">
        <v>396</v>
      </c>
      <c r="C6" s="423" t="s">
        <v>192</v>
      </c>
      <c r="D6" s="24" t="s">
        <v>28</v>
      </c>
      <c r="E6" s="25" t="s">
        <v>398</v>
      </c>
      <c r="F6" s="24" t="s">
        <v>30</v>
      </c>
      <c r="G6" s="24" t="s">
        <v>31</v>
      </c>
      <c r="H6" s="24" t="s">
        <v>350</v>
      </c>
      <c r="I6" s="24" t="s">
        <v>352</v>
      </c>
      <c r="J6" s="25" t="s">
        <v>32</v>
      </c>
      <c r="K6" s="21" t="s">
        <v>33</v>
      </c>
    </row>
    <row r="7" spans="2:11" x14ac:dyDescent="0.25">
      <c r="B7" s="460"/>
      <c r="C7" s="423"/>
      <c r="D7" s="11" t="s">
        <v>34</v>
      </c>
      <c r="E7" s="8"/>
      <c r="F7" s="11" t="s">
        <v>399</v>
      </c>
      <c r="G7" s="11"/>
      <c r="H7" s="8"/>
      <c r="I7" s="11"/>
      <c r="J7" s="8" t="s">
        <v>401</v>
      </c>
      <c r="K7" s="1" t="s">
        <v>10</v>
      </c>
    </row>
    <row r="8" spans="2:11" s="19" customFormat="1" ht="28.5" customHeight="1" x14ac:dyDescent="0.25">
      <c r="B8" s="460"/>
      <c r="C8" s="423"/>
      <c r="D8" s="26"/>
      <c r="E8" s="27"/>
      <c r="F8" s="26"/>
      <c r="G8" s="26"/>
      <c r="H8" s="26"/>
      <c r="I8" s="26"/>
      <c r="J8" s="27" t="s">
        <v>41</v>
      </c>
      <c r="K8" s="28" t="s">
        <v>40</v>
      </c>
    </row>
    <row r="9" spans="2:11" ht="15.75" thickBot="1" x14ac:dyDescent="0.3">
      <c r="B9" s="461"/>
      <c r="C9" s="462"/>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12">
        <f>'Direct N2O'!B36*80%</f>
        <v>80.689089439545825</v>
      </c>
      <c r="E11" s="220">
        <v>1.3</v>
      </c>
      <c r="F11" s="88">
        <v>160.9</v>
      </c>
      <c r="G11" s="413">
        <v>0.46</v>
      </c>
      <c r="H11" s="43">
        <f>'EF&amp;SF lahan sawah'!$H$13</f>
        <v>0.28999999999999998</v>
      </c>
      <c r="I11" s="89">
        <f>'EF&amp;SF lahan sawah'!$N$22</f>
        <v>0.56746289219990131</v>
      </c>
      <c r="J11" s="151">
        <f>F11*G11*H11*I11*$I$28</f>
        <v>14.089747912545324</v>
      </c>
      <c r="K11" s="42">
        <f>D11*E11*J11*10^-6</f>
        <v>1.4779556083448307E-3</v>
      </c>
    </row>
    <row r="12" spans="2:11" x14ac:dyDescent="0.25">
      <c r="B12" s="307">
        <v>2022</v>
      </c>
      <c r="C12" s="6"/>
      <c r="D12" s="412">
        <f>'Direct N2O'!B37*80%</f>
        <v>81.65735851282038</v>
      </c>
      <c r="E12" s="220">
        <v>1.3</v>
      </c>
      <c r="F12" s="88">
        <v>160.9</v>
      </c>
      <c r="G12" s="413">
        <v>0.46</v>
      </c>
      <c r="H12" s="43">
        <f>'EF&amp;SF lahan sawah'!$H$13</f>
        <v>0.28999999999999998</v>
      </c>
      <c r="I12" s="89">
        <f>'EF&amp;SF lahan sawah'!$N$22</f>
        <v>0.56746289219990131</v>
      </c>
      <c r="J12" s="151">
        <f t="shared" ref="J12:J21" si="0">F12*G12*H12*I12*$I$28</f>
        <v>14.089747912545324</v>
      </c>
      <c r="K12" s="42">
        <f t="shared" ref="K12:K21" si="1">D12*E12*J12*10^-6</f>
        <v>1.495691075644969E-3</v>
      </c>
    </row>
    <row r="13" spans="2:11" x14ac:dyDescent="0.25">
      <c r="B13" s="307">
        <v>2023</v>
      </c>
      <c r="C13" s="6"/>
      <c r="D13" s="412">
        <f>'Direct N2O'!B38*80%</f>
        <v>82.637246814974219</v>
      </c>
      <c r="E13" s="220">
        <v>1.3</v>
      </c>
      <c r="F13" s="88">
        <v>160.9</v>
      </c>
      <c r="G13" s="413">
        <v>0.46</v>
      </c>
      <c r="H13" s="43">
        <f>'EF&amp;SF lahan sawah'!$H$13</f>
        <v>0.28999999999999998</v>
      </c>
      <c r="I13" s="89">
        <f>'EF&amp;SF lahan sawah'!$N$22</f>
        <v>0.56746289219990131</v>
      </c>
      <c r="J13" s="151">
        <f t="shared" si="0"/>
        <v>14.089747912545324</v>
      </c>
      <c r="K13" s="42">
        <f t="shared" si="1"/>
        <v>1.5136393685527083E-3</v>
      </c>
    </row>
    <row r="14" spans="2:11" x14ac:dyDescent="0.25">
      <c r="B14" s="307">
        <v>2024</v>
      </c>
      <c r="C14" s="6"/>
      <c r="D14" s="412">
        <f>'Direct N2O'!B39*80%</f>
        <v>83.628893776753927</v>
      </c>
      <c r="E14" s="220">
        <v>1.3</v>
      </c>
      <c r="F14" s="88">
        <v>160.9</v>
      </c>
      <c r="G14" s="413">
        <v>0.46</v>
      </c>
      <c r="H14" s="43">
        <f>'EF&amp;SF lahan sawah'!$H$13</f>
        <v>0.28999999999999998</v>
      </c>
      <c r="I14" s="89">
        <f>'EF&amp;SF lahan sawah'!$N$22</f>
        <v>0.56746289219990131</v>
      </c>
      <c r="J14" s="151">
        <f t="shared" si="0"/>
        <v>14.089747912545324</v>
      </c>
      <c r="K14" s="42">
        <f t="shared" si="1"/>
        <v>1.5318030409753412E-3</v>
      </c>
    </row>
    <row r="15" spans="2:11" x14ac:dyDescent="0.25">
      <c r="B15" s="307">
        <v>2025</v>
      </c>
      <c r="C15" s="6"/>
      <c r="D15" s="412">
        <f>'Direct N2O'!B40*80%</f>
        <v>84.632440502074971</v>
      </c>
      <c r="E15" s="220">
        <v>1.3</v>
      </c>
      <c r="F15" s="88">
        <v>160.9</v>
      </c>
      <c r="G15" s="413">
        <v>0.46</v>
      </c>
      <c r="H15" s="43">
        <f>'EF&amp;SF lahan sawah'!$H$13</f>
        <v>0.28999999999999998</v>
      </c>
      <c r="I15" s="89">
        <f>'EF&amp;SF lahan sawah'!$N$22</f>
        <v>0.56746289219990131</v>
      </c>
      <c r="J15" s="151">
        <f t="shared" si="0"/>
        <v>14.089747912545324</v>
      </c>
      <c r="K15" s="42">
        <f t="shared" si="1"/>
        <v>1.5501846774670452E-3</v>
      </c>
    </row>
    <row r="16" spans="2:11" x14ac:dyDescent="0.25">
      <c r="B16" s="307">
        <v>2026</v>
      </c>
      <c r="C16" s="6"/>
      <c r="D16" s="412">
        <f>'Direct N2O'!B41*80%</f>
        <v>85.648029788099862</v>
      </c>
      <c r="E16" s="220">
        <v>1.3</v>
      </c>
      <c r="F16" s="88">
        <v>160.9</v>
      </c>
      <c r="G16" s="413">
        <v>0.46</v>
      </c>
      <c r="H16" s="43">
        <f>'EF&amp;SF lahan sawah'!$H$13</f>
        <v>0.28999999999999998</v>
      </c>
      <c r="I16" s="89">
        <f>'EF&amp;SF lahan sawah'!$N$22</f>
        <v>0.56746289219990131</v>
      </c>
      <c r="J16" s="151">
        <f t="shared" si="0"/>
        <v>14.089747912545324</v>
      </c>
      <c r="K16" s="42">
        <f t="shared" si="1"/>
        <v>1.5687868935966498E-3</v>
      </c>
    </row>
    <row r="17" spans="2:11" x14ac:dyDescent="0.25">
      <c r="B17" s="307">
        <v>2027</v>
      </c>
      <c r="C17" s="6"/>
      <c r="D17" s="412">
        <f>'Direct N2O'!B42*80%</f>
        <v>86.675806145557061</v>
      </c>
      <c r="E17" s="220">
        <v>1.3</v>
      </c>
      <c r="F17" s="88">
        <v>160.9</v>
      </c>
      <c r="G17" s="413">
        <v>0.46</v>
      </c>
      <c r="H17" s="43">
        <f>'EF&amp;SF lahan sawah'!$H$13</f>
        <v>0.28999999999999998</v>
      </c>
      <c r="I17" s="89">
        <f>'EF&amp;SF lahan sawah'!$N$22</f>
        <v>0.56746289219990131</v>
      </c>
      <c r="J17" s="151">
        <f t="shared" si="0"/>
        <v>14.089747912545324</v>
      </c>
      <c r="K17" s="42">
        <f t="shared" si="1"/>
        <v>1.5876123363198096E-3</v>
      </c>
    </row>
    <row r="18" spans="2:11" x14ac:dyDescent="0.25">
      <c r="B18" s="307">
        <v>2028</v>
      </c>
      <c r="C18" s="6"/>
      <c r="D18" s="412">
        <f>'Direct N2O'!B43*80%</f>
        <v>87.715915819303746</v>
      </c>
      <c r="E18" s="220">
        <v>1.3</v>
      </c>
      <c r="F18" s="88">
        <v>160.9</v>
      </c>
      <c r="G18" s="413">
        <v>0.46</v>
      </c>
      <c r="H18" s="43">
        <f>'EF&amp;SF lahan sawah'!$H$13</f>
        <v>0.28999999999999998</v>
      </c>
      <c r="I18" s="89">
        <f>'EF&amp;SF lahan sawah'!$N$22</f>
        <v>0.56746289219990131</v>
      </c>
      <c r="J18" s="151">
        <f t="shared" si="0"/>
        <v>14.089747912545324</v>
      </c>
      <c r="K18" s="42">
        <f t="shared" si="1"/>
        <v>1.6066636843556472E-3</v>
      </c>
    </row>
    <row r="19" spans="2:11" x14ac:dyDescent="0.25">
      <c r="B19" s="307">
        <v>2029</v>
      </c>
      <c r="C19" s="6"/>
      <c r="D19" s="412">
        <f>'Direct N2O'!B44*80%</f>
        <v>88.768506809135403</v>
      </c>
      <c r="E19" s="220">
        <v>1.3</v>
      </c>
      <c r="F19" s="88">
        <v>160.9</v>
      </c>
      <c r="G19" s="413">
        <v>0.46</v>
      </c>
      <c r="H19" s="43">
        <f>'EF&amp;SF lahan sawah'!$H$13</f>
        <v>0.28999999999999998</v>
      </c>
      <c r="I19" s="89">
        <f>'EF&amp;SF lahan sawah'!$N$22</f>
        <v>0.56746289219990131</v>
      </c>
      <c r="J19" s="151">
        <f t="shared" si="0"/>
        <v>14.089747912545324</v>
      </c>
      <c r="K19" s="42">
        <f t="shared" si="1"/>
        <v>1.625943648567915E-3</v>
      </c>
    </row>
    <row r="20" spans="2:11" x14ac:dyDescent="0.25">
      <c r="B20" s="307">
        <v>2030</v>
      </c>
      <c r="C20" s="6"/>
      <c r="D20" s="412">
        <f>'Direct N2O'!B45*80%</f>
        <v>89.844479798984366</v>
      </c>
      <c r="E20" s="220">
        <v>1.3</v>
      </c>
      <c r="F20" s="88">
        <v>160.9</v>
      </c>
      <c r="G20" s="413">
        <v>0.46</v>
      </c>
      <c r="H20" s="43">
        <f>'EF&amp;SF lahan sawah'!$H$13</f>
        <v>0.28999999999999998</v>
      </c>
      <c r="I20" s="89">
        <f>'EF&amp;SF lahan sawah'!$N$22</f>
        <v>0.56746289219990131</v>
      </c>
      <c r="J20" s="151">
        <f t="shared" si="0"/>
        <v>14.089747912545324</v>
      </c>
      <c r="K20" s="42">
        <f t="shared" si="1"/>
        <v>1.6456518932118987E-3</v>
      </c>
    </row>
    <row r="21" spans="2:11" x14ac:dyDescent="0.25">
      <c r="B21" s="307">
        <v>2031</v>
      </c>
      <c r="C21" s="6"/>
      <c r="D21" s="201"/>
      <c r="E21" s="220">
        <v>1.3</v>
      </c>
      <c r="F21" s="88">
        <v>160.9</v>
      </c>
      <c r="G21" s="413">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851.89776740724972</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7" t="s">
        <v>27</v>
      </c>
      <c r="E37" s="458"/>
      <c r="F37" s="457" t="s">
        <v>29</v>
      </c>
      <c r="G37" s="459"/>
      <c r="H37" s="258"/>
      <c r="I37" s="457" t="s">
        <v>29</v>
      </c>
      <c r="J37" s="458"/>
      <c r="K37" s="259" t="s">
        <v>27</v>
      </c>
    </row>
    <row r="38" spans="2:11" ht="75" x14ac:dyDescent="0.25">
      <c r="B38" s="460" t="s">
        <v>396</v>
      </c>
      <c r="C38" s="423" t="s">
        <v>192</v>
      </c>
      <c r="D38" s="24" t="s">
        <v>28</v>
      </c>
      <c r="E38" s="25" t="s">
        <v>398</v>
      </c>
      <c r="F38" s="24" t="s">
        <v>30</v>
      </c>
      <c r="G38" s="24" t="s">
        <v>31</v>
      </c>
      <c r="H38" s="24" t="s">
        <v>350</v>
      </c>
      <c r="I38" s="24" t="s">
        <v>352</v>
      </c>
      <c r="J38" s="25" t="s">
        <v>32</v>
      </c>
      <c r="K38" s="21" t="s">
        <v>33</v>
      </c>
    </row>
    <row r="39" spans="2:11" x14ac:dyDescent="0.25">
      <c r="B39" s="460"/>
      <c r="C39" s="423"/>
      <c r="D39" s="11" t="s">
        <v>34</v>
      </c>
      <c r="E39" s="8"/>
      <c r="F39" s="11" t="s">
        <v>399</v>
      </c>
      <c r="G39" s="11"/>
      <c r="H39" s="8"/>
      <c r="I39" s="11"/>
      <c r="J39" s="8" t="s">
        <v>401</v>
      </c>
      <c r="K39" s="1" t="s">
        <v>10</v>
      </c>
    </row>
    <row r="40" spans="2:11" ht="30" x14ac:dyDescent="0.25">
      <c r="B40" s="460"/>
      <c r="C40" s="423"/>
      <c r="D40" s="26"/>
      <c r="E40" s="27"/>
      <c r="F40" s="26"/>
      <c r="G40" s="26"/>
      <c r="H40" s="26"/>
      <c r="I40" s="26"/>
      <c r="J40" s="27" t="s">
        <v>41</v>
      </c>
      <c r="K40" s="28" t="s">
        <v>40</v>
      </c>
    </row>
    <row r="41" spans="2:11" ht="15.75" thickBot="1" x14ac:dyDescent="0.3">
      <c r="B41" s="461"/>
      <c r="C41" s="462"/>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12">
        <f>'Direct N2O'!B36*15%</f>
        <v>15.12920426991484</v>
      </c>
      <c r="E43" s="220">
        <v>1.3</v>
      </c>
      <c r="F43" s="88">
        <v>160.9</v>
      </c>
      <c r="G43" s="413">
        <v>0.46</v>
      </c>
      <c r="H43" s="43">
        <f>'EF&amp;SF lahan sawah'!$H$13</f>
        <v>0.28999999999999998</v>
      </c>
      <c r="I43" s="89">
        <f>'EF&amp;SF lahan sawah'!$N$27</f>
        <v>1.1568871577513371</v>
      </c>
      <c r="J43" s="151">
        <f>F43*G43*H43*I43*$I$28</f>
        <v>28.724782959438468</v>
      </c>
      <c r="K43" s="42">
        <f>D43*E43*J43*10^-6</f>
        <v>5.6495804170300754E-4</v>
      </c>
    </row>
    <row r="44" spans="2:11" x14ac:dyDescent="0.25">
      <c r="B44" s="307">
        <f t="shared" ref="B44:B53" si="2">B12</f>
        <v>2022</v>
      </c>
      <c r="C44" s="6"/>
      <c r="D44" s="412">
        <f>'Direct N2O'!B37*15%</f>
        <v>15.310754721153819</v>
      </c>
      <c r="E44" s="220">
        <v>1.3</v>
      </c>
      <c r="F44" s="88">
        <v>160.9</v>
      </c>
      <c r="G44" s="413">
        <v>0.46</v>
      </c>
      <c r="H44" s="43">
        <f>'EF&amp;SF lahan sawah'!$H$13</f>
        <v>0.28999999999999998</v>
      </c>
      <c r="I44" s="89">
        <f>'EF&amp;SF lahan sawah'!$N$27</f>
        <v>1.1568871577513371</v>
      </c>
      <c r="J44" s="151">
        <f t="shared" ref="J44:J53" si="3">F44*G44*H44*I44*$I$28</f>
        <v>28.724782959438468</v>
      </c>
      <c r="K44" s="42">
        <f t="shared" ref="K44:K53" si="4">D44*E44*J44*10^-6</f>
        <v>5.7173753820344373E-4</v>
      </c>
    </row>
    <row r="45" spans="2:11" x14ac:dyDescent="0.25">
      <c r="B45" s="307">
        <f t="shared" si="2"/>
        <v>2023</v>
      </c>
      <c r="C45" s="6"/>
      <c r="D45" s="412">
        <f>'Direct N2O'!B38*15%</f>
        <v>15.494483777807666</v>
      </c>
      <c r="E45" s="220">
        <v>1.3</v>
      </c>
      <c r="F45" s="88">
        <v>160.9</v>
      </c>
      <c r="G45" s="413">
        <v>0.46</v>
      </c>
      <c r="H45" s="43">
        <f>'EF&amp;SF lahan sawah'!$H$13</f>
        <v>0.28999999999999998</v>
      </c>
      <c r="I45" s="89">
        <f>'EF&amp;SF lahan sawah'!$N$27</f>
        <v>1.1568871577513371</v>
      </c>
      <c r="J45" s="151">
        <f t="shared" si="3"/>
        <v>28.724782959438468</v>
      </c>
      <c r="K45" s="42">
        <f t="shared" si="4"/>
        <v>5.7859838866188495E-4</v>
      </c>
    </row>
    <row r="46" spans="2:11" x14ac:dyDescent="0.25">
      <c r="B46" s="307">
        <f t="shared" si="2"/>
        <v>2024</v>
      </c>
      <c r="C46" s="6"/>
      <c r="D46" s="412">
        <f>'Direct N2O'!B39*15%</f>
        <v>15.680417583141359</v>
      </c>
      <c r="E46" s="220">
        <v>1.3</v>
      </c>
      <c r="F46" s="88">
        <v>160.9</v>
      </c>
      <c r="G46" s="413">
        <v>0.46</v>
      </c>
      <c r="H46" s="43">
        <f>'EF&amp;SF lahan sawah'!$H$13</f>
        <v>0.28999999999999998</v>
      </c>
      <c r="I46" s="89">
        <f>'EF&amp;SF lahan sawah'!$N$27</f>
        <v>1.1568871577513371</v>
      </c>
      <c r="J46" s="151">
        <f t="shared" si="3"/>
        <v>28.724782959438468</v>
      </c>
      <c r="K46" s="42">
        <f t="shared" si="4"/>
        <v>5.8554156932582777E-4</v>
      </c>
    </row>
    <row r="47" spans="2:11" x14ac:dyDescent="0.25">
      <c r="B47" s="307">
        <f t="shared" si="2"/>
        <v>2025</v>
      </c>
      <c r="C47" s="6"/>
      <c r="D47" s="412">
        <f>'Direct N2O'!B40*15%</f>
        <v>15.868582594139054</v>
      </c>
      <c r="E47" s="220">
        <v>1.3</v>
      </c>
      <c r="F47" s="88">
        <v>160.9</v>
      </c>
      <c r="G47" s="413">
        <v>0.46</v>
      </c>
      <c r="H47" s="43">
        <f>'EF&amp;SF lahan sawah'!$H$13</f>
        <v>0.28999999999999998</v>
      </c>
      <c r="I47" s="89">
        <f>'EF&amp;SF lahan sawah'!$N$27</f>
        <v>1.1568871577513371</v>
      </c>
      <c r="J47" s="151">
        <f t="shared" si="3"/>
        <v>28.724782959438468</v>
      </c>
      <c r="K47" s="42">
        <f t="shared" si="4"/>
        <v>5.9256806815773751E-4</v>
      </c>
    </row>
    <row r="48" spans="2:11" x14ac:dyDescent="0.25">
      <c r="B48" s="307">
        <f t="shared" si="2"/>
        <v>2026</v>
      </c>
      <c r="C48" s="6"/>
      <c r="D48" s="412">
        <f>'Direct N2O'!B41*15%</f>
        <v>16.059005585268721</v>
      </c>
      <c r="E48" s="220">
        <v>1.3</v>
      </c>
      <c r="F48" s="88">
        <v>160.9</v>
      </c>
      <c r="G48" s="413">
        <v>0.46</v>
      </c>
      <c r="H48" s="43">
        <f>'EF&amp;SF lahan sawah'!$H$13</f>
        <v>0.28999999999999998</v>
      </c>
      <c r="I48" s="89">
        <f>'EF&amp;SF lahan sawah'!$N$27</f>
        <v>1.1568871577513371</v>
      </c>
      <c r="J48" s="151">
        <f t="shared" si="3"/>
        <v>28.724782959438468</v>
      </c>
      <c r="K48" s="42">
        <f t="shared" si="4"/>
        <v>5.996788849756304E-4</v>
      </c>
    </row>
    <row r="49" spans="2:11" x14ac:dyDescent="0.25">
      <c r="B49" s="307">
        <f t="shared" si="2"/>
        <v>2027</v>
      </c>
      <c r="C49" s="6"/>
      <c r="D49" s="412">
        <f>'Direct N2O'!B42*15%</f>
        <v>16.251713652291947</v>
      </c>
      <c r="E49" s="220">
        <v>1.3</v>
      </c>
      <c r="F49" s="88">
        <v>160.9</v>
      </c>
      <c r="G49" s="413">
        <v>0.46</v>
      </c>
      <c r="H49" s="43">
        <f>'EF&amp;SF lahan sawah'!$H$13</f>
        <v>0.28999999999999998</v>
      </c>
      <c r="I49" s="89">
        <f>'EF&amp;SF lahan sawah'!$N$27</f>
        <v>1.1568871577513371</v>
      </c>
      <c r="J49" s="151">
        <f t="shared" si="3"/>
        <v>28.724782959438468</v>
      </c>
      <c r="K49" s="42">
        <f t="shared" si="4"/>
        <v>6.0687503159533799E-4</v>
      </c>
    </row>
    <row r="50" spans="2:11" x14ac:dyDescent="0.25">
      <c r="B50" s="307">
        <f t="shared" si="2"/>
        <v>2028</v>
      </c>
      <c r="C50" s="6"/>
      <c r="D50" s="412">
        <f>'Direct N2O'!B43*15%</f>
        <v>16.446734216119452</v>
      </c>
      <c r="E50" s="220">
        <v>1.3</v>
      </c>
      <c r="F50" s="88">
        <v>160.9</v>
      </c>
      <c r="G50" s="413">
        <v>0.46</v>
      </c>
      <c r="H50" s="43">
        <f>'EF&amp;SF lahan sawah'!$H$13</f>
        <v>0.28999999999999998</v>
      </c>
      <c r="I50" s="89">
        <f>'EF&amp;SF lahan sawah'!$N$27</f>
        <v>1.1568871577513371</v>
      </c>
      <c r="J50" s="151">
        <f t="shared" si="3"/>
        <v>28.724782959438468</v>
      </c>
      <c r="K50" s="42">
        <f t="shared" si="4"/>
        <v>6.1415753197448209E-4</v>
      </c>
    </row>
    <row r="51" spans="2:11" x14ac:dyDescent="0.25">
      <c r="B51" s="307">
        <f t="shared" si="2"/>
        <v>2029</v>
      </c>
      <c r="C51" s="6"/>
      <c r="D51" s="412">
        <f>'Direct N2O'!B44*15%</f>
        <v>16.644095026712886</v>
      </c>
      <c r="E51" s="220">
        <v>1.3</v>
      </c>
      <c r="F51" s="88">
        <v>160.9</v>
      </c>
      <c r="G51" s="413">
        <v>0.46</v>
      </c>
      <c r="H51" s="43">
        <f>'EF&amp;SF lahan sawah'!$H$13</f>
        <v>0.28999999999999998</v>
      </c>
      <c r="I51" s="89">
        <f>'EF&amp;SF lahan sawah'!$N$27</f>
        <v>1.1568871577513371</v>
      </c>
      <c r="J51" s="151">
        <f t="shared" si="3"/>
        <v>28.724782959438468</v>
      </c>
      <c r="K51" s="42">
        <f t="shared" si="4"/>
        <v>6.2152742235817597E-4</v>
      </c>
    </row>
    <row r="52" spans="2:11" x14ac:dyDescent="0.25">
      <c r="B52" s="307">
        <f t="shared" si="2"/>
        <v>2030</v>
      </c>
      <c r="C52" s="6"/>
      <c r="D52" s="412">
        <f>'Direct N2O'!B45*15%</f>
        <v>16.845839962309569</v>
      </c>
      <c r="E52" s="220">
        <v>1.3</v>
      </c>
      <c r="F52" s="88">
        <v>160.9</v>
      </c>
      <c r="G52" s="413">
        <v>0.46</v>
      </c>
      <c r="H52" s="43">
        <f>'EF&amp;SF lahan sawah'!$H$13</f>
        <v>0.28999999999999998</v>
      </c>
      <c r="I52" s="89">
        <f>'EF&amp;SF lahan sawah'!$N$27</f>
        <v>1.1568871577513371</v>
      </c>
      <c r="J52" s="151">
        <f t="shared" si="3"/>
        <v>28.724782959438468</v>
      </c>
      <c r="K52" s="42">
        <f t="shared" si="4"/>
        <v>6.290610256928106E-4</v>
      </c>
    </row>
    <row r="53" spans="2:11" x14ac:dyDescent="0.25">
      <c r="B53" s="307">
        <f t="shared" si="2"/>
        <v>2031</v>
      </c>
      <c r="C53" s="6"/>
      <c r="D53" s="201"/>
      <c r="E53" s="220">
        <v>1.3</v>
      </c>
      <c r="F53" s="88">
        <v>160.9</v>
      </c>
      <c r="G53" s="413">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159.73083138885931</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7" t="s">
        <v>27</v>
      </c>
      <c r="E62" s="458"/>
      <c r="F62" s="457" t="s">
        <v>29</v>
      </c>
      <c r="G62" s="459"/>
      <c r="H62" s="258"/>
      <c r="I62" s="457" t="s">
        <v>29</v>
      </c>
      <c r="J62" s="458"/>
      <c r="K62" s="259" t="s">
        <v>27</v>
      </c>
    </row>
    <row r="63" spans="2:11" ht="75" x14ac:dyDescent="0.25">
      <c r="B63" s="460" t="s">
        <v>396</v>
      </c>
      <c r="C63" s="423" t="s">
        <v>192</v>
      </c>
      <c r="D63" s="24" t="s">
        <v>28</v>
      </c>
      <c r="E63" s="25" t="s">
        <v>398</v>
      </c>
      <c r="F63" s="24" t="s">
        <v>30</v>
      </c>
      <c r="G63" s="24" t="s">
        <v>31</v>
      </c>
      <c r="H63" s="24" t="s">
        <v>350</v>
      </c>
      <c r="I63" s="24" t="s">
        <v>352</v>
      </c>
      <c r="J63" s="25" t="s">
        <v>32</v>
      </c>
      <c r="K63" s="21" t="s">
        <v>33</v>
      </c>
    </row>
    <row r="64" spans="2:11" x14ac:dyDescent="0.25">
      <c r="B64" s="460"/>
      <c r="C64" s="423"/>
      <c r="D64" s="11" t="s">
        <v>34</v>
      </c>
      <c r="E64" s="8"/>
      <c r="F64" s="11" t="s">
        <v>399</v>
      </c>
      <c r="G64" s="11"/>
      <c r="H64" s="8"/>
      <c r="I64" s="11"/>
      <c r="J64" s="8" t="s">
        <v>401</v>
      </c>
      <c r="K64" s="1" t="s">
        <v>10</v>
      </c>
    </row>
    <row r="65" spans="2:11" ht="30" x14ac:dyDescent="0.25">
      <c r="B65" s="460"/>
      <c r="C65" s="423"/>
      <c r="D65" s="26"/>
      <c r="E65" s="27"/>
      <c r="F65" s="26"/>
      <c r="G65" s="26"/>
      <c r="H65" s="26"/>
      <c r="I65" s="26"/>
      <c r="J65" s="27" t="s">
        <v>41</v>
      </c>
      <c r="K65" s="28" t="s">
        <v>40</v>
      </c>
    </row>
    <row r="66" spans="2:11" ht="15.75" thickBot="1" x14ac:dyDescent="0.3">
      <c r="B66" s="461"/>
      <c r="C66" s="462"/>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12">
        <f>'Direct N2O'!B36*5%</f>
        <v>5.043068089971614</v>
      </c>
      <c r="E68" s="220">
        <v>1.3</v>
      </c>
      <c r="F68" s="88">
        <v>160.9</v>
      </c>
      <c r="G68" s="414">
        <v>0.46</v>
      </c>
      <c r="H68" s="43">
        <f>'EF&amp;SF lahan sawah'!$H$13</f>
        <v>0.28999999999999998</v>
      </c>
      <c r="I68" s="89">
        <f>'EF&amp;SF lahan sawah'!$N$38</f>
        <v>1.3386449714773025</v>
      </c>
      <c r="J68" s="151">
        <f>F68*G68*H68*I68*$I$28</f>
        <v>33.237715543640078</v>
      </c>
      <c r="K68" s="42">
        <f>D68*E68*J68*10^-6</f>
        <v>2.1790608143419023E-4</v>
      </c>
    </row>
    <row r="69" spans="2:11" x14ac:dyDescent="0.25">
      <c r="B69" s="307">
        <f t="shared" ref="B69:B78" si="5">B12</f>
        <v>2022</v>
      </c>
      <c r="C69" s="6"/>
      <c r="D69" s="412">
        <f>'Direct N2O'!B37*5%</f>
        <v>5.1035849070512738</v>
      </c>
      <c r="E69" s="220">
        <v>1.3</v>
      </c>
      <c r="F69" s="88">
        <v>160.9</v>
      </c>
      <c r="G69" s="414">
        <v>0.46</v>
      </c>
      <c r="H69" s="43">
        <f>'EF&amp;SF lahan sawah'!$H$13</f>
        <v>0.28999999999999998</v>
      </c>
      <c r="I69" s="89">
        <f>'EF&amp;SF lahan sawah'!$N$38</f>
        <v>1.3386449714773025</v>
      </c>
      <c r="J69" s="151">
        <f t="shared" ref="J69:J78" si="6">F69*G69*H69*I69*$I$28</f>
        <v>33.237715543640078</v>
      </c>
      <c r="K69" s="42">
        <f t="shared" ref="K69:K78" si="7">D69*E69*J69*10^-6</f>
        <v>2.2052095441140056E-4</v>
      </c>
    </row>
    <row r="70" spans="2:11" x14ac:dyDescent="0.25">
      <c r="B70" s="307">
        <f t="shared" si="5"/>
        <v>2023</v>
      </c>
      <c r="C70" s="6"/>
      <c r="D70" s="412">
        <f>'Direct N2O'!B38*5%</f>
        <v>5.1648279259358887</v>
      </c>
      <c r="E70" s="220">
        <v>1.3</v>
      </c>
      <c r="F70" s="88">
        <v>160.9</v>
      </c>
      <c r="G70" s="414">
        <v>0.46</v>
      </c>
      <c r="H70" s="43">
        <f>'EF&amp;SF lahan sawah'!$H$13</f>
        <v>0.28999999999999998</v>
      </c>
      <c r="I70" s="89">
        <f>'EF&amp;SF lahan sawah'!$N$38</f>
        <v>1.3386449714773025</v>
      </c>
      <c r="J70" s="151">
        <f t="shared" si="6"/>
        <v>33.237715543640078</v>
      </c>
      <c r="K70" s="42">
        <f t="shared" si="7"/>
        <v>2.231672058643373E-4</v>
      </c>
    </row>
    <row r="71" spans="2:11" x14ac:dyDescent="0.25">
      <c r="B71" s="307">
        <f t="shared" si="5"/>
        <v>2024</v>
      </c>
      <c r="C71" s="6"/>
      <c r="D71" s="412">
        <f>'Direct N2O'!B39*5%</f>
        <v>5.2268058610471204</v>
      </c>
      <c r="E71" s="220">
        <v>1.3</v>
      </c>
      <c r="F71" s="88">
        <v>160.9</v>
      </c>
      <c r="G71" s="414">
        <v>0.46</v>
      </c>
      <c r="H71" s="43">
        <f>'EF&amp;SF lahan sawah'!$H$13</f>
        <v>0.28999999999999998</v>
      </c>
      <c r="I71" s="89">
        <f>'EF&amp;SF lahan sawah'!$N$38</f>
        <v>1.3386449714773025</v>
      </c>
      <c r="J71" s="151">
        <f t="shared" si="6"/>
        <v>33.237715543640078</v>
      </c>
      <c r="K71" s="42">
        <f t="shared" si="7"/>
        <v>2.258452123347094E-4</v>
      </c>
    </row>
    <row r="72" spans="2:11" x14ac:dyDescent="0.25">
      <c r="B72" s="307">
        <f t="shared" si="5"/>
        <v>2025</v>
      </c>
      <c r="C72" s="6"/>
      <c r="D72" s="412">
        <f>'Direct N2O'!B40*5%</f>
        <v>5.2895275313796857</v>
      </c>
      <c r="E72" s="220">
        <v>1.3</v>
      </c>
      <c r="F72" s="88">
        <v>160.9</v>
      </c>
      <c r="G72" s="414">
        <v>0.46</v>
      </c>
      <c r="H72" s="43">
        <f>'EF&amp;SF lahan sawah'!$H$13</f>
        <v>0.28999999999999998</v>
      </c>
      <c r="I72" s="89">
        <f>'EF&amp;SF lahan sawah'!$N$38</f>
        <v>1.3386449714773025</v>
      </c>
      <c r="J72" s="151">
        <f t="shared" si="6"/>
        <v>33.237715543640078</v>
      </c>
      <c r="K72" s="42">
        <f t="shared" si="7"/>
        <v>2.2855535488272593E-4</v>
      </c>
    </row>
    <row r="73" spans="2:11" x14ac:dyDescent="0.25">
      <c r="B73" s="307">
        <f t="shared" si="5"/>
        <v>2026</v>
      </c>
      <c r="C73" s="6"/>
      <c r="D73" s="412">
        <f>'Direct N2O'!B41*5%</f>
        <v>5.3530018617562414</v>
      </c>
      <c r="E73" s="220">
        <v>1.3</v>
      </c>
      <c r="F73" s="88">
        <v>160.9</v>
      </c>
      <c r="G73" s="414">
        <v>0.46</v>
      </c>
      <c r="H73" s="43">
        <f>'EF&amp;SF lahan sawah'!$H$13</f>
        <v>0.28999999999999998</v>
      </c>
      <c r="I73" s="89">
        <f>'EF&amp;SF lahan sawah'!$N$38</f>
        <v>1.3386449714773025</v>
      </c>
      <c r="J73" s="151">
        <f t="shared" si="6"/>
        <v>33.237715543640078</v>
      </c>
      <c r="K73" s="42">
        <f t="shared" si="7"/>
        <v>2.3129801914131861E-4</v>
      </c>
    </row>
    <row r="74" spans="2:11" x14ac:dyDescent="0.25">
      <c r="B74" s="307">
        <f t="shared" si="5"/>
        <v>2027</v>
      </c>
      <c r="C74" s="6"/>
      <c r="D74" s="412">
        <f>'Direct N2O'!B42*5%</f>
        <v>5.4172378840973163</v>
      </c>
      <c r="E74" s="220">
        <v>1.3</v>
      </c>
      <c r="F74" s="88">
        <v>160.9</v>
      </c>
      <c r="G74" s="414">
        <v>0.46</v>
      </c>
      <c r="H74" s="43">
        <f>'EF&amp;SF lahan sawah'!$H$13</f>
        <v>0.28999999999999998</v>
      </c>
      <c r="I74" s="89">
        <f>'EF&amp;SF lahan sawah'!$N$38</f>
        <v>1.3386449714773025</v>
      </c>
      <c r="J74" s="151">
        <f t="shared" si="6"/>
        <v>33.237715543640078</v>
      </c>
      <c r="K74" s="42">
        <f t="shared" si="7"/>
        <v>2.3407359537101443E-4</v>
      </c>
    </row>
    <row r="75" spans="2:11" x14ac:dyDescent="0.25">
      <c r="B75" s="307">
        <f t="shared" si="5"/>
        <v>2028</v>
      </c>
      <c r="C75" s="6"/>
      <c r="D75" s="412">
        <f>'Direct N2O'!B43*5%</f>
        <v>5.4822447387064841</v>
      </c>
      <c r="E75" s="220">
        <v>1.3</v>
      </c>
      <c r="F75" s="88">
        <v>160.9</v>
      </c>
      <c r="G75" s="414">
        <v>0.46</v>
      </c>
      <c r="H75" s="43">
        <f>'EF&amp;SF lahan sawah'!$H$13</f>
        <v>0.28999999999999998</v>
      </c>
      <c r="I75" s="89">
        <f>'EF&amp;SF lahan sawah'!$N$38</f>
        <v>1.3386449714773025</v>
      </c>
      <c r="J75" s="151">
        <f t="shared" si="6"/>
        <v>33.237715543640078</v>
      </c>
      <c r="K75" s="42">
        <f t="shared" si="7"/>
        <v>2.3688247851546662E-4</v>
      </c>
    </row>
    <row r="76" spans="2:11" x14ac:dyDescent="0.25">
      <c r="B76" s="307">
        <f t="shared" si="5"/>
        <v>2029</v>
      </c>
      <c r="C76" s="6"/>
      <c r="D76" s="412">
        <f>'Direct N2O'!B44*5%</f>
        <v>5.5480316755709627</v>
      </c>
      <c r="E76" s="220">
        <v>1.3</v>
      </c>
      <c r="F76" s="88">
        <v>160.9</v>
      </c>
      <c r="G76" s="414">
        <v>0.46</v>
      </c>
      <c r="H76" s="43">
        <f>'EF&amp;SF lahan sawah'!$H$13</f>
        <v>0.28999999999999998</v>
      </c>
      <c r="I76" s="89">
        <f>'EF&amp;SF lahan sawah'!$N$38</f>
        <v>1.3386449714773025</v>
      </c>
      <c r="J76" s="151">
        <f t="shared" si="6"/>
        <v>33.237715543640078</v>
      </c>
      <c r="K76" s="42">
        <f t="shared" si="7"/>
        <v>2.397250682576522E-4</v>
      </c>
    </row>
    <row r="77" spans="2:11" x14ac:dyDescent="0.25">
      <c r="B77" s="307">
        <f t="shared" si="5"/>
        <v>2030</v>
      </c>
      <c r="C77" s="6"/>
      <c r="D77" s="412">
        <f>'Direct N2O'!B45*5%</f>
        <v>5.6152799874365229</v>
      </c>
      <c r="E77" s="220">
        <v>1.3</v>
      </c>
      <c r="F77" s="88">
        <v>160.9</v>
      </c>
      <c r="G77" s="414">
        <v>0.46</v>
      </c>
      <c r="H77" s="43">
        <f>'EF&amp;SF lahan sawah'!$H$13</f>
        <v>0.28999999999999998</v>
      </c>
      <c r="I77" s="89">
        <f>'EF&amp;SF lahan sawah'!$N$38</f>
        <v>1.3386449714773025</v>
      </c>
      <c r="J77" s="151">
        <f t="shared" si="6"/>
        <v>33.237715543640078</v>
      </c>
      <c r="K77" s="42">
        <f t="shared" si="7"/>
        <v>2.4263080259640297E-4</v>
      </c>
    </row>
    <row r="78" spans="2:11" x14ac:dyDescent="0.25">
      <c r="B78" s="307">
        <f t="shared" si="5"/>
        <v>2031</v>
      </c>
      <c r="C78" s="6"/>
      <c r="D78" s="260"/>
      <c r="E78" s="220">
        <v>1.3</v>
      </c>
      <c r="F78" s="88">
        <v>160.9</v>
      </c>
      <c r="G78" s="414">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53.243610462953107</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3" t="s">
        <v>288</v>
      </c>
      <c r="D5" s="464"/>
      <c r="E5" s="464"/>
      <c r="F5" s="464"/>
      <c r="G5" s="465"/>
    </row>
    <row r="6" spans="2:7" ht="45" x14ac:dyDescent="0.25">
      <c r="B6" s="460" t="s">
        <v>396</v>
      </c>
      <c r="C6" s="23" t="s">
        <v>280</v>
      </c>
      <c r="D6" s="161" t="s">
        <v>54</v>
      </c>
      <c r="E6" s="165" t="s">
        <v>289</v>
      </c>
      <c r="F6" s="24" t="s">
        <v>54</v>
      </c>
      <c r="G6" s="158" t="s">
        <v>31</v>
      </c>
    </row>
    <row r="7" spans="2:7" ht="17.25" x14ac:dyDescent="0.25">
      <c r="B7" s="460"/>
      <c r="C7" s="23" t="s">
        <v>281</v>
      </c>
      <c r="D7" s="162" t="s">
        <v>290</v>
      </c>
      <c r="E7" s="24" t="s">
        <v>281</v>
      </c>
      <c r="F7" s="11" t="s">
        <v>291</v>
      </c>
      <c r="G7" s="94"/>
    </row>
    <row r="8" spans="2:7" x14ac:dyDescent="0.25">
      <c r="B8" s="460"/>
      <c r="C8" s="154"/>
      <c r="D8" s="163" t="s">
        <v>282</v>
      </c>
      <c r="E8" s="166"/>
      <c r="F8" s="26" t="s">
        <v>292</v>
      </c>
      <c r="G8" s="93"/>
    </row>
    <row r="9" spans="2:7" ht="18.75" thickBot="1" x14ac:dyDescent="0.4">
      <c r="B9" s="461"/>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9" t="s">
        <v>56</v>
      </c>
      <c r="D5" s="459"/>
      <c r="E5" s="466"/>
    </row>
    <row r="6" spans="2:5" ht="45" x14ac:dyDescent="0.25">
      <c r="B6" s="467" t="s">
        <v>396</v>
      </c>
      <c r="C6" s="174" t="s">
        <v>46</v>
      </c>
      <c r="D6" s="174" t="s">
        <v>48</v>
      </c>
      <c r="E6" s="174" t="s">
        <v>50</v>
      </c>
    </row>
    <row r="7" spans="2:5" x14ac:dyDescent="0.25">
      <c r="B7" s="468"/>
      <c r="C7" s="30" t="s">
        <v>47</v>
      </c>
      <c r="D7" s="30" t="s">
        <v>49</v>
      </c>
      <c r="E7" s="30" t="s">
        <v>51</v>
      </c>
    </row>
    <row r="8" spans="2:5" x14ac:dyDescent="0.25">
      <c r="B8" s="468"/>
      <c r="C8" s="31"/>
      <c r="D8" s="31"/>
      <c r="E8" s="30" t="s">
        <v>52</v>
      </c>
    </row>
    <row r="9" spans="2:5" ht="15.75" thickBot="1" x14ac:dyDescent="0.3">
      <c r="B9" s="469"/>
      <c r="C9" s="14" t="s">
        <v>53</v>
      </c>
      <c r="D9" s="14" t="s">
        <v>54</v>
      </c>
      <c r="E9" s="14" t="s">
        <v>55</v>
      </c>
    </row>
    <row r="10" spans="2:5" x14ac:dyDescent="0.25">
      <c r="B10" s="3"/>
      <c r="C10" s="3"/>
      <c r="D10" s="3"/>
      <c r="E10" s="3"/>
    </row>
    <row r="11" spans="2:5" x14ac:dyDescent="0.25">
      <c r="B11" s="307">
        <f>'Lahan sawah'!B11</f>
        <v>2021</v>
      </c>
      <c r="C11" s="412">
        <f>'Direct N2O'!T36*10^-3</f>
        <v>20.172272359886456</v>
      </c>
      <c r="D11" s="224">
        <v>0.2</v>
      </c>
      <c r="E11" s="225">
        <f>C11*D11</f>
        <v>4.0344544719772912</v>
      </c>
    </row>
    <row r="12" spans="2:5" x14ac:dyDescent="0.25">
      <c r="B12" s="307">
        <f>'Lahan sawah'!B12</f>
        <v>2022</v>
      </c>
      <c r="C12" s="412">
        <f>'Direct N2O'!T37*10^-3</f>
        <v>20.414339628205092</v>
      </c>
      <c r="D12" s="224">
        <v>0.2</v>
      </c>
      <c r="E12" s="225">
        <f t="shared" ref="E12:E21" si="0">C12*D12</f>
        <v>4.0828679256410183</v>
      </c>
    </row>
    <row r="13" spans="2:5" x14ac:dyDescent="0.25">
      <c r="B13" s="307">
        <f>'Lahan sawah'!B13</f>
        <v>2023</v>
      </c>
      <c r="C13" s="412">
        <f>'Direct N2O'!T38*10^-3</f>
        <v>20.659311703743555</v>
      </c>
      <c r="D13" s="224">
        <v>0.2</v>
      </c>
      <c r="E13" s="225">
        <f t="shared" si="0"/>
        <v>4.1318623407487109</v>
      </c>
    </row>
    <row r="14" spans="2:5" x14ac:dyDescent="0.25">
      <c r="B14" s="307">
        <f>'Lahan sawah'!B14</f>
        <v>2024</v>
      </c>
      <c r="C14" s="412">
        <f>'Direct N2O'!T39*10^-3</f>
        <v>20.907223444188478</v>
      </c>
      <c r="D14" s="224">
        <v>0.2</v>
      </c>
      <c r="E14" s="225">
        <f t="shared" si="0"/>
        <v>4.1814446888376962</v>
      </c>
    </row>
    <row r="15" spans="2:5" x14ac:dyDescent="0.25">
      <c r="B15" s="307">
        <f>'Lahan sawah'!B15</f>
        <v>2025</v>
      </c>
      <c r="C15" s="412">
        <f>'Direct N2O'!T40*10^-3</f>
        <v>21.158110125518743</v>
      </c>
      <c r="D15" s="224">
        <v>0.2</v>
      </c>
      <c r="E15" s="225">
        <f t="shared" si="0"/>
        <v>4.2316220251037491</v>
      </c>
    </row>
    <row r="16" spans="2:5" x14ac:dyDescent="0.25">
      <c r="B16" s="307">
        <f>'Lahan sawah'!B16</f>
        <v>2026</v>
      </c>
      <c r="C16" s="412">
        <f>'Direct N2O'!T41*10^-3</f>
        <v>21.412007447024966</v>
      </c>
      <c r="D16" s="224">
        <v>0.2</v>
      </c>
      <c r="E16" s="225">
        <f t="shared" si="0"/>
        <v>4.2824014894049931</v>
      </c>
    </row>
    <row r="17" spans="2:13" x14ac:dyDescent="0.25">
      <c r="B17" s="307">
        <f>'Lahan sawah'!B17</f>
        <v>2027</v>
      </c>
      <c r="C17" s="412">
        <f>'Direct N2O'!T42*10^-3</f>
        <v>21.668951536389265</v>
      </c>
      <c r="D17" s="224">
        <v>0.2</v>
      </c>
      <c r="E17" s="225">
        <f t="shared" si="0"/>
        <v>4.3337903072778534</v>
      </c>
    </row>
    <row r="18" spans="2:13" x14ac:dyDescent="0.25">
      <c r="B18" s="307">
        <f>'Lahan sawah'!B18</f>
        <v>2028</v>
      </c>
      <c r="C18" s="412">
        <f>'Direct N2O'!T43*10^-3</f>
        <v>21.928978954825936</v>
      </c>
      <c r="D18" s="224">
        <v>0.2</v>
      </c>
      <c r="E18" s="177">
        <f t="shared" si="0"/>
        <v>4.3857957909651875</v>
      </c>
    </row>
    <row r="19" spans="2:13" x14ac:dyDescent="0.25">
      <c r="B19" s="307">
        <f>'Lahan sawah'!B19</f>
        <v>2029</v>
      </c>
      <c r="C19" s="412">
        <f>'Direct N2O'!T44*10^-3</f>
        <v>22.192126702283851</v>
      </c>
      <c r="D19" s="224">
        <v>0.2</v>
      </c>
      <c r="E19" s="177">
        <f t="shared" si="0"/>
        <v>4.43842534045677</v>
      </c>
    </row>
    <row r="20" spans="2:13" x14ac:dyDescent="0.25">
      <c r="B20" s="307">
        <f>'Lahan sawah'!B20</f>
        <v>2030</v>
      </c>
      <c r="C20" s="412">
        <f>'Direct N2O'!T45*10^-3</f>
        <v>22.461119949746092</v>
      </c>
      <c r="D20" s="224">
        <v>0.2</v>
      </c>
      <c r="E20" s="177">
        <f t="shared" si="0"/>
        <v>4.4922239899492187</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12.24918473836702</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478</v>
      </c>
    </row>
    <row r="32" spans="2:13" ht="60" x14ac:dyDescent="0.25">
      <c r="B32" s="19" t="s">
        <v>357</v>
      </c>
      <c r="C32" s="173">
        <v>15000</v>
      </c>
      <c r="D32" t="s">
        <v>197</v>
      </c>
      <c r="E32">
        <v>222</v>
      </c>
      <c r="F32" t="s">
        <v>304</v>
      </c>
      <c r="G32" s="173">
        <f>(C32*E32*10^-3)*80%</f>
        <v>2664</v>
      </c>
      <c r="K32" s="237" t="s">
        <v>479</v>
      </c>
      <c r="L32" s="237" t="s">
        <v>480</v>
      </c>
      <c r="M32" s="237" t="s">
        <v>481</v>
      </c>
    </row>
    <row r="33" spans="5:13" x14ac:dyDescent="0.25">
      <c r="E33" s="308">
        <f>M33</f>
        <v>713.16502638710608</v>
      </c>
      <c r="G33" s="175"/>
      <c r="I33" t="s">
        <v>482</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A26" zoomScale="85" zoomScaleNormal="85"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5" t="s">
        <v>367</v>
      </c>
      <c r="B3" s="475"/>
      <c r="C3" s="476" t="s">
        <v>368</v>
      </c>
      <c r="D3" s="476"/>
      <c r="E3" s="476"/>
      <c r="F3" s="476"/>
      <c r="G3" s="476"/>
      <c r="H3" s="310"/>
      <c r="I3" s="315"/>
      <c r="J3" s="315"/>
      <c r="K3" s="315"/>
      <c r="L3" s="315"/>
      <c r="M3" s="315"/>
      <c r="N3" s="315"/>
      <c r="O3" s="315"/>
      <c r="P3" s="310"/>
      <c r="Q3" s="315"/>
      <c r="R3" s="315"/>
      <c r="S3" s="315"/>
      <c r="T3" s="315"/>
      <c r="U3" s="315"/>
      <c r="V3" s="315"/>
      <c r="W3" s="315"/>
      <c r="Y3" s="315"/>
      <c r="Z3" s="315"/>
      <c r="AA3" s="315"/>
      <c r="AB3" s="315"/>
      <c r="AC3" s="315"/>
      <c r="AD3" s="315"/>
      <c r="AE3" s="315"/>
      <c r="AG3" s="471"/>
      <c r="AH3" s="471"/>
      <c r="AI3" s="472"/>
      <c r="AJ3" s="472"/>
      <c r="AK3" s="472"/>
      <c r="AL3" s="472"/>
      <c r="AM3" s="472"/>
      <c r="AO3" s="471"/>
      <c r="AP3" s="471"/>
      <c r="AQ3" s="472"/>
      <c r="AR3" s="472"/>
      <c r="AS3" s="472"/>
      <c r="AT3" s="472"/>
      <c r="AU3" s="472"/>
      <c r="AW3" s="471"/>
      <c r="AX3" s="471"/>
      <c r="AY3" s="472"/>
      <c r="AZ3" s="472"/>
      <c r="BA3" s="472"/>
      <c r="BB3" s="472"/>
      <c r="BC3" s="472"/>
      <c r="BE3" s="471"/>
      <c r="BF3" s="471"/>
      <c r="BG3" s="472"/>
      <c r="BH3" s="472"/>
      <c r="BI3" s="472"/>
      <c r="BJ3" s="472"/>
      <c r="BK3" s="472"/>
      <c r="BM3" s="471"/>
      <c r="BN3" s="471"/>
      <c r="BO3" s="472"/>
      <c r="BP3" s="472"/>
      <c r="BQ3" s="472"/>
      <c r="BR3" s="472"/>
      <c r="BS3" s="472"/>
      <c r="BU3" s="471"/>
      <c r="BV3" s="471"/>
      <c r="BW3" s="472"/>
      <c r="BX3" s="472"/>
      <c r="BY3" s="472"/>
      <c r="BZ3" s="472"/>
      <c r="CA3" s="472"/>
      <c r="CC3" s="315"/>
      <c r="CD3" s="315"/>
      <c r="CE3" s="315"/>
      <c r="CF3" s="315"/>
      <c r="CG3" s="315"/>
      <c r="CH3" s="315"/>
      <c r="CI3" s="315"/>
    </row>
    <row r="4" spans="1:87" s="312" customFormat="1" ht="13.5" customHeight="1" x14ac:dyDescent="0.25">
      <c r="A4" s="475" t="s">
        <v>369</v>
      </c>
      <c r="B4" s="475"/>
      <c r="C4" s="476" t="s">
        <v>483</v>
      </c>
      <c r="D4" s="476"/>
      <c r="E4" s="476"/>
      <c r="F4" s="476"/>
      <c r="G4" s="476"/>
      <c r="H4" s="310"/>
      <c r="I4" s="315"/>
      <c r="J4" s="315"/>
      <c r="K4" s="315"/>
      <c r="L4" s="315"/>
      <c r="M4" s="315"/>
      <c r="N4" s="315"/>
      <c r="O4" s="315"/>
      <c r="P4" s="310"/>
      <c r="Q4" s="315"/>
      <c r="R4" s="315"/>
      <c r="S4" s="315"/>
      <c r="T4" s="315"/>
      <c r="U4" s="315"/>
      <c r="V4" s="315"/>
      <c r="W4" s="315"/>
      <c r="Y4" s="315"/>
      <c r="Z4" s="315"/>
      <c r="AA4" s="315"/>
      <c r="AB4" s="315"/>
      <c r="AC4" s="315"/>
      <c r="AD4" s="315"/>
      <c r="AE4" s="315"/>
      <c r="AG4" s="471"/>
      <c r="AH4" s="471"/>
      <c r="AI4" s="472"/>
      <c r="AJ4" s="472"/>
      <c r="AK4" s="472"/>
      <c r="AL4" s="472"/>
      <c r="AM4" s="472"/>
      <c r="AO4" s="471"/>
      <c r="AP4" s="471"/>
      <c r="AQ4" s="472"/>
      <c r="AR4" s="472"/>
      <c r="AS4" s="472"/>
      <c r="AT4" s="472"/>
      <c r="AU4" s="472"/>
      <c r="AW4" s="471"/>
      <c r="AX4" s="471"/>
      <c r="AY4" s="472"/>
      <c r="AZ4" s="472"/>
      <c r="BA4" s="472"/>
      <c r="BB4" s="472"/>
      <c r="BC4" s="472"/>
      <c r="BE4" s="471"/>
      <c r="BF4" s="471"/>
      <c r="BG4" s="472"/>
      <c r="BH4" s="472"/>
      <c r="BI4" s="472"/>
      <c r="BJ4" s="472"/>
      <c r="BK4" s="472"/>
      <c r="BM4" s="471"/>
      <c r="BN4" s="471"/>
      <c r="BO4" s="472"/>
      <c r="BP4" s="472"/>
      <c r="BQ4" s="472"/>
      <c r="BR4" s="472"/>
      <c r="BS4" s="472"/>
      <c r="BU4" s="471"/>
      <c r="BV4" s="471"/>
      <c r="BW4" s="472"/>
      <c r="BX4" s="472"/>
      <c r="BY4" s="472"/>
      <c r="BZ4" s="472"/>
      <c r="CA4" s="472"/>
      <c r="CC4" s="315"/>
      <c r="CD4" s="315"/>
      <c r="CE4" s="315"/>
      <c r="CF4" s="315"/>
      <c r="CG4" s="315"/>
      <c r="CH4" s="315"/>
      <c r="CI4" s="315"/>
    </row>
    <row r="5" spans="1:87" s="312" customFormat="1" x14ac:dyDescent="0.25">
      <c r="A5" s="475" t="s">
        <v>370</v>
      </c>
      <c r="B5" s="475"/>
      <c r="C5" s="476" t="s">
        <v>371</v>
      </c>
      <c r="D5" s="476"/>
      <c r="E5" s="476"/>
      <c r="F5" s="476"/>
      <c r="G5" s="476"/>
      <c r="H5" s="310"/>
      <c r="I5" s="315"/>
      <c r="J5" s="315"/>
      <c r="K5" s="315"/>
      <c r="L5" s="315"/>
      <c r="M5" s="315"/>
      <c r="N5" s="315"/>
      <c r="O5" s="315"/>
      <c r="P5" s="310"/>
      <c r="Q5" s="315"/>
      <c r="R5" s="315"/>
      <c r="S5" s="315"/>
      <c r="T5" s="315"/>
      <c r="U5" s="315"/>
      <c r="V5" s="315"/>
      <c r="W5" s="315"/>
      <c r="Y5" s="315"/>
      <c r="Z5" s="315"/>
      <c r="AA5" s="315"/>
      <c r="AB5" s="315"/>
      <c r="AC5" s="315"/>
      <c r="AD5" s="315"/>
      <c r="AE5" s="315"/>
      <c r="AG5" s="471"/>
      <c r="AH5" s="471"/>
      <c r="AI5" s="472"/>
      <c r="AJ5" s="472"/>
      <c r="AK5" s="472"/>
      <c r="AL5" s="472"/>
      <c r="AM5" s="472"/>
      <c r="AO5" s="471"/>
      <c r="AP5" s="471"/>
      <c r="AQ5" s="472"/>
      <c r="AR5" s="472"/>
      <c r="AS5" s="472"/>
      <c r="AT5" s="472"/>
      <c r="AU5" s="472"/>
      <c r="AW5" s="471"/>
      <c r="AX5" s="471"/>
      <c r="AY5" s="472"/>
      <c r="AZ5" s="472"/>
      <c r="BA5" s="472"/>
      <c r="BB5" s="472"/>
      <c r="BC5" s="472"/>
      <c r="BE5" s="471"/>
      <c r="BF5" s="471"/>
      <c r="BG5" s="472"/>
      <c r="BH5" s="472"/>
      <c r="BI5" s="472"/>
      <c r="BJ5" s="472"/>
      <c r="BK5" s="472"/>
      <c r="BM5" s="471"/>
      <c r="BN5" s="471"/>
      <c r="BO5" s="472"/>
      <c r="BP5" s="472"/>
      <c r="BQ5" s="472"/>
      <c r="BR5" s="472"/>
      <c r="BS5" s="472"/>
      <c r="BU5" s="471"/>
      <c r="BV5" s="471"/>
      <c r="BW5" s="472"/>
      <c r="BX5" s="472"/>
      <c r="BY5" s="472"/>
      <c r="BZ5" s="472"/>
      <c r="CA5" s="472"/>
      <c r="CC5" s="315"/>
      <c r="CD5" s="315"/>
      <c r="CE5" s="315"/>
      <c r="CF5" s="315"/>
      <c r="CG5" s="315"/>
      <c r="CH5" s="315"/>
      <c r="CI5" s="315"/>
    </row>
    <row r="6" spans="1:87" s="312" customFormat="1" x14ac:dyDescent="0.25">
      <c r="A6" s="475" t="s">
        <v>372</v>
      </c>
      <c r="B6" s="475"/>
      <c r="C6" s="476" t="s">
        <v>373</v>
      </c>
      <c r="D6" s="476"/>
      <c r="E6" s="476"/>
      <c r="F6" s="476"/>
      <c r="G6" s="476"/>
      <c r="H6" s="310"/>
      <c r="I6" s="315"/>
      <c r="J6" s="315"/>
      <c r="K6" s="315"/>
      <c r="L6" s="315"/>
      <c r="M6" s="315"/>
      <c r="N6" s="315"/>
      <c r="O6" s="315"/>
      <c r="P6" s="310"/>
      <c r="Q6" s="315"/>
      <c r="R6" s="315"/>
      <c r="S6" s="315"/>
      <c r="T6" s="315"/>
      <c r="U6" s="315"/>
      <c r="V6" s="315"/>
      <c r="W6" s="315"/>
      <c r="Y6" s="315"/>
      <c r="Z6" s="315"/>
      <c r="AA6" s="315"/>
      <c r="AB6" s="315"/>
      <c r="AC6" s="315"/>
      <c r="AD6" s="315"/>
      <c r="AE6" s="315"/>
      <c r="AG6" s="471"/>
      <c r="AH6" s="471"/>
      <c r="AI6" s="472"/>
      <c r="AJ6" s="472"/>
      <c r="AK6" s="472"/>
      <c r="AL6" s="472"/>
      <c r="AM6" s="472"/>
      <c r="AO6" s="471"/>
      <c r="AP6" s="471"/>
      <c r="AQ6" s="472"/>
      <c r="AR6" s="472"/>
      <c r="AS6" s="472"/>
      <c r="AT6" s="472"/>
      <c r="AU6" s="472"/>
      <c r="AW6" s="471"/>
      <c r="AX6" s="471"/>
      <c r="AY6" s="472"/>
      <c r="AZ6" s="472"/>
      <c r="BA6" s="472"/>
      <c r="BB6" s="472"/>
      <c r="BC6" s="472"/>
      <c r="BE6" s="471"/>
      <c r="BF6" s="471"/>
      <c r="BG6" s="472"/>
      <c r="BH6" s="472"/>
      <c r="BI6" s="472"/>
      <c r="BJ6" s="472"/>
      <c r="BK6" s="472"/>
      <c r="BM6" s="471"/>
      <c r="BN6" s="471"/>
      <c r="BO6" s="472"/>
      <c r="BP6" s="472"/>
      <c r="BQ6" s="472"/>
      <c r="BR6" s="472"/>
      <c r="BS6" s="472"/>
      <c r="BU6" s="471"/>
      <c r="BV6" s="471"/>
      <c r="BW6" s="472"/>
      <c r="BX6" s="472"/>
      <c r="BY6" s="472"/>
      <c r="BZ6" s="472"/>
      <c r="CA6" s="472"/>
      <c r="CC6" s="315"/>
      <c r="CD6" s="315"/>
      <c r="CE6" s="315"/>
      <c r="CF6" s="315"/>
      <c r="CG6" s="315"/>
      <c r="CH6" s="315"/>
      <c r="CI6" s="315"/>
    </row>
    <row r="7" spans="1:87" s="312" customFormat="1" x14ac:dyDescent="0.25">
      <c r="A7" s="477" t="s">
        <v>3</v>
      </c>
      <c r="B7" s="477"/>
      <c r="C7" s="478" t="s">
        <v>374</v>
      </c>
      <c r="D7" s="478"/>
      <c r="E7" s="478"/>
      <c r="F7" s="478"/>
      <c r="G7" s="478"/>
      <c r="H7" s="310"/>
      <c r="I7" s="315"/>
      <c r="J7" s="315"/>
      <c r="K7" s="315"/>
      <c r="L7" s="315"/>
      <c r="M7" s="315"/>
      <c r="N7" s="315"/>
      <c r="O7" s="315"/>
      <c r="P7" s="310"/>
      <c r="Q7" s="315"/>
      <c r="R7" s="315"/>
      <c r="S7" s="315"/>
      <c r="T7" s="315"/>
      <c r="U7" s="315"/>
      <c r="V7" s="315"/>
      <c r="W7" s="315"/>
      <c r="Y7" s="315"/>
      <c r="Z7" s="315"/>
      <c r="AA7" s="315"/>
      <c r="AB7" s="315"/>
      <c r="AC7" s="315"/>
      <c r="AD7" s="315"/>
      <c r="AE7" s="315"/>
      <c r="AG7" s="471"/>
      <c r="AH7" s="471"/>
      <c r="AI7" s="473"/>
      <c r="AJ7" s="473"/>
      <c r="AK7" s="473"/>
      <c r="AL7" s="473"/>
      <c r="AM7" s="473"/>
      <c r="AO7" s="471"/>
      <c r="AP7" s="471"/>
      <c r="AQ7" s="473"/>
      <c r="AR7" s="473"/>
      <c r="AS7" s="473"/>
      <c r="AT7" s="473"/>
      <c r="AU7" s="473"/>
      <c r="AW7" s="471"/>
      <c r="AX7" s="471"/>
      <c r="AY7" s="473"/>
      <c r="AZ7" s="473"/>
      <c r="BA7" s="473"/>
      <c r="BB7" s="473"/>
      <c r="BC7" s="473"/>
      <c r="BE7" s="471"/>
      <c r="BF7" s="471"/>
      <c r="BG7" s="473"/>
      <c r="BH7" s="473"/>
      <c r="BI7" s="473"/>
      <c r="BJ7" s="473"/>
      <c r="BK7" s="473"/>
      <c r="BM7" s="471"/>
      <c r="BN7" s="471"/>
      <c r="BO7" s="473"/>
      <c r="BP7" s="473"/>
      <c r="BQ7" s="473"/>
      <c r="BR7" s="473"/>
      <c r="BS7" s="473"/>
      <c r="BU7" s="471"/>
      <c r="BV7" s="471"/>
      <c r="BW7" s="473"/>
      <c r="BX7" s="473"/>
      <c r="BY7" s="473"/>
      <c r="BZ7" s="473"/>
      <c r="CA7" s="473"/>
      <c r="CC7" s="315"/>
      <c r="CD7" s="315"/>
      <c r="CE7" s="315"/>
      <c r="CF7" s="315"/>
      <c r="CG7" s="315"/>
      <c r="CH7" s="315"/>
      <c r="CI7" s="315"/>
    </row>
    <row r="8" spans="1:87" s="312" customFormat="1" ht="39.75" x14ac:dyDescent="0.25">
      <c r="A8" s="483" t="s">
        <v>375</v>
      </c>
      <c r="B8" s="483"/>
      <c r="C8" s="483" t="s">
        <v>376</v>
      </c>
      <c r="D8" s="483"/>
      <c r="E8" s="483" t="s">
        <v>484</v>
      </c>
      <c r="F8" s="483"/>
      <c r="G8" s="326" t="s">
        <v>485</v>
      </c>
      <c r="H8" s="310"/>
      <c r="I8" s="313"/>
      <c r="J8" s="313"/>
      <c r="K8" s="313"/>
      <c r="L8" s="313"/>
      <c r="M8" s="313"/>
      <c r="N8" s="313"/>
      <c r="O8" s="354"/>
      <c r="P8" s="310"/>
      <c r="Q8" s="313"/>
      <c r="R8" s="313"/>
      <c r="S8" s="313"/>
      <c r="T8" s="313"/>
      <c r="U8" s="313"/>
      <c r="V8" s="313"/>
      <c r="W8" s="354"/>
      <c r="Y8" s="313"/>
      <c r="Z8" s="313"/>
      <c r="AA8" s="313"/>
      <c r="AB8" s="313"/>
      <c r="AC8" s="313"/>
      <c r="AD8" s="313"/>
      <c r="AE8" s="354"/>
      <c r="AG8" s="313"/>
      <c r="AH8" s="313"/>
      <c r="AI8" s="313"/>
      <c r="AJ8" s="313"/>
      <c r="AK8" s="313"/>
      <c r="AL8" s="313"/>
      <c r="AM8" s="354"/>
      <c r="AO8" s="313"/>
      <c r="AP8" s="313"/>
      <c r="AQ8" s="313"/>
      <c r="AR8" s="313"/>
      <c r="AS8" s="313"/>
      <c r="AT8" s="313"/>
      <c r="AU8" s="354"/>
      <c r="AW8" s="313"/>
      <c r="AX8" s="313"/>
      <c r="AY8" s="313"/>
      <c r="AZ8" s="313"/>
      <c r="BA8" s="313"/>
      <c r="BB8" s="313"/>
      <c r="BC8" s="354"/>
      <c r="BE8" s="313"/>
      <c r="BF8" s="313"/>
      <c r="BG8" s="313"/>
      <c r="BH8" s="313"/>
      <c r="BI8" s="313"/>
      <c r="BJ8" s="313"/>
      <c r="BK8" s="354"/>
      <c r="BM8" s="313"/>
      <c r="BN8" s="313"/>
      <c r="BO8" s="313"/>
      <c r="BP8" s="313"/>
      <c r="BQ8" s="313"/>
      <c r="BR8" s="313"/>
      <c r="BS8" s="354"/>
      <c r="BU8" s="313"/>
      <c r="BV8" s="313"/>
      <c r="BW8" s="313"/>
      <c r="BX8" s="313"/>
      <c r="BY8" s="313"/>
      <c r="BZ8" s="313"/>
      <c r="CA8" s="354"/>
      <c r="CC8" s="313"/>
      <c r="CD8" s="313"/>
      <c r="CE8" s="313"/>
      <c r="CF8" s="313"/>
      <c r="CG8" s="313"/>
      <c r="CH8" s="313"/>
      <c r="CI8" s="354"/>
    </row>
    <row r="9" spans="1:87" s="312" customFormat="1" ht="13.5" customHeight="1" x14ac:dyDescent="0.25">
      <c r="A9" s="483"/>
      <c r="B9" s="483"/>
      <c r="C9" s="483" t="s">
        <v>486</v>
      </c>
      <c r="D9" s="483"/>
      <c r="E9" s="483" t="s">
        <v>487</v>
      </c>
      <c r="F9" s="483"/>
      <c r="G9" s="484" t="s">
        <v>488</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3"/>
      <c r="B10" s="483"/>
      <c r="C10" s="483"/>
      <c r="D10" s="483"/>
      <c r="E10" s="483"/>
      <c r="F10" s="483"/>
      <c r="G10" s="484"/>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3"/>
      <c r="B11" s="483"/>
      <c r="C11" s="483"/>
      <c r="D11" s="483"/>
      <c r="E11" s="483" t="s">
        <v>377</v>
      </c>
      <c r="F11" s="483"/>
      <c r="G11" s="326" t="s">
        <v>489</v>
      </c>
      <c r="H11" s="310"/>
      <c r="I11" s="313"/>
      <c r="J11" s="313"/>
      <c r="K11" s="313"/>
      <c r="L11" s="313"/>
      <c r="M11" s="313"/>
      <c r="N11" s="313"/>
      <c r="O11" s="354"/>
      <c r="P11" s="310"/>
      <c r="Q11" s="313"/>
      <c r="R11" s="313"/>
      <c r="S11" s="313"/>
      <c r="T11" s="313"/>
      <c r="U11" s="313"/>
      <c r="V11" s="313"/>
      <c r="W11" s="354"/>
      <c r="Y11" s="313"/>
      <c r="Z11" s="313"/>
      <c r="AA11" s="313"/>
      <c r="AB11" s="313"/>
      <c r="AC11" s="313"/>
      <c r="AD11" s="313"/>
      <c r="AE11" s="354"/>
      <c r="AG11" s="313"/>
      <c r="AH11" s="313"/>
      <c r="AI11" s="313"/>
      <c r="AJ11" s="313"/>
      <c r="AK11" s="313"/>
      <c r="AL11" s="313"/>
      <c r="AM11" s="354"/>
      <c r="AO11" s="313"/>
      <c r="AP11" s="313"/>
      <c r="AQ11" s="313"/>
      <c r="AR11" s="313"/>
      <c r="AS11" s="313"/>
      <c r="AT11" s="313"/>
      <c r="AU11" s="354"/>
      <c r="AW11" s="313"/>
      <c r="AX11" s="313"/>
      <c r="AY11" s="313"/>
      <c r="AZ11" s="313"/>
      <c r="BA11" s="313"/>
      <c r="BB11" s="313"/>
      <c r="BC11" s="354"/>
      <c r="BE11" s="313"/>
      <c r="BF11" s="313"/>
      <c r="BG11" s="313"/>
      <c r="BH11" s="313"/>
      <c r="BI11" s="313"/>
      <c r="BJ11" s="313"/>
      <c r="BK11" s="354"/>
      <c r="BM11" s="313"/>
      <c r="BN11" s="313"/>
      <c r="BO11" s="313"/>
      <c r="BP11" s="313"/>
      <c r="BQ11" s="313"/>
      <c r="BR11" s="313"/>
      <c r="BS11" s="354"/>
      <c r="BU11" s="313"/>
      <c r="BV11" s="313"/>
      <c r="BW11" s="313"/>
      <c r="BX11" s="313"/>
      <c r="BY11" s="313"/>
      <c r="BZ11" s="313"/>
      <c r="CA11" s="354"/>
      <c r="CC11" s="313"/>
      <c r="CD11" s="313"/>
      <c r="CE11" s="313"/>
      <c r="CF11" s="313"/>
      <c r="CG11" s="313"/>
      <c r="CH11" s="313"/>
      <c r="CI11" s="354"/>
    </row>
    <row r="12" spans="1:87" s="312" customFormat="1" ht="14.25" x14ac:dyDescent="0.25">
      <c r="A12" s="483"/>
      <c r="B12" s="483"/>
      <c r="C12" s="485" t="s">
        <v>378</v>
      </c>
      <c r="D12" s="485"/>
      <c r="E12" s="485" t="s">
        <v>54</v>
      </c>
      <c r="F12" s="485"/>
      <c r="G12" s="355" t="s">
        <v>490</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6"/>
      <c r="X12" s="309" t="s">
        <v>396</v>
      </c>
      <c r="Y12" s="310">
        <v>2027</v>
      </c>
      <c r="Z12" s="313"/>
      <c r="AA12" s="309" t="s">
        <v>396</v>
      </c>
      <c r="AB12" s="310">
        <v>2028</v>
      </c>
      <c r="AC12" s="315"/>
      <c r="AD12" s="309" t="s">
        <v>396</v>
      </c>
      <c r="AE12" s="310">
        <v>2029</v>
      </c>
      <c r="AG12" s="309" t="s">
        <v>396</v>
      </c>
      <c r="AH12" s="310">
        <v>2030</v>
      </c>
      <c r="AI12" s="315"/>
      <c r="AJ12" s="315"/>
      <c r="AK12" s="315"/>
      <c r="AL12" s="315"/>
      <c r="AM12" s="356"/>
      <c r="AO12" s="313"/>
      <c r="AP12" s="313"/>
      <c r="AQ12" s="315"/>
      <c r="AR12" s="315"/>
      <c r="AS12" s="315"/>
      <c r="AT12" s="315"/>
      <c r="AU12" s="356"/>
      <c r="AW12" s="313"/>
      <c r="AX12" s="313"/>
      <c r="AY12" s="315"/>
      <c r="AZ12" s="315"/>
      <c r="BA12" s="315"/>
      <c r="BB12" s="315"/>
      <c r="BC12" s="356"/>
      <c r="BE12" s="313"/>
      <c r="BF12" s="313"/>
      <c r="BG12" s="315"/>
      <c r="BH12" s="315"/>
      <c r="BI12" s="315"/>
      <c r="BJ12" s="315"/>
      <c r="BK12" s="356"/>
      <c r="BM12" s="313"/>
      <c r="BN12" s="313"/>
      <c r="BO12" s="315"/>
      <c r="BP12" s="315"/>
      <c r="BQ12" s="315"/>
      <c r="BR12" s="315"/>
      <c r="BS12" s="356"/>
      <c r="BU12" s="313"/>
      <c r="BV12" s="313"/>
      <c r="BW12" s="315"/>
      <c r="BX12" s="315"/>
      <c r="BY12" s="315"/>
      <c r="BZ12" s="315"/>
      <c r="CA12" s="356"/>
      <c r="CC12" s="313"/>
      <c r="CD12" s="313"/>
      <c r="CE12" s="315"/>
      <c r="CF12" s="315"/>
      <c r="CG12" s="315"/>
      <c r="CH12" s="315"/>
      <c r="CI12" s="356"/>
    </row>
    <row r="13" spans="1:87" ht="27" x14ac:dyDescent="0.25">
      <c r="A13" s="479" t="s">
        <v>491</v>
      </c>
      <c r="B13" s="329" t="s">
        <v>379</v>
      </c>
      <c r="C13" s="357" t="s">
        <v>492</v>
      </c>
      <c r="D13" s="358">
        <f>$AA36</f>
        <v>9279.2452855477695</v>
      </c>
      <c r="E13" s="481" t="s">
        <v>493</v>
      </c>
      <c r="F13" s="359">
        <v>0.01</v>
      </c>
      <c r="G13" s="360">
        <f>D13*$F$13</f>
        <v>92.792452855477691</v>
      </c>
      <c r="I13" s="358">
        <f>$AA37</f>
        <v>9390.5962289743438</v>
      </c>
      <c r="J13" s="360">
        <f>I13*$F$13</f>
        <v>93.905962289743442</v>
      </c>
      <c r="L13" s="358">
        <f>$AA38</f>
        <v>9503.2833837220351</v>
      </c>
      <c r="M13" s="360">
        <f>L13*$F$13</f>
        <v>95.032833837220352</v>
      </c>
      <c r="N13" s="362"/>
      <c r="O13" s="358">
        <f>$AA39</f>
        <v>9617.3227843267014</v>
      </c>
      <c r="P13" s="360">
        <f>O13*$F$13</f>
        <v>96.173227843267014</v>
      </c>
      <c r="Q13" s="363"/>
      <c r="R13" s="358">
        <f>$AA40</f>
        <v>9732.7306577386225</v>
      </c>
      <c r="S13" s="360">
        <f>R13*$F$13</f>
        <v>97.327306577386224</v>
      </c>
      <c r="T13" s="313"/>
      <c r="U13" s="358">
        <f>$AA41</f>
        <v>9849.5234256314834</v>
      </c>
      <c r="V13" s="360">
        <f>U13*$F$13</f>
        <v>98.495234256314831</v>
      </c>
      <c r="W13" s="312"/>
      <c r="X13" s="358">
        <f>$AA42</f>
        <v>9967.7177067390621</v>
      </c>
      <c r="Y13" s="360">
        <f>X13*$F$13</f>
        <v>99.67717706739063</v>
      </c>
      <c r="Z13" s="313"/>
      <c r="AA13" s="358">
        <f>$AA43</f>
        <v>10087.330319219931</v>
      </c>
      <c r="AB13" s="360">
        <f>AA13*$F$13</f>
        <v>100.87330319219932</v>
      </c>
      <c r="AC13" s="313"/>
      <c r="AD13" s="358">
        <f>$AA44</f>
        <v>10208.378283050572</v>
      </c>
      <c r="AE13" s="360">
        <f>AD13*$F$13</f>
        <v>102.08378283050571</v>
      </c>
      <c r="AF13" s="312"/>
      <c r="AG13" s="358">
        <f>$AA45</f>
        <v>10332.115176883202</v>
      </c>
      <c r="AH13" s="360">
        <f>AG13*$F$13</f>
        <v>103.32115176883202</v>
      </c>
      <c r="AI13" s="313"/>
      <c r="AJ13" s="362"/>
      <c r="AK13" s="313"/>
      <c r="AL13" s="364"/>
      <c r="AM13" s="363"/>
      <c r="AN13" s="312"/>
      <c r="AO13" s="313"/>
      <c r="AP13" s="313"/>
      <c r="AQ13" s="313"/>
      <c r="AR13" s="362"/>
      <c r="AS13" s="313"/>
      <c r="AT13" s="364"/>
      <c r="AU13" s="363"/>
      <c r="AV13" s="312"/>
      <c r="AW13" s="313"/>
      <c r="AX13" s="313"/>
      <c r="AY13" s="313"/>
      <c r="AZ13" s="362"/>
      <c r="BA13" s="313"/>
      <c r="BB13" s="364"/>
      <c r="BC13" s="363"/>
      <c r="BD13" s="312"/>
      <c r="BE13" s="313"/>
      <c r="BF13" s="313"/>
      <c r="BG13" s="313"/>
      <c r="BH13" s="362"/>
      <c r="BI13" s="313"/>
      <c r="BJ13" s="364"/>
      <c r="BK13" s="363"/>
      <c r="BL13" s="312"/>
      <c r="BM13" s="313"/>
      <c r="BN13" s="313"/>
      <c r="BO13" s="313"/>
      <c r="BP13" s="362"/>
      <c r="BQ13" s="313"/>
      <c r="BR13" s="364"/>
      <c r="BS13" s="363"/>
      <c r="BT13" s="312"/>
      <c r="BU13" s="313"/>
      <c r="BV13" s="313"/>
      <c r="BW13" s="313"/>
      <c r="BX13" s="362"/>
      <c r="BY13" s="313"/>
      <c r="BZ13" s="364"/>
      <c r="CA13" s="363"/>
      <c r="CB13" s="312"/>
      <c r="CC13" s="362"/>
      <c r="CD13" s="313"/>
      <c r="CE13" s="364"/>
      <c r="CF13" s="312"/>
      <c r="CG13" s="363"/>
    </row>
    <row r="14" spans="1:87" ht="53.25" thickBot="1" x14ac:dyDescent="0.3">
      <c r="A14" s="480"/>
      <c r="B14" s="365" t="s">
        <v>380</v>
      </c>
      <c r="C14" s="366" t="s">
        <v>494</v>
      </c>
      <c r="D14" s="367">
        <v>0</v>
      </c>
      <c r="E14" s="482"/>
      <c r="F14" s="368">
        <v>0.01</v>
      </c>
      <c r="G14" s="360">
        <f>D14*F14</f>
        <v>0</v>
      </c>
      <c r="I14" s="367">
        <v>0</v>
      </c>
      <c r="J14" s="360">
        <f>I14*$F$14</f>
        <v>0</v>
      </c>
      <c r="L14" s="367">
        <v>0</v>
      </c>
      <c r="M14" s="360">
        <f>L14*$F$14</f>
        <v>0</v>
      </c>
      <c r="N14" s="362"/>
      <c r="O14" s="367">
        <v>0</v>
      </c>
      <c r="P14" s="360">
        <f>O14*$F$14</f>
        <v>0</v>
      </c>
      <c r="Q14" s="363"/>
      <c r="R14" s="367">
        <v>0</v>
      </c>
      <c r="S14" s="360">
        <f>R14*$F$14</f>
        <v>0</v>
      </c>
      <c r="T14" s="313"/>
      <c r="U14" s="367">
        <v>0</v>
      </c>
      <c r="V14" s="360">
        <f>U14*$F$14</f>
        <v>0</v>
      </c>
      <c r="W14" s="312"/>
      <c r="X14" s="367">
        <v>0</v>
      </c>
      <c r="Y14" s="360">
        <f>X14*$F$14</f>
        <v>0</v>
      </c>
      <c r="Z14" s="313"/>
      <c r="AA14" s="367">
        <v>0</v>
      </c>
      <c r="AB14" s="360">
        <f>AA14*$F$14</f>
        <v>0</v>
      </c>
      <c r="AC14" s="313"/>
      <c r="AD14" s="367">
        <v>0</v>
      </c>
      <c r="AE14" s="360">
        <f>AD14*$F$14</f>
        <v>0</v>
      </c>
      <c r="AF14" s="312"/>
      <c r="AG14" s="367">
        <v>0</v>
      </c>
      <c r="AH14" s="360">
        <f>AG14*$F$14</f>
        <v>0</v>
      </c>
      <c r="AI14" s="313"/>
      <c r="AJ14" s="362"/>
      <c r="AK14" s="313"/>
      <c r="AL14" s="364"/>
      <c r="AM14" s="363"/>
      <c r="AN14" s="312"/>
      <c r="AO14" s="313"/>
      <c r="AP14" s="313"/>
      <c r="AQ14" s="313"/>
      <c r="AR14" s="362"/>
      <c r="AS14" s="313"/>
      <c r="AT14" s="364"/>
      <c r="AU14" s="363"/>
      <c r="AV14" s="312"/>
      <c r="AW14" s="313"/>
      <c r="AX14" s="313"/>
      <c r="AY14" s="313"/>
      <c r="AZ14" s="362"/>
      <c r="BA14" s="313"/>
      <c r="BB14" s="364"/>
      <c r="BC14" s="363"/>
      <c r="BD14" s="312"/>
      <c r="BE14" s="313"/>
      <c r="BF14" s="313"/>
      <c r="BG14" s="313"/>
      <c r="BH14" s="362"/>
      <c r="BI14" s="313"/>
      <c r="BJ14" s="364"/>
      <c r="BK14" s="363"/>
      <c r="BL14" s="312"/>
      <c r="BM14" s="313"/>
      <c r="BN14" s="313"/>
      <c r="BO14" s="313"/>
      <c r="BP14" s="362"/>
      <c r="BQ14" s="313"/>
      <c r="BR14" s="364"/>
      <c r="BS14" s="363"/>
      <c r="BT14" s="312"/>
      <c r="BU14" s="313"/>
      <c r="BV14" s="313"/>
      <c r="BW14" s="313"/>
      <c r="BX14" s="362"/>
      <c r="BY14" s="313"/>
      <c r="BZ14" s="364"/>
      <c r="CA14" s="363"/>
      <c r="CB14" s="312"/>
      <c r="CC14" s="362"/>
      <c r="CD14" s="313"/>
      <c r="CE14" s="364"/>
      <c r="CF14" s="312"/>
      <c r="CG14" s="363"/>
    </row>
    <row r="15" spans="1:87" ht="27" x14ac:dyDescent="0.25">
      <c r="A15" s="493" t="s">
        <v>495</v>
      </c>
      <c r="B15" s="369" t="s">
        <v>379</v>
      </c>
      <c r="C15" s="370" t="s">
        <v>492</v>
      </c>
      <c r="D15" s="361">
        <f>$U36</f>
        <v>9279.2452855477695</v>
      </c>
      <c r="E15" s="494" t="s">
        <v>496</v>
      </c>
      <c r="F15" s="371">
        <v>3.0000000000000001E-3</v>
      </c>
      <c r="G15" s="360">
        <f>D15*$F$15</f>
        <v>27.83773585664331</v>
      </c>
      <c r="I15" s="361">
        <f>$U37</f>
        <v>9390.5962289743438</v>
      </c>
      <c r="J15" s="360">
        <f>I15*$F$15</f>
        <v>28.171788686923033</v>
      </c>
      <c r="L15" s="361">
        <f>$U38</f>
        <v>9503.2833837220351</v>
      </c>
      <c r="M15" s="360">
        <f>L15*$F$15</f>
        <v>28.509850151166106</v>
      </c>
      <c r="N15" s="362"/>
      <c r="O15" s="361">
        <f>$U39</f>
        <v>9617.3227843267014</v>
      </c>
      <c r="P15" s="360">
        <f>O15*$F$15</f>
        <v>28.851968352980105</v>
      </c>
      <c r="Q15" s="363"/>
      <c r="R15" s="361">
        <f>$U40</f>
        <v>9732.7306577386225</v>
      </c>
      <c r="S15" s="360">
        <f>R15*$F$15</f>
        <v>29.198191973215867</v>
      </c>
      <c r="T15" s="313"/>
      <c r="U15" s="361">
        <f>$U41</f>
        <v>9849.5234256314834</v>
      </c>
      <c r="V15" s="360">
        <f>U15*$F$15</f>
        <v>29.548570276894452</v>
      </c>
      <c r="W15" s="312"/>
      <c r="X15" s="361">
        <f>$U42</f>
        <v>9967.7177067390621</v>
      </c>
      <c r="Y15" s="360">
        <f>X15*$F$15</f>
        <v>29.903153120217187</v>
      </c>
      <c r="Z15" s="313"/>
      <c r="AA15" s="361">
        <f>$U43</f>
        <v>10087.330319219931</v>
      </c>
      <c r="AB15" s="360">
        <f>AA15*$F$15</f>
        <v>30.261990957659794</v>
      </c>
      <c r="AC15" s="313"/>
      <c r="AD15" s="361">
        <f>$U44</f>
        <v>10208.378283050572</v>
      </c>
      <c r="AE15" s="360">
        <f>AD15*$F$15</f>
        <v>30.625134849151717</v>
      </c>
      <c r="AF15" s="312"/>
      <c r="AG15" s="361">
        <f>$U45</f>
        <v>10332.115176883202</v>
      </c>
      <c r="AH15" s="360">
        <f>AG15*$F$15</f>
        <v>30.996345530649609</v>
      </c>
      <c r="AI15" s="313"/>
      <c r="AJ15" s="362"/>
      <c r="AK15" s="313"/>
      <c r="AL15" s="364"/>
      <c r="AM15" s="363"/>
      <c r="AN15" s="312"/>
      <c r="AO15" s="313"/>
      <c r="AP15" s="313"/>
      <c r="AQ15" s="313"/>
      <c r="AR15" s="362"/>
      <c r="AS15" s="313"/>
      <c r="AT15" s="364"/>
      <c r="AU15" s="363"/>
      <c r="AV15" s="312"/>
      <c r="AW15" s="313"/>
      <c r="AX15" s="313"/>
      <c r="AY15" s="313"/>
      <c r="AZ15" s="362"/>
      <c r="BA15" s="313"/>
      <c r="BB15" s="364"/>
      <c r="BC15" s="363"/>
      <c r="BD15" s="312"/>
      <c r="BE15" s="313"/>
      <c r="BF15" s="313"/>
      <c r="BG15" s="313"/>
      <c r="BH15" s="362"/>
      <c r="BI15" s="313"/>
      <c r="BJ15" s="364"/>
      <c r="BK15" s="363"/>
      <c r="BL15" s="312"/>
      <c r="BM15" s="313"/>
      <c r="BN15" s="313"/>
      <c r="BO15" s="313"/>
      <c r="BP15" s="362"/>
      <c r="BQ15" s="313"/>
      <c r="BR15" s="364"/>
      <c r="BS15" s="363"/>
      <c r="BT15" s="312"/>
      <c r="BU15" s="313"/>
      <c r="BV15" s="313"/>
      <c r="BW15" s="313"/>
      <c r="BX15" s="362"/>
      <c r="BY15" s="313"/>
      <c r="BZ15" s="364"/>
      <c r="CA15" s="363"/>
      <c r="CB15" s="312"/>
      <c r="CC15" s="362"/>
      <c r="CD15" s="313"/>
      <c r="CE15" s="364"/>
      <c r="CF15" s="312"/>
      <c r="CG15" s="363"/>
    </row>
    <row r="16" spans="1:87" ht="52.5" x14ac:dyDescent="0.25">
      <c r="A16" s="479"/>
      <c r="B16" s="329" t="s">
        <v>380</v>
      </c>
      <c r="C16" s="357" t="s">
        <v>494</v>
      </c>
      <c r="D16" s="358">
        <v>0</v>
      </c>
      <c r="E16" s="481"/>
      <c r="F16" s="359">
        <v>3.0000000000000001E-3</v>
      </c>
      <c r="G16" s="360">
        <f>D16*$F$16</f>
        <v>0</v>
      </c>
      <c r="I16" s="358">
        <v>0</v>
      </c>
      <c r="J16" s="360">
        <f>I16*$F$16</f>
        <v>0</v>
      </c>
      <c r="L16" s="358">
        <v>0</v>
      </c>
      <c r="M16" s="360">
        <f>L16*$F$16</f>
        <v>0</v>
      </c>
      <c r="N16" s="362"/>
      <c r="O16" s="358">
        <v>0</v>
      </c>
      <c r="P16" s="360">
        <f>O16*$F$16</f>
        <v>0</v>
      </c>
      <c r="Q16" s="363"/>
      <c r="R16" s="358">
        <v>0</v>
      </c>
      <c r="S16" s="360">
        <f>R16*$F$16</f>
        <v>0</v>
      </c>
      <c r="T16" s="313"/>
      <c r="U16" s="358">
        <v>0</v>
      </c>
      <c r="V16" s="360">
        <f>U16*$F$16</f>
        <v>0</v>
      </c>
      <c r="W16" s="312"/>
      <c r="X16" s="358">
        <v>0</v>
      </c>
      <c r="Y16" s="360">
        <f>X16*$F$16</f>
        <v>0</v>
      </c>
      <c r="Z16" s="313"/>
      <c r="AA16" s="358">
        <v>0</v>
      </c>
      <c r="AB16" s="360">
        <f>AA16*$F$16</f>
        <v>0</v>
      </c>
      <c r="AC16" s="313"/>
      <c r="AD16" s="358">
        <v>0</v>
      </c>
      <c r="AE16" s="360">
        <f>AD16*$F$16</f>
        <v>0</v>
      </c>
      <c r="AF16" s="312"/>
      <c r="AG16" s="358">
        <v>0</v>
      </c>
      <c r="AH16" s="360">
        <f>AG16*$F$16</f>
        <v>0</v>
      </c>
      <c r="AI16" s="313"/>
      <c r="AJ16" s="362"/>
      <c r="AK16" s="313"/>
      <c r="AL16" s="364"/>
      <c r="AM16" s="363"/>
      <c r="AN16" s="312"/>
      <c r="AO16" s="313"/>
      <c r="AP16" s="313"/>
      <c r="AQ16" s="313"/>
      <c r="AR16" s="362"/>
      <c r="AS16" s="313"/>
      <c r="AT16" s="364"/>
      <c r="AU16" s="363"/>
      <c r="AV16" s="312"/>
      <c r="AW16" s="313"/>
      <c r="AX16" s="313"/>
      <c r="AY16" s="313"/>
      <c r="AZ16" s="362"/>
      <c r="BA16" s="313"/>
      <c r="BB16" s="364"/>
      <c r="BC16" s="363"/>
      <c r="BD16" s="312"/>
      <c r="BE16" s="313"/>
      <c r="BF16" s="313"/>
      <c r="BG16" s="313"/>
      <c r="BH16" s="362"/>
      <c r="BI16" s="313"/>
      <c r="BJ16" s="364"/>
      <c r="BK16" s="363"/>
      <c r="BL16" s="312"/>
      <c r="BM16" s="313"/>
      <c r="BN16" s="313"/>
      <c r="BO16" s="313"/>
      <c r="BP16" s="362"/>
      <c r="BQ16" s="313"/>
      <c r="BR16" s="364"/>
      <c r="BS16" s="363"/>
      <c r="BT16" s="312"/>
      <c r="BU16" s="313"/>
      <c r="BV16" s="313"/>
      <c r="BW16" s="313"/>
      <c r="BX16" s="362"/>
      <c r="BY16" s="313"/>
      <c r="BZ16" s="364"/>
      <c r="CA16" s="363"/>
      <c r="CB16" s="312"/>
      <c r="CC16" s="362"/>
      <c r="CD16" s="313"/>
      <c r="CE16" s="364"/>
      <c r="CF16" s="312"/>
      <c r="CG16" s="363"/>
    </row>
    <row r="17" spans="1:85" x14ac:dyDescent="0.25">
      <c r="A17" s="495" t="s">
        <v>25</v>
      </c>
      <c r="B17" s="495"/>
      <c r="C17" s="372"/>
      <c r="D17" s="373"/>
      <c r="E17" s="372"/>
      <c r="F17" s="372"/>
      <c r="G17" s="374">
        <f>SUM(G13:G16)</f>
        <v>120.630188712121</v>
      </c>
      <c r="I17" s="373"/>
      <c r="J17" s="374">
        <f>SUM(J13:J16)</f>
        <v>122.07775097666648</v>
      </c>
      <c r="L17" s="373"/>
      <c r="M17" s="374">
        <f>SUM(M13:M16)</f>
        <v>123.54268398838646</v>
      </c>
      <c r="N17" s="362"/>
      <c r="O17" s="373"/>
      <c r="P17" s="374">
        <f>SUM(P13:P16)</f>
        <v>125.02519619624712</v>
      </c>
      <c r="Q17" s="363"/>
      <c r="R17" s="373"/>
      <c r="S17" s="374">
        <f>SUM(S13:S16)</f>
        <v>126.52549855060209</v>
      </c>
      <c r="T17" s="354"/>
      <c r="U17" s="373"/>
      <c r="V17" s="374">
        <f>SUM(V13:V16)</f>
        <v>128.04380453320928</v>
      </c>
      <c r="W17" s="312"/>
      <c r="X17" s="373"/>
      <c r="Y17" s="374">
        <f>SUM(Y13:Y16)</f>
        <v>129.58033018760781</v>
      </c>
      <c r="Z17" s="375"/>
      <c r="AA17" s="373"/>
      <c r="AB17" s="374">
        <f>SUM(AB13:AB16)</f>
        <v>131.13529414985911</v>
      </c>
      <c r="AC17" s="354"/>
      <c r="AD17" s="373"/>
      <c r="AE17" s="374">
        <f>SUM(AE13:AE16)</f>
        <v>132.70891767965742</v>
      </c>
      <c r="AF17" s="312"/>
      <c r="AG17" s="373"/>
      <c r="AH17" s="374">
        <f>SUM(AH13:AH16)</f>
        <v>134.31749729948163</v>
      </c>
      <c r="AI17" s="354"/>
      <c r="AJ17" s="362"/>
      <c r="AK17" s="354"/>
      <c r="AL17" s="354"/>
      <c r="AM17" s="363"/>
      <c r="AN17" s="312"/>
      <c r="AO17" s="375"/>
      <c r="AP17" s="375"/>
      <c r="AQ17" s="354"/>
      <c r="AR17" s="362"/>
      <c r="AS17" s="354"/>
      <c r="AT17" s="354"/>
      <c r="AU17" s="363"/>
      <c r="AV17" s="312"/>
      <c r="AW17" s="375"/>
      <c r="AX17" s="375"/>
      <c r="AY17" s="354"/>
      <c r="AZ17" s="362"/>
      <c r="BA17" s="354"/>
      <c r="BB17" s="354"/>
      <c r="BC17" s="363"/>
      <c r="BD17" s="312"/>
      <c r="BE17" s="375"/>
      <c r="BF17" s="375"/>
      <c r="BG17" s="354"/>
      <c r="BH17" s="362"/>
      <c r="BI17" s="354"/>
      <c r="BJ17" s="354"/>
      <c r="BK17" s="363"/>
      <c r="BL17" s="312"/>
      <c r="BM17" s="375"/>
      <c r="BN17" s="375"/>
      <c r="BO17" s="354"/>
      <c r="BP17" s="362"/>
      <c r="BQ17" s="354"/>
      <c r="BR17" s="354"/>
      <c r="BS17" s="363"/>
      <c r="BT17" s="312"/>
      <c r="BU17" s="375"/>
      <c r="BV17" s="375"/>
      <c r="BW17" s="354"/>
      <c r="BX17" s="362"/>
      <c r="BY17" s="354"/>
      <c r="BZ17" s="354"/>
      <c r="CA17" s="363"/>
      <c r="CB17" s="312"/>
      <c r="CC17" s="375"/>
      <c r="CD17" s="375"/>
      <c r="CE17" s="354"/>
      <c r="CF17" s="354"/>
      <c r="CG17" s="363"/>
    </row>
    <row r="18" spans="1:85" ht="25.5" x14ac:dyDescent="0.25">
      <c r="F18" s="397" t="s">
        <v>518</v>
      </c>
      <c r="G18" s="398">
        <f>G17</f>
        <v>120.630188712121</v>
      </c>
      <c r="I18" s="397" t="s">
        <v>518</v>
      </c>
      <c r="J18" s="398">
        <f>J17</f>
        <v>122.07775097666648</v>
      </c>
      <c r="L18" s="397" t="s">
        <v>518</v>
      </c>
      <c r="M18" s="398">
        <f>M17</f>
        <v>123.54268398838646</v>
      </c>
      <c r="N18" s="314"/>
      <c r="O18" s="397" t="s">
        <v>518</v>
      </c>
      <c r="P18" s="398">
        <f>P17</f>
        <v>125.02519619624712</v>
      </c>
      <c r="Q18" s="376"/>
      <c r="R18" s="397" t="s">
        <v>518</v>
      </c>
      <c r="S18" s="398">
        <f>S17</f>
        <v>126.52549855060209</v>
      </c>
      <c r="T18" s="312"/>
      <c r="U18" s="397" t="s">
        <v>518</v>
      </c>
      <c r="V18" s="398">
        <f>V17</f>
        <v>128.04380453320928</v>
      </c>
      <c r="W18" s="312"/>
      <c r="X18" s="397" t="s">
        <v>518</v>
      </c>
      <c r="Y18" s="398">
        <f>Y17</f>
        <v>129.58033018760781</v>
      </c>
      <c r="Z18" s="312"/>
      <c r="AA18" s="397" t="s">
        <v>518</v>
      </c>
      <c r="AB18" s="398">
        <f>AB17</f>
        <v>131.13529414985911</v>
      </c>
      <c r="AC18" s="312"/>
      <c r="AD18" s="397" t="s">
        <v>518</v>
      </c>
      <c r="AE18" s="398">
        <f>AE17</f>
        <v>132.70891767965742</v>
      </c>
      <c r="AF18" s="312"/>
      <c r="AG18" s="397" t="s">
        <v>518</v>
      </c>
      <c r="AH18" s="398">
        <f>AH17</f>
        <v>134.31749729948163</v>
      </c>
      <c r="AI18" s="312"/>
      <c r="AJ18" s="314"/>
      <c r="AK18" s="312"/>
      <c r="AL18" s="315"/>
      <c r="AM18" s="376"/>
      <c r="AN18" s="312"/>
      <c r="AO18" s="313"/>
      <c r="AP18" s="312"/>
      <c r="AQ18" s="312"/>
      <c r="AR18" s="314"/>
      <c r="AS18" s="312"/>
      <c r="AT18" s="315"/>
      <c r="AU18" s="376"/>
      <c r="AV18" s="312"/>
      <c r="AW18" s="313"/>
      <c r="AX18" s="312"/>
      <c r="AY18" s="312"/>
      <c r="AZ18" s="314"/>
      <c r="BA18" s="312"/>
      <c r="BB18" s="315"/>
      <c r="BC18" s="376"/>
      <c r="BD18" s="312"/>
      <c r="BE18" s="313"/>
      <c r="BF18" s="312"/>
      <c r="BG18" s="312"/>
      <c r="BH18" s="314"/>
      <c r="BI18" s="312"/>
      <c r="BJ18" s="315"/>
      <c r="BK18" s="376"/>
      <c r="BL18" s="312"/>
      <c r="BM18" s="313"/>
      <c r="BN18" s="312"/>
      <c r="BO18" s="312"/>
      <c r="BP18" s="314"/>
      <c r="BQ18" s="312"/>
      <c r="BR18" s="315"/>
      <c r="BS18" s="376"/>
      <c r="BT18" s="312"/>
      <c r="BU18" s="313"/>
      <c r="BV18" s="312"/>
      <c r="BW18" s="312"/>
      <c r="BX18" s="314"/>
      <c r="BY18" s="312"/>
      <c r="BZ18" s="315"/>
      <c r="CA18" s="376"/>
      <c r="CB18" s="312"/>
      <c r="CC18" s="313"/>
      <c r="CD18" s="312"/>
      <c r="CE18" s="312"/>
      <c r="CF18" s="315"/>
      <c r="CG18" s="376"/>
    </row>
    <row r="19" spans="1:85" x14ac:dyDescent="0.25">
      <c r="G19" s="399">
        <f>G18*44/28</f>
        <v>189.56172511904728</v>
      </c>
      <c r="J19" s="399">
        <f>J18*44/28</f>
        <v>191.83646582047589</v>
      </c>
      <c r="M19" s="399">
        <f>M18*44/28</f>
        <v>194.13850341032159</v>
      </c>
      <c r="N19" s="314"/>
      <c r="P19" s="399">
        <f>P18*44/28</f>
        <v>196.46816545124548</v>
      </c>
      <c r="Q19" s="316"/>
      <c r="S19" s="399">
        <f>S18*44/28</f>
        <v>198.82578343666043</v>
      </c>
      <c r="T19" s="312"/>
      <c r="V19" s="399">
        <f>V18*44/28</f>
        <v>201.2116928379003</v>
      </c>
      <c r="W19" s="312"/>
      <c r="Y19" s="399">
        <f>Y18*44/28</f>
        <v>203.62623315195515</v>
      </c>
      <c r="Z19" s="312"/>
      <c r="AB19" s="399">
        <f>AB18*44/28</f>
        <v>206.06974794977859</v>
      </c>
      <c r="AC19" s="312"/>
      <c r="AE19" s="399">
        <f>AE18*44/28</f>
        <v>208.54258492517596</v>
      </c>
      <c r="AF19" s="312"/>
      <c r="AH19" s="399">
        <f>AH18*44/28</f>
        <v>211.07035289918539</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2" t="s">
        <v>386</v>
      </c>
      <c r="B25" s="492"/>
      <c r="C25" s="490" t="s">
        <v>387</v>
      </c>
      <c r="D25" s="491"/>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0" t="s">
        <v>497</v>
      </c>
      <c r="C34" s="470"/>
      <c r="D34" s="470"/>
      <c r="E34" s="470"/>
      <c r="F34" s="470"/>
      <c r="G34" s="470"/>
      <c r="H34" s="486" t="s">
        <v>498</v>
      </c>
      <c r="I34" s="487"/>
      <c r="J34" s="487"/>
      <c r="K34" s="487"/>
      <c r="L34" s="487"/>
      <c r="M34" s="488"/>
      <c r="N34" s="489" t="s">
        <v>499</v>
      </c>
      <c r="O34" s="489"/>
      <c r="P34" s="489"/>
      <c r="Q34" s="489"/>
      <c r="R34" s="489"/>
      <c r="S34" s="489"/>
      <c r="T34" s="489"/>
      <c r="U34" s="474" t="s">
        <v>501</v>
      </c>
      <c r="V34" s="474"/>
      <c r="W34" s="474"/>
      <c r="X34" s="474"/>
      <c r="Y34" s="474"/>
      <c r="Z34" s="474"/>
      <c r="AA34" s="474"/>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500</v>
      </c>
      <c r="U35" s="389" t="s">
        <v>406</v>
      </c>
      <c r="V35" s="389" t="s">
        <v>407</v>
      </c>
      <c r="W35" s="389" t="s">
        <v>390</v>
      </c>
      <c r="X35" s="390" t="s">
        <v>391</v>
      </c>
      <c r="Y35" s="391" t="s">
        <v>392</v>
      </c>
      <c r="Z35" s="389" t="s">
        <v>393</v>
      </c>
      <c r="AA35" s="334" t="s">
        <v>502</v>
      </c>
      <c r="AJ35" s="310" t="s">
        <v>423</v>
      </c>
      <c r="AK35" s="310" t="s">
        <v>270</v>
      </c>
    </row>
    <row r="36" spans="1:38" x14ac:dyDescent="0.25">
      <c r="A36" s="377">
        <f>'Lahan sawah'!B11</f>
        <v>2021</v>
      </c>
      <c r="B36" s="378">
        <f>[1]Balikpapan!$B26</f>
        <v>100.86136179943227</v>
      </c>
      <c r="C36" s="379">
        <f>[1]Balikpapan!$G26</f>
        <v>118.27439219790725</v>
      </c>
      <c r="D36" s="380">
        <f t="shared" ref="D36:D45" si="0">B36+C36</f>
        <v>219.13575399733952</v>
      </c>
      <c r="E36" s="337">
        <f>D60</f>
        <v>0</v>
      </c>
      <c r="F36" s="338"/>
      <c r="G36" s="339">
        <f>[2]BALIKPAPAN!F27</f>
        <v>98.096016046459908</v>
      </c>
      <c r="H36" s="392">
        <v>200</v>
      </c>
      <c r="I36" s="340"/>
      <c r="J36" s="340"/>
      <c r="K36" s="340"/>
      <c r="L36" s="340"/>
      <c r="M36" s="392">
        <v>0</v>
      </c>
      <c r="N36" s="341">
        <f t="shared" ref="N36:S36" si="1">H36*B36</f>
        <v>20172.272359886454</v>
      </c>
      <c r="O36" s="341">
        <f t="shared" si="1"/>
        <v>0</v>
      </c>
      <c r="P36" s="341">
        <f t="shared" si="1"/>
        <v>0</v>
      </c>
      <c r="Q36" s="341">
        <f t="shared" si="1"/>
        <v>0</v>
      </c>
      <c r="R36" s="341">
        <f t="shared" si="1"/>
        <v>0</v>
      </c>
      <c r="S36" s="341">
        <f t="shared" si="1"/>
        <v>0</v>
      </c>
      <c r="T36" s="388">
        <f>SUM(N36:S36)</f>
        <v>20172.272359886454</v>
      </c>
      <c r="U36" s="393">
        <f>N36*46%</f>
        <v>9279.2452855477695</v>
      </c>
      <c r="V36" s="393">
        <f t="shared" ref="V36:Z46" si="2">O36*46%</f>
        <v>0</v>
      </c>
      <c r="W36" s="393">
        <f t="shared" si="2"/>
        <v>0</v>
      </c>
      <c r="X36" s="393">
        <f t="shared" si="2"/>
        <v>0</v>
      </c>
      <c r="Y36" s="393">
        <f t="shared" si="2"/>
        <v>0</v>
      </c>
      <c r="Z36" s="393">
        <f t="shared" si="2"/>
        <v>0</v>
      </c>
      <c r="AA36" s="394">
        <f>T36*46%</f>
        <v>9279.2452855477695</v>
      </c>
      <c r="AJ36" s="310">
        <v>8700</v>
      </c>
      <c r="AL36" s="342">
        <f t="shared" ref="AL36:AL46" si="3">W36+X36+Y36</f>
        <v>0</v>
      </c>
    </row>
    <row r="37" spans="1:38" x14ac:dyDescent="0.25">
      <c r="A37" s="377">
        <f>'Lahan sawah'!B12</f>
        <v>2022</v>
      </c>
      <c r="B37" s="378">
        <f>[1]Balikpapan!$B27</f>
        <v>102.07169814102546</v>
      </c>
      <c r="C37" s="379">
        <f>[1]Balikpapan!$G27</f>
        <v>119.69368490428214</v>
      </c>
      <c r="D37" s="380">
        <f t="shared" si="0"/>
        <v>221.7653830453076</v>
      </c>
      <c r="E37" s="337">
        <f>E60</f>
        <v>0</v>
      </c>
      <c r="F37" s="338"/>
      <c r="G37" s="339">
        <f>[2]BALIKPAPAN!F28</f>
        <v>125.17051647528285</v>
      </c>
      <c r="H37" s="392">
        <v>200</v>
      </c>
      <c r="I37" s="340"/>
      <c r="J37" s="340"/>
      <c r="K37" s="340"/>
      <c r="L37" s="340"/>
      <c r="M37" s="392">
        <v>0</v>
      </c>
      <c r="N37" s="341">
        <f t="shared" ref="N37:N46" si="4">H37*B37</f>
        <v>20414.339628205093</v>
      </c>
      <c r="O37" s="341">
        <f t="shared" ref="O37:P43" si="5">I37*C37</f>
        <v>0</v>
      </c>
      <c r="P37" s="343">
        <f t="shared" si="5"/>
        <v>0</v>
      </c>
      <c r="Q37" s="341">
        <f t="shared" ref="Q37:Q46" si="6">K37*E37</f>
        <v>0</v>
      </c>
      <c r="R37" s="341">
        <f t="shared" ref="R37:S46" si="7">L37*F37</f>
        <v>0</v>
      </c>
      <c r="S37" s="341">
        <f t="shared" si="7"/>
        <v>0</v>
      </c>
      <c r="T37" s="388">
        <f t="shared" ref="T37:T46" si="8">SUM(N37:S37)</f>
        <v>20414.339628205093</v>
      </c>
      <c r="U37" s="393">
        <f t="shared" ref="U37:U46" si="9">N37*46%</f>
        <v>9390.5962289743438</v>
      </c>
      <c r="V37" s="393">
        <f t="shared" si="2"/>
        <v>0</v>
      </c>
      <c r="W37" s="393">
        <f t="shared" si="2"/>
        <v>0</v>
      </c>
      <c r="X37" s="393">
        <f t="shared" si="2"/>
        <v>0</v>
      </c>
      <c r="Y37" s="393">
        <f t="shared" si="2"/>
        <v>0</v>
      </c>
      <c r="Z37" s="393">
        <f t="shared" si="2"/>
        <v>0</v>
      </c>
      <c r="AA37" s="394">
        <f t="shared" ref="AA37:AA46" si="10">T37*46%</f>
        <v>9390.5962289743438</v>
      </c>
      <c r="AJ37" s="310">
        <v>8700</v>
      </c>
      <c r="AL37" s="342">
        <f t="shared" si="3"/>
        <v>0</v>
      </c>
    </row>
    <row r="38" spans="1:38" x14ac:dyDescent="0.25">
      <c r="A38" s="377">
        <f>'Lahan sawah'!B13</f>
        <v>2023</v>
      </c>
      <c r="B38" s="378">
        <f>[1]Balikpapan!$B28</f>
        <v>103.29655851871777</v>
      </c>
      <c r="C38" s="379">
        <f>[1]Balikpapan!$G28</f>
        <v>121.13000912313353</v>
      </c>
      <c r="D38" s="380">
        <f t="shared" si="0"/>
        <v>224.42656764185131</v>
      </c>
      <c r="E38" s="337">
        <f>F60</f>
        <v>0</v>
      </c>
      <c r="F38" s="338"/>
      <c r="G38" s="339">
        <f>[2]BALIKPAPAN!F29</f>
        <v>159.71757902246091</v>
      </c>
      <c r="H38" s="392">
        <v>200</v>
      </c>
      <c r="I38" s="340"/>
      <c r="J38" s="340"/>
      <c r="K38" s="340"/>
      <c r="L38" s="340"/>
      <c r="M38" s="392">
        <v>0</v>
      </c>
      <c r="N38" s="341">
        <f t="shared" si="4"/>
        <v>20659.311703743555</v>
      </c>
      <c r="O38" s="341">
        <f t="shared" si="5"/>
        <v>0</v>
      </c>
      <c r="P38" s="343">
        <f t="shared" si="5"/>
        <v>0</v>
      </c>
      <c r="Q38" s="341">
        <f t="shared" si="6"/>
        <v>0</v>
      </c>
      <c r="R38" s="341">
        <f t="shared" si="7"/>
        <v>0</v>
      </c>
      <c r="S38" s="341">
        <f t="shared" si="7"/>
        <v>0</v>
      </c>
      <c r="T38" s="388">
        <f t="shared" si="8"/>
        <v>20659.311703743555</v>
      </c>
      <c r="U38" s="393">
        <f t="shared" si="9"/>
        <v>9503.2833837220351</v>
      </c>
      <c r="V38" s="393">
        <f t="shared" si="2"/>
        <v>0</v>
      </c>
      <c r="W38" s="393">
        <f t="shared" si="2"/>
        <v>0</v>
      </c>
      <c r="X38" s="393">
        <f t="shared" si="2"/>
        <v>0</v>
      </c>
      <c r="Y38" s="393">
        <f t="shared" si="2"/>
        <v>0</v>
      </c>
      <c r="Z38" s="393">
        <f t="shared" si="2"/>
        <v>0</v>
      </c>
      <c r="AA38" s="394">
        <f t="shared" si="10"/>
        <v>9503.2833837220351</v>
      </c>
      <c r="AJ38" s="310">
        <v>8700</v>
      </c>
      <c r="AL38" s="342">
        <f t="shared" si="3"/>
        <v>0</v>
      </c>
    </row>
    <row r="39" spans="1:38" x14ac:dyDescent="0.25">
      <c r="A39" s="377">
        <f>'Lahan sawah'!B14</f>
        <v>2024</v>
      </c>
      <c r="B39" s="378">
        <f>[1]Balikpapan!$B29</f>
        <v>104.5361172209424</v>
      </c>
      <c r="C39" s="379">
        <f>[1]Balikpapan!$G29</f>
        <v>122.58356923261113</v>
      </c>
      <c r="D39" s="380">
        <f t="shared" si="0"/>
        <v>227.11968645355353</v>
      </c>
      <c r="E39" s="337">
        <f>G60</f>
        <v>0</v>
      </c>
      <c r="F39" s="338"/>
      <c r="G39" s="339">
        <f>[2]BALIKPAPAN!F30</f>
        <v>203.79963083266011</v>
      </c>
      <c r="H39" s="392">
        <v>200</v>
      </c>
      <c r="I39" s="340"/>
      <c r="J39" s="340"/>
      <c r="K39" s="340"/>
      <c r="L39" s="340"/>
      <c r="M39" s="392">
        <v>0</v>
      </c>
      <c r="N39" s="341">
        <f t="shared" si="4"/>
        <v>20907.223444188479</v>
      </c>
      <c r="O39" s="341">
        <f t="shared" si="5"/>
        <v>0</v>
      </c>
      <c r="P39" s="343">
        <f t="shared" si="5"/>
        <v>0</v>
      </c>
      <c r="Q39" s="341">
        <f t="shared" si="6"/>
        <v>0</v>
      </c>
      <c r="R39" s="341">
        <f t="shared" si="7"/>
        <v>0</v>
      </c>
      <c r="S39" s="341">
        <f t="shared" si="7"/>
        <v>0</v>
      </c>
      <c r="T39" s="388">
        <f t="shared" si="8"/>
        <v>20907.223444188479</v>
      </c>
      <c r="U39" s="393">
        <f t="shared" si="9"/>
        <v>9617.3227843267014</v>
      </c>
      <c r="V39" s="393">
        <f t="shared" si="2"/>
        <v>0</v>
      </c>
      <c r="W39" s="393">
        <f t="shared" si="2"/>
        <v>0</v>
      </c>
      <c r="X39" s="393">
        <f t="shared" si="2"/>
        <v>0</v>
      </c>
      <c r="Y39" s="393">
        <f t="shared" si="2"/>
        <v>0</v>
      </c>
      <c r="Z39" s="393">
        <f t="shared" si="2"/>
        <v>0</v>
      </c>
      <c r="AA39" s="394">
        <f t="shared" si="10"/>
        <v>9617.3227843267014</v>
      </c>
      <c r="AJ39" s="310">
        <v>8700</v>
      </c>
      <c r="AL39" s="342">
        <f t="shared" si="3"/>
        <v>0</v>
      </c>
    </row>
    <row r="40" spans="1:38" x14ac:dyDescent="0.25">
      <c r="A40" s="377">
        <f>'Lahan sawah'!B15</f>
        <v>2025</v>
      </c>
      <c r="B40" s="378">
        <f>[1]Balikpapan!$B30</f>
        <v>105.7905506275937</v>
      </c>
      <c r="C40" s="379">
        <f>[1]Balikpapan!$G30</f>
        <v>124.05457206340246</v>
      </c>
      <c r="D40" s="380">
        <f t="shared" si="0"/>
        <v>229.84512269099616</v>
      </c>
      <c r="E40" s="337">
        <f>H60</f>
        <v>0</v>
      </c>
      <c r="F40" s="338"/>
      <c r="G40" s="339">
        <f>[2]BALIKPAPAN!F31</f>
        <v>260.04832894247431</v>
      </c>
      <c r="H40" s="392">
        <v>200</v>
      </c>
      <c r="I40" s="340"/>
      <c r="J40" s="340"/>
      <c r="K40" s="340"/>
      <c r="L40" s="340"/>
      <c r="M40" s="392">
        <v>0</v>
      </c>
      <c r="N40" s="341">
        <f t="shared" si="4"/>
        <v>21158.110125518742</v>
      </c>
      <c r="O40" s="341">
        <f t="shared" si="5"/>
        <v>0</v>
      </c>
      <c r="P40" s="343">
        <f t="shared" si="5"/>
        <v>0</v>
      </c>
      <c r="Q40" s="341">
        <f t="shared" si="6"/>
        <v>0</v>
      </c>
      <c r="R40" s="341">
        <f t="shared" si="7"/>
        <v>0</v>
      </c>
      <c r="S40" s="341">
        <f t="shared" si="7"/>
        <v>0</v>
      </c>
      <c r="T40" s="388">
        <f t="shared" si="8"/>
        <v>21158.110125518742</v>
      </c>
      <c r="U40" s="393">
        <f t="shared" si="9"/>
        <v>9732.7306577386225</v>
      </c>
      <c r="V40" s="393">
        <f t="shared" si="2"/>
        <v>0</v>
      </c>
      <c r="W40" s="393">
        <f t="shared" si="2"/>
        <v>0</v>
      </c>
      <c r="X40" s="393">
        <f t="shared" si="2"/>
        <v>0</v>
      </c>
      <c r="Y40" s="393">
        <f t="shared" si="2"/>
        <v>0</v>
      </c>
      <c r="Z40" s="393">
        <f t="shared" si="2"/>
        <v>0</v>
      </c>
      <c r="AA40" s="394">
        <f t="shared" si="10"/>
        <v>9732.7306577386225</v>
      </c>
      <c r="AJ40" s="310">
        <v>8700</v>
      </c>
      <c r="AL40" s="342">
        <f t="shared" si="3"/>
        <v>0</v>
      </c>
    </row>
    <row r="41" spans="1:38" x14ac:dyDescent="0.25">
      <c r="A41" s="377">
        <f>'Lahan sawah'!B16</f>
        <v>2026</v>
      </c>
      <c r="B41" s="378">
        <f>[1]Balikpapan!$B31</f>
        <v>107.06003723512482</v>
      </c>
      <c r="C41" s="379">
        <f>[1]Balikpapan!$G31</f>
        <v>125.54322692816329</v>
      </c>
      <c r="D41" s="380">
        <f t="shared" si="0"/>
        <v>232.60326416328812</v>
      </c>
      <c r="E41" s="337">
        <f>I60</f>
        <v>0</v>
      </c>
      <c r="F41" s="338"/>
      <c r="G41" s="339">
        <f>[2]BALIKPAPAN!F32</f>
        <v>331.82166773059726</v>
      </c>
      <c r="H41" s="392">
        <v>200</v>
      </c>
      <c r="I41" s="340"/>
      <c r="J41" s="340"/>
      <c r="K41" s="340"/>
      <c r="L41" s="340"/>
      <c r="M41" s="392">
        <v>0</v>
      </c>
      <c r="N41" s="341">
        <f t="shared" si="4"/>
        <v>21412.007447024964</v>
      </c>
      <c r="O41" s="341">
        <f t="shared" si="5"/>
        <v>0</v>
      </c>
      <c r="P41" s="341">
        <f t="shared" si="5"/>
        <v>0</v>
      </c>
      <c r="Q41" s="341">
        <f t="shared" si="6"/>
        <v>0</v>
      </c>
      <c r="R41" s="341">
        <f t="shared" si="7"/>
        <v>0</v>
      </c>
      <c r="S41" s="341">
        <f t="shared" si="7"/>
        <v>0</v>
      </c>
      <c r="T41" s="388">
        <f t="shared" si="8"/>
        <v>21412.007447024964</v>
      </c>
      <c r="U41" s="393">
        <f t="shared" si="9"/>
        <v>9849.5234256314834</v>
      </c>
      <c r="V41" s="393">
        <f t="shared" si="2"/>
        <v>0</v>
      </c>
      <c r="W41" s="393">
        <f t="shared" si="2"/>
        <v>0</v>
      </c>
      <c r="X41" s="393">
        <f t="shared" si="2"/>
        <v>0</v>
      </c>
      <c r="Y41" s="393">
        <f t="shared" si="2"/>
        <v>0</v>
      </c>
      <c r="Z41" s="393">
        <f t="shared" si="2"/>
        <v>0</v>
      </c>
      <c r="AA41" s="394">
        <f t="shared" si="10"/>
        <v>9849.5234256314834</v>
      </c>
      <c r="AJ41" s="310">
        <v>8700</v>
      </c>
      <c r="AL41" s="342">
        <f t="shared" si="3"/>
        <v>0</v>
      </c>
    </row>
    <row r="42" spans="1:38" x14ac:dyDescent="0.25">
      <c r="A42" s="377">
        <f>'Lahan sawah'!B17</f>
        <v>2027</v>
      </c>
      <c r="B42" s="378">
        <f>[1]Balikpapan!$B32</f>
        <v>108.34475768194632</v>
      </c>
      <c r="C42" s="379">
        <f>[1]Balikpapan!$G32</f>
        <v>127.04974565130125</v>
      </c>
      <c r="D42" s="380">
        <f t="shared" si="0"/>
        <v>235.39450333324757</v>
      </c>
      <c r="E42" s="337">
        <f>J60</f>
        <v>0</v>
      </c>
      <c r="F42" s="338"/>
      <c r="G42" s="339">
        <f>[2]BALIKPAPAN!F33</f>
        <v>423.40444802424213</v>
      </c>
      <c r="H42" s="392">
        <v>200</v>
      </c>
      <c r="I42" s="340"/>
      <c r="J42" s="340"/>
      <c r="K42" s="340"/>
      <c r="L42" s="340"/>
      <c r="M42" s="392">
        <v>0</v>
      </c>
      <c r="N42" s="341">
        <f t="shared" si="4"/>
        <v>21668.951536389264</v>
      </c>
      <c r="O42" s="341">
        <f t="shared" si="5"/>
        <v>0</v>
      </c>
      <c r="P42" s="341">
        <f t="shared" si="5"/>
        <v>0</v>
      </c>
      <c r="Q42" s="341">
        <f t="shared" si="6"/>
        <v>0</v>
      </c>
      <c r="R42" s="341">
        <f t="shared" si="7"/>
        <v>0</v>
      </c>
      <c r="S42" s="341">
        <f t="shared" si="7"/>
        <v>0</v>
      </c>
      <c r="T42" s="388">
        <f t="shared" si="8"/>
        <v>21668.951536389264</v>
      </c>
      <c r="U42" s="393">
        <f t="shared" si="9"/>
        <v>9967.7177067390621</v>
      </c>
      <c r="V42" s="393">
        <f t="shared" si="2"/>
        <v>0</v>
      </c>
      <c r="W42" s="393">
        <f t="shared" si="2"/>
        <v>0</v>
      </c>
      <c r="X42" s="393">
        <f t="shared" si="2"/>
        <v>0</v>
      </c>
      <c r="Y42" s="393">
        <f t="shared" si="2"/>
        <v>0</v>
      </c>
      <c r="Z42" s="393">
        <f t="shared" si="2"/>
        <v>0</v>
      </c>
      <c r="AA42" s="394">
        <f t="shared" si="10"/>
        <v>9967.7177067390621</v>
      </c>
      <c r="AJ42" s="310">
        <v>8700</v>
      </c>
      <c r="AL42" s="342">
        <f t="shared" si="3"/>
        <v>0</v>
      </c>
    </row>
    <row r="43" spans="1:38" x14ac:dyDescent="0.25">
      <c r="A43" s="377">
        <f>'Lahan sawah'!B18</f>
        <v>2028</v>
      </c>
      <c r="B43" s="378">
        <f>[1]Balikpapan!$B33</f>
        <v>109.64489477412968</v>
      </c>
      <c r="C43" s="379">
        <f>[1]Balikpapan!$G33</f>
        <v>128.57434259911687</v>
      </c>
      <c r="D43" s="380">
        <f t="shared" si="0"/>
        <v>238.21923737324656</v>
      </c>
      <c r="E43" s="337">
        <f>K60</f>
        <v>0</v>
      </c>
      <c r="F43" s="338">
        <f>D64</f>
        <v>0</v>
      </c>
      <c r="G43" s="339">
        <f>[2]BALIKPAPAN!F34</f>
        <v>540.26407567893295</v>
      </c>
      <c r="H43" s="392">
        <v>200</v>
      </c>
      <c r="I43" s="340"/>
      <c r="J43" s="340"/>
      <c r="K43" s="340"/>
      <c r="L43" s="340"/>
      <c r="M43" s="392">
        <v>0</v>
      </c>
      <c r="N43" s="341">
        <f>H43*B43</f>
        <v>21928.978954825936</v>
      </c>
      <c r="O43" s="341">
        <f t="shared" si="5"/>
        <v>0</v>
      </c>
      <c r="P43" s="341">
        <f t="shared" si="5"/>
        <v>0</v>
      </c>
      <c r="Q43" s="341">
        <f t="shared" si="6"/>
        <v>0</v>
      </c>
      <c r="R43" s="341">
        <f t="shared" si="7"/>
        <v>0</v>
      </c>
      <c r="S43" s="341">
        <f t="shared" si="7"/>
        <v>0</v>
      </c>
      <c r="T43" s="388">
        <f t="shared" si="8"/>
        <v>21928.978954825936</v>
      </c>
      <c r="U43" s="393">
        <f t="shared" si="9"/>
        <v>10087.330319219931</v>
      </c>
      <c r="V43" s="393">
        <f t="shared" si="2"/>
        <v>0</v>
      </c>
      <c r="W43" s="393">
        <f t="shared" si="2"/>
        <v>0</v>
      </c>
      <c r="X43" s="393">
        <f t="shared" si="2"/>
        <v>0</v>
      </c>
      <c r="Y43" s="393">
        <f t="shared" si="2"/>
        <v>0</v>
      </c>
      <c r="Z43" s="393">
        <f t="shared" si="2"/>
        <v>0</v>
      </c>
      <c r="AA43" s="394">
        <f t="shared" si="10"/>
        <v>10087.330319219931</v>
      </c>
      <c r="AJ43" s="310">
        <v>8700</v>
      </c>
      <c r="AK43" s="344" t="e">
        <f>((46/100)*AJ43)+((21/100)*#REF!)+((15/100)*#REF!)</f>
        <v>#REF!</v>
      </c>
      <c r="AL43" s="342">
        <f t="shared" si="3"/>
        <v>0</v>
      </c>
    </row>
    <row r="44" spans="1:38" x14ac:dyDescent="0.25">
      <c r="A44" s="377">
        <f>'Lahan sawah'!B19</f>
        <v>2029</v>
      </c>
      <c r="B44" s="378">
        <f>[1]Balikpapan!$B34</f>
        <v>110.96063351141925</v>
      </c>
      <c r="C44" s="379">
        <f>[1]Balikpapan!$G34</f>
        <v>130.11723471030626</v>
      </c>
      <c r="D44" s="380">
        <f t="shared" si="0"/>
        <v>241.07786822172551</v>
      </c>
      <c r="E44" s="337">
        <f>L60</f>
        <v>0</v>
      </c>
      <c r="F44" s="337">
        <f>E64</f>
        <v>0</v>
      </c>
      <c r="G44" s="339">
        <f>[2]BALIKPAPAN!F35</f>
        <v>689.37696056631842</v>
      </c>
      <c r="H44" s="392">
        <v>200</v>
      </c>
      <c r="I44" s="340"/>
      <c r="J44" s="340"/>
      <c r="K44" s="340"/>
      <c r="L44" s="340"/>
      <c r="M44" s="392">
        <v>0</v>
      </c>
      <c r="N44" s="341">
        <f t="shared" si="4"/>
        <v>22192.126702283851</v>
      </c>
      <c r="O44" s="341">
        <f>I44*C44</f>
        <v>0</v>
      </c>
      <c r="P44" s="341">
        <f t="shared" ref="P44:P46" si="11">J44*D44</f>
        <v>0</v>
      </c>
      <c r="Q44" s="341">
        <f t="shared" si="6"/>
        <v>0</v>
      </c>
      <c r="R44" s="341">
        <f t="shared" si="7"/>
        <v>0</v>
      </c>
      <c r="S44" s="341">
        <f t="shared" si="7"/>
        <v>0</v>
      </c>
      <c r="T44" s="388">
        <f t="shared" si="8"/>
        <v>22192.126702283851</v>
      </c>
      <c r="U44" s="393">
        <f t="shared" si="9"/>
        <v>10208.378283050572</v>
      </c>
      <c r="V44" s="393">
        <f t="shared" si="2"/>
        <v>0</v>
      </c>
      <c r="W44" s="393">
        <f t="shared" si="2"/>
        <v>0</v>
      </c>
      <c r="X44" s="393">
        <f t="shared" si="2"/>
        <v>0</v>
      </c>
      <c r="Y44" s="393">
        <f t="shared" si="2"/>
        <v>0</v>
      </c>
      <c r="Z44" s="393">
        <f t="shared" si="2"/>
        <v>0</v>
      </c>
      <c r="AA44" s="394">
        <f t="shared" si="10"/>
        <v>10208.378283050572</v>
      </c>
      <c r="AJ44" s="310">
        <v>8700</v>
      </c>
      <c r="AK44" s="344" t="e">
        <f>((46/100)*AJ44)+((21/100)*#REF!)+((15/100)*#REF!)</f>
        <v>#REF!</v>
      </c>
      <c r="AL44" s="342">
        <f t="shared" si="3"/>
        <v>0</v>
      </c>
    </row>
    <row r="45" spans="1:38" x14ac:dyDescent="0.25">
      <c r="A45" s="377">
        <f>'Lahan sawah'!B20</f>
        <v>2030</v>
      </c>
      <c r="B45" s="378">
        <f>[1]Balikpapan!$B35</f>
        <v>112.30559974873046</v>
      </c>
      <c r="C45" s="379">
        <f>[1]Balikpapan!$G35</f>
        <v>131.69440025126954</v>
      </c>
      <c r="D45" s="380">
        <f t="shared" si="0"/>
        <v>244</v>
      </c>
      <c r="E45" s="337">
        <f>M60</f>
        <v>0</v>
      </c>
      <c r="F45" s="337">
        <f>F64</f>
        <v>0</v>
      </c>
      <c r="G45" s="339">
        <f>[2]BALIKPAPAN!F36</f>
        <v>879.64500168262236</v>
      </c>
      <c r="H45" s="392">
        <v>200</v>
      </c>
      <c r="I45" s="340"/>
      <c r="J45" s="340"/>
      <c r="K45" s="340"/>
      <c r="L45" s="340"/>
      <c r="M45" s="392">
        <v>0</v>
      </c>
      <c r="N45" s="341">
        <f t="shared" si="4"/>
        <v>22461.119949746091</v>
      </c>
      <c r="O45" s="341">
        <f>I45*C45</f>
        <v>0</v>
      </c>
      <c r="P45" s="341">
        <f t="shared" si="11"/>
        <v>0</v>
      </c>
      <c r="Q45" s="341">
        <f t="shared" si="6"/>
        <v>0</v>
      </c>
      <c r="R45" s="341">
        <f t="shared" si="7"/>
        <v>0</v>
      </c>
      <c r="S45" s="341">
        <f t="shared" si="7"/>
        <v>0</v>
      </c>
      <c r="T45" s="388">
        <f t="shared" si="8"/>
        <v>22461.119949746091</v>
      </c>
      <c r="U45" s="393">
        <f t="shared" si="9"/>
        <v>10332.115176883202</v>
      </c>
      <c r="V45" s="393">
        <f t="shared" si="2"/>
        <v>0</v>
      </c>
      <c r="W45" s="393">
        <f t="shared" si="2"/>
        <v>0</v>
      </c>
      <c r="X45" s="393">
        <f t="shared" si="2"/>
        <v>0</v>
      </c>
      <c r="Y45" s="393">
        <f t="shared" si="2"/>
        <v>0</v>
      </c>
      <c r="Z45" s="393">
        <f t="shared" si="2"/>
        <v>0</v>
      </c>
      <c r="AA45" s="394">
        <f t="shared" si="10"/>
        <v>10332.115176883202</v>
      </c>
      <c r="AJ45" s="310">
        <v>8700</v>
      </c>
      <c r="AK45" s="344" t="e">
        <f>((46/100)*AJ45)+((21/100)*#REF!)+((15/100)*#REF!)</f>
        <v>#REF!</v>
      </c>
      <c r="AL45" s="342">
        <f t="shared" si="3"/>
        <v>0</v>
      </c>
    </row>
    <row r="46" spans="1:38" x14ac:dyDescent="0.25">
      <c r="A46" s="377">
        <f>'Lahan sawah'!B21</f>
        <v>2031</v>
      </c>
      <c r="B46" s="345"/>
      <c r="C46" s="345"/>
      <c r="D46" s="381">
        <f t="shared" ref="D46" si="12">B46+C46</f>
        <v>0</v>
      </c>
      <c r="E46" s="346"/>
      <c r="F46" s="337">
        <f>G64</f>
        <v>0</v>
      </c>
      <c r="G46" s="347"/>
      <c r="H46" s="392">
        <v>200</v>
      </c>
      <c r="I46" s="340"/>
      <c r="J46" s="340"/>
      <c r="K46" s="340"/>
      <c r="L46" s="340"/>
      <c r="M46" s="392">
        <v>0</v>
      </c>
      <c r="N46" s="341">
        <f t="shared" si="4"/>
        <v>0</v>
      </c>
      <c r="O46" s="341">
        <f>I46*C46</f>
        <v>0</v>
      </c>
      <c r="P46" s="341">
        <f t="shared" si="11"/>
        <v>0</v>
      </c>
      <c r="Q46" s="341">
        <f t="shared" si="6"/>
        <v>0</v>
      </c>
      <c r="R46" s="341">
        <f t="shared" si="7"/>
        <v>0</v>
      </c>
      <c r="S46" s="341">
        <f t="shared" si="7"/>
        <v>0</v>
      </c>
      <c r="T46" s="388">
        <f t="shared" si="8"/>
        <v>0</v>
      </c>
      <c r="U46" s="393">
        <f t="shared" si="9"/>
        <v>0</v>
      </c>
      <c r="V46" s="393">
        <f t="shared" si="2"/>
        <v>0</v>
      </c>
      <c r="W46" s="393">
        <f t="shared" si="2"/>
        <v>0</v>
      </c>
      <c r="X46" s="393">
        <f t="shared" si="2"/>
        <v>0</v>
      </c>
      <c r="Y46" s="393">
        <f t="shared" si="2"/>
        <v>0</v>
      </c>
      <c r="Z46" s="393">
        <f t="shared" si="2"/>
        <v>0</v>
      </c>
      <c r="AA46" s="394">
        <f t="shared" si="10"/>
        <v>0</v>
      </c>
      <c r="AJ46" s="310">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6"/>
      <c r="O47" s="336"/>
      <c r="P47" s="336"/>
      <c r="Q47" s="336"/>
      <c r="R47" s="336"/>
      <c r="S47" s="336"/>
      <c r="T47" s="336"/>
      <c r="U47" s="392"/>
      <c r="V47" s="392"/>
      <c r="W47" s="392"/>
      <c r="X47" s="392"/>
      <c r="Y47" s="392"/>
      <c r="Z47" s="392"/>
      <c r="AA47" s="392"/>
    </row>
    <row r="48" spans="1:38" x14ac:dyDescent="0.25">
      <c r="A48" s="377">
        <f>'Lahan sawah'!B23</f>
        <v>0</v>
      </c>
      <c r="B48" s="347"/>
      <c r="C48" s="347"/>
      <c r="D48" s="348"/>
      <c r="E48" s="347"/>
      <c r="F48" s="347"/>
      <c r="G48" s="347"/>
      <c r="H48" s="340"/>
      <c r="I48" s="340"/>
      <c r="J48" s="340"/>
      <c r="K48" s="340"/>
      <c r="L48" s="340"/>
      <c r="M48" s="340"/>
      <c r="N48" s="336"/>
      <c r="O48" s="336"/>
      <c r="P48" s="336"/>
      <c r="Q48" s="336"/>
      <c r="R48" s="336"/>
      <c r="S48" s="336"/>
      <c r="T48" s="336"/>
      <c r="U48" s="392"/>
      <c r="V48" s="392"/>
      <c r="W48" s="392"/>
      <c r="X48" s="392"/>
      <c r="Y48" s="392"/>
      <c r="Z48" s="392"/>
      <c r="AA48" s="392"/>
    </row>
    <row r="49" spans="1:27" x14ac:dyDescent="0.25">
      <c r="A49" s="377">
        <f>'Lahan sawah'!B24</f>
        <v>0</v>
      </c>
      <c r="B49" s="347"/>
      <c r="C49" s="347"/>
      <c r="D49" s="348"/>
      <c r="E49" s="347"/>
      <c r="F49" s="347"/>
      <c r="G49" s="347"/>
      <c r="H49" s="340"/>
      <c r="I49" s="340"/>
      <c r="J49" s="340"/>
      <c r="K49" s="340"/>
      <c r="L49" s="340"/>
      <c r="M49" s="340"/>
      <c r="N49" s="336"/>
      <c r="O49" s="336"/>
      <c r="P49" s="336"/>
      <c r="Q49" s="336"/>
      <c r="R49" s="336"/>
      <c r="S49" s="336"/>
      <c r="T49" s="336"/>
      <c r="U49" s="392"/>
      <c r="V49" s="392"/>
      <c r="W49" s="392"/>
      <c r="X49" s="392"/>
      <c r="Y49" s="392"/>
      <c r="Z49" s="392"/>
      <c r="AA49" s="392"/>
    </row>
    <row r="51" spans="1:27" ht="15" customHeight="1" x14ac:dyDescent="0.25">
      <c r="C51" s="347"/>
      <c r="D51" s="470" t="s">
        <v>410</v>
      </c>
      <c r="E51" s="470"/>
      <c r="F51" s="470"/>
      <c r="G51" s="470"/>
      <c r="H51" s="470"/>
      <c r="I51" s="470"/>
      <c r="J51" s="470"/>
      <c r="K51" s="470"/>
      <c r="L51" s="470"/>
      <c r="M51" s="470"/>
    </row>
    <row r="52" spans="1:27" x14ac:dyDescent="0.25">
      <c r="A52" s="382"/>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0" t="s">
        <v>422</v>
      </c>
    </row>
    <row r="53" spans="1:27" x14ac:dyDescent="0.25">
      <c r="A53" s="382"/>
      <c r="C53" s="347" t="s">
        <v>408</v>
      </c>
      <c r="D53" s="383">
        <f>[1]Balikpapan!$Z$26</f>
        <v>0</v>
      </c>
      <c r="E53" s="383">
        <f>[1]Balikpapan!$Z$27</f>
        <v>0</v>
      </c>
      <c r="F53" s="383">
        <f>[1]Balikpapan!$Z$28</f>
        <v>0</v>
      </c>
      <c r="G53" s="383">
        <f>[1]Balikpapan!$Z$29</f>
        <v>0</v>
      </c>
      <c r="H53" s="383">
        <f>[1]Balikpapan!$Z$30</f>
        <v>0</v>
      </c>
      <c r="I53" s="383">
        <f>[1]Balikpapan!$Z$31</f>
        <v>0</v>
      </c>
      <c r="J53" s="383">
        <f>[1]Balikpapan!$Z$32</f>
        <v>0</v>
      </c>
      <c r="K53" s="383">
        <f>[1]Balikpapan!$Z$33</f>
        <v>0</v>
      </c>
      <c r="L53" s="383">
        <f>[1]Balikpapan!$Z$34</f>
        <v>0</v>
      </c>
      <c r="M53" s="383">
        <f>[1]Balikpapan!$Z$35</f>
        <v>0</v>
      </c>
      <c r="N53" s="310" t="s">
        <v>421</v>
      </c>
    </row>
    <row r="54" spans="1:27" x14ac:dyDescent="0.25">
      <c r="A54" s="382"/>
      <c r="C54" s="347" t="s">
        <v>409</v>
      </c>
      <c r="D54" s="384">
        <f>[1]Balikpapan!$AD$26</f>
        <v>0</v>
      </c>
      <c r="E54" s="384">
        <f>[1]Balikpapan!$AD$27</f>
        <v>0</v>
      </c>
      <c r="F54" s="384">
        <f>[1]Balikpapan!$AD$28</f>
        <v>0</v>
      </c>
      <c r="G54" s="384">
        <f>[1]Balikpapan!$AD$29</f>
        <v>0</v>
      </c>
      <c r="H54" s="384">
        <f>[1]Balikpapan!$AD$30</f>
        <v>0</v>
      </c>
      <c r="I54" s="384">
        <f>[1]Balikpapan!$AD$31</f>
        <v>0</v>
      </c>
      <c r="J54" s="384">
        <f>[1]Balikpapan!$AD$32</f>
        <v>0</v>
      </c>
      <c r="K54" s="384">
        <f>[1]Balikpapan!$AD$33</f>
        <v>0</v>
      </c>
      <c r="L54" s="384">
        <f>[1]Balikpapan!$AD$34</f>
        <v>0</v>
      </c>
      <c r="M54" s="384">
        <f>[1]Balikpapan!$AD$35</f>
        <v>0</v>
      </c>
    </row>
    <row r="55" spans="1:27" x14ac:dyDescent="0.25">
      <c r="A55" s="382"/>
      <c r="C55" s="347" t="s">
        <v>412</v>
      </c>
      <c r="D55" s="384">
        <f>[1]Balikpapan!$AC$26</f>
        <v>0</v>
      </c>
      <c r="E55" s="384">
        <f>[1]Balikpapan!$AC$27</f>
        <v>0</v>
      </c>
      <c r="F55" s="384">
        <f>[1]Balikpapan!$AC$28</f>
        <v>0</v>
      </c>
      <c r="G55" s="384">
        <f>[1]Balikpapan!$AC$29</f>
        <v>0</v>
      </c>
      <c r="H55" s="384">
        <f>[1]Balikpapan!$AC$30</f>
        <v>0</v>
      </c>
      <c r="I55" s="384">
        <f>[1]Balikpapan!$AC$31</f>
        <v>0</v>
      </c>
      <c r="J55" s="384">
        <f>[1]Balikpapan!$AC$32</f>
        <v>0</v>
      </c>
      <c r="K55" s="384">
        <f>[1]Balikpapan!$AC$33</f>
        <v>0</v>
      </c>
      <c r="L55" s="384">
        <f>[1]Balikpapan!$AC$34</f>
        <v>0</v>
      </c>
      <c r="M55" s="384">
        <f>[1]Balikpapan!$AC$35</f>
        <v>0</v>
      </c>
    </row>
    <row r="56" spans="1:27" x14ac:dyDescent="0.25">
      <c r="A56" s="382"/>
      <c r="C56" s="347" t="s">
        <v>413</v>
      </c>
      <c r="D56" s="384">
        <f>[1]Balikpapan!$AE$26</f>
        <v>0</v>
      </c>
      <c r="E56" s="384">
        <f>[1]Balikpapan!$AE$27</f>
        <v>0</v>
      </c>
      <c r="F56" s="384">
        <f>[1]Balikpapan!$AE$28</f>
        <v>0</v>
      </c>
      <c r="G56" s="384">
        <f>[1]Balikpapan!$AE$29</f>
        <v>0</v>
      </c>
      <c r="H56" s="384">
        <f>[1]Balikpapan!$AE$30</f>
        <v>0</v>
      </c>
      <c r="I56" s="384">
        <f>[1]Balikpapan!$AE$31</f>
        <v>0</v>
      </c>
      <c r="J56" s="384">
        <f>[1]Balikpapan!$AE$32</f>
        <v>0</v>
      </c>
      <c r="K56" s="384">
        <f>[1]Balikpapan!$AE$33</f>
        <v>0</v>
      </c>
      <c r="L56" s="384">
        <f>[1]Balikpapan!$AE$34</f>
        <v>0</v>
      </c>
      <c r="M56" s="384">
        <f>[1]Balikpapan!$AE$35</f>
        <v>0</v>
      </c>
    </row>
    <row r="57" spans="1:27" x14ac:dyDescent="0.25">
      <c r="A57" s="382"/>
      <c r="C57" s="347" t="s">
        <v>411</v>
      </c>
      <c r="D57" s="384">
        <f>[1]Balikpapan!$AA$26</f>
        <v>0</v>
      </c>
      <c r="E57" s="384">
        <f>[1]Balikpapan!$AA$27</f>
        <v>0</v>
      </c>
      <c r="F57" s="384">
        <f>[1]Balikpapan!$AA$28</f>
        <v>0</v>
      </c>
      <c r="G57" s="384">
        <f>[1]Balikpapan!$AA$29</f>
        <v>0</v>
      </c>
      <c r="H57" s="384">
        <f>[1]Balikpapan!$AA$30</f>
        <v>0</v>
      </c>
      <c r="I57" s="384">
        <f>[1]Balikpapan!$AA$31</f>
        <v>0</v>
      </c>
      <c r="J57" s="384">
        <f>[1]Balikpapan!$AA$32</f>
        <v>0</v>
      </c>
      <c r="K57" s="384">
        <f>[1]Balikpapan!$AA$33</f>
        <v>0</v>
      </c>
      <c r="L57" s="384">
        <f>[1]Balikpapan!$AA$34</f>
        <v>0</v>
      </c>
      <c r="M57" s="384">
        <f>[1]Balikpapan!$AA$35</f>
        <v>0</v>
      </c>
    </row>
    <row r="58" spans="1:27" x14ac:dyDescent="0.25">
      <c r="C58" s="347" t="s">
        <v>414</v>
      </c>
      <c r="D58" s="385">
        <f>[1]Balikpapan!$AB$26</f>
        <v>0</v>
      </c>
      <c r="E58" s="385">
        <f>[1]Balikpapan!$AB$27</f>
        <v>0</v>
      </c>
      <c r="F58" s="385">
        <f>[1]Balikpapan!$AB$28</f>
        <v>0</v>
      </c>
      <c r="G58" s="385">
        <f>[1]Balikpapan!$AB$29</f>
        <v>0</v>
      </c>
      <c r="H58" s="385">
        <f>[1]Balikpapan!$AB$30</f>
        <v>0</v>
      </c>
      <c r="I58" s="385">
        <f>[1]Balikpapan!$AB$31</f>
        <v>0</v>
      </c>
      <c r="J58" s="385">
        <f>[1]Balikpapan!$AB$32</f>
        <v>0</v>
      </c>
      <c r="K58" s="385">
        <f>[1]Balikpapan!$AB$33</f>
        <v>0</v>
      </c>
      <c r="L58" s="385">
        <f>[1]Balikpapan!$AB$34</f>
        <v>0</v>
      </c>
      <c r="M58" s="385">
        <f>[1]Balikpapan!$AB$35</f>
        <v>0</v>
      </c>
    </row>
    <row r="59" spans="1:27" x14ac:dyDescent="0.25">
      <c r="C59" s="347" t="s">
        <v>415</v>
      </c>
      <c r="D59" s="386"/>
      <c r="E59" s="386"/>
      <c r="F59" s="387"/>
      <c r="G59" s="387"/>
      <c r="H59" s="387"/>
      <c r="I59" s="387"/>
      <c r="J59" s="387"/>
      <c r="K59" s="387"/>
      <c r="L59" s="387"/>
      <c r="M59" s="387"/>
    </row>
    <row r="60" spans="1:27" s="351" customFormat="1" x14ac:dyDescent="0.25">
      <c r="A60" s="350"/>
      <c r="C60" s="352" t="s">
        <v>416</v>
      </c>
      <c r="D60" s="353">
        <f>SUM(D53:D59)</f>
        <v>0</v>
      </c>
      <c r="E60" s="353">
        <f t="shared" ref="E60:G60" si="13">SUM(E53:E59)</f>
        <v>0</v>
      </c>
      <c r="F60" s="353">
        <f t="shared" si="13"/>
        <v>0</v>
      </c>
      <c r="G60" s="353">
        <f t="shared" si="13"/>
        <v>0</v>
      </c>
      <c r="H60" s="353">
        <f t="shared" ref="H60:M60" si="14">SUM(H53:H59)</f>
        <v>0</v>
      </c>
      <c r="I60" s="353">
        <f t="shared" si="14"/>
        <v>0</v>
      </c>
      <c r="J60" s="353">
        <f t="shared" si="14"/>
        <v>0</v>
      </c>
      <c r="K60" s="353">
        <f t="shared" si="14"/>
        <v>0</v>
      </c>
      <c r="L60" s="353">
        <f t="shared" si="14"/>
        <v>0</v>
      </c>
      <c r="M60" s="353">
        <f t="shared" si="14"/>
        <v>0</v>
      </c>
    </row>
    <row r="62" spans="1:27" ht="15" customHeight="1" x14ac:dyDescent="0.25">
      <c r="C62" s="347"/>
      <c r="D62" s="470" t="s">
        <v>410</v>
      </c>
      <c r="E62" s="470"/>
      <c r="F62" s="470"/>
      <c r="G62" s="470"/>
      <c r="H62" s="470"/>
      <c r="I62" s="470"/>
      <c r="J62" s="470"/>
      <c r="K62" s="470"/>
      <c r="L62" s="470"/>
      <c r="M62" s="470"/>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2017-09-27T07:14:10Z</dcterms:modified>
</cp:coreProperties>
</file>