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Pertanian\D_Gabung BAU dan SPE\"/>
    </mc:Choice>
  </mc:AlternateContent>
  <bookViews>
    <workbookView xWindow="0" yWindow="0" windowWidth="19200" windowHeight="6555"/>
  </bookViews>
  <sheets>
    <sheet name="Peternakan" sheetId="1" r:id="rId1"/>
    <sheet name="Pertanian" sheetId="2" r:id="rId2"/>
    <sheet name="Sheet1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V6" i="1"/>
  <c r="U6" i="1"/>
  <c r="T7" i="1" l="1"/>
  <c r="T6" i="1"/>
  <c r="F29" i="2"/>
  <c r="F30" i="2"/>
  <c r="S13" i="2" l="1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E12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M16" i="2"/>
  <c r="L16" i="2"/>
  <c r="Q7" i="2" l="1"/>
  <c r="Q16" i="2"/>
  <c r="J7" i="2"/>
  <c r="R7" i="2"/>
  <c r="J16" i="2"/>
  <c r="K7" i="2"/>
  <c r="S7" i="2"/>
  <c r="K16" i="2"/>
  <c r="S16" i="2"/>
  <c r="R16" i="2"/>
  <c r="L7" i="2"/>
  <c r="E15" i="2"/>
  <c r="E7" i="2"/>
  <c r="M7" i="2"/>
  <c r="M18" i="2" s="1"/>
  <c r="E16" i="2"/>
  <c r="F7" i="2"/>
  <c r="F18" i="2" s="1"/>
  <c r="N7" i="2"/>
  <c r="F16" i="2"/>
  <c r="N16" i="2"/>
  <c r="I7" i="2"/>
  <c r="O7" i="2"/>
  <c r="O16" i="2"/>
  <c r="O18" i="2" s="1"/>
  <c r="I16" i="2"/>
  <c r="G7" i="2"/>
  <c r="G16" i="2"/>
  <c r="H7" i="2"/>
  <c r="P7" i="2"/>
  <c r="H16" i="2"/>
  <c r="P16" i="2"/>
  <c r="L18" i="2"/>
  <c r="G18" i="2" l="1"/>
  <c r="K18" i="2"/>
  <c r="S18" i="2"/>
  <c r="H18" i="2"/>
  <c r="R18" i="2"/>
  <c r="N18" i="2"/>
  <c r="E18" i="2"/>
  <c r="P18" i="2"/>
  <c r="I18" i="2"/>
  <c r="J18" i="2"/>
  <c r="Q18" i="2"/>
  <c r="E17" i="2"/>
  <c r="E19" i="2"/>
  <c r="T5" i="2"/>
  <c r="U5" i="2" s="1"/>
  <c r="E20" i="2" l="1"/>
  <c r="L7" i="1"/>
  <c r="M7" i="1"/>
  <c r="N7" i="1"/>
  <c r="O7" i="1"/>
  <c r="P7" i="1"/>
  <c r="Q7" i="1"/>
  <c r="R7" i="1"/>
  <c r="K7" i="1"/>
  <c r="F7" i="1"/>
  <c r="G7" i="1"/>
  <c r="H7" i="1"/>
  <c r="I7" i="1"/>
  <c r="J7" i="1"/>
  <c r="E7" i="1"/>
  <c r="L6" i="1"/>
  <c r="M6" i="1"/>
  <c r="N6" i="1"/>
  <c r="O6" i="1"/>
  <c r="P6" i="1"/>
  <c r="Q6" i="1"/>
  <c r="R6" i="1"/>
  <c r="R12" i="1" s="1"/>
  <c r="K6" i="1"/>
  <c r="F6" i="1"/>
  <c r="G6" i="1"/>
  <c r="H6" i="1"/>
  <c r="I6" i="1"/>
  <c r="J6" i="1"/>
  <c r="E6" i="1"/>
  <c r="D18" i="1"/>
  <c r="D20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3" i="1"/>
  <c r="D24" i="1" l="1"/>
  <c r="D26" i="1" s="1"/>
  <c r="D22" i="1"/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O15" i="2" l="1"/>
  <c r="O19" i="2" s="1"/>
  <c r="N15" i="2"/>
  <c r="N17" i="2" s="1"/>
  <c r="M15" i="2"/>
  <c r="M17" i="2" s="1"/>
  <c r="L15" i="2"/>
  <c r="L17" i="2" s="1"/>
  <c r="S15" i="2"/>
  <c r="S17" i="2" s="1"/>
  <c r="K15" i="2"/>
  <c r="K19" i="2" s="1"/>
  <c r="R15" i="2"/>
  <c r="R17" i="2" s="1"/>
  <c r="J15" i="2"/>
  <c r="J19" i="2" s="1"/>
  <c r="Q15" i="2"/>
  <c r="Q17" i="2" s="1"/>
  <c r="I15" i="2"/>
  <c r="I19" i="2" s="1"/>
  <c r="P15" i="2"/>
  <c r="P19" i="2" s="1"/>
  <c r="H15" i="2"/>
  <c r="H19" i="2" s="1"/>
  <c r="G15" i="2"/>
  <c r="G17" i="2" s="1"/>
  <c r="F15" i="2"/>
  <c r="F19" i="2" s="1"/>
  <c r="F23" i="2"/>
  <c r="F25" i="2" s="1"/>
  <c r="F26" i="2" s="1"/>
  <c r="E27" i="1"/>
  <c r="B9" i="1"/>
  <c r="P17" i="2" l="1"/>
  <c r="I17" i="2"/>
  <c r="H17" i="2"/>
  <c r="N19" i="2"/>
  <c r="F17" i="2"/>
  <c r="K17" i="2"/>
  <c r="S19" i="2"/>
  <c r="S20" i="2" s="1"/>
  <c r="O17" i="2"/>
  <c r="Q19" i="2"/>
  <c r="J17" i="2"/>
  <c r="G19" i="2"/>
  <c r="G20" i="2" s="1"/>
  <c r="R19" i="2"/>
  <c r="L19" i="2"/>
  <c r="M19" i="2"/>
  <c r="M20" i="2" s="1"/>
  <c r="J13" i="1"/>
  <c r="J20" i="1"/>
  <c r="R13" i="1"/>
  <c r="R14" i="1" s="1"/>
  <c r="R30" i="1" s="1"/>
  <c r="R20" i="1"/>
  <c r="K13" i="1"/>
  <c r="K20" i="1"/>
  <c r="E13" i="1"/>
  <c r="E12" i="1"/>
  <c r="E14" i="1" s="1"/>
  <c r="E30" i="1" s="1"/>
  <c r="E20" i="1"/>
  <c r="N13" i="1"/>
  <c r="N20" i="1"/>
  <c r="G20" i="1"/>
  <c r="G13" i="1"/>
  <c r="O13" i="1"/>
  <c r="O20" i="1"/>
  <c r="L20" i="1"/>
  <c r="L13" i="1"/>
  <c r="M13" i="1"/>
  <c r="M20" i="1"/>
  <c r="F20" i="1"/>
  <c r="F13" i="1"/>
  <c r="H13" i="1"/>
  <c r="H20" i="1"/>
  <c r="P13" i="1"/>
  <c r="P20" i="1"/>
  <c r="I13" i="1"/>
  <c r="I20" i="1"/>
  <c r="Q13" i="1"/>
  <c r="Q20" i="1"/>
  <c r="L12" i="1"/>
  <c r="L14" i="1" s="1"/>
  <c r="L30" i="1" s="1"/>
  <c r="P8" i="1"/>
  <c r="Q8" i="1"/>
  <c r="K12" i="1"/>
  <c r="E8" i="1"/>
  <c r="H12" i="1"/>
  <c r="S23" i="2"/>
  <c r="S25" i="2" s="1"/>
  <c r="S26" i="2" s="1"/>
  <c r="S29" i="2" s="1"/>
  <c r="S30" i="2" s="1"/>
  <c r="S31" i="2" s="1"/>
  <c r="Q8" i="3" s="1"/>
  <c r="R23" i="2"/>
  <c r="R25" i="2" s="1"/>
  <c r="R26" i="2" s="1"/>
  <c r="R29" i="2" s="1"/>
  <c r="R30" i="2" s="1"/>
  <c r="R31" i="2" s="1"/>
  <c r="P8" i="3" s="1"/>
  <c r="Q23" i="2"/>
  <c r="Q25" i="2" s="1"/>
  <c r="Q26" i="2" s="1"/>
  <c r="Q29" i="2" s="1"/>
  <c r="Q30" i="2" s="1"/>
  <c r="Q31" i="2" s="1"/>
  <c r="O8" i="3" s="1"/>
  <c r="P23" i="2"/>
  <c r="P25" i="2" s="1"/>
  <c r="P26" i="2" s="1"/>
  <c r="P29" i="2" s="1"/>
  <c r="P30" i="2" s="1"/>
  <c r="P31" i="2" s="1"/>
  <c r="N8" i="3" s="1"/>
  <c r="O23" i="2"/>
  <c r="O25" i="2" s="1"/>
  <c r="O26" i="2" s="1"/>
  <c r="O29" i="2" s="1"/>
  <c r="O30" i="2" s="1"/>
  <c r="O31" i="2" s="1"/>
  <c r="M8" i="3" s="1"/>
  <c r="N23" i="2"/>
  <c r="N25" i="2" s="1"/>
  <c r="N26" i="2" s="1"/>
  <c r="N29" i="2" s="1"/>
  <c r="N30" i="2" s="1"/>
  <c r="N31" i="2" s="1"/>
  <c r="L8" i="3" s="1"/>
  <c r="M23" i="2"/>
  <c r="M25" i="2" s="1"/>
  <c r="M26" i="2" s="1"/>
  <c r="M29" i="2" s="1"/>
  <c r="M30" i="2" s="1"/>
  <c r="M31" i="2" s="1"/>
  <c r="K8" i="3" s="1"/>
  <c r="L23" i="2"/>
  <c r="L25" i="2" s="1"/>
  <c r="L26" i="2" s="1"/>
  <c r="L29" i="2" s="1"/>
  <c r="L30" i="2" s="1"/>
  <c r="L31" i="2" s="1"/>
  <c r="J8" i="3" s="1"/>
  <c r="K23" i="2"/>
  <c r="K25" i="2" s="1"/>
  <c r="K26" i="2" s="1"/>
  <c r="K29" i="2" s="1"/>
  <c r="K30" i="2" s="1"/>
  <c r="K31" i="2" s="1"/>
  <c r="I8" i="3" s="1"/>
  <c r="J23" i="2"/>
  <c r="J25" i="2" s="1"/>
  <c r="J26" i="2" s="1"/>
  <c r="J29" i="2" s="1"/>
  <c r="J30" i="2" s="1"/>
  <c r="J31" i="2" s="1"/>
  <c r="H8" i="3" s="1"/>
  <c r="I23" i="2"/>
  <c r="I25" i="2" s="1"/>
  <c r="I26" i="2" s="1"/>
  <c r="I29" i="2" s="1"/>
  <c r="I30" i="2" s="1"/>
  <c r="I31" i="2" s="1"/>
  <c r="G8" i="3" s="1"/>
  <c r="H23" i="2"/>
  <c r="H25" i="2" s="1"/>
  <c r="H26" i="2" s="1"/>
  <c r="H29" i="2" s="1"/>
  <c r="H30" i="2" s="1"/>
  <c r="H31" i="2" s="1"/>
  <c r="F8" i="3" s="1"/>
  <c r="G23" i="2"/>
  <c r="G25" i="2" s="1"/>
  <c r="G26" i="2" s="1"/>
  <c r="G29" i="2" s="1"/>
  <c r="G30" i="2" s="1"/>
  <c r="G31" i="2" s="1"/>
  <c r="E8" i="3" s="1"/>
  <c r="F31" i="2"/>
  <c r="D8" i="3" s="1"/>
  <c r="E23" i="2"/>
  <c r="J20" i="2"/>
  <c r="O20" i="2"/>
  <c r="K20" i="2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D31" i="1" s="1"/>
  <c r="Q12" i="1"/>
  <c r="Q14" i="1" s="1"/>
  <c r="Q30" i="1" s="1"/>
  <c r="P12" i="1"/>
  <c r="O12" i="1"/>
  <c r="O14" i="1" s="1"/>
  <c r="O30" i="1" s="1"/>
  <c r="N12" i="1"/>
  <c r="N14" i="1" s="1"/>
  <c r="N30" i="1" s="1"/>
  <c r="M12" i="1"/>
  <c r="M14" i="1" s="1"/>
  <c r="M30" i="1" s="1"/>
  <c r="J12" i="1"/>
  <c r="J14" i="1" s="1"/>
  <c r="J30" i="1" s="1"/>
  <c r="I12" i="1"/>
  <c r="I14" i="1" s="1"/>
  <c r="I30" i="1" s="1"/>
  <c r="G12" i="1"/>
  <c r="F12" i="1"/>
  <c r="D12" i="1"/>
  <c r="D14" i="1" s="1"/>
  <c r="D30" i="1" s="1"/>
  <c r="D32" i="1" s="1"/>
  <c r="R8" i="1"/>
  <c r="O8" i="1"/>
  <c r="N8" i="1"/>
  <c r="M8" i="1"/>
  <c r="J8" i="1"/>
  <c r="I8" i="1"/>
  <c r="H8" i="1"/>
  <c r="G8" i="1"/>
  <c r="F8" i="1"/>
  <c r="D8" i="1"/>
  <c r="S7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F14" i="1" l="1"/>
  <c r="F30" i="1" s="1"/>
  <c r="H22" i="1"/>
  <c r="H24" i="1"/>
  <c r="H26" i="1" s="1"/>
  <c r="K22" i="1"/>
  <c r="K24" i="1"/>
  <c r="K26" i="1" s="1"/>
  <c r="H14" i="1"/>
  <c r="H30" i="1" s="1"/>
  <c r="F24" i="1"/>
  <c r="F26" i="1" s="1"/>
  <c r="F22" i="1"/>
  <c r="G22" i="1"/>
  <c r="G24" i="1"/>
  <c r="G26" i="1" s="1"/>
  <c r="R24" i="1"/>
  <c r="R26" i="1" s="1"/>
  <c r="R22" i="1"/>
  <c r="R31" i="1" s="1"/>
  <c r="R32" i="1" s="1"/>
  <c r="I24" i="1"/>
  <c r="I26" i="1" s="1"/>
  <c r="I22" i="1"/>
  <c r="M22" i="1"/>
  <c r="M24" i="1"/>
  <c r="M26" i="1" s="1"/>
  <c r="N22" i="1"/>
  <c r="N24" i="1"/>
  <c r="N26" i="1" s="1"/>
  <c r="P14" i="1"/>
  <c r="P30" i="1" s="1"/>
  <c r="Q22" i="1"/>
  <c r="Q24" i="1"/>
  <c r="Q26" i="1" s="1"/>
  <c r="G14" i="1"/>
  <c r="G30" i="1" s="1"/>
  <c r="K14" i="1"/>
  <c r="K30" i="1" s="1"/>
  <c r="J24" i="1"/>
  <c r="J26" i="1" s="1"/>
  <c r="J22" i="1"/>
  <c r="J31" i="1" s="1"/>
  <c r="J32" i="1" s="1"/>
  <c r="L22" i="1"/>
  <c r="L24" i="1"/>
  <c r="L26" i="1" s="1"/>
  <c r="O22" i="1"/>
  <c r="O24" i="1"/>
  <c r="O26" i="1" s="1"/>
  <c r="P22" i="1"/>
  <c r="P24" i="1"/>
  <c r="P26" i="1" s="1"/>
  <c r="E24" i="1"/>
  <c r="E26" i="1" s="1"/>
  <c r="E22" i="1"/>
  <c r="E25" i="2"/>
  <c r="E26" i="2" s="1"/>
  <c r="E29" i="2" s="1"/>
  <c r="E30" i="2" s="1"/>
  <c r="L8" i="1"/>
  <c r="K8" i="1"/>
  <c r="S6" i="1"/>
  <c r="H20" i="2"/>
  <c r="P20" i="2"/>
  <c r="L20" i="2"/>
  <c r="N20" i="2"/>
  <c r="E31" i="2" l="1"/>
  <c r="C8" i="3" s="1"/>
  <c r="F20" i="2"/>
  <c r="R20" i="2"/>
  <c r="Q20" i="2"/>
  <c r="I20" i="2"/>
  <c r="N31" i="1"/>
  <c r="N32" i="1" s="1"/>
  <c r="H31" i="1"/>
  <c r="H32" i="1" s="1"/>
  <c r="S30" i="1"/>
  <c r="I31" i="1"/>
  <c r="I32" i="1" s="1"/>
  <c r="F31" i="1"/>
  <c r="F32" i="1" s="1"/>
  <c r="O31" i="1"/>
  <c r="O32" i="1" s="1"/>
  <c r="Q31" i="1"/>
  <c r="Q32" i="1" s="1"/>
  <c r="L31" i="1"/>
  <c r="L32" i="1" s="1"/>
  <c r="M31" i="1"/>
  <c r="M32" i="1" s="1"/>
  <c r="P31" i="1"/>
  <c r="P32" i="1" s="1"/>
  <c r="K31" i="1"/>
  <c r="K32" i="1" s="1"/>
  <c r="E31" i="1"/>
  <c r="E32" i="1" s="1"/>
  <c r="G31" i="1"/>
  <c r="G32" i="1" s="1"/>
  <c r="K7" i="3" l="1"/>
  <c r="P7" i="3"/>
  <c r="O7" i="3"/>
  <c r="E7" i="3"/>
  <c r="C7" i="3"/>
  <c r="I7" i="3"/>
  <c r="S31" i="1"/>
  <c r="S33" i="1" s="1"/>
  <c r="N7" i="3"/>
  <c r="G7" i="3"/>
  <c r="J7" i="3"/>
  <c r="H7" i="3" l="1"/>
  <c r="Q6" i="3"/>
  <c r="E6" i="3"/>
  <c r="P6" i="3"/>
  <c r="K6" i="3"/>
  <c r="G6" i="3"/>
  <c r="N6" i="3"/>
  <c r="H6" i="3"/>
  <c r="O6" i="3"/>
  <c r="F7" i="3"/>
  <c r="L7" i="3"/>
  <c r="M7" i="3"/>
  <c r="D6" i="3"/>
  <c r="Q7" i="3" l="1"/>
  <c r="I6" i="3"/>
  <c r="M6" i="3"/>
  <c r="F6" i="3"/>
  <c r="C6" i="3"/>
  <c r="L6" i="3"/>
  <c r="J6" i="3"/>
  <c r="D7" i="3"/>
</calcChain>
</file>

<file path=xl/comments1.xml><?xml version="1.0" encoding="utf-8"?>
<comments xmlns="http://schemas.openxmlformats.org/spreadsheetml/2006/main">
  <authors>
    <author>Iwied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10%, Mekongga 30% dan Ciherang 60%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BAU SF: Inpari 5%, Mekongga 15% dan Ciherang 80%</t>
        </r>
      </text>
    </comment>
  </commentList>
</comments>
</file>

<file path=xl/sharedStrings.xml><?xml version="1.0" encoding="utf-8"?>
<sst xmlns="http://schemas.openxmlformats.org/spreadsheetml/2006/main" count="65" uniqueCount="65">
  <si>
    <t>PETERNAKAN</t>
  </si>
  <si>
    <t>KEGIATAN</t>
  </si>
  <si>
    <t>Peningkatan kegiatan peternakan untuk memenuhi kebutuhan daging utamanya daging sapi akan di dukung dengan rencana aksi pemanfaatan limbah kotoran sapi. Ada 2 kegiatan yang diusulkan yaitu:</t>
  </si>
  <si>
    <t>Pencegahan Pelepasan CH4 dari Pengolahan Limbah Ternak</t>
  </si>
  <si>
    <t>Emisi CH4 (Gg) dari UPPO</t>
  </si>
  <si>
    <t>CO2eq Biogas</t>
  </si>
  <si>
    <t>CO2eq UPPO</t>
  </si>
  <si>
    <t>PERTANIAN</t>
  </si>
  <si>
    <t>Penerapan Budidaya Padi Ramah Iklim</t>
  </si>
  <si>
    <t>Meningkatkan produksi padi dengan teknologi budidaya rendah emisi GRK dengan pemakaian pupuk yang rasional dengan penambahan pupuk organik sebagai pengganti sebagian pupuk kimia melalui:</t>
  </si>
  <si>
    <t>Scen 2</t>
  </si>
  <si>
    <t>Penurunan Emisi dari Penerapan Intermitten dari Sawah Irigasi Teknis dan Perubahan Varitas</t>
  </si>
  <si>
    <t>Luas Sawah Intermittent (dari irigasi penuh) (Ha)</t>
  </si>
  <si>
    <t>IP (kali)</t>
  </si>
  <si>
    <t>Baseline EF Padi Sawah Tergenang (Kg CH4/ha/musim)</t>
  </si>
  <si>
    <t>SF Air BAU (Irigasi tergenang penuh)</t>
  </si>
  <si>
    <t>SF Air Mitigasi (Intermittent)</t>
  </si>
  <si>
    <t>SF Varitas BAU (liat SF BAU)</t>
  </si>
  <si>
    <t>SF Varitas Mitigasi (Lihat Scenario SF Varitas tabel disamping kiri)</t>
  </si>
  <si>
    <t>EF Padi Sawah Per Luas Sawah Sebelum Penerapan</t>
  </si>
  <si>
    <t>EF Padi Sawah Per Luas Sawah Setelah Penerapan</t>
  </si>
  <si>
    <t>Penurunan CH4 Total  (Gg)</t>
  </si>
  <si>
    <t>Penggantian Penggunaan Pupuk</t>
  </si>
  <si>
    <t>Jumlah Sapi yang Di-UPPO (Ekor)</t>
  </si>
  <si>
    <t>Jumlah Tinja Per Ekor Per Hari (Kg)</t>
  </si>
  <si>
    <t>Jumlah Tinja Per Tahun (Gg)</t>
  </si>
  <si>
    <t>Jumlah Pupuk yang dihasilkan</t>
  </si>
  <si>
    <t>Kandungan N dalam Pupuk (%)</t>
  </si>
  <si>
    <t>Jumlah N dalam urea (%)</t>
  </si>
  <si>
    <t>Penurunan CO2 dari penggantian urea (Gg)</t>
  </si>
  <si>
    <t>CO2eq Penggantian Pupuk</t>
  </si>
  <si>
    <t>Jumlah Sapi Potong yang Dibiogaskan (dikalikan dengan unit biogas)</t>
  </si>
  <si>
    <t>Jumlah Sapi Potong yang Di-UPPO-kan (dikalikan dengan unit UPPO)</t>
  </si>
  <si>
    <t>Pembuatan Biogas</t>
  </si>
  <si>
    <t>Pembuatan UPPO</t>
  </si>
  <si>
    <t>Intermittent</t>
  </si>
  <si>
    <t>Varietas</t>
  </si>
  <si>
    <t>Penggantian Urea</t>
  </si>
  <si>
    <t>EF CH4 untuk Manure Management (Kg/ekor/th)</t>
  </si>
  <si>
    <t>EF CH4 Enterik Fermentation (Kg/ekor/thn)</t>
  </si>
  <si>
    <t>Emisi CH4 (Gg) dari Enterik</t>
  </si>
  <si>
    <t>Emisi CH4 (Gg) dari Manure</t>
  </si>
  <si>
    <t>Emisi CH4 (Gg) dari Biogas (Enterik+Manure)</t>
  </si>
  <si>
    <t>Laju Ekresi N (kg N/1000 kg berat ternak/hari)</t>
  </si>
  <si>
    <t>Masa Ternak Sapi Potong (kg)</t>
  </si>
  <si>
    <t>Rata2 N yg di ekresikan (kg N/ternak/tahun)</t>
  </si>
  <si>
    <t>Fraksi N total tahunan dari eksresi</t>
  </si>
  <si>
    <t>Total N dari eksresi dari MMS (kg N/th)</t>
  </si>
  <si>
    <t>EF dari emisi N2O-N secara langsung dari MMS (Kg N2O-N/Kg N dalam MMS)</t>
  </si>
  <si>
    <t>Emisi N2O langsung tahunan dari pengelolaan kotoran hewan untuk pupuk (Kg N2O/th</t>
  </si>
  <si>
    <t>Fraksi N dari pengelolaan kotoran hewan untuk pupuk yang tervolatilisasi</t>
  </si>
  <si>
    <t>Jumlah N yang hilang karena tervolatilisasi menjadi NH3 &amp; Nox (kg N/th)</t>
  </si>
  <si>
    <t>EF N2O volatisasi</t>
  </si>
  <si>
    <t>Emisi N2O tidak langsung karena tervolatilisasi dari pengelolaan kotoran untuk pupuk (kg N2O/th)</t>
  </si>
  <si>
    <t>Pembuatan biogas sebanyak 20 unit/tahun di 10 Kab/kota. 1 unit terdiri dari 4 ekor sapi dari 2017 sampai 2023 dan menjadi 25 unit per tahun 2024 - 2030. Hasilnya digunakan untuk menggantikan LPG untuk memasak.  Didukung BLH dan peternakan. Pembangunan dimulai tahun 2016 sampai dengan 2030.</t>
  </si>
  <si>
    <t>Pembangunan UPPO 4 unit/tahun di 7 Kab dari 2017 sampai 2023 dan 6 unit/ tahun 2024 - 2030. 1 unit untuk 35 ekor sapi. Hasli dari UPPO ini digunakan untuk mengurangi pupuk NPK dan urea. Target kegiatan dimulai pada tahun 2016-2030.</t>
  </si>
  <si>
    <t>Scalling faktor Jenis Tanah</t>
  </si>
  <si>
    <t>Emisi CH4 sebelum penerapan (Gg)</t>
  </si>
  <si>
    <t>Emisi CH4 setelah penerapan (Gg)</t>
  </si>
  <si>
    <t>% Luas sawah yang menerapkan sistem Intermitten</t>
  </si>
  <si>
    <t>Penurunan CH4 Total (CO2-eq)</t>
  </si>
  <si>
    <t>Luas Panen (Ha)</t>
  </si>
  <si>
    <t>Perubahan dari sistem irigasi terus menerus menjadi intermitten sebesar 50% dari total luas panen dimulai sejak tahun 2017. Sawah-sawah yang di-intermittent-kan akan berlanjut terus menerus sehingga sawah intermittent akan akumulatif. Penerapan ini diikuti perubahan persentase varietas dengan SFv lebih rendah dari BAU, berupa ciheran 80%, inpari 10% dan Menkongga 15%</t>
  </si>
  <si>
    <t xml:space="preserve">Kompos granule (17% N) = 2 Ton/Ha; Kompos Jerami (2 Ton/Ha); Kompos dari ternak (disesuaikan dengan hasil perhitungan UPPO)
</t>
  </si>
  <si>
    <t>Jumlah Urea yang tergantikan (Gg) (Pupuk yang dipakai untuk mengganti urea hanya 80%, lihat skenario. Sisanya 20% menggantikan NPK)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</si>
</sst>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-* #,##0_-;\-* #,##0_-;_-* &quot;-&quot;??_-;_-@_-"/>
    <numFmt numFmtId="168" formatCode="_-* #,##0.0_-;\-* #,##0.0_-;_-* &quot;-&quot;??_-;_-@_-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0" applyNumberFormat="1" applyAlignment="1">
      <alignment vertical="top"/>
    </xf>
    <xf numFmtId="165" fontId="2" fillId="0" borderId="0" xfId="0" applyNumberFormat="1" applyFont="1" applyAlignment="1">
      <alignment vertical="top"/>
    </xf>
    <xf numFmtId="166" fontId="0" fillId="0" borderId="0" xfId="0" applyNumberFormat="1" applyAlignment="1">
      <alignment vertical="top"/>
    </xf>
    <xf numFmtId="0" fontId="2" fillId="4" borderId="0" xfId="0" applyFont="1" applyFill="1" applyAlignment="1">
      <alignment vertical="top" wrapText="1"/>
    </xf>
    <xf numFmtId="166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64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0" fontId="0" fillId="2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167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3" borderId="0" xfId="0" applyNumberFormat="1" applyFill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4" fontId="2" fillId="3" borderId="0" xfId="0" applyNumberFormat="1" applyFont="1" applyFill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3" borderId="0" xfId="0" applyNumberFormat="1" applyFill="1" applyAlignment="1">
      <alignment horizontal="right" vertical="top"/>
    </xf>
    <xf numFmtId="43" fontId="0" fillId="0" borderId="0" xfId="1" applyFont="1" applyAlignment="1">
      <alignment horizontal="right" vertical="top"/>
    </xf>
    <xf numFmtId="43" fontId="0" fillId="3" borderId="0" xfId="1" applyFont="1" applyFill="1" applyAlignment="1">
      <alignment horizontal="right" vertical="top"/>
    </xf>
    <xf numFmtId="43" fontId="0" fillId="4" borderId="0" xfId="0" applyNumberFormat="1" applyFill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NumberFormat="1" applyFont="1" applyAlignment="1">
      <alignment vertical="center"/>
    </xf>
    <xf numFmtId="0" fontId="0" fillId="3" borderId="0" xfId="0" applyFill="1" applyAlignment="1">
      <alignment horizontal="center"/>
    </xf>
    <xf numFmtId="43" fontId="0" fillId="0" borderId="0" xfId="1" applyNumberFormat="1" applyFont="1" applyAlignment="1">
      <alignment vertical="top"/>
    </xf>
    <xf numFmtId="167" fontId="0" fillId="6" borderId="0" xfId="1" applyNumberFormat="1" applyFont="1" applyFill="1" applyAlignment="1">
      <alignment horizontal="right" vertical="top"/>
    </xf>
    <xf numFmtId="3" fontId="0" fillId="4" borderId="0" xfId="0" applyNumberFormat="1" applyFill="1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Font="1" applyBorder="1" applyAlignment="1">
      <alignment horizontal="left" vertical="top" wrapText="1"/>
    </xf>
    <xf numFmtId="168" fontId="0" fillId="0" borderId="0" xfId="1" applyNumberFormat="1" applyFont="1" applyAlignment="1">
      <alignment vertical="top"/>
    </xf>
    <xf numFmtId="167" fontId="0" fillId="0" borderId="0" xfId="1" applyNumberFormat="1" applyFont="1" applyAlignment="1">
      <alignment vertical="top"/>
    </xf>
    <xf numFmtId="0" fontId="0" fillId="0" borderId="0" xfId="0" applyAlignment="1">
      <alignment horizontal="left"/>
    </xf>
    <xf numFmtId="168" fontId="0" fillId="4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164" fontId="0" fillId="7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5" fontId="2" fillId="0" borderId="0" xfId="0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164" fontId="0" fillId="0" borderId="0" xfId="0" applyNumberFormat="1" applyFill="1" applyAlignment="1">
      <alignment vertical="top"/>
    </xf>
    <xf numFmtId="167" fontId="0" fillId="0" borderId="0" xfId="1" applyNumberFormat="1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7" borderId="0" xfId="0" applyFill="1" applyAlignment="1">
      <alignment vertical="top" wrapText="1"/>
    </xf>
    <xf numFmtId="0" fontId="0" fillId="7" borderId="0" xfId="0" applyFill="1" applyBorder="1" applyAlignment="1">
      <alignment horizontal="left" vertical="center" wrapText="1"/>
    </xf>
    <xf numFmtId="168" fontId="0" fillId="7" borderId="0" xfId="1" applyNumberFormat="1" applyFont="1" applyFill="1" applyAlignment="1">
      <alignment vertical="top"/>
    </xf>
    <xf numFmtId="0" fontId="0" fillId="0" borderId="0" xfId="0" applyFill="1" applyAlignment="1">
      <alignment vertical="top" wrapText="1"/>
    </xf>
    <xf numFmtId="9" fontId="0" fillId="6" borderId="0" xfId="2" applyFont="1" applyFill="1" applyAlignment="1">
      <alignment horizontal="right" vertical="top"/>
    </xf>
    <xf numFmtId="43" fontId="0" fillId="6" borderId="0" xfId="1" applyNumberFormat="1" applyFont="1" applyFill="1" applyAlignment="1">
      <alignment horizontal="right" vertical="top"/>
    </xf>
    <xf numFmtId="0" fontId="0" fillId="0" borderId="0" xfId="0" applyFont="1" applyAlignment="1">
      <alignment vertical="top"/>
    </xf>
    <xf numFmtId="164" fontId="2" fillId="5" borderId="0" xfId="0" applyNumberFormat="1" applyFont="1" applyFill="1" applyAlignment="1">
      <alignment horizontal="right" vertical="top"/>
    </xf>
    <xf numFmtId="164" fontId="0" fillId="0" borderId="0" xfId="0" applyNumberFormat="1" applyFill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9" fontId="0" fillId="0" borderId="0" xfId="2" applyNumberFormat="1" applyFont="1" applyAlignment="1">
      <alignment vertical="top"/>
    </xf>
    <xf numFmtId="9" fontId="0" fillId="0" borderId="0" xfId="2" applyNumberFormat="1" applyFon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Pertanian%20dan%20Peternakan-KDA_Revisi%20RAD_ver2_Kab-Ko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as Alokasi Pertanian"/>
      <sheetName val="Sheet1"/>
      <sheetName val="Paser"/>
      <sheetName val="Kutai Barat"/>
      <sheetName val="Kutai Kertanegara"/>
      <sheetName val="Kutai Timur"/>
      <sheetName val="Berau"/>
      <sheetName val="PPU"/>
      <sheetName val="Samarinda"/>
      <sheetName val="Balikpapan"/>
      <sheetName val="Bontang"/>
      <sheetName val="Mahulu"/>
    </sheetNames>
    <sheetDataSet>
      <sheetData sheetId="0"/>
      <sheetData sheetId="1">
        <row r="21">
          <cell r="B21">
            <v>64331.943080092889</v>
          </cell>
        </row>
        <row r="22">
          <cell r="B22">
            <v>73529.703392459996</v>
          </cell>
        </row>
        <row r="23">
          <cell r="B23">
            <v>76281.53510915798</v>
          </cell>
        </row>
        <row r="24">
          <cell r="B24">
            <v>79578.332337975051</v>
          </cell>
        </row>
        <row r="25">
          <cell r="B25">
            <v>82675.397549932226</v>
          </cell>
        </row>
        <row r="26">
          <cell r="B26">
            <v>85751.294918429601</v>
          </cell>
        </row>
        <row r="27">
          <cell r="B27">
            <v>90818.919350152602</v>
          </cell>
        </row>
        <row r="28">
          <cell r="B28">
            <v>94905.936243703647</v>
          </cell>
        </row>
        <row r="29">
          <cell r="B29">
            <v>99255.56201379883</v>
          </cell>
        </row>
        <row r="30">
          <cell r="B30">
            <v>103872.60542083837</v>
          </cell>
        </row>
        <row r="31">
          <cell r="B31">
            <v>108767.22474773311</v>
          </cell>
        </row>
        <row r="32">
          <cell r="B32">
            <v>113943.94586805131</v>
          </cell>
        </row>
        <row r="33">
          <cell r="B33">
            <v>119412.68125184288</v>
          </cell>
        </row>
        <row r="34">
          <cell r="B34">
            <v>125131.74995791506</v>
          </cell>
        </row>
        <row r="35">
          <cell r="B35">
            <v>131195.89946251441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3"/>
  <sheetViews>
    <sheetView tabSelected="1" topLeftCell="D1" zoomScale="85" zoomScaleNormal="85" workbookViewId="0">
      <selection activeCell="V6" sqref="V6"/>
    </sheetView>
  </sheetViews>
  <sheetFormatPr defaultRowHeight="15" x14ac:dyDescent="0.25"/>
  <cols>
    <col min="1" max="1" width="9.140625" style="3"/>
    <col min="2" max="2" width="58.140625" style="3" customWidth="1"/>
    <col min="3" max="3" width="47.140625" style="2" customWidth="1"/>
    <col min="4" max="4" width="7" style="3" bestFit="1" customWidth="1"/>
    <col min="5" max="10" width="10.5703125" style="3" bestFit="1" customWidth="1"/>
    <col min="11" max="11" width="10.5703125" style="48" bestFit="1" customWidth="1"/>
    <col min="12" max="18" width="10.5703125" style="3" bestFit="1" customWidth="1"/>
    <col min="19" max="19" width="9.5703125" style="3" bestFit="1" customWidth="1"/>
    <col min="20" max="20" width="9.140625" style="3" customWidth="1"/>
    <col min="21" max="21" width="13.28515625" style="3" bestFit="1" customWidth="1"/>
    <col min="22" max="16384" width="9.140625" style="3"/>
  </cols>
  <sheetData>
    <row r="4" spans="1:22" x14ac:dyDescent="0.25">
      <c r="A4" s="3" t="s">
        <v>0</v>
      </c>
      <c r="C4" s="15" t="s">
        <v>1</v>
      </c>
      <c r="D4" s="16">
        <v>2016</v>
      </c>
      <c r="E4" s="16">
        <f t="shared" ref="E4:R4" si="0">D4+1</f>
        <v>2017</v>
      </c>
      <c r="F4" s="16">
        <f t="shared" si="0"/>
        <v>2018</v>
      </c>
      <c r="G4" s="16">
        <f t="shared" si="0"/>
        <v>2019</v>
      </c>
      <c r="H4" s="16">
        <f t="shared" si="0"/>
        <v>2020</v>
      </c>
      <c r="I4" s="16">
        <f t="shared" si="0"/>
        <v>2021</v>
      </c>
      <c r="J4" s="16">
        <f t="shared" si="0"/>
        <v>2022</v>
      </c>
      <c r="K4" s="54">
        <f t="shared" si="0"/>
        <v>2023</v>
      </c>
      <c r="L4" s="16">
        <f t="shared" si="0"/>
        <v>2024</v>
      </c>
      <c r="M4" s="16">
        <f t="shared" si="0"/>
        <v>2025</v>
      </c>
      <c r="N4" s="16">
        <f t="shared" si="0"/>
        <v>2026</v>
      </c>
      <c r="O4" s="16">
        <f t="shared" si="0"/>
        <v>2027</v>
      </c>
      <c r="P4" s="16">
        <f t="shared" si="0"/>
        <v>2028</v>
      </c>
      <c r="Q4" s="16">
        <f t="shared" si="0"/>
        <v>2029</v>
      </c>
      <c r="R4" s="16">
        <f t="shared" si="0"/>
        <v>2030</v>
      </c>
    </row>
    <row r="5" spans="1:22" ht="30" x14ac:dyDescent="0.25">
      <c r="A5" s="64" t="s">
        <v>2</v>
      </c>
      <c r="B5" s="64"/>
      <c r="C5" s="15" t="s">
        <v>3</v>
      </c>
    </row>
    <row r="6" spans="1:22" ht="90" x14ac:dyDescent="0.25">
      <c r="A6" s="16">
        <v>1</v>
      </c>
      <c r="B6" s="2" t="s">
        <v>54</v>
      </c>
      <c r="C6" s="2" t="s">
        <v>31</v>
      </c>
      <c r="D6" s="4"/>
      <c r="E6" s="4">
        <f>4*20*10</f>
        <v>800</v>
      </c>
      <c r="F6" s="4">
        <f t="shared" ref="F6:J6" si="1">4*20*10</f>
        <v>800</v>
      </c>
      <c r="G6" s="4">
        <f t="shared" si="1"/>
        <v>800</v>
      </c>
      <c r="H6" s="4">
        <f t="shared" si="1"/>
        <v>800</v>
      </c>
      <c r="I6" s="4">
        <f t="shared" si="1"/>
        <v>800</v>
      </c>
      <c r="J6" s="4">
        <f t="shared" si="1"/>
        <v>800</v>
      </c>
      <c r="K6" s="49">
        <f>4*25*10</f>
        <v>1000</v>
      </c>
      <c r="L6" s="49">
        <f t="shared" ref="L6:R6" si="2">4*25*10</f>
        <v>1000</v>
      </c>
      <c r="M6" s="49">
        <f t="shared" si="2"/>
        <v>1000</v>
      </c>
      <c r="N6" s="49">
        <f t="shared" si="2"/>
        <v>1000</v>
      </c>
      <c r="O6" s="49">
        <f t="shared" si="2"/>
        <v>1000</v>
      </c>
      <c r="P6" s="49">
        <f t="shared" si="2"/>
        <v>1000</v>
      </c>
      <c r="Q6" s="49">
        <f t="shared" si="2"/>
        <v>1000</v>
      </c>
      <c r="R6" s="49">
        <f t="shared" si="2"/>
        <v>1000</v>
      </c>
      <c r="S6" s="4">
        <f>SUM(D6:R6)</f>
        <v>12800</v>
      </c>
      <c r="T6" s="17">
        <f>S6/14</f>
        <v>914.28571428571433</v>
      </c>
      <c r="U6" s="43">
        <f>3445660/20</f>
        <v>172283</v>
      </c>
      <c r="V6" s="66">
        <f>T6/U6</f>
        <v>5.306882944258658E-3</v>
      </c>
    </row>
    <row r="7" spans="1:22" ht="60" x14ac:dyDescent="0.25">
      <c r="A7" s="16">
        <v>2</v>
      </c>
      <c r="B7" s="2" t="s">
        <v>55</v>
      </c>
      <c r="C7" s="2" t="s">
        <v>32</v>
      </c>
      <c r="D7" s="4"/>
      <c r="E7" s="4">
        <f>35*4*7</f>
        <v>980</v>
      </c>
      <c r="F7" s="4">
        <f t="shared" ref="F7:J7" si="3">35*4*7</f>
        <v>980</v>
      </c>
      <c r="G7" s="4">
        <f t="shared" si="3"/>
        <v>980</v>
      </c>
      <c r="H7" s="4">
        <f t="shared" si="3"/>
        <v>980</v>
      </c>
      <c r="I7" s="4">
        <f t="shared" si="3"/>
        <v>980</v>
      </c>
      <c r="J7" s="4">
        <f t="shared" si="3"/>
        <v>980</v>
      </c>
      <c r="K7" s="49">
        <f>35*6*7</f>
        <v>1470</v>
      </c>
      <c r="L7" s="49">
        <f t="shared" ref="L7:R7" si="4">35*6*7</f>
        <v>1470</v>
      </c>
      <c r="M7" s="49">
        <f t="shared" si="4"/>
        <v>1470</v>
      </c>
      <c r="N7" s="49">
        <f t="shared" si="4"/>
        <v>1470</v>
      </c>
      <c r="O7" s="49">
        <f t="shared" si="4"/>
        <v>1470</v>
      </c>
      <c r="P7" s="49">
        <f t="shared" si="4"/>
        <v>1470</v>
      </c>
      <c r="Q7" s="49">
        <f t="shared" si="4"/>
        <v>1470</v>
      </c>
      <c r="R7" s="49">
        <f t="shared" si="4"/>
        <v>1470</v>
      </c>
      <c r="S7" s="5">
        <f>SUM(D7:R7)</f>
        <v>17640</v>
      </c>
      <c r="T7" s="5">
        <f>S7/14</f>
        <v>1260</v>
      </c>
      <c r="V7" s="67">
        <f>T7/U6</f>
        <v>7.3135480575564626E-3</v>
      </c>
    </row>
    <row r="8" spans="1:22" x14ac:dyDescent="0.25">
      <c r="D8" s="6">
        <f t="shared" ref="D8:R8" si="5">SUM(D6:D7)</f>
        <v>0</v>
      </c>
      <c r="E8" s="6">
        <f t="shared" si="5"/>
        <v>1780</v>
      </c>
      <c r="F8" s="6">
        <f t="shared" si="5"/>
        <v>1780</v>
      </c>
      <c r="G8" s="6">
        <f t="shared" si="5"/>
        <v>1780</v>
      </c>
      <c r="H8" s="6">
        <f t="shared" si="5"/>
        <v>1780</v>
      </c>
      <c r="I8" s="6">
        <f t="shared" si="5"/>
        <v>1780</v>
      </c>
      <c r="J8" s="6">
        <f t="shared" si="5"/>
        <v>1780</v>
      </c>
      <c r="K8" s="50">
        <f t="shared" si="5"/>
        <v>2470</v>
      </c>
      <c r="L8" s="6">
        <f t="shared" si="5"/>
        <v>2470</v>
      </c>
      <c r="M8" s="6">
        <f t="shared" si="5"/>
        <v>2470</v>
      </c>
      <c r="N8" s="6">
        <f t="shared" si="5"/>
        <v>2470</v>
      </c>
      <c r="O8" s="6">
        <f t="shared" si="5"/>
        <v>2470</v>
      </c>
      <c r="P8" s="6">
        <f t="shared" si="5"/>
        <v>2470</v>
      </c>
      <c r="Q8" s="6">
        <f t="shared" si="5"/>
        <v>2470</v>
      </c>
      <c r="R8" s="6">
        <f t="shared" si="5"/>
        <v>2470</v>
      </c>
    </row>
    <row r="9" spans="1:22" x14ac:dyDescent="0.25">
      <c r="B9" s="3">
        <f>600/4</f>
        <v>150</v>
      </c>
      <c r="C9" s="2" t="s">
        <v>39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48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</row>
    <row r="10" spans="1:22" x14ac:dyDescent="0.25">
      <c r="C10" s="41" t="s">
        <v>38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48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</row>
    <row r="12" spans="1:22" x14ac:dyDescent="0.25">
      <c r="C12" s="2" t="s">
        <v>40</v>
      </c>
      <c r="D12" s="7">
        <f t="shared" ref="D12:Q12" si="6">D6*D9*10^-6</f>
        <v>0</v>
      </c>
      <c r="E12" s="7">
        <f>E6*E9*10^-6</f>
        <v>3.7600000000000001E-2</v>
      </c>
      <c r="F12" s="7">
        <f t="shared" si="6"/>
        <v>3.7600000000000001E-2</v>
      </c>
      <c r="G12" s="7">
        <f t="shared" si="6"/>
        <v>3.7600000000000001E-2</v>
      </c>
      <c r="H12" s="7">
        <f t="shared" si="6"/>
        <v>3.7600000000000001E-2</v>
      </c>
      <c r="I12" s="7">
        <f t="shared" si="6"/>
        <v>3.7600000000000001E-2</v>
      </c>
      <c r="J12" s="7">
        <f t="shared" si="6"/>
        <v>3.7600000000000001E-2</v>
      </c>
      <c r="K12" s="51">
        <f t="shared" si="6"/>
        <v>4.7E-2</v>
      </c>
      <c r="L12" s="7">
        <f t="shared" si="6"/>
        <v>4.7E-2</v>
      </c>
      <c r="M12" s="7">
        <f t="shared" si="6"/>
        <v>4.7E-2</v>
      </c>
      <c r="N12" s="7">
        <f t="shared" si="6"/>
        <v>4.7E-2</v>
      </c>
      <c r="O12" s="7">
        <f t="shared" si="6"/>
        <v>4.7E-2</v>
      </c>
      <c r="P12" s="7">
        <f t="shared" si="6"/>
        <v>4.7E-2</v>
      </c>
      <c r="Q12" s="7">
        <f t="shared" si="6"/>
        <v>4.7E-2</v>
      </c>
      <c r="R12" s="7">
        <f>R6*R9*10^-6</f>
        <v>4.7E-2</v>
      </c>
    </row>
    <row r="13" spans="1:22" x14ac:dyDescent="0.25">
      <c r="C13" s="2" t="s">
        <v>41</v>
      </c>
      <c r="D13" s="7">
        <f>D6*D10*10^-6</f>
        <v>0</v>
      </c>
      <c r="E13" s="7">
        <f>E6*E10*10^-6</f>
        <v>7.9999999999999993E-4</v>
      </c>
      <c r="F13" s="7">
        <f t="shared" ref="F13:R13" si="7">F6*F10*10^-6</f>
        <v>7.9999999999999993E-4</v>
      </c>
      <c r="G13" s="7">
        <f t="shared" si="7"/>
        <v>7.9999999999999993E-4</v>
      </c>
      <c r="H13" s="7">
        <f t="shared" si="7"/>
        <v>7.9999999999999993E-4</v>
      </c>
      <c r="I13" s="7">
        <f t="shared" si="7"/>
        <v>7.9999999999999993E-4</v>
      </c>
      <c r="J13" s="7">
        <f t="shared" si="7"/>
        <v>7.9999999999999993E-4</v>
      </c>
      <c r="K13" s="51">
        <f t="shared" si="7"/>
        <v>1E-3</v>
      </c>
      <c r="L13" s="7">
        <f t="shared" si="7"/>
        <v>1E-3</v>
      </c>
      <c r="M13" s="7">
        <f t="shared" si="7"/>
        <v>1E-3</v>
      </c>
      <c r="N13" s="7">
        <f t="shared" si="7"/>
        <v>1E-3</v>
      </c>
      <c r="O13" s="7">
        <f t="shared" si="7"/>
        <v>1E-3</v>
      </c>
      <c r="P13" s="7">
        <f t="shared" si="7"/>
        <v>1E-3</v>
      </c>
      <c r="Q13" s="7">
        <f t="shared" si="7"/>
        <v>1E-3</v>
      </c>
      <c r="R13" s="7">
        <f t="shared" si="7"/>
        <v>1E-3</v>
      </c>
    </row>
    <row r="14" spans="1:22" x14ac:dyDescent="0.25">
      <c r="C14" s="55" t="s">
        <v>42</v>
      </c>
      <c r="D14" s="46">
        <f>SUM(D12:D13)</f>
        <v>0</v>
      </c>
      <c r="E14" s="46">
        <f t="shared" ref="E14:Q14" si="8">SUM(E12:E13)</f>
        <v>3.8400000000000004E-2</v>
      </c>
      <c r="F14" s="46">
        <f t="shared" si="8"/>
        <v>3.8400000000000004E-2</v>
      </c>
      <c r="G14" s="46">
        <f t="shared" si="8"/>
        <v>3.8400000000000004E-2</v>
      </c>
      <c r="H14" s="46">
        <f t="shared" si="8"/>
        <v>3.8400000000000004E-2</v>
      </c>
      <c r="I14" s="46">
        <f t="shared" si="8"/>
        <v>3.8400000000000004E-2</v>
      </c>
      <c r="J14" s="46">
        <f t="shared" si="8"/>
        <v>3.8400000000000004E-2</v>
      </c>
      <c r="K14" s="46">
        <f t="shared" si="8"/>
        <v>4.8000000000000001E-2</v>
      </c>
      <c r="L14" s="46">
        <f t="shared" si="8"/>
        <v>4.8000000000000001E-2</v>
      </c>
      <c r="M14" s="46">
        <f t="shared" si="8"/>
        <v>4.8000000000000001E-2</v>
      </c>
      <c r="N14" s="46">
        <f t="shared" si="8"/>
        <v>4.8000000000000001E-2</v>
      </c>
      <c r="O14" s="46">
        <f t="shared" si="8"/>
        <v>4.8000000000000001E-2</v>
      </c>
      <c r="P14" s="46">
        <f t="shared" si="8"/>
        <v>4.8000000000000001E-2</v>
      </c>
      <c r="Q14" s="46">
        <f t="shared" si="8"/>
        <v>4.8000000000000001E-2</v>
      </c>
      <c r="R14" s="46">
        <f>SUM(R12:R13)</f>
        <v>4.8000000000000001E-2</v>
      </c>
    </row>
    <row r="15" spans="1:22" x14ac:dyDescent="0.25">
      <c r="D15" s="7"/>
      <c r="E15" s="7"/>
      <c r="F15" s="7"/>
      <c r="G15" s="7"/>
      <c r="H15" s="7"/>
      <c r="I15" s="7"/>
      <c r="J15" s="7"/>
      <c r="K15" s="51"/>
      <c r="L15" s="7"/>
      <c r="M15" s="7"/>
      <c r="N15" s="7"/>
      <c r="O15" s="7"/>
      <c r="P15" s="7"/>
      <c r="Q15" s="7"/>
      <c r="R15" s="7"/>
    </row>
    <row r="16" spans="1:22" x14ac:dyDescent="0.25">
      <c r="C16" s="2" t="s">
        <v>43</v>
      </c>
      <c r="D16" s="11">
        <v>0.34</v>
      </c>
      <c r="E16" s="11">
        <v>0.34</v>
      </c>
      <c r="F16" s="11">
        <v>0.34</v>
      </c>
      <c r="G16" s="11">
        <v>0.34</v>
      </c>
      <c r="H16" s="11">
        <v>0.34</v>
      </c>
      <c r="I16" s="11">
        <v>0.34</v>
      </c>
      <c r="J16" s="11">
        <v>0.34</v>
      </c>
      <c r="K16" s="52">
        <v>0.34</v>
      </c>
      <c r="L16" s="11">
        <v>0.34</v>
      </c>
      <c r="M16" s="11">
        <v>0.34</v>
      </c>
      <c r="N16" s="11">
        <v>0.34</v>
      </c>
      <c r="O16" s="11">
        <v>0.34</v>
      </c>
      <c r="P16" s="11">
        <v>0.34</v>
      </c>
      <c r="Q16" s="11">
        <v>0.34</v>
      </c>
      <c r="R16" s="11">
        <v>0.34</v>
      </c>
    </row>
    <row r="17" spans="3:19" x14ac:dyDescent="0.25">
      <c r="C17" s="2" t="s">
        <v>44</v>
      </c>
      <c r="D17" s="43">
        <v>250</v>
      </c>
      <c r="E17" s="43">
        <v>250</v>
      </c>
      <c r="F17" s="43">
        <v>250</v>
      </c>
      <c r="G17" s="43">
        <v>250</v>
      </c>
      <c r="H17" s="43">
        <v>250</v>
      </c>
      <c r="I17" s="43">
        <v>250</v>
      </c>
      <c r="J17" s="43">
        <v>250</v>
      </c>
      <c r="K17" s="53">
        <v>250</v>
      </c>
      <c r="L17" s="43">
        <v>250</v>
      </c>
      <c r="M17" s="43">
        <v>250</v>
      </c>
      <c r="N17" s="43">
        <v>250</v>
      </c>
      <c r="O17" s="43">
        <v>250</v>
      </c>
      <c r="P17" s="43">
        <v>250</v>
      </c>
      <c r="Q17" s="43">
        <v>250</v>
      </c>
      <c r="R17" s="43">
        <v>250</v>
      </c>
    </row>
    <row r="18" spans="3:19" x14ac:dyDescent="0.25">
      <c r="C18" s="2" t="s">
        <v>45</v>
      </c>
      <c r="D18" s="11">
        <f>D16*(D17/10^3)*365</f>
        <v>31.025000000000002</v>
      </c>
      <c r="E18" s="11">
        <f t="shared" ref="E18:R18" si="9">E16*(E17/10^3)*365</f>
        <v>31.025000000000002</v>
      </c>
      <c r="F18" s="11">
        <f t="shared" si="9"/>
        <v>31.025000000000002</v>
      </c>
      <c r="G18" s="11">
        <f t="shared" si="9"/>
        <v>31.025000000000002</v>
      </c>
      <c r="H18" s="11">
        <f t="shared" si="9"/>
        <v>31.025000000000002</v>
      </c>
      <c r="I18" s="11">
        <f t="shared" si="9"/>
        <v>31.025000000000002</v>
      </c>
      <c r="J18" s="11">
        <f t="shared" si="9"/>
        <v>31.025000000000002</v>
      </c>
      <c r="K18" s="52">
        <f t="shared" si="9"/>
        <v>31.025000000000002</v>
      </c>
      <c r="L18" s="11">
        <f t="shared" si="9"/>
        <v>31.025000000000002</v>
      </c>
      <c r="M18" s="11">
        <f t="shared" si="9"/>
        <v>31.025000000000002</v>
      </c>
      <c r="N18" s="11">
        <f t="shared" si="9"/>
        <v>31.025000000000002</v>
      </c>
      <c r="O18" s="11">
        <f t="shared" si="9"/>
        <v>31.025000000000002</v>
      </c>
      <c r="P18" s="11">
        <f t="shared" si="9"/>
        <v>31.025000000000002</v>
      </c>
      <c r="Q18" s="11">
        <f t="shared" si="9"/>
        <v>31.025000000000002</v>
      </c>
      <c r="R18" s="11">
        <f t="shared" si="9"/>
        <v>31.025000000000002</v>
      </c>
    </row>
    <row r="19" spans="3:19" x14ac:dyDescent="0.25">
      <c r="C19" s="2" t="s">
        <v>46</v>
      </c>
      <c r="D19" s="11">
        <v>0.02</v>
      </c>
      <c r="E19" s="11">
        <v>0.02</v>
      </c>
      <c r="F19" s="11">
        <v>0.02</v>
      </c>
      <c r="G19" s="11">
        <v>0.02</v>
      </c>
      <c r="H19" s="11">
        <v>0.02</v>
      </c>
      <c r="I19" s="11">
        <v>0.02</v>
      </c>
      <c r="J19" s="11">
        <v>0.02</v>
      </c>
      <c r="K19" s="52">
        <v>0.02</v>
      </c>
      <c r="L19" s="11">
        <v>0.02</v>
      </c>
      <c r="M19" s="11">
        <v>0.02</v>
      </c>
      <c r="N19" s="11">
        <v>0.02</v>
      </c>
      <c r="O19" s="11">
        <v>0.02</v>
      </c>
      <c r="P19" s="11">
        <v>0.02</v>
      </c>
      <c r="Q19" s="11">
        <v>0.02</v>
      </c>
      <c r="R19" s="11">
        <v>0.02</v>
      </c>
    </row>
    <row r="20" spans="3:19" x14ac:dyDescent="0.25">
      <c r="C20" s="2" t="s">
        <v>47</v>
      </c>
      <c r="D20" s="11">
        <f>D18*D19*D6</f>
        <v>0</v>
      </c>
      <c r="E20" s="11">
        <f t="shared" ref="E20:R20" si="10">E18*E19*E6</f>
        <v>496.40000000000003</v>
      </c>
      <c r="F20" s="11">
        <f t="shared" si="10"/>
        <v>496.40000000000003</v>
      </c>
      <c r="G20" s="11">
        <f t="shared" si="10"/>
        <v>496.40000000000003</v>
      </c>
      <c r="H20" s="11">
        <f t="shared" si="10"/>
        <v>496.40000000000003</v>
      </c>
      <c r="I20" s="11">
        <f t="shared" si="10"/>
        <v>496.40000000000003</v>
      </c>
      <c r="J20" s="11">
        <f t="shared" si="10"/>
        <v>496.40000000000003</v>
      </c>
      <c r="K20" s="52">
        <f t="shared" si="10"/>
        <v>620.5</v>
      </c>
      <c r="L20" s="11">
        <f t="shared" si="10"/>
        <v>620.5</v>
      </c>
      <c r="M20" s="11">
        <f t="shared" si="10"/>
        <v>620.5</v>
      </c>
      <c r="N20" s="11">
        <f t="shared" si="10"/>
        <v>620.5</v>
      </c>
      <c r="O20" s="11">
        <f t="shared" si="10"/>
        <v>620.5</v>
      </c>
      <c r="P20" s="11">
        <f t="shared" si="10"/>
        <v>620.5</v>
      </c>
      <c r="Q20" s="11">
        <f t="shared" si="10"/>
        <v>620.5</v>
      </c>
      <c r="R20" s="11">
        <f t="shared" si="10"/>
        <v>620.5</v>
      </c>
    </row>
    <row r="21" spans="3:19" ht="30" x14ac:dyDescent="0.25">
      <c r="C21" s="2" t="s">
        <v>48</v>
      </c>
      <c r="D21" s="11">
        <v>0.02</v>
      </c>
      <c r="E21" s="11">
        <v>0.02</v>
      </c>
      <c r="F21" s="11">
        <v>0.02</v>
      </c>
      <c r="G21" s="11">
        <v>0.02</v>
      </c>
      <c r="H21" s="11">
        <v>0.02</v>
      </c>
      <c r="I21" s="11">
        <v>0.02</v>
      </c>
      <c r="J21" s="11">
        <v>0.02</v>
      </c>
      <c r="K21" s="52">
        <v>0.02</v>
      </c>
      <c r="L21" s="11">
        <v>0.02</v>
      </c>
      <c r="M21" s="11">
        <v>0.02</v>
      </c>
      <c r="N21" s="11">
        <v>0.02</v>
      </c>
      <c r="O21" s="11">
        <v>0.02</v>
      </c>
      <c r="P21" s="11">
        <v>0.02</v>
      </c>
      <c r="Q21" s="11">
        <v>0.02</v>
      </c>
      <c r="R21" s="11">
        <v>0.02</v>
      </c>
    </row>
    <row r="22" spans="3:19" ht="30" x14ac:dyDescent="0.25">
      <c r="C22" s="55" t="s">
        <v>49</v>
      </c>
      <c r="D22" s="47">
        <f>D20*D21*(44/28)</f>
        <v>0</v>
      </c>
      <c r="E22" s="47">
        <f t="shared" ref="E22:R22" si="11">E20*E21*(44/28)</f>
        <v>15.601142857142857</v>
      </c>
      <c r="F22" s="47">
        <f t="shared" si="11"/>
        <v>15.601142857142857</v>
      </c>
      <c r="G22" s="47">
        <f t="shared" si="11"/>
        <v>15.601142857142857</v>
      </c>
      <c r="H22" s="47">
        <f t="shared" si="11"/>
        <v>15.601142857142857</v>
      </c>
      <c r="I22" s="47">
        <f t="shared" si="11"/>
        <v>15.601142857142857</v>
      </c>
      <c r="J22" s="47">
        <f t="shared" si="11"/>
        <v>15.601142857142857</v>
      </c>
      <c r="K22" s="47">
        <f t="shared" si="11"/>
        <v>19.501428571428573</v>
      </c>
      <c r="L22" s="47">
        <f t="shared" si="11"/>
        <v>19.501428571428573</v>
      </c>
      <c r="M22" s="47">
        <f t="shared" si="11"/>
        <v>19.501428571428573</v>
      </c>
      <c r="N22" s="47">
        <f t="shared" si="11"/>
        <v>19.501428571428573</v>
      </c>
      <c r="O22" s="47">
        <f t="shared" si="11"/>
        <v>19.501428571428573</v>
      </c>
      <c r="P22" s="47">
        <f t="shared" si="11"/>
        <v>19.501428571428573</v>
      </c>
      <c r="Q22" s="47">
        <f t="shared" si="11"/>
        <v>19.501428571428573</v>
      </c>
      <c r="R22" s="47">
        <f t="shared" si="11"/>
        <v>19.501428571428573</v>
      </c>
    </row>
    <row r="23" spans="3:19" ht="30" x14ac:dyDescent="0.25">
      <c r="C23" s="2" t="s">
        <v>50</v>
      </c>
      <c r="D23" s="11">
        <v>0.3</v>
      </c>
      <c r="E23" s="11">
        <v>0.3</v>
      </c>
      <c r="F23" s="11">
        <v>0.3</v>
      </c>
      <c r="G23" s="11">
        <v>0.3</v>
      </c>
      <c r="H23" s="11">
        <v>0.3</v>
      </c>
      <c r="I23" s="11">
        <v>0.3</v>
      </c>
      <c r="J23" s="11">
        <v>0.3</v>
      </c>
      <c r="K23" s="52">
        <v>0.3</v>
      </c>
      <c r="L23" s="11">
        <v>0.3</v>
      </c>
      <c r="M23" s="11">
        <v>0.3</v>
      </c>
      <c r="N23" s="11">
        <v>0.3</v>
      </c>
      <c r="O23" s="11">
        <v>0.3</v>
      </c>
      <c r="P23" s="11">
        <v>0.3</v>
      </c>
      <c r="Q23" s="11">
        <v>0.3</v>
      </c>
      <c r="R23" s="11">
        <v>0.3</v>
      </c>
    </row>
    <row r="24" spans="3:19" ht="30" x14ac:dyDescent="0.25">
      <c r="C24" s="2" t="s">
        <v>51</v>
      </c>
      <c r="D24" s="11">
        <f>D20*D23</f>
        <v>0</v>
      </c>
      <c r="E24" s="11">
        <f t="shared" ref="E24:R24" si="12">E20*E23</f>
        <v>148.92000000000002</v>
      </c>
      <c r="F24" s="11">
        <f>F20*F23</f>
        <v>148.92000000000002</v>
      </c>
      <c r="G24" s="11">
        <f t="shared" si="12"/>
        <v>148.92000000000002</v>
      </c>
      <c r="H24" s="11">
        <f t="shared" si="12"/>
        <v>148.92000000000002</v>
      </c>
      <c r="I24" s="11">
        <f t="shared" si="12"/>
        <v>148.92000000000002</v>
      </c>
      <c r="J24" s="11">
        <f t="shared" si="12"/>
        <v>148.92000000000002</v>
      </c>
      <c r="K24" s="52">
        <f t="shared" si="12"/>
        <v>186.15</v>
      </c>
      <c r="L24" s="11">
        <f t="shared" si="12"/>
        <v>186.15</v>
      </c>
      <c r="M24" s="11">
        <f t="shared" si="12"/>
        <v>186.15</v>
      </c>
      <c r="N24" s="11">
        <f t="shared" si="12"/>
        <v>186.15</v>
      </c>
      <c r="O24" s="11">
        <f t="shared" si="12"/>
        <v>186.15</v>
      </c>
      <c r="P24" s="11">
        <f t="shared" si="12"/>
        <v>186.15</v>
      </c>
      <c r="Q24" s="11">
        <f t="shared" si="12"/>
        <v>186.15</v>
      </c>
      <c r="R24" s="11">
        <f t="shared" si="12"/>
        <v>186.15</v>
      </c>
    </row>
    <row r="25" spans="3:19" x14ac:dyDescent="0.25">
      <c r="C25" s="44" t="s">
        <v>52</v>
      </c>
      <c r="D25" s="11">
        <v>0.01</v>
      </c>
      <c r="E25" s="11">
        <v>0.01</v>
      </c>
      <c r="F25" s="11">
        <v>0.01</v>
      </c>
      <c r="G25" s="11">
        <v>0.01</v>
      </c>
      <c r="H25" s="11">
        <v>0.01</v>
      </c>
      <c r="I25" s="11">
        <v>0.01</v>
      </c>
      <c r="J25" s="11">
        <v>0.01</v>
      </c>
      <c r="K25" s="52">
        <v>0.01</v>
      </c>
      <c r="L25" s="11">
        <v>0.01</v>
      </c>
      <c r="M25" s="11">
        <v>0.01</v>
      </c>
      <c r="N25" s="11">
        <v>0.01</v>
      </c>
      <c r="O25" s="11">
        <v>0.01</v>
      </c>
      <c r="P25" s="11">
        <v>0.01</v>
      </c>
      <c r="Q25" s="11">
        <v>0.01</v>
      </c>
      <c r="R25" s="11">
        <v>0.01</v>
      </c>
    </row>
    <row r="26" spans="3:19" ht="30" x14ac:dyDescent="0.25">
      <c r="C26" s="56" t="s">
        <v>53</v>
      </c>
      <c r="D26" s="47">
        <f>D24*D25*(44/28)</f>
        <v>0</v>
      </c>
      <c r="E26" s="47">
        <f t="shared" ref="E26:R26" si="13">E24*E25*(44/28)</f>
        <v>2.3401714285714288</v>
      </c>
      <c r="F26" s="47">
        <f t="shared" si="13"/>
        <v>2.3401714285714288</v>
      </c>
      <c r="G26" s="47">
        <f t="shared" si="13"/>
        <v>2.3401714285714288</v>
      </c>
      <c r="H26" s="47">
        <f t="shared" si="13"/>
        <v>2.3401714285714288</v>
      </c>
      <c r="I26" s="47">
        <f t="shared" si="13"/>
        <v>2.3401714285714288</v>
      </c>
      <c r="J26" s="47">
        <f t="shared" si="13"/>
        <v>2.3401714285714288</v>
      </c>
      <c r="K26" s="47">
        <f t="shared" si="13"/>
        <v>2.925214285714286</v>
      </c>
      <c r="L26" s="47">
        <f t="shared" si="13"/>
        <v>2.925214285714286</v>
      </c>
      <c r="M26" s="47">
        <f t="shared" si="13"/>
        <v>2.925214285714286</v>
      </c>
      <c r="N26" s="47">
        <f t="shared" si="13"/>
        <v>2.925214285714286</v>
      </c>
      <c r="O26" s="47">
        <f t="shared" si="13"/>
        <v>2.925214285714286</v>
      </c>
      <c r="P26" s="47">
        <f t="shared" si="13"/>
        <v>2.925214285714286</v>
      </c>
      <c r="Q26" s="47">
        <f t="shared" si="13"/>
        <v>2.925214285714286</v>
      </c>
      <c r="R26" s="47">
        <f t="shared" si="13"/>
        <v>2.925214285714286</v>
      </c>
    </row>
    <row r="27" spans="3:19" x14ac:dyDescent="0.25">
      <c r="C27" s="55" t="s">
        <v>4</v>
      </c>
      <c r="D27" s="46">
        <f t="shared" ref="D27:R27" si="14">D7*D9*10^-6</f>
        <v>0</v>
      </c>
      <c r="E27" s="46">
        <f>E7*E9*10^-6</f>
        <v>4.6059999999999997E-2</v>
      </c>
      <c r="F27" s="46">
        <f t="shared" si="14"/>
        <v>4.6059999999999997E-2</v>
      </c>
      <c r="G27" s="46">
        <f t="shared" si="14"/>
        <v>4.6059999999999997E-2</v>
      </c>
      <c r="H27" s="46">
        <f t="shared" si="14"/>
        <v>4.6059999999999997E-2</v>
      </c>
      <c r="I27" s="46">
        <f t="shared" si="14"/>
        <v>4.6059999999999997E-2</v>
      </c>
      <c r="J27" s="46">
        <f t="shared" si="14"/>
        <v>4.6059999999999997E-2</v>
      </c>
      <c r="K27" s="46">
        <f t="shared" si="14"/>
        <v>6.9089999999999999E-2</v>
      </c>
      <c r="L27" s="46">
        <f t="shared" si="14"/>
        <v>6.9089999999999999E-2</v>
      </c>
      <c r="M27" s="46">
        <f t="shared" si="14"/>
        <v>6.9089999999999999E-2</v>
      </c>
      <c r="N27" s="46">
        <f t="shared" si="14"/>
        <v>6.9089999999999999E-2</v>
      </c>
      <c r="O27" s="46">
        <f t="shared" si="14"/>
        <v>6.9089999999999999E-2</v>
      </c>
      <c r="P27" s="46">
        <f t="shared" si="14"/>
        <v>6.9089999999999999E-2</v>
      </c>
      <c r="Q27" s="46">
        <f t="shared" si="14"/>
        <v>6.9089999999999999E-2</v>
      </c>
      <c r="R27" s="46">
        <f t="shared" si="14"/>
        <v>6.9089999999999999E-2</v>
      </c>
    </row>
    <row r="28" spans="3:19" x14ac:dyDescent="0.25">
      <c r="D28" s="7"/>
      <c r="E28" s="7"/>
      <c r="F28" s="7"/>
      <c r="G28" s="7"/>
      <c r="H28" s="7"/>
      <c r="I28" s="7"/>
      <c r="J28" s="7"/>
      <c r="K28" s="51"/>
      <c r="L28" s="7"/>
      <c r="M28" s="7"/>
      <c r="N28" s="7"/>
      <c r="O28" s="7"/>
      <c r="P28" s="7"/>
      <c r="Q28" s="7"/>
      <c r="R28" s="7"/>
    </row>
    <row r="29" spans="3:19" x14ac:dyDescent="0.25">
      <c r="D29" s="7"/>
      <c r="E29" s="7"/>
      <c r="F29" s="7"/>
      <c r="G29" s="7"/>
      <c r="H29" s="7"/>
      <c r="I29" s="7"/>
      <c r="J29" s="7"/>
      <c r="K29" s="51"/>
      <c r="L29" s="7"/>
      <c r="M29" s="7"/>
      <c r="N29" s="7"/>
      <c r="O29" s="7"/>
      <c r="P29" s="7"/>
      <c r="Q29" s="7"/>
      <c r="R29" s="7"/>
    </row>
    <row r="30" spans="3:19" x14ac:dyDescent="0.25">
      <c r="C30" s="8" t="s">
        <v>5</v>
      </c>
      <c r="D30" s="45">
        <f>D14*21*1000</f>
        <v>0</v>
      </c>
      <c r="E30" s="45">
        <f t="shared" ref="E30:Q30" si="15">E14*21*1000</f>
        <v>806.40000000000009</v>
      </c>
      <c r="F30" s="45">
        <f t="shared" si="15"/>
        <v>806.40000000000009</v>
      </c>
      <c r="G30" s="45">
        <f t="shared" si="15"/>
        <v>806.40000000000009</v>
      </c>
      <c r="H30" s="45">
        <f t="shared" si="15"/>
        <v>806.40000000000009</v>
      </c>
      <c r="I30" s="45">
        <f t="shared" si="15"/>
        <v>806.40000000000009</v>
      </c>
      <c r="J30" s="45">
        <f t="shared" si="15"/>
        <v>806.40000000000009</v>
      </c>
      <c r="K30" s="57">
        <f t="shared" si="15"/>
        <v>1008</v>
      </c>
      <c r="L30" s="45">
        <f t="shared" si="15"/>
        <v>1008</v>
      </c>
      <c r="M30" s="45">
        <f t="shared" si="15"/>
        <v>1008</v>
      </c>
      <c r="N30" s="45">
        <f t="shared" si="15"/>
        <v>1008</v>
      </c>
      <c r="O30" s="45">
        <f t="shared" si="15"/>
        <v>1008</v>
      </c>
      <c r="P30" s="45">
        <f t="shared" si="15"/>
        <v>1008</v>
      </c>
      <c r="Q30" s="45">
        <f t="shared" si="15"/>
        <v>1008</v>
      </c>
      <c r="R30" s="45">
        <f>R14*21*1000</f>
        <v>1008</v>
      </c>
      <c r="S30" s="42">
        <f>SUM(D30:R30)</f>
        <v>12902.400000000001</v>
      </c>
    </row>
    <row r="31" spans="3:19" x14ac:dyDescent="0.25">
      <c r="C31" s="8" t="s">
        <v>6</v>
      </c>
      <c r="D31" s="45">
        <f>((D22+D26)*298*10^-3)+(D27*21*1000)</f>
        <v>0</v>
      </c>
      <c r="E31" s="45">
        <f t="shared" ref="E31:R31" si="16">((E22+E26)*298*10^-3)+(E27*21*1000)</f>
        <v>972.60651165714273</v>
      </c>
      <c r="F31" s="45">
        <f t="shared" si="16"/>
        <v>972.60651165714273</v>
      </c>
      <c r="G31" s="45">
        <f t="shared" si="16"/>
        <v>972.60651165714273</v>
      </c>
      <c r="H31" s="45">
        <f t="shared" si="16"/>
        <v>972.60651165714273</v>
      </c>
      <c r="I31" s="45">
        <f t="shared" si="16"/>
        <v>972.60651165714273</v>
      </c>
      <c r="J31" s="45">
        <f>((J22+J26)*298*10^-3)+(J27*21*1000)</f>
        <v>972.60651165714273</v>
      </c>
      <c r="K31" s="57">
        <f t="shared" si="16"/>
        <v>1457.5731395714288</v>
      </c>
      <c r="L31" s="45">
        <f t="shared" si="16"/>
        <v>1457.5731395714288</v>
      </c>
      <c r="M31" s="45">
        <f t="shared" si="16"/>
        <v>1457.5731395714288</v>
      </c>
      <c r="N31" s="45">
        <f t="shared" si="16"/>
        <v>1457.5731395714288</v>
      </c>
      <c r="O31" s="45">
        <f t="shared" si="16"/>
        <v>1457.5731395714288</v>
      </c>
      <c r="P31" s="45">
        <f t="shared" si="16"/>
        <v>1457.5731395714288</v>
      </c>
      <c r="Q31" s="45">
        <f t="shared" si="16"/>
        <v>1457.5731395714288</v>
      </c>
      <c r="R31" s="45">
        <f t="shared" si="16"/>
        <v>1457.5731395714288</v>
      </c>
      <c r="S31" s="42">
        <f>SUM(D31:R31)</f>
        <v>17496.224186514286</v>
      </c>
    </row>
    <row r="32" spans="3:19" x14ac:dyDescent="0.25">
      <c r="D32" s="9">
        <f>SUM(D30:D31)</f>
        <v>0</v>
      </c>
      <c r="E32" s="6">
        <f t="shared" ref="E32:Q32" si="17">SUM(E30:E31)</f>
        <v>1779.0065116571427</v>
      </c>
      <c r="F32" s="6">
        <f t="shared" si="17"/>
        <v>1779.0065116571427</v>
      </c>
      <c r="G32" s="6">
        <f t="shared" si="17"/>
        <v>1779.0065116571427</v>
      </c>
      <c r="H32" s="6">
        <f t="shared" si="17"/>
        <v>1779.0065116571427</v>
      </c>
      <c r="I32" s="6">
        <f t="shared" si="17"/>
        <v>1779.0065116571427</v>
      </c>
      <c r="J32" s="6">
        <f t="shared" si="17"/>
        <v>1779.0065116571427</v>
      </c>
      <c r="K32" s="6">
        <f t="shared" si="17"/>
        <v>2465.5731395714288</v>
      </c>
      <c r="L32" s="6">
        <f t="shared" si="17"/>
        <v>2465.5731395714288</v>
      </c>
      <c r="M32" s="6">
        <f t="shared" si="17"/>
        <v>2465.5731395714288</v>
      </c>
      <c r="N32" s="6">
        <f t="shared" si="17"/>
        <v>2465.5731395714288</v>
      </c>
      <c r="O32" s="6">
        <f t="shared" si="17"/>
        <v>2465.5731395714288</v>
      </c>
      <c r="P32" s="6">
        <f t="shared" si="17"/>
        <v>2465.5731395714288</v>
      </c>
      <c r="Q32" s="6">
        <f t="shared" si="17"/>
        <v>2465.5731395714288</v>
      </c>
      <c r="R32" s="6">
        <f>SUM(R30:R31)</f>
        <v>2465.5731395714288</v>
      </c>
      <c r="S32" s="40"/>
    </row>
    <row r="33" spans="18:19" x14ac:dyDescent="0.25">
      <c r="R33" s="39"/>
      <c r="S33" s="40">
        <f>SUM(S30:S31)</f>
        <v>30398.624186514287</v>
      </c>
    </row>
  </sheetData>
  <mergeCells count="1"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4"/>
  <sheetViews>
    <sheetView topLeftCell="N1" zoomScale="85" zoomScaleNormal="85" workbookViewId="0">
      <selection activeCell="U5" sqref="U5"/>
    </sheetView>
  </sheetViews>
  <sheetFormatPr defaultRowHeight="15" x14ac:dyDescent="0.25"/>
  <cols>
    <col min="1" max="1" width="11.28515625" bestFit="1" customWidth="1"/>
    <col min="2" max="2" width="64" style="1" bestFit="1" customWidth="1"/>
    <col min="3" max="3" width="7" bestFit="1" customWidth="1"/>
    <col min="4" max="4" width="68.7109375" style="1" bestFit="1" customWidth="1"/>
    <col min="5" max="5" width="13.28515625" style="31" bestFit="1" customWidth="1"/>
    <col min="6" max="19" width="12.28515625" style="31" bestFit="1" customWidth="1"/>
    <col min="20" max="20" width="10.5703125" bestFit="1" customWidth="1"/>
    <col min="21" max="21" width="11.5703125" bestFit="1" customWidth="1"/>
    <col min="22" max="22" width="10.5703125" bestFit="1" customWidth="1"/>
  </cols>
  <sheetData>
    <row r="2" spans="1:22" x14ac:dyDescent="0.25">
      <c r="E2" s="18">
        <v>2016</v>
      </c>
      <c r="F2" s="18">
        <f t="shared" ref="F2:S2" si="0">E2+1</f>
        <v>2017</v>
      </c>
      <c r="G2" s="18">
        <f t="shared" si="0"/>
        <v>2018</v>
      </c>
      <c r="H2" s="18">
        <f t="shared" si="0"/>
        <v>2019</v>
      </c>
      <c r="I2" s="18">
        <f t="shared" si="0"/>
        <v>2020</v>
      </c>
      <c r="J2" s="18">
        <f t="shared" si="0"/>
        <v>2021</v>
      </c>
      <c r="K2" s="18">
        <f t="shared" si="0"/>
        <v>2022</v>
      </c>
      <c r="L2" s="36">
        <f t="shared" si="0"/>
        <v>2023</v>
      </c>
      <c r="M2" s="18">
        <f t="shared" si="0"/>
        <v>2024</v>
      </c>
      <c r="N2" s="18">
        <f t="shared" si="0"/>
        <v>2025</v>
      </c>
      <c r="O2" s="18">
        <f t="shared" si="0"/>
        <v>2026</v>
      </c>
      <c r="P2" s="18">
        <f t="shared" si="0"/>
        <v>2027</v>
      </c>
      <c r="Q2" s="18">
        <f t="shared" si="0"/>
        <v>2028</v>
      </c>
      <c r="R2" s="18">
        <f t="shared" si="0"/>
        <v>2029</v>
      </c>
      <c r="S2" s="18">
        <f t="shared" si="0"/>
        <v>2030</v>
      </c>
    </row>
    <row r="3" spans="1:22" s="3" customFormat="1" x14ac:dyDescent="0.25">
      <c r="A3" s="3" t="s">
        <v>7</v>
      </c>
      <c r="D3" s="13" t="s">
        <v>8</v>
      </c>
      <c r="E3" s="19"/>
      <c r="F3" s="19"/>
      <c r="G3" s="19"/>
      <c r="H3" s="19"/>
      <c r="I3" s="19"/>
      <c r="J3" s="19"/>
      <c r="K3" s="19"/>
      <c r="L3" s="20"/>
      <c r="M3" s="19"/>
      <c r="N3" s="19"/>
      <c r="O3" s="19"/>
      <c r="P3" s="19"/>
      <c r="Q3" s="19"/>
      <c r="R3" s="19"/>
      <c r="S3" s="19"/>
    </row>
    <row r="4" spans="1:22" s="3" customFormat="1" x14ac:dyDescent="0.25">
      <c r="A4" s="64" t="s">
        <v>9</v>
      </c>
      <c r="B4" s="64"/>
      <c r="C4" s="10" t="s">
        <v>10</v>
      </c>
      <c r="D4" s="61" t="s">
        <v>11</v>
      </c>
      <c r="E4" s="19"/>
      <c r="F4" s="19"/>
      <c r="G4" s="19"/>
      <c r="H4" s="19"/>
      <c r="I4" s="19"/>
      <c r="J4" s="19"/>
      <c r="K4" s="19"/>
      <c r="L4" s="20"/>
      <c r="M4" s="19"/>
      <c r="N4" s="19"/>
      <c r="O4" s="19"/>
      <c r="P4" s="19"/>
      <c r="Q4" s="19"/>
      <c r="R4" s="19"/>
      <c r="S4" s="19"/>
    </row>
    <row r="5" spans="1:22" s="3" customFormat="1" x14ac:dyDescent="0.25">
      <c r="A5" s="65">
        <v>1</v>
      </c>
      <c r="B5" s="64" t="s">
        <v>62</v>
      </c>
      <c r="D5" s="2" t="s">
        <v>61</v>
      </c>
      <c r="E5" s="38">
        <f>[1]Sheet1!$B$21</f>
        <v>64331.943080092889</v>
      </c>
      <c r="F5" s="38">
        <f>[1]Sheet1!$B$22</f>
        <v>73529.703392459996</v>
      </c>
      <c r="G5" s="38">
        <f>[1]Sheet1!$B$23</f>
        <v>76281.53510915798</v>
      </c>
      <c r="H5" s="38">
        <f>[1]Sheet1!$B$24</f>
        <v>79578.332337975051</v>
      </c>
      <c r="I5" s="38">
        <f>[1]Sheet1!$B$25</f>
        <v>82675.397549932226</v>
      </c>
      <c r="J5" s="38">
        <f>[1]Sheet1!$B$26</f>
        <v>85751.294918429601</v>
      </c>
      <c r="K5" s="38">
        <f>[1]Sheet1!$B$27</f>
        <v>90818.919350152602</v>
      </c>
      <c r="L5" s="38">
        <f>[1]Sheet1!$B$28</f>
        <v>94905.936243703647</v>
      </c>
      <c r="M5" s="38">
        <f>[1]Sheet1!$B$29</f>
        <v>99255.56201379883</v>
      </c>
      <c r="N5" s="38">
        <f>[1]Sheet1!$B$30</f>
        <v>103872.60542083837</v>
      </c>
      <c r="O5" s="38">
        <f>[1]Sheet1!$B$31</f>
        <v>108767.22474773311</v>
      </c>
      <c r="P5" s="38">
        <f>[1]Sheet1!$B$32</f>
        <v>113943.94586805131</v>
      </c>
      <c r="Q5" s="38">
        <f>[1]Sheet1!$B$33</f>
        <v>119412.68125184288</v>
      </c>
      <c r="R5" s="38">
        <f>[1]Sheet1!$B$34</f>
        <v>125131.74995791506</v>
      </c>
      <c r="S5" s="38">
        <f>[1]Sheet1!$B$35</f>
        <v>131195.89946251441</v>
      </c>
      <c r="T5" s="17">
        <f>SUM(E5:S5)</f>
        <v>1449452.7307045981</v>
      </c>
      <c r="U5" s="43">
        <f>T5/15</f>
        <v>96630.182046973205</v>
      </c>
    </row>
    <row r="6" spans="1:22" s="3" customFormat="1" x14ac:dyDescent="0.25">
      <c r="A6" s="65"/>
      <c r="B6" s="64"/>
      <c r="D6" s="2" t="s">
        <v>59</v>
      </c>
      <c r="E6" s="59">
        <v>0.5</v>
      </c>
      <c r="F6" s="59">
        <v>0.5</v>
      </c>
      <c r="G6" s="59">
        <v>0.5</v>
      </c>
      <c r="H6" s="59">
        <v>0.5</v>
      </c>
      <c r="I6" s="59">
        <v>0.5</v>
      </c>
      <c r="J6" s="59">
        <v>0.5</v>
      </c>
      <c r="K6" s="59">
        <v>0.5</v>
      </c>
      <c r="L6" s="59">
        <v>0.5</v>
      </c>
      <c r="M6" s="59">
        <v>0.5</v>
      </c>
      <c r="N6" s="59">
        <v>0.5</v>
      </c>
      <c r="O6" s="59">
        <v>0.5</v>
      </c>
      <c r="P6" s="59">
        <v>0.5</v>
      </c>
      <c r="Q6" s="59">
        <v>0.5</v>
      </c>
      <c r="R6" s="59">
        <v>0.5</v>
      </c>
      <c r="S6" s="59">
        <v>0.5</v>
      </c>
      <c r="T6" s="17"/>
      <c r="U6" s="37"/>
    </row>
    <row r="7" spans="1:22" s="3" customFormat="1" x14ac:dyDescent="0.25">
      <c r="A7" s="65"/>
      <c r="B7" s="64"/>
      <c r="D7" s="2" t="s">
        <v>12</v>
      </c>
      <c r="E7" s="60">
        <f>E5*E6</f>
        <v>32165.971540046445</v>
      </c>
      <c r="F7" s="60">
        <f t="shared" ref="F7:S7" si="1">F5*F6</f>
        <v>36764.851696229998</v>
      </c>
      <c r="G7" s="60">
        <f t="shared" si="1"/>
        <v>38140.76755457899</v>
      </c>
      <c r="H7" s="60">
        <f t="shared" si="1"/>
        <v>39789.166168987525</v>
      </c>
      <c r="I7" s="60">
        <f t="shared" si="1"/>
        <v>41337.698774966113</v>
      </c>
      <c r="J7" s="60">
        <f t="shared" si="1"/>
        <v>42875.647459214801</v>
      </c>
      <c r="K7" s="60">
        <f t="shared" si="1"/>
        <v>45409.459675076301</v>
      </c>
      <c r="L7" s="60">
        <f t="shared" si="1"/>
        <v>47452.968121851824</v>
      </c>
      <c r="M7" s="60">
        <f t="shared" si="1"/>
        <v>49627.781006899415</v>
      </c>
      <c r="N7" s="60">
        <f t="shared" si="1"/>
        <v>51936.302710419186</v>
      </c>
      <c r="O7" s="60">
        <f t="shared" si="1"/>
        <v>54383.612373866556</v>
      </c>
      <c r="P7" s="60">
        <f t="shared" si="1"/>
        <v>56971.972934025653</v>
      </c>
      <c r="Q7" s="60">
        <f t="shared" si="1"/>
        <v>59706.340625921439</v>
      </c>
      <c r="R7" s="60">
        <f t="shared" si="1"/>
        <v>62565.87497895753</v>
      </c>
      <c r="S7" s="60">
        <f t="shared" si="1"/>
        <v>65597.949731257206</v>
      </c>
      <c r="T7" s="17"/>
      <c r="U7" s="37"/>
    </row>
    <row r="8" spans="1:22" s="3" customFormat="1" ht="16.5" customHeight="1" x14ac:dyDescent="0.25">
      <c r="A8" s="65"/>
      <c r="B8" s="64"/>
      <c r="D8" s="2" t="s">
        <v>13</v>
      </c>
      <c r="E8" s="21">
        <v>1.3</v>
      </c>
      <c r="F8" s="21">
        <v>1.3</v>
      </c>
      <c r="G8" s="21">
        <v>1.3</v>
      </c>
      <c r="H8" s="21">
        <v>1.3</v>
      </c>
      <c r="I8" s="21">
        <v>1.3</v>
      </c>
      <c r="J8" s="21">
        <v>1.3</v>
      </c>
      <c r="K8" s="21">
        <v>1.3</v>
      </c>
      <c r="L8" s="21">
        <v>1.3</v>
      </c>
      <c r="M8" s="21">
        <v>1.3</v>
      </c>
      <c r="N8" s="21">
        <v>1.3</v>
      </c>
      <c r="O8" s="21">
        <v>1.3</v>
      </c>
      <c r="P8" s="21">
        <v>1.3</v>
      </c>
      <c r="Q8" s="21">
        <v>1.3</v>
      </c>
      <c r="R8" s="21">
        <v>1.3</v>
      </c>
      <c r="S8" s="21">
        <v>1.3</v>
      </c>
      <c r="V8" s="12"/>
    </row>
    <row r="9" spans="1:22" s="3" customFormat="1" x14ac:dyDescent="0.25">
      <c r="A9" s="65"/>
      <c r="B9" s="64"/>
      <c r="D9" s="2" t="s">
        <v>14</v>
      </c>
      <c r="E9" s="19">
        <v>160.9</v>
      </c>
      <c r="F9" s="19">
        <v>160.9</v>
      </c>
      <c r="G9" s="19">
        <v>160.9</v>
      </c>
      <c r="H9" s="19">
        <v>160.9</v>
      </c>
      <c r="I9" s="19">
        <v>160.9</v>
      </c>
      <c r="J9" s="19">
        <v>160.9</v>
      </c>
      <c r="K9" s="19">
        <v>160.9</v>
      </c>
      <c r="L9" s="20">
        <v>160.9</v>
      </c>
      <c r="M9" s="19">
        <v>160.9</v>
      </c>
      <c r="N9" s="19">
        <v>160.9</v>
      </c>
      <c r="O9" s="19">
        <v>160.9</v>
      </c>
      <c r="P9" s="19">
        <v>160.9</v>
      </c>
      <c r="Q9" s="19">
        <v>160.9</v>
      </c>
      <c r="R9" s="19">
        <v>160.9</v>
      </c>
      <c r="S9" s="19">
        <v>160.9</v>
      </c>
    </row>
    <row r="10" spans="1:22" s="3" customFormat="1" x14ac:dyDescent="0.25">
      <c r="A10" s="65"/>
      <c r="B10" s="64"/>
      <c r="D10" s="2" t="s">
        <v>15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20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</row>
    <row r="11" spans="1:22" s="3" customFormat="1" x14ac:dyDescent="0.25">
      <c r="A11" s="65"/>
      <c r="B11" s="64"/>
      <c r="D11" s="2" t="s">
        <v>16</v>
      </c>
      <c r="E11" s="19">
        <v>0.46</v>
      </c>
      <c r="F11" s="19">
        <v>0.46</v>
      </c>
      <c r="G11" s="19">
        <v>0.46</v>
      </c>
      <c r="H11" s="19">
        <v>0.46</v>
      </c>
      <c r="I11" s="19">
        <v>0.46</v>
      </c>
      <c r="J11" s="19">
        <v>0.46</v>
      </c>
      <c r="K11" s="19">
        <v>0.46</v>
      </c>
      <c r="L11" s="20">
        <v>0.46</v>
      </c>
      <c r="M11" s="19">
        <v>0.46</v>
      </c>
      <c r="N11" s="19">
        <v>0.46</v>
      </c>
      <c r="O11" s="19">
        <v>0.46</v>
      </c>
      <c r="P11" s="19">
        <v>0.46</v>
      </c>
      <c r="Q11" s="19">
        <v>0.46</v>
      </c>
      <c r="R11" s="19">
        <v>0.46</v>
      </c>
      <c r="S11" s="19">
        <v>0.46</v>
      </c>
    </row>
    <row r="12" spans="1:22" s="3" customFormat="1" x14ac:dyDescent="0.25">
      <c r="A12" s="65"/>
      <c r="B12" s="64"/>
      <c r="D12" s="58" t="s">
        <v>17</v>
      </c>
      <c r="E12" s="63">
        <f>((0.1*1.34)+(0.3*1.16)+(0.6*0.57))</f>
        <v>0.82399999999999995</v>
      </c>
      <c r="F12" s="63">
        <f t="shared" ref="F12:S12" si="2">((0.1*1.34)+(0.3*1.16)+(0.6*0.57)/1)</f>
        <v>0.82399999999999995</v>
      </c>
      <c r="G12" s="63">
        <f t="shared" si="2"/>
        <v>0.82399999999999995</v>
      </c>
      <c r="H12" s="63">
        <f t="shared" si="2"/>
        <v>0.82399999999999995</v>
      </c>
      <c r="I12" s="63">
        <f t="shared" si="2"/>
        <v>0.82399999999999995</v>
      </c>
      <c r="J12" s="63">
        <f t="shared" si="2"/>
        <v>0.82399999999999995</v>
      </c>
      <c r="K12" s="63">
        <f t="shared" si="2"/>
        <v>0.82399999999999995</v>
      </c>
      <c r="L12" s="63">
        <f t="shared" si="2"/>
        <v>0.82399999999999995</v>
      </c>
      <c r="M12" s="63">
        <f t="shared" si="2"/>
        <v>0.82399999999999995</v>
      </c>
      <c r="N12" s="63">
        <f t="shared" si="2"/>
        <v>0.82399999999999995</v>
      </c>
      <c r="O12" s="63">
        <f t="shared" si="2"/>
        <v>0.82399999999999995</v>
      </c>
      <c r="P12" s="63">
        <f t="shared" si="2"/>
        <v>0.82399999999999995</v>
      </c>
      <c r="Q12" s="63">
        <f t="shared" si="2"/>
        <v>0.82399999999999995</v>
      </c>
      <c r="R12" s="63">
        <f t="shared" si="2"/>
        <v>0.82399999999999995</v>
      </c>
      <c r="S12" s="63">
        <f t="shared" si="2"/>
        <v>0.82399999999999995</v>
      </c>
    </row>
    <row r="13" spans="1:22" s="3" customFormat="1" x14ac:dyDescent="0.25">
      <c r="A13" s="65"/>
      <c r="B13" s="64"/>
      <c r="D13" s="58" t="s">
        <v>18</v>
      </c>
      <c r="E13" s="63">
        <f>((0.05*1.34)+(0.15*1.16)+(0.8*0.57))</f>
        <v>0.69699999999999995</v>
      </c>
      <c r="F13" s="63">
        <f t="shared" ref="F13:S13" si="3">((0.05*1.34)+(0.15*1.16)+(0.8*0.57))</f>
        <v>0.69699999999999995</v>
      </c>
      <c r="G13" s="63">
        <f t="shared" si="3"/>
        <v>0.69699999999999995</v>
      </c>
      <c r="H13" s="63">
        <f t="shared" si="3"/>
        <v>0.69699999999999995</v>
      </c>
      <c r="I13" s="63">
        <f t="shared" si="3"/>
        <v>0.69699999999999995</v>
      </c>
      <c r="J13" s="63">
        <f t="shared" si="3"/>
        <v>0.69699999999999995</v>
      </c>
      <c r="K13" s="63">
        <f t="shared" si="3"/>
        <v>0.69699999999999995</v>
      </c>
      <c r="L13" s="63">
        <f t="shared" si="3"/>
        <v>0.69699999999999995</v>
      </c>
      <c r="M13" s="63">
        <f t="shared" si="3"/>
        <v>0.69699999999999995</v>
      </c>
      <c r="N13" s="63">
        <f t="shared" si="3"/>
        <v>0.69699999999999995</v>
      </c>
      <c r="O13" s="63">
        <f t="shared" si="3"/>
        <v>0.69699999999999995</v>
      </c>
      <c r="P13" s="63">
        <f t="shared" si="3"/>
        <v>0.69699999999999995</v>
      </c>
      <c r="Q13" s="63">
        <f t="shared" si="3"/>
        <v>0.69699999999999995</v>
      </c>
      <c r="R13" s="63">
        <f t="shared" si="3"/>
        <v>0.69699999999999995</v>
      </c>
      <c r="S13" s="63">
        <f t="shared" si="3"/>
        <v>0.69699999999999995</v>
      </c>
    </row>
    <row r="14" spans="1:22" s="3" customFormat="1" x14ac:dyDescent="0.25">
      <c r="A14" s="65"/>
      <c r="B14" s="64"/>
      <c r="D14" s="58" t="s">
        <v>56</v>
      </c>
      <c r="E14" s="22">
        <v>0.28999999999999998</v>
      </c>
      <c r="F14" s="22">
        <v>0.28999999999999998</v>
      </c>
      <c r="G14" s="22">
        <v>0.28999999999999998</v>
      </c>
      <c r="H14" s="22">
        <v>0.28999999999999998</v>
      </c>
      <c r="I14" s="22">
        <v>0.28999999999999998</v>
      </c>
      <c r="J14" s="22">
        <v>0.28999999999999998</v>
      </c>
      <c r="K14" s="22">
        <v>0.28999999999999998</v>
      </c>
      <c r="L14" s="22">
        <v>0.28999999999999998</v>
      </c>
      <c r="M14" s="22">
        <v>0.28999999999999998</v>
      </c>
      <c r="N14" s="22">
        <v>0.28999999999999998</v>
      </c>
      <c r="O14" s="22">
        <v>0.28999999999999998</v>
      </c>
      <c r="P14" s="22">
        <v>0.28999999999999998</v>
      </c>
      <c r="Q14" s="22">
        <v>0.28999999999999998</v>
      </c>
      <c r="R14" s="22">
        <v>0.28999999999999998</v>
      </c>
      <c r="S14" s="22">
        <v>0.28999999999999998</v>
      </c>
    </row>
    <row r="15" spans="1:22" s="3" customFormat="1" x14ac:dyDescent="0.25">
      <c r="A15" s="65"/>
      <c r="B15" s="64"/>
      <c r="D15" s="2" t="s">
        <v>19</v>
      </c>
      <c r="E15" s="22">
        <f>E9*E10*E12*E14</f>
        <v>38.448664000000001</v>
      </c>
      <c r="F15" s="22">
        <f t="shared" ref="F15:S15" si="4">F9*F10*F12*F14</f>
        <v>38.448664000000001</v>
      </c>
      <c r="G15" s="22">
        <f t="shared" si="4"/>
        <v>38.448664000000001</v>
      </c>
      <c r="H15" s="22">
        <f t="shared" si="4"/>
        <v>38.448664000000001</v>
      </c>
      <c r="I15" s="22">
        <f t="shared" si="4"/>
        <v>38.448664000000001</v>
      </c>
      <c r="J15" s="22">
        <f t="shared" si="4"/>
        <v>38.448664000000001</v>
      </c>
      <c r="K15" s="22">
        <f t="shared" si="4"/>
        <v>38.448664000000001</v>
      </c>
      <c r="L15" s="22">
        <f t="shared" si="4"/>
        <v>38.448664000000001</v>
      </c>
      <c r="M15" s="22">
        <f t="shared" si="4"/>
        <v>38.448664000000001</v>
      </c>
      <c r="N15" s="22">
        <f t="shared" si="4"/>
        <v>38.448664000000001</v>
      </c>
      <c r="O15" s="22">
        <f t="shared" si="4"/>
        <v>38.448664000000001</v>
      </c>
      <c r="P15" s="22">
        <f t="shared" si="4"/>
        <v>38.448664000000001</v>
      </c>
      <c r="Q15" s="22">
        <f t="shared" si="4"/>
        <v>38.448664000000001</v>
      </c>
      <c r="R15" s="22">
        <f t="shared" si="4"/>
        <v>38.448664000000001</v>
      </c>
      <c r="S15" s="22">
        <f t="shared" si="4"/>
        <v>38.448664000000001</v>
      </c>
    </row>
    <row r="16" spans="1:22" s="3" customFormat="1" x14ac:dyDescent="0.25">
      <c r="A16" s="65"/>
      <c r="B16" s="64"/>
      <c r="D16" s="2" t="s">
        <v>20</v>
      </c>
      <c r="E16" s="22">
        <f>E9*E11*E13*E14</f>
        <v>14.960449819999999</v>
      </c>
      <c r="F16" s="22">
        <f t="shared" ref="F16:S16" si="5">F9*F11*F13*F14</f>
        <v>14.960449819999999</v>
      </c>
      <c r="G16" s="22">
        <f t="shared" si="5"/>
        <v>14.960449819999999</v>
      </c>
      <c r="H16" s="22">
        <f t="shared" si="5"/>
        <v>14.960449819999999</v>
      </c>
      <c r="I16" s="22">
        <f t="shared" si="5"/>
        <v>14.960449819999999</v>
      </c>
      <c r="J16" s="22">
        <f t="shared" si="5"/>
        <v>14.960449819999999</v>
      </c>
      <c r="K16" s="22">
        <f t="shared" si="5"/>
        <v>14.960449819999999</v>
      </c>
      <c r="L16" s="22">
        <f t="shared" si="5"/>
        <v>14.960449819999999</v>
      </c>
      <c r="M16" s="22">
        <f t="shared" si="5"/>
        <v>14.960449819999999</v>
      </c>
      <c r="N16" s="22">
        <f t="shared" si="5"/>
        <v>14.960449819999999</v>
      </c>
      <c r="O16" s="22">
        <f t="shared" si="5"/>
        <v>14.960449819999999</v>
      </c>
      <c r="P16" s="22">
        <f t="shared" si="5"/>
        <v>14.960449819999999</v>
      </c>
      <c r="Q16" s="22">
        <f t="shared" si="5"/>
        <v>14.960449819999999</v>
      </c>
      <c r="R16" s="22">
        <f t="shared" si="5"/>
        <v>14.960449819999999</v>
      </c>
      <c r="S16" s="22">
        <f t="shared" si="5"/>
        <v>14.960449819999999</v>
      </c>
    </row>
    <row r="17" spans="1:19" s="3" customFormat="1" x14ac:dyDescent="0.25">
      <c r="A17" s="65"/>
      <c r="B17" s="64"/>
      <c r="D17" s="2" t="s">
        <v>57</v>
      </c>
      <c r="E17" s="24">
        <f>E7*E8*E15*10^-6</f>
        <v>1.607760221569851</v>
      </c>
      <c r="F17" s="24">
        <f t="shared" ref="F17:S17" si="6">F7*F8*F15*10^-6</f>
        <v>1.8376272588416305</v>
      </c>
      <c r="G17" s="24">
        <f t="shared" si="6"/>
        <v>1.906400023330542</v>
      </c>
      <c r="H17" s="24">
        <f t="shared" si="6"/>
        <v>1.988792365133039</v>
      </c>
      <c r="I17" s="24">
        <f t="shared" si="6"/>
        <v>2.066193077951449</v>
      </c>
      <c r="J17" s="24">
        <f t="shared" si="6"/>
        <v>2.1430647718243447</v>
      </c>
      <c r="K17" s="24">
        <f t="shared" si="6"/>
        <v>2.2697129747091251</v>
      </c>
      <c r="L17" s="24">
        <f t="shared" si="6"/>
        <v>2.3718541952557293</v>
      </c>
      <c r="M17" s="24">
        <f t="shared" si="6"/>
        <v>2.4805584400998146</v>
      </c>
      <c r="N17" s="24">
        <f t="shared" si="6"/>
        <v>2.5959458880097559</v>
      </c>
      <c r="O17" s="24">
        <f t="shared" si="6"/>
        <v>2.7182704110497489</v>
      </c>
      <c r="P17" s="24">
        <f t="shared" si="6"/>
        <v>2.8476451181846802</v>
      </c>
      <c r="Q17" s="24">
        <f t="shared" si="6"/>
        <v>2.9843177382142843</v>
      </c>
      <c r="R17" s="24">
        <f t="shared" si="6"/>
        <v>3.127246596411529</v>
      </c>
      <c r="S17" s="24">
        <f t="shared" si="6"/>
        <v>3.2787995867977977</v>
      </c>
    </row>
    <row r="18" spans="1:19" s="3" customFormat="1" x14ac:dyDescent="0.25">
      <c r="A18" s="65"/>
      <c r="B18" s="64"/>
      <c r="D18" s="2" t="s">
        <v>58</v>
      </c>
      <c r="E18" s="24">
        <f>E7*E8*E16*10^-6</f>
        <v>0.62558262407733678</v>
      </c>
      <c r="F18" s="24">
        <f t="shared" ref="F18:S18" si="7">F7*F8*F16*10^-6</f>
        <v>0.71502433462354797</v>
      </c>
      <c r="G18" s="24">
        <f t="shared" si="7"/>
        <v>0.74178395082553195</v>
      </c>
      <c r="H18" s="24">
        <f t="shared" si="7"/>
        <v>0.77384297100601329</v>
      </c>
      <c r="I18" s="24">
        <f t="shared" si="7"/>
        <v>0.80395973865630277</v>
      </c>
      <c r="J18" s="24">
        <f t="shared" si="7"/>
        <v>0.83387066400767162</v>
      </c>
      <c r="K18" s="24">
        <f t="shared" si="7"/>
        <v>0.8831497256689802</v>
      </c>
      <c r="L18" s="24">
        <f t="shared" si="7"/>
        <v>0.92289307291613099</v>
      </c>
      <c r="M18" s="24">
        <f t="shared" si="7"/>
        <v>0.96519010566116803</v>
      </c>
      <c r="N18" s="24">
        <f t="shared" si="7"/>
        <v>1.0100875856962233</v>
      </c>
      <c r="O18" s="24">
        <f t="shared" si="7"/>
        <v>1.0576842951344301</v>
      </c>
      <c r="P18" s="24">
        <f t="shared" si="7"/>
        <v>1.1080242448936557</v>
      </c>
      <c r="Q18" s="24">
        <f t="shared" si="7"/>
        <v>1.1612038267309024</v>
      </c>
      <c r="R18" s="24">
        <f t="shared" si="7"/>
        <v>1.2168177229872141</v>
      </c>
      <c r="S18" s="24">
        <f t="shared" si="7"/>
        <v>1.2757872858241626</v>
      </c>
    </row>
    <row r="19" spans="1:19" s="3" customFormat="1" x14ac:dyDescent="0.25">
      <c r="A19" s="65"/>
      <c r="B19" s="64"/>
      <c r="D19" s="2" t="s">
        <v>21</v>
      </c>
      <c r="E19" s="24">
        <f>E7*E8*(E15-E16)*10^-6</f>
        <v>0.98217759749251399</v>
      </c>
      <c r="F19" s="24">
        <f t="shared" ref="F19:S19" si="8">F7*F8*(F15-F16)*10^-6</f>
        <v>1.1226029242180826</v>
      </c>
      <c r="G19" s="24">
        <f t="shared" si="8"/>
        <v>1.1646160725050101</v>
      </c>
      <c r="H19" s="24">
        <f t="shared" si="8"/>
        <v>1.2149493941270257</v>
      </c>
      <c r="I19" s="24">
        <f t="shared" si="8"/>
        <v>1.2622333392951459</v>
      </c>
      <c r="J19" s="24">
        <f t="shared" si="8"/>
        <v>1.3091941078166731</v>
      </c>
      <c r="K19" s="24">
        <f t="shared" si="8"/>
        <v>1.3865632490401449</v>
      </c>
      <c r="L19" s="24">
        <f t="shared" si="8"/>
        <v>1.4489611223395984</v>
      </c>
      <c r="M19" s="24">
        <f t="shared" si="8"/>
        <v>1.5153683344386464</v>
      </c>
      <c r="N19" s="24">
        <f t="shared" si="8"/>
        <v>1.5858583023135326</v>
      </c>
      <c r="O19" s="24">
        <f t="shared" si="8"/>
        <v>1.6605861159153186</v>
      </c>
      <c r="P19" s="24">
        <f t="shared" si="8"/>
        <v>1.7396208732910248</v>
      </c>
      <c r="Q19" s="24">
        <f t="shared" si="8"/>
        <v>1.8231139114833814</v>
      </c>
      <c r="R19" s="24">
        <f t="shared" si="8"/>
        <v>1.9104288734243149</v>
      </c>
      <c r="S19" s="24">
        <f t="shared" si="8"/>
        <v>2.0030123009736354</v>
      </c>
    </row>
    <row r="20" spans="1:19" s="3" customFormat="1" x14ac:dyDescent="0.25">
      <c r="A20" s="65"/>
      <c r="B20" s="64"/>
      <c r="D20" s="14" t="s">
        <v>60</v>
      </c>
      <c r="E20" s="62">
        <f t="shared" ref="E20:S20" si="9">E19*21*10^3</f>
        <v>20625.729547342795</v>
      </c>
      <c r="F20" s="62">
        <f t="shared" si="9"/>
        <v>23574.661408579737</v>
      </c>
      <c r="G20" s="62">
        <f t="shared" si="9"/>
        <v>24456.937522605211</v>
      </c>
      <c r="H20" s="62">
        <f t="shared" si="9"/>
        <v>25513.937276667541</v>
      </c>
      <c r="I20" s="62">
        <f t="shared" si="9"/>
        <v>26506.900125198066</v>
      </c>
      <c r="J20" s="62">
        <f t="shared" si="9"/>
        <v>27493.076264150135</v>
      </c>
      <c r="K20" s="62">
        <f t="shared" si="9"/>
        <v>29117.828229843046</v>
      </c>
      <c r="L20" s="62">
        <f t="shared" si="9"/>
        <v>30428.183569131565</v>
      </c>
      <c r="M20" s="62">
        <f t="shared" si="9"/>
        <v>31822.735023211575</v>
      </c>
      <c r="N20" s="62">
        <f t="shared" si="9"/>
        <v>33303.024348584186</v>
      </c>
      <c r="O20" s="62">
        <f t="shared" si="9"/>
        <v>34872.308434221697</v>
      </c>
      <c r="P20" s="62">
        <f t="shared" si="9"/>
        <v>36532.038339111525</v>
      </c>
      <c r="Q20" s="62">
        <f t="shared" si="9"/>
        <v>38285.392141151009</v>
      </c>
      <c r="R20" s="62">
        <f t="shared" si="9"/>
        <v>40119.006341910615</v>
      </c>
      <c r="S20" s="62">
        <f t="shared" si="9"/>
        <v>42063.258320446344</v>
      </c>
    </row>
    <row r="21" spans="1:19" s="3" customFormat="1" x14ac:dyDescent="0.25">
      <c r="B21" s="2"/>
      <c r="D21" s="2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s="3" customFormat="1" x14ac:dyDescent="0.25">
      <c r="B22" s="2"/>
      <c r="D22" s="13" t="s">
        <v>22</v>
      </c>
      <c r="E22" s="19"/>
      <c r="F22" s="19"/>
      <c r="G22" s="19"/>
      <c r="H22" s="19"/>
      <c r="I22" s="19"/>
      <c r="J22" s="19"/>
      <c r="K22" s="19"/>
      <c r="L22" s="20"/>
      <c r="M22" s="19"/>
      <c r="N22" s="19"/>
      <c r="O22" s="19"/>
      <c r="P22" s="19"/>
      <c r="Q22" s="19"/>
      <c r="R22" s="19"/>
      <c r="S22" s="19"/>
    </row>
    <row r="23" spans="1:19" s="3" customFormat="1" x14ac:dyDescent="0.25">
      <c r="A23" s="16">
        <v>2</v>
      </c>
      <c r="B23" s="64" t="s">
        <v>63</v>
      </c>
      <c r="D23" s="2" t="s">
        <v>23</v>
      </c>
      <c r="E23" s="26">
        <f>Peternakan!D7</f>
        <v>0</v>
      </c>
      <c r="F23" s="26">
        <f>Peternakan!E7</f>
        <v>980</v>
      </c>
      <c r="G23" s="26">
        <f>Peternakan!F7</f>
        <v>980</v>
      </c>
      <c r="H23" s="26">
        <f>Peternakan!G7</f>
        <v>980</v>
      </c>
      <c r="I23" s="26">
        <f>Peternakan!H7</f>
        <v>980</v>
      </c>
      <c r="J23" s="26">
        <f>Peternakan!I7</f>
        <v>980</v>
      </c>
      <c r="K23" s="26">
        <f>Peternakan!J7</f>
        <v>980</v>
      </c>
      <c r="L23" s="27">
        <f>Peternakan!K7</f>
        <v>1470</v>
      </c>
      <c r="M23" s="26">
        <f>Peternakan!L7</f>
        <v>1470</v>
      </c>
      <c r="N23" s="26">
        <f>Peternakan!M7</f>
        <v>1470</v>
      </c>
      <c r="O23" s="26">
        <f>Peternakan!N7</f>
        <v>1470</v>
      </c>
      <c r="P23" s="26">
        <f>Peternakan!O7</f>
        <v>1470</v>
      </c>
      <c r="Q23" s="26">
        <f>Peternakan!P7</f>
        <v>1470</v>
      </c>
      <c r="R23" s="26">
        <f>Peternakan!Q7</f>
        <v>1470</v>
      </c>
      <c r="S23" s="26">
        <f>Peternakan!R7</f>
        <v>1470</v>
      </c>
    </row>
    <row r="24" spans="1:19" s="3" customFormat="1" x14ac:dyDescent="0.25">
      <c r="B24" s="64"/>
      <c r="D24" s="2" t="s">
        <v>24</v>
      </c>
      <c r="E24" s="19">
        <v>22.5</v>
      </c>
      <c r="F24" s="19">
        <v>22.5</v>
      </c>
      <c r="G24" s="19">
        <v>22.5</v>
      </c>
      <c r="H24" s="19">
        <v>22.5</v>
      </c>
      <c r="I24" s="19">
        <v>22.5</v>
      </c>
      <c r="J24" s="19">
        <v>22.5</v>
      </c>
      <c r="K24" s="19">
        <v>22.5</v>
      </c>
      <c r="L24" s="20">
        <v>22.5</v>
      </c>
      <c r="M24" s="19">
        <v>22.5</v>
      </c>
      <c r="N24" s="19">
        <v>22.5</v>
      </c>
      <c r="O24" s="19">
        <v>22.5</v>
      </c>
      <c r="P24" s="19">
        <v>22.5</v>
      </c>
      <c r="Q24" s="19">
        <v>22.5</v>
      </c>
      <c r="R24" s="19">
        <v>22.5</v>
      </c>
      <c r="S24" s="19">
        <v>22.5</v>
      </c>
    </row>
    <row r="25" spans="1:19" s="3" customFormat="1" x14ac:dyDescent="0.25">
      <c r="B25" s="64"/>
      <c r="D25" s="2" t="s">
        <v>25</v>
      </c>
      <c r="E25" s="28">
        <f>E23*E24*365*10^-6</f>
        <v>0</v>
      </c>
      <c r="F25" s="28">
        <f>F23*F24*365*10^-6</f>
        <v>8.0482499999999995</v>
      </c>
      <c r="G25" s="28">
        <f t="shared" ref="G25:S25" si="10">G23*G24*365*10^-6</f>
        <v>8.0482499999999995</v>
      </c>
      <c r="H25" s="28">
        <f t="shared" si="10"/>
        <v>8.0482499999999995</v>
      </c>
      <c r="I25" s="28">
        <f t="shared" si="10"/>
        <v>8.0482499999999995</v>
      </c>
      <c r="J25" s="28">
        <f t="shared" si="10"/>
        <v>8.0482499999999995</v>
      </c>
      <c r="K25" s="28">
        <f t="shared" si="10"/>
        <v>8.0482499999999995</v>
      </c>
      <c r="L25" s="29">
        <f t="shared" si="10"/>
        <v>12.072374999999999</v>
      </c>
      <c r="M25" s="28">
        <f t="shared" si="10"/>
        <v>12.072374999999999</v>
      </c>
      <c r="N25" s="28">
        <f t="shared" si="10"/>
        <v>12.072374999999999</v>
      </c>
      <c r="O25" s="28">
        <f t="shared" si="10"/>
        <v>12.072374999999999</v>
      </c>
      <c r="P25" s="28">
        <f t="shared" si="10"/>
        <v>12.072374999999999</v>
      </c>
      <c r="Q25" s="28">
        <f t="shared" si="10"/>
        <v>12.072374999999999</v>
      </c>
      <c r="R25" s="28">
        <f t="shared" si="10"/>
        <v>12.072374999999999</v>
      </c>
      <c r="S25" s="28">
        <f t="shared" si="10"/>
        <v>12.072374999999999</v>
      </c>
    </row>
    <row r="26" spans="1:19" s="3" customFormat="1" x14ac:dyDescent="0.25">
      <c r="B26" s="64"/>
      <c r="D26" s="2" t="s">
        <v>26</v>
      </c>
      <c r="E26" s="22">
        <f t="shared" ref="E26:S26" si="11">(1-0.7)*E25</f>
        <v>0</v>
      </c>
      <c r="F26" s="22">
        <f>(1-0.7)*F25</f>
        <v>2.4144750000000004</v>
      </c>
      <c r="G26" s="22">
        <f t="shared" si="11"/>
        <v>2.4144750000000004</v>
      </c>
      <c r="H26" s="22">
        <f t="shared" si="11"/>
        <v>2.4144750000000004</v>
      </c>
      <c r="I26" s="22">
        <f t="shared" si="11"/>
        <v>2.4144750000000004</v>
      </c>
      <c r="J26" s="22">
        <f t="shared" si="11"/>
        <v>2.4144750000000004</v>
      </c>
      <c r="K26" s="22">
        <f t="shared" si="11"/>
        <v>2.4144750000000004</v>
      </c>
      <c r="L26" s="23">
        <f t="shared" si="11"/>
        <v>3.6217125000000001</v>
      </c>
      <c r="M26" s="22">
        <f t="shared" si="11"/>
        <v>3.6217125000000001</v>
      </c>
      <c r="N26" s="22">
        <f t="shared" si="11"/>
        <v>3.6217125000000001</v>
      </c>
      <c r="O26" s="22">
        <f t="shared" si="11"/>
        <v>3.6217125000000001</v>
      </c>
      <c r="P26" s="22">
        <f t="shared" si="11"/>
        <v>3.6217125000000001</v>
      </c>
      <c r="Q26" s="22">
        <f t="shared" si="11"/>
        <v>3.6217125000000001</v>
      </c>
      <c r="R26" s="22">
        <f t="shared" si="11"/>
        <v>3.6217125000000001</v>
      </c>
      <c r="S26" s="22">
        <f t="shared" si="11"/>
        <v>3.6217125000000001</v>
      </c>
    </row>
    <row r="27" spans="1:19" s="3" customFormat="1" x14ac:dyDescent="0.25">
      <c r="B27" s="64"/>
      <c r="D27" s="2" t="s">
        <v>27</v>
      </c>
      <c r="E27" s="19">
        <v>5</v>
      </c>
      <c r="F27" s="19">
        <v>5</v>
      </c>
      <c r="G27" s="19">
        <v>5</v>
      </c>
      <c r="H27" s="19">
        <v>5</v>
      </c>
      <c r="I27" s="19">
        <v>5</v>
      </c>
      <c r="J27" s="19">
        <v>5</v>
      </c>
      <c r="K27" s="19">
        <v>5</v>
      </c>
      <c r="L27" s="20">
        <v>5</v>
      </c>
      <c r="M27" s="19">
        <v>5</v>
      </c>
      <c r="N27" s="19">
        <v>5</v>
      </c>
      <c r="O27" s="19">
        <v>5</v>
      </c>
      <c r="P27" s="19">
        <v>5</v>
      </c>
      <c r="Q27" s="19">
        <v>5</v>
      </c>
      <c r="R27" s="19">
        <v>5</v>
      </c>
      <c r="S27" s="19">
        <v>5</v>
      </c>
    </row>
    <row r="28" spans="1:19" s="3" customFormat="1" x14ac:dyDescent="0.25">
      <c r="B28" s="64"/>
      <c r="D28" s="2" t="s">
        <v>28</v>
      </c>
      <c r="E28" s="19">
        <v>46</v>
      </c>
      <c r="F28" s="19">
        <v>46</v>
      </c>
      <c r="G28" s="19">
        <v>46</v>
      </c>
      <c r="H28" s="19">
        <v>46</v>
      </c>
      <c r="I28" s="19">
        <v>46</v>
      </c>
      <c r="J28" s="19">
        <v>46</v>
      </c>
      <c r="K28" s="19">
        <v>46</v>
      </c>
      <c r="L28" s="20">
        <v>46</v>
      </c>
      <c r="M28" s="19">
        <v>46</v>
      </c>
      <c r="N28" s="19">
        <v>46</v>
      </c>
      <c r="O28" s="19">
        <v>46</v>
      </c>
      <c r="P28" s="19">
        <v>46</v>
      </c>
      <c r="Q28" s="19">
        <v>46</v>
      </c>
      <c r="R28" s="19">
        <v>46</v>
      </c>
      <c r="S28" s="19">
        <v>46</v>
      </c>
    </row>
    <row r="29" spans="1:19" s="3" customFormat="1" ht="30" x14ac:dyDescent="0.25">
      <c r="B29" s="64"/>
      <c r="D29" s="2" t="s">
        <v>64</v>
      </c>
      <c r="E29" s="22">
        <f t="shared" ref="E29:S29" si="12">E27/E28*E26*80%</f>
        <v>0</v>
      </c>
      <c r="F29" s="22">
        <f>F27/F28*F26*80%</f>
        <v>0.20995434782608699</v>
      </c>
      <c r="G29" s="22">
        <f t="shared" si="12"/>
        <v>0.20995434782608699</v>
      </c>
      <c r="H29" s="22">
        <f t="shared" si="12"/>
        <v>0.20995434782608699</v>
      </c>
      <c r="I29" s="22">
        <f t="shared" si="12"/>
        <v>0.20995434782608699</v>
      </c>
      <c r="J29" s="22">
        <f t="shared" si="12"/>
        <v>0.20995434782608699</v>
      </c>
      <c r="K29" s="22">
        <f t="shared" si="12"/>
        <v>0.20995434782608699</v>
      </c>
      <c r="L29" s="23">
        <f t="shared" si="12"/>
        <v>0.31493152173913042</v>
      </c>
      <c r="M29" s="22">
        <f t="shared" si="12"/>
        <v>0.31493152173913042</v>
      </c>
      <c r="N29" s="22">
        <f t="shared" si="12"/>
        <v>0.31493152173913042</v>
      </c>
      <c r="O29" s="22">
        <f t="shared" si="12"/>
        <v>0.31493152173913042</v>
      </c>
      <c r="P29" s="22">
        <f t="shared" si="12"/>
        <v>0.31493152173913042</v>
      </c>
      <c r="Q29" s="22">
        <f t="shared" si="12"/>
        <v>0.31493152173913042</v>
      </c>
      <c r="R29" s="22">
        <f t="shared" si="12"/>
        <v>0.31493152173913042</v>
      </c>
      <c r="S29" s="22">
        <f t="shared" si="12"/>
        <v>0.31493152173913042</v>
      </c>
    </row>
    <row r="30" spans="1:19" s="3" customFormat="1" x14ac:dyDescent="0.25">
      <c r="B30" s="64"/>
      <c r="D30" s="2" t="s">
        <v>29</v>
      </c>
      <c r="E30" s="24">
        <f t="shared" ref="E30:S30" si="13">E29*0.2*44/12</f>
        <v>0</v>
      </c>
      <c r="F30" s="24">
        <f>F29*0.2*44/12</f>
        <v>0.15396652173913047</v>
      </c>
      <c r="G30" s="24">
        <f t="shared" si="13"/>
        <v>0.15396652173913047</v>
      </c>
      <c r="H30" s="24">
        <f t="shared" si="13"/>
        <v>0.15396652173913047</v>
      </c>
      <c r="I30" s="24">
        <f t="shared" si="13"/>
        <v>0.15396652173913047</v>
      </c>
      <c r="J30" s="24">
        <f t="shared" si="13"/>
        <v>0.15396652173913047</v>
      </c>
      <c r="K30" s="24">
        <f t="shared" si="13"/>
        <v>0.15396652173913047</v>
      </c>
      <c r="L30" s="25">
        <f t="shared" si="13"/>
        <v>0.23094978260869561</v>
      </c>
      <c r="M30" s="24">
        <f t="shared" si="13"/>
        <v>0.23094978260869561</v>
      </c>
      <c r="N30" s="24">
        <f t="shared" si="13"/>
        <v>0.23094978260869561</v>
      </c>
      <c r="O30" s="24">
        <f t="shared" si="13"/>
        <v>0.23094978260869561</v>
      </c>
      <c r="P30" s="24">
        <f t="shared" si="13"/>
        <v>0.23094978260869561</v>
      </c>
      <c r="Q30" s="24">
        <f t="shared" si="13"/>
        <v>0.23094978260869561</v>
      </c>
      <c r="R30" s="24">
        <f t="shared" si="13"/>
        <v>0.23094978260869561</v>
      </c>
      <c r="S30" s="24">
        <f t="shared" si="13"/>
        <v>0.23094978260869561</v>
      </c>
    </row>
    <row r="31" spans="1:19" s="3" customFormat="1" x14ac:dyDescent="0.25">
      <c r="B31" s="64"/>
      <c r="D31" s="8" t="s">
        <v>30</v>
      </c>
      <c r="E31" s="30">
        <f t="shared" ref="E31:S31" si="14">E30*1000</f>
        <v>0</v>
      </c>
      <c r="F31" s="30">
        <f>F30*1000</f>
        <v>153.96652173913049</v>
      </c>
      <c r="G31" s="30">
        <f t="shared" si="14"/>
        <v>153.96652173913049</v>
      </c>
      <c r="H31" s="30">
        <f t="shared" si="14"/>
        <v>153.96652173913049</v>
      </c>
      <c r="I31" s="30">
        <f t="shared" si="14"/>
        <v>153.96652173913049</v>
      </c>
      <c r="J31" s="30">
        <f t="shared" si="14"/>
        <v>153.96652173913049</v>
      </c>
      <c r="K31" s="30">
        <f t="shared" si="14"/>
        <v>153.96652173913049</v>
      </c>
      <c r="L31" s="30">
        <f t="shared" si="14"/>
        <v>230.94978260869561</v>
      </c>
      <c r="M31" s="30">
        <f t="shared" si="14"/>
        <v>230.94978260869561</v>
      </c>
      <c r="N31" s="30">
        <f t="shared" si="14"/>
        <v>230.94978260869561</v>
      </c>
      <c r="O31" s="30">
        <f t="shared" si="14"/>
        <v>230.94978260869561</v>
      </c>
      <c r="P31" s="30">
        <f t="shared" si="14"/>
        <v>230.94978260869561</v>
      </c>
      <c r="Q31" s="30">
        <f t="shared" si="14"/>
        <v>230.94978260869561</v>
      </c>
      <c r="R31" s="30">
        <f t="shared" si="14"/>
        <v>230.94978260869561</v>
      </c>
      <c r="S31" s="30">
        <f t="shared" si="14"/>
        <v>230.94978260869561</v>
      </c>
    </row>
    <row r="32" spans="1:19" s="3" customFormat="1" x14ac:dyDescent="0.25">
      <c r="B32" s="2"/>
      <c r="D32" s="2"/>
      <c r="E32" s="19"/>
      <c r="F32" s="19"/>
      <c r="G32" s="19"/>
      <c r="H32" s="19"/>
      <c r="I32" s="19"/>
      <c r="J32" s="19"/>
      <c r="K32" s="19"/>
      <c r="L32" s="20"/>
      <c r="M32" s="19"/>
      <c r="N32" s="19"/>
      <c r="O32" s="19"/>
      <c r="P32" s="19"/>
      <c r="Q32" s="19"/>
      <c r="R32" s="19"/>
      <c r="S32" s="19"/>
    </row>
    <row r="33" spans="2:19" s="3" customFormat="1" x14ac:dyDescent="0.25">
      <c r="B33" s="2"/>
      <c r="D33" s="2"/>
      <c r="E33" s="19"/>
      <c r="F33" s="19"/>
      <c r="G33" s="19"/>
      <c r="H33" s="19"/>
      <c r="I33" s="19"/>
      <c r="J33" s="19"/>
      <c r="K33" s="19"/>
      <c r="L33" s="20"/>
      <c r="M33" s="19"/>
      <c r="N33" s="19"/>
      <c r="O33" s="19"/>
      <c r="P33" s="19"/>
      <c r="Q33" s="19"/>
      <c r="R33" s="19"/>
      <c r="S33" s="19"/>
    </row>
    <row r="34" spans="2:19" s="3" customFormat="1" x14ac:dyDescent="0.25">
      <c r="B34" s="2"/>
      <c r="D34" s="2"/>
      <c r="E34" s="19"/>
      <c r="F34" s="19"/>
      <c r="G34" s="19"/>
      <c r="H34" s="19"/>
      <c r="I34" s="19"/>
      <c r="J34" s="19"/>
      <c r="K34" s="19"/>
      <c r="L34" s="20"/>
      <c r="M34" s="19"/>
      <c r="N34" s="19"/>
      <c r="O34" s="19"/>
      <c r="P34" s="19"/>
      <c r="Q34" s="19"/>
      <c r="R34" s="19"/>
      <c r="S34" s="19"/>
    </row>
  </sheetData>
  <mergeCells count="4">
    <mergeCell ref="A4:B4"/>
    <mergeCell ref="B5:B20"/>
    <mergeCell ref="A5:A20"/>
    <mergeCell ref="B23:B3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"/>
  <sheetViews>
    <sheetView workbookViewId="0">
      <selection activeCell="C6" sqref="C6"/>
    </sheetView>
  </sheetViews>
  <sheetFormatPr defaultRowHeight="15" x14ac:dyDescent="0.25"/>
  <cols>
    <col min="1" max="1" width="9.140625" style="34"/>
    <col min="2" max="2" width="17.5703125" style="34" bestFit="1" customWidth="1"/>
    <col min="3" max="15" width="9.5703125" style="34" bestFit="1" customWidth="1"/>
    <col min="16" max="16384" width="9.140625" style="34"/>
  </cols>
  <sheetData>
    <row r="3" spans="2:17" s="33" customFormat="1" x14ac:dyDescent="0.25">
      <c r="B3" s="32"/>
      <c r="C3" s="33">
        <v>2016</v>
      </c>
      <c r="D3" s="33">
        <v>2017</v>
      </c>
      <c r="E3" s="33">
        <v>2018</v>
      </c>
      <c r="F3" s="33">
        <v>2019</v>
      </c>
      <c r="G3" s="33">
        <v>2020</v>
      </c>
      <c r="H3" s="33">
        <v>2021</v>
      </c>
      <c r="I3" s="33">
        <v>2022</v>
      </c>
      <c r="J3" s="33">
        <v>2023</v>
      </c>
      <c r="K3" s="33">
        <v>2024</v>
      </c>
      <c r="L3" s="33">
        <v>2025</v>
      </c>
      <c r="M3" s="33">
        <v>2026</v>
      </c>
      <c r="N3" s="33">
        <v>2027</v>
      </c>
      <c r="O3" s="33">
        <v>2028</v>
      </c>
      <c r="P3" s="33">
        <v>2029</v>
      </c>
      <c r="Q3" s="33">
        <v>2030</v>
      </c>
    </row>
    <row r="4" spans="2:17" x14ac:dyDescent="0.25">
      <c r="B4" s="34" t="s">
        <v>33</v>
      </c>
    </row>
    <row r="5" spans="2:17" x14ac:dyDescent="0.25">
      <c r="B5" s="34" t="s">
        <v>34</v>
      </c>
    </row>
    <row r="6" spans="2:17" x14ac:dyDescent="0.25">
      <c r="B6" s="34" t="s">
        <v>35</v>
      </c>
      <c r="C6" s="35" t="e">
        <f>Pertanian!#REF!</f>
        <v>#REF!</v>
      </c>
      <c r="D6" s="35" t="e">
        <f>Pertanian!#REF!</f>
        <v>#REF!</v>
      </c>
      <c r="E6" s="35" t="e">
        <f>Pertanian!#REF!</f>
        <v>#REF!</v>
      </c>
      <c r="F6" s="35" t="e">
        <f>Pertanian!#REF!</f>
        <v>#REF!</v>
      </c>
      <c r="G6" s="35" t="e">
        <f>Pertanian!#REF!</f>
        <v>#REF!</v>
      </c>
      <c r="H6" s="35" t="e">
        <f>Pertanian!#REF!</f>
        <v>#REF!</v>
      </c>
      <c r="I6" s="35" t="e">
        <f>Pertanian!#REF!</f>
        <v>#REF!</v>
      </c>
      <c r="J6" s="35" t="e">
        <f>Pertanian!#REF!</f>
        <v>#REF!</v>
      </c>
      <c r="K6" s="35" t="e">
        <f>Pertanian!#REF!</f>
        <v>#REF!</v>
      </c>
      <c r="L6" s="35" t="e">
        <f>Pertanian!#REF!</f>
        <v>#REF!</v>
      </c>
      <c r="M6" s="35" t="e">
        <f>Pertanian!#REF!</f>
        <v>#REF!</v>
      </c>
      <c r="N6" s="35" t="e">
        <f>Pertanian!#REF!</f>
        <v>#REF!</v>
      </c>
      <c r="O6" s="35" t="e">
        <f>Pertanian!#REF!</f>
        <v>#REF!</v>
      </c>
      <c r="P6" s="35" t="e">
        <f>Pertanian!#REF!</f>
        <v>#REF!</v>
      </c>
      <c r="Q6" s="35" t="e">
        <f>Pertanian!#REF!</f>
        <v>#REF!</v>
      </c>
    </row>
    <row r="7" spans="2:17" x14ac:dyDescent="0.25">
      <c r="B7" s="34" t="s">
        <v>36</v>
      </c>
      <c r="C7" s="35" t="e">
        <f>Pertanian!#REF!</f>
        <v>#REF!</v>
      </c>
      <c r="D7" s="35" t="e">
        <f>Pertanian!#REF!</f>
        <v>#REF!</v>
      </c>
      <c r="E7" s="35" t="e">
        <f>Pertanian!#REF!</f>
        <v>#REF!</v>
      </c>
      <c r="F7" s="35" t="e">
        <f>Pertanian!#REF!</f>
        <v>#REF!</v>
      </c>
      <c r="G7" s="35" t="e">
        <f>Pertanian!#REF!</f>
        <v>#REF!</v>
      </c>
      <c r="H7" s="35" t="e">
        <f>Pertanian!#REF!</f>
        <v>#REF!</v>
      </c>
      <c r="I7" s="35" t="e">
        <f>Pertanian!#REF!</f>
        <v>#REF!</v>
      </c>
      <c r="J7" s="35" t="e">
        <f>Pertanian!#REF!</f>
        <v>#REF!</v>
      </c>
      <c r="K7" s="35" t="e">
        <f>Pertanian!#REF!</f>
        <v>#REF!</v>
      </c>
      <c r="L7" s="35" t="e">
        <f>Pertanian!#REF!</f>
        <v>#REF!</v>
      </c>
      <c r="M7" s="35" t="e">
        <f>Pertanian!#REF!</f>
        <v>#REF!</v>
      </c>
      <c r="N7" s="35" t="e">
        <f>Pertanian!#REF!</f>
        <v>#REF!</v>
      </c>
      <c r="O7" s="35" t="e">
        <f>Pertanian!#REF!</f>
        <v>#REF!</v>
      </c>
      <c r="P7" s="35" t="e">
        <f>Pertanian!#REF!</f>
        <v>#REF!</v>
      </c>
      <c r="Q7" s="35" t="e">
        <f>Pertanian!#REF!</f>
        <v>#REF!</v>
      </c>
    </row>
    <row r="8" spans="2:17" x14ac:dyDescent="0.25">
      <c r="B8" s="34" t="s">
        <v>37</v>
      </c>
      <c r="C8" s="35">
        <f>Pertanian!E31</f>
        <v>0</v>
      </c>
      <c r="D8" s="35">
        <f>Pertanian!F31</f>
        <v>153.96652173913049</v>
      </c>
      <c r="E8" s="35">
        <f>Pertanian!G31</f>
        <v>153.96652173913049</v>
      </c>
      <c r="F8" s="35">
        <f>Pertanian!H31</f>
        <v>153.96652173913049</v>
      </c>
      <c r="G8" s="35">
        <f>Pertanian!I31</f>
        <v>153.96652173913049</v>
      </c>
      <c r="H8" s="35">
        <f>Pertanian!J31</f>
        <v>153.96652173913049</v>
      </c>
      <c r="I8" s="35">
        <f>Pertanian!K31</f>
        <v>153.96652173913049</v>
      </c>
      <c r="J8" s="35">
        <f>Pertanian!L31</f>
        <v>230.94978260869561</v>
      </c>
      <c r="K8" s="35">
        <f>Pertanian!M31</f>
        <v>230.94978260869561</v>
      </c>
      <c r="L8" s="35">
        <f>Pertanian!N31</f>
        <v>230.94978260869561</v>
      </c>
      <c r="M8" s="35">
        <f>Pertanian!O31</f>
        <v>230.94978260869561</v>
      </c>
      <c r="N8" s="35">
        <f>Pertanian!P31</f>
        <v>230.94978260869561</v>
      </c>
      <c r="O8" s="35">
        <f>Pertanian!Q31</f>
        <v>230.94978260869561</v>
      </c>
      <c r="P8" s="35">
        <f>Pertanian!R31</f>
        <v>230.94978260869561</v>
      </c>
      <c r="Q8" s="35">
        <f>Pertanian!S31</f>
        <v>230.94978260869561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Peternakan</vt:lpstr>
      <vt:lpstr>Pertanian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2017-09-15T01:59:49Z</dcterms:created>
  <dcterms:modified xsi:type="dcterms:W3CDTF">2017-10-18T02:31:27Z</dcterms:modified>
</cp:coreProperties>
</file>